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Override PartName="/xl/threadedComments/threadedComment8.xml" ContentType="application/vnd.ms-excel.threadedcomments+xml"/>
  <Override PartName="/xl/threadedComments/threadedComment9.xml" ContentType="application/vnd.ms-excel.threadedcomments+xml"/>
  <Override PartName="/xl/threadedComments/threadedComment10.xml" ContentType="application/vnd.ms-excel.threadedcomments+xml"/>
  <Override PartName="/xl/threadedComments/threadedComment11.xml" ContentType="application/vnd.ms-excel.threadedcomments+xml"/>
  <Override PartName="/xl/threadedComments/threadedComment12.xml" ContentType="application/vnd.ms-excel.threadedcomments+xml"/>
  <Override PartName="/xl/threadedComments/threadedComment1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E:\PLANEACION\2024\SPI\Modificaciones proyecto de inversión\1. Enero\"/>
    </mc:Choice>
  </mc:AlternateContent>
  <xr:revisionPtr revIDLastSave="0" documentId="8_{D4A9DF5A-00E9-4408-868C-22473A670A7E}" xr6:coauthVersionLast="47" xr6:coauthVersionMax="47" xr10:uidLastSave="{00000000-0000-0000-0000-000000000000}"/>
  <bookViews>
    <workbookView xWindow="-120" yWindow="-120" windowWidth="29040" windowHeight="15840" firstSheet="5" activeTab="15" xr2:uid="{00000000-000D-0000-FFFF-FFFF00000000}"/>
  </bookViews>
  <sheets>
    <sheet name="Administrativa" sheetId="1" r:id="rId1"/>
    <sheet name="Planeación" sheetId="10" r:id="rId2"/>
    <sheet name="Hacienda" sheetId="4" r:id="rId3"/>
    <sheet name="Infraestruc" sheetId="2" r:id="rId4"/>
    <sheet name="Cultura" sheetId="11" r:id="rId5"/>
    <sheet name="Interior" sheetId="7" r:id="rId6"/>
    <sheet name="Turismo" sheetId="12" r:id="rId7"/>
    <sheet name="Privada" sheetId="8" r:id="rId8"/>
    <sheet name="Educación" sheetId="14" r:id="rId9"/>
    <sheet name="Agricultura" sheetId="13" r:id="rId10"/>
    <sheet name="Familia" sheetId="3" r:id="rId11"/>
    <sheet name="Salud" sheetId="15" r:id="rId12"/>
    <sheet name="TIC" sheetId="16" r:id="rId13"/>
    <sheet name="Indeportes" sheetId="6" r:id="rId14"/>
    <sheet name="Proyecta" sheetId="9" r:id="rId15"/>
    <sheet name="IDTQ" sheetId="5" r:id="rId16"/>
    <sheet name="CONSOLIDADO" sheetId="19" r:id="rId17"/>
  </sheets>
  <definedNames>
    <definedName name="_1._Apoyo_con_equipos_para_la_seguridad_vial_Licenciamiento_de_software_para_comunicaciones" localSheetId="10">#REF!</definedName>
    <definedName name="_1._Apoyo_con_equipos_para_la_seguridad_vial_Licenciamiento_de_software_para_comunicaciones">#REF!</definedName>
    <definedName name="_xlnm._FilterDatabase" localSheetId="0" hidden="1">Administrativa!$A$10:$BQ$19</definedName>
    <definedName name="_xlnm._FilterDatabase" localSheetId="9" hidden="1">Agricultura!$A$8:$BR$46</definedName>
    <definedName name="_xlnm._FilterDatabase" localSheetId="4" hidden="1">Cultura!$B$10:$BV$46</definedName>
    <definedName name="_xlnm._FilterDatabase" localSheetId="8" hidden="1">Educación!$A$10:$BD$139</definedName>
    <definedName name="_xlnm._FilterDatabase" localSheetId="10" hidden="1">Familia!$A$14:$BS$127</definedName>
    <definedName name="_xlnm._FilterDatabase" localSheetId="2" hidden="1">Hacienda!$A$10:$BQ$24</definedName>
    <definedName name="_xlnm._FilterDatabase" localSheetId="15" hidden="1">IDTQ!$A$10:$BQ$10</definedName>
    <definedName name="_xlnm._FilterDatabase" localSheetId="13" hidden="1">Indeportes!$A$10:$BQ$81</definedName>
    <definedName name="_xlnm._FilterDatabase" localSheetId="3" hidden="1">Infraestruc!$A$10:$BQ$73</definedName>
    <definedName name="_xlnm._FilterDatabase" localSheetId="5" hidden="1">Interior!$A$10:$BV$109</definedName>
    <definedName name="_xlnm._FilterDatabase" localSheetId="1" hidden="1">Planeación!$A$10:$AY$92</definedName>
    <definedName name="_xlnm._FilterDatabase" localSheetId="7" hidden="1">Privada!$A$10:$BQ$16</definedName>
    <definedName name="_xlnm._FilterDatabase" localSheetId="14" hidden="1">Proyecta!$A$10:$BQ$25</definedName>
    <definedName name="_xlnm._FilterDatabase" localSheetId="11" hidden="1">Salud!$A$10:$BQ$327</definedName>
    <definedName name="_xlnm._FilterDatabase" localSheetId="12" hidden="1">TIC!$A$8:$BS$33</definedName>
    <definedName name="_xlnm._FilterDatabase" localSheetId="6" hidden="1">Turismo!$A$10:$BQ$29</definedName>
    <definedName name="aa" localSheetId="10">#REF!</definedName>
    <definedName name="aa">#REF!</definedName>
    <definedName name="_xlnm.Print_Area" localSheetId="7">Privada!$A$1:$BQ$42</definedName>
    <definedName name="CODIGO_DIVIPOLA" localSheetId="10">#REF!</definedName>
    <definedName name="CODIGO_DIVIPOLA">#REF!</definedName>
    <definedName name="DboREGISTRO_LEY_617" localSheetId="10">#REF!</definedName>
    <definedName name="DboREGISTRO_LEY_617">#REF!</definedName>
    <definedName name="ññ">#REF!</definedName>
    <definedName name="sdfa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14" i="5" l="1"/>
  <c r="AB12" i="5" l="1"/>
  <c r="AB13" i="5"/>
  <c r="T137" i="14"/>
  <c r="T136" i="14"/>
  <c r="T135" i="14"/>
  <c r="T134" i="14"/>
  <c r="T133" i="14"/>
  <c r="T132" i="14"/>
  <c r="T131" i="14"/>
  <c r="T130" i="14"/>
  <c r="T129" i="14"/>
  <c r="T127" i="14"/>
  <c r="T128" i="14"/>
  <c r="T126" i="14"/>
  <c r="T116" i="14"/>
  <c r="T117" i="14"/>
  <c r="T118" i="14"/>
  <c r="T119" i="14"/>
  <c r="T120" i="14"/>
  <c r="T121" i="14"/>
  <c r="T122" i="14"/>
  <c r="T123" i="14"/>
  <c r="T124" i="14"/>
  <c r="T125" i="14"/>
  <c r="T115" i="14"/>
  <c r="T114" i="14"/>
  <c r="T113" i="14"/>
  <c r="T110" i="14"/>
  <c r="T111" i="14"/>
  <c r="T112" i="14"/>
  <c r="T109" i="14"/>
  <c r="T108" i="14"/>
  <c r="T106" i="14"/>
  <c r="T107" i="14"/>
  <c r="T105" i="14"/>
  <c r="T104" i="14"/>
  <c r="T13" i="14"/>
  <c r="T14" i="14"/>
  <c r="T15" i="14"/>
  <c r="T16" i="14"/>
  <c r="T17" i="14"/>
  <c r="T18" i="14"/>
  <c r="T19" i="14"/>
  <c r="T20" i="14"/>
  <c r="T21" i="14"/>
  <c r="T22" i="14"/>
  <c r="T23" i="14"/>
  <c r="T24" i="14"/>
  <c r="T25" i="14"/>
  <c r="T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2" i="14"/>
  <c r="T11" i="14"/>
  <c r="T14" i="5" l="1"/>
  <c r="T13" i="5" l="1"/>
  <c r="T12" i="5"/>
  <c r="T11" i="5"/>
  <c r="T24" i="9"/>
  <c r="T23" i="9"/>
  <c r="T22" i="9"/>
  <c r="T21" i="9"/>
  <c r="T20" i="9"/>
  <c r="T19" i="9"/>
  <c r="T18" i="9"/>
  <c r="T17" i="9"/>
  <c r="T16" i="9"/>
  <c r="T15" i="9"/>
  <c r="T14" i="9"/>
  <c r="T13" i="9"/>
  <c r="T12" i="9"/>
  <c r="T11" i="9"/>
  <c r="T58" i="6"/>
  <c r="T59" i="6"/>
  <c r="T60" i="6"/>
  <c r="T61" i="6"/>
  <c r="T62" i="6"/>
  <c r="T63" i="6"/>
  <c r="T64" i="6"/>
  <c r="T65" i="6"/>
  <c r="T66" i="6"/>
  <c r="T67" i="6"/>
  <c r="T68" i="6"/>
  <c r="T69" i="6"/>
  <c r="T70" i="6"/>
  <c r="T71" i="6"/>
  <c r="T72" i="6"/>
  <c r="T73" i="6"/>
  <c r="T74" i="6"/>
  <c r="T75" i="6"/>
  <c r="T76" i="6"/>
  <c r="T77" i="6"/>
  <c r="T78" i="6"/>
  <c r="T79" i="6"/>
  <c r="T80" i="6"/>
  <c r="T57" i="6"/>
  <c r="T56" i="6"/>
  <c r="T55"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22" i="6"/>
  <c r="T12" i="6"/>
  <c r="T13" i="6"/>
  <c r="T14" i="6"/>
  <c r="T15" i="6"/>
  <c r="T16" i="6"/>
  <c r="T17" i="6"/>
  <c r="T18" i="6"/>
  <c r="T19" i="6"/>
  <c r="T20" i="6"/>
  <c r="T21" i="6"/>
  <c r="T11" i="6"/>
  <c r="T10" i="16"/>
  <c r="T9" i="16"/>
  <c r="T327" i="15"/>
  <c r="T322" i="15"/>
  <c r="T323" i="15"/>
  <c r="T324" i="15"/>
  <c r="T325" i="15"/>
  <c r="T326" i="15"/>
  <c r="T321" i="15"/>
  <c r="T316" i="15"/>
  <c r="T317" i="15"/>
  <c r="T318" i="15"/>
  <c r="T319" i="15"/>
  <c r="T320" i="15"/>
  <c r="T315" i="15"/>
  <c r="T314" i="15"/>
  <c r="T313" i="15"/>
  <c r="T206" i="15"/>
  <c r="T207" i="15"/>
  <c r="T208" i="15"/>
  <c r="T209" i="15"/>
  <c r="T210" i="15"/>
  <c r="T211" i="15"/>
  <c r="T212" i="15"/>
  <c r="T213" i="15"/>
  <c r="T214" i="15"/>
  <c r="T215" i="15"/>
  <c r="T216" i="15"/>
  <c r="T217" i="15"/>
  <c r="T218" i="15"/>
  <c r="T219" i="15"/>
  <c r="T220" i="15"/>
  <c r="T221" i="15"/>
  <c r="T222" i="15"/>
  <c r="T223" i="15"/>
  <c r="T224" i="15"/>
  <c r="T225" i="15"/>
  <c r="T226" i="15"/>
  <c r="T227" i="15"/>
  <c r="T228" i="15"/>
  <c r="T229" i="15"/>
  <c r="T230" i="15"/>
  <c r="T231" i="15"/>
  <c r="T232" i="15"/>
  <c r="T233" i="15"/>
  <c r="T234" i="15"/>
  <c r="T235" i="15"/>
  <c r="T236" i="15"/>
  <c r="T237" i="15"/>
  <c r="T238" i="15"/>
  <c r="T239" i="15"/>
  <c r="T240" i="15"/>
  <c r="T241" i="15"/>
  <c r="T242" i="15"/>
  <c r="T243" i="15"/>
  <c r="T244" i="15"/>
  <c r="T245" i="15"/>
  <c r="T246" i="15"/>
  <c r="T247" i="15"/>
  <c r="T248" i="15"/>
  <c r="T249" i="15"/>
  <c r="T250" i="15"/>
  <c r="T251" i="15"/>
  <c r="T252" i="15"/>
  <c r="T253" i="15"/>
  <c r="T254" i="15"/>
  <c r="T255" i="15"/>
  <c r="T256" i="15"/>
  <c r="T257" i="15"/>
  <c r="T258" i="15"/>
  <c r="T259" i="15"/>
  <c r="T260" i="15"/>
  <c r="T261" i="15"/>
  <c r="T262" i="15"/>
  <c r="T263" i="15"/>
  <c r="T264" i="15"/>
  <c r="T265" i="15"/>
  <c r="T266" i="15"/>
  <c r="T267" i="15"/>
  <c r="T268" i="15"/>
  <c r="T269" i="15"/>
  <c r="T270" i="15"/>
  <c r="T271" i="15"/>
  <c r="T272" i="15"/>
  <c r="T273" i="15"/>
  <c r="T274" i="15"/>
  <c r="T275" i="15"/>
  <c r="T276" i="15"/>
  <c r="T277" i="15"/>
  <c r="T278" i="15"/>
  <c r="T279" i="15"/>
  <c r="T280" i="15"/>
  <c r="T281" i="15"/>
  <c r="T282" i="15"/>
  <c r="T283" i="15"/>
  <c r="T284" i="15"/>
  <c r="T285" i="15"/>
  <c r="T286" i="15"/>
  <c r="T287" i="15"/>
  <c r="T288" i="15"/>
  <c r="T289" i="15"/>
  <c r="T290" i="15"/>
  <c r="T291" i="15"/>
  <c r="T292" i="15"/>
  <c r="T293" i="15"/>
  <c r="T294" i="15"/>
  <c r="T295" i="15"/>
  <c r="T296" i="15"/>
  <c r="T297" i="15"/>
  <c r="T298" i="15"/>
  <c r="T299" i="15"/>
  <c r="T300" i="15"/>
  <c r="T301" i="15"/>
  <c r="T302" i="15"/>
  <c r="T303" i="15"/>
  <c r="T304" i="15"/>
  <c r="T305" i="15"/>
  <c r="T306" i="15"/>
  <c r="T307" i="15"/>
  <c r="T308" i="15"/>
  <c r="T309" i="15"/>
  <c r="T310" i="15"/>
  <c r="T311" i="15"/>
  <c r="T312" i="15"/>
  <c r="T205" i="15"/>
  <c r="T200" i="15"/>
  <c r="T201" i="15"/>
  <c r="T202" i="15"/>
  <c r="T203" i="15"/>
  <c r="T204" i="15"/>
  <c r="T199" i="15"/>
  <c r="T196" i="15"/>
  <c r="T197" i="15"/>
  <c r="T198" i="15"/>
  <c r="T195" i="15"/>
  <c r="T185" i="15" l="1"/>
  <c r="T184" i="15"/>
  <c r="T179" i="15"/>
  <c r="T180" i="15"/>
  <c r="T181" i="15"/>
  <c r="T182" i="15"/>
  <c r="T183" i="15"/>
  <c r="T178" i="15"/>
  <c r="T177" i="15"/>
  <c r="T166" i="15"/>
  <c r="T167" i="15"/>
  <c r="T168" i="15"/>
  <c r="T169" i="15"/>
  <c r="T170" i="15"/>
  <c r="T171" i="15"/>
  <c r="T172" i="15"/>
  <c r="T173" i="15"/>
  <c r="T174" i="15"/>
  <c r="T175" i="15"/>
  <c r="T176" i="15"/>
  <c r="T165" i="15"/>
  <c r="T164" i="15"/>
  <c r="T163" i="15"/>
  <c r="T155" i="15"/>
  <c r="T156" i="15"/>
  <c r="T157" i="15"/>
  <c r="T158" i="15"/>
  <c r="T159" i="15"/>
  <c r="T160" i="15"/>
  <c r="T161" i="15"/>
  <c r="T162" i="15"/>
  <c r="T154" i="15"/>
  <c r="T151" i="15"/>
  <c r="T152" i="15"/>
  <c r="T153" i="15"/>
  <c r="T150" i="15"/>
  <c r="T146" i="15" l="1"/>
  <c r="T147" i="15"/>
  <c r="T148" i="15"/>
  <c r="T149" i="15"/>
  <c r="T145" i="15"/>
  <c r="T141" i="15"/>
  <c r="T142" i="15"/>
  <c r="T143" i="15"/>
  <c r="T144" i="15"/>
  <c r="T140" i="15"/>
  <c r="T133" i="15"/>
  <c r="T134" i="15"/>
  <c r="T135" i="15"/>
  <c r="T136" i="15"/>
  <c r="T137" i="15"/>
  <c r="T138" i="15"/>
  <c r="T139" i="15"/>
  <c r="T132" i="15"/>
  <c r="T130" i="15"/>
  <c r="T131" i="15"/>
  <c r="T129" i="15"/>
  <c r="T125" i="15"/>
  <c r="T126" i="15"/>
  <c r="T127" i="15"/>
  <c r="T128" i="15"/>
  <c r="T124" i="15"/>
  <c r="T90" i="15"/>
  <c r="T89" i="15"/>
  <c r="T88" i="15"/>
  <c r="T86" i="15"/>
  <c r="T87" i="15"/>
  <c r="T85" i="15"/>
  <c r="T83" i="15"/>
  <c r="T84" i="15"/>
  <c r="T82" i="15"/>
  <c r="T81" i="15"/>
  <c r="T80" i="15"/>
  <c r="T77" i="15"/>
  <c r="T78" i="15"/>
  <c r="T79" i="15"/>
  <c r="T76" i="15"/>
  <c r="T66" i="15"/>
  <c r="T65" i="15"/>
  <c r="T64" i="3" l="1"/>
  <c r="T65" i="3"/>
  <c r="T63" i="3"/>
  <c r="T61" i="3"/>
  <c r="T62" i="3"/>
  <c r="T60" i="3"/>
  <c r="T18" i="3" l="1"/>
  <c r="T19" i="3"/>
  <c r="T20" i="3"/>
  <c r="T17" i="3"/>
  <c r="T16" i="3"/>
  <c r="T15" i="3"/>
  <c r="T12" i="8" l="1"/>
  <c r="T11" i="8"/>
  <c r="T14" i="8"/>
  <c r="T13" i="8"/>
  <c r="T15" i="8"/>
  <c r="T27" i="12" l="1"/>
  <c r="T26" i="12"/>
  <c r="T25" i="12"/>
  <c r="T24" i="12"/>
  <c r="T23" i="12"/>
  <c r="T22" i="12"/>
  <c r="T18" i="12"/>
  <c r="T19" i="12"/>
  <c r="T20" i="12"/>
  <c r="T21" i="12"/>
  <c r="T17" i="12"/>
  <c r="T14" i="12"/>
  <c r="T15" i="12"/>
  <c r="T16" i="12"/>
  <c r="T13" i="12"/>
  <c r="T12" i="12"/>
  <c r="T11" i="12"/>
  <c r="U14" i="11"/>
  <c r="U15" i="11"/>
  <c r="U16" i="11"/>
  <c r="U17" i="11"/>
  <c r="U18" i="11"/>
  <c r="U19" i="11"/>
  <c r="U20" i="11"/>
  <c r="U21" i="11"/>
  <c r="U22" i="11"/>
  <c r="U23" i="11"/>
  <c r="U24" i="11"/>
  <c r="U25" i="11"/>
  <c r="U26" i="11"/>
  <c r="U13" i="11"/>
  <c r="U12" i="11"/>
  <c r="U11" i="11"/>
  <c r="T72" i="2"/>
  <c r="T51" i="2"/>
  <c r="T52" i="2"/>
  <c r="T50" i="2"/>
  <c r="T23" i="4"/>
  <c r="T12" i="4"/>
  <c r="T13" i="4"/>
  <c r="T14" i="4"/>
  <c r="T15" i="4"/>
  <c r="T16" i="4"/>
  <c r="T17" i="4"/>
  <c r="T18" i="4"/>
  <c r="T19" i="4"/>
  <c r="T20" i="4"/>
  <c r="T21" i="4"/>
  <c r="T22" i="4"/>
  <c r="T11" i="4"/>
  <c r="X66" i="3" l="1"/>
  <c r="T67" i="3" l="1"/>
  <c r="T66" i="3"/>
  <c r="T68" i="3"/>
  <c r="W46" i="13"/>
  <c r="Z33" i="16" l="1"/>
  <c r="AA33" i="16"/>
  <c r="AB21" i="15"/>
  <c r="Y328" i="15"/>
  <c r="Z328" i="15"/>
  <c r="AA328" i="15"/>
  <c r="AA126" i="3"/>
  <c r="Y46" i="13"/>
  <c r="Z46" i="13"/>
  <c r="AA138" i="14"/>
  <c r="Y16" i="8"/>
  <c r="Z16" i="8"/>
  <c r="AA16" i="8"/>
  <c r="Z28" i="12"/>
  <c r="AA28" i="12"/>
  <c r="Z109" i="7"/>
  <c r="AA109" i="7"/>
  <c r="AA46" i="11"/>
  <c r="AB46" i="11"/>
  <c r="Z91" i="10"/>
  <c r="AA91" i="10"/>
  <c r="Y189" i="15"/>
  <c r="AB189" i="15" s="1"/>
  <c r="Z27" i="11"/>
  <c r="Y14" i="15"/>
  <c r="Y100" i="14"/>
  <c r="Y71" i="7"/>
  <c r="AB71" i="7" s="1"/>
  <c r="Y110" i="14"/>
  <c r="Y89" i="10"/>
  <c r="AB89" i="10" s="1"/>
  <c r="Y88" i="10"/>
  <c r="Y66" i="3"/>
  <c r="AB66" i="3" s="1"/>
  <c r="Z16" i="11"/>
  <c r="Z46" i="11" s="1"/>
  <c r="Z18" i="11"/>
  <c r="Y11" i="7"/>
  <c r="Y109" i="7" s="1"/>
  <c r="Z42" i="11"/>
  <c r="AC42" i="11" s="1"/>
  <c r="Z41" i="11"/>
  <c r="Y17" i="4"/>
  <c r="X20" i="13"/>
  <c r="Z19" i="3"/>
  <c r="Z126" i="3" s="1"/>
  <c r="Y19" i="3"/>
  <c r="Y89" i="14"/>
  <c r="Y79" i="14"/>
  <c r="AB79" i="14" s="1"/>
  <c r="Y25" i="14"/>
  <c r="AB25" i="14" s="1"/>
  <c r="Y23" i="14"/>
  <c r="Y16" i="14"/>
  <c r="Y84" i="14"/>
  <c r="AB12" i="7"/>
  <c r="AB13" i="7"/>
  <c r="AB14" i="7"/>
  <c r="AB15" i="7"/>
  <c r="AB16" i="7"/>
  <c r="Y39" i="3"/>
  <c r="AB39" i="3" s="1"/>
  <c r="Y37" i="3"/>
  <c r="AB37" i="3" s="1"/>
  <c r="Y33" i="14"/>
  <c r="Y31" i="14"/>
  <c r="Y36" i="3"/>
  <c r="Y20" i="14"/>
  <c r="AB20" i="14" s="1"/>
  <c r="Y55" i="14"/>
  <c r="Y51" i="14"/>
  <c r="Y47" i="14"/>
  <c r="AB47" i="14" s="1"/>
  <c r="Y30" i="14"/>
  <c r="AB30" i="14" s="1"/>
  <c r="Y29" i="3"/>
  <c r="Y26" i="3"/>
  <c r="Y111" i="3"/>
  <c r="Y116" i="3"/>
  <c r="Y70" i="3"/>
  <c r="Y31" i="3"/>
  <c r="Y27" i="3"/>
  <c r="AB27" i="3" s="1"/>
  <c r="Y23" i="4"/>
  <c r="AB23" i="4" s="1"/>
  <c r="Y91" i="14"/>
  <c r="Y90" i="14"/>
  <c r="Y87" i="14"/>
  <c r="AB87" i="14" s="1"/>
  <c r="Y78" i="14"/>
  <c r="AB78" i="14" s="1"/>
  <c r="Y77" i="14"/>
  <c r="Y75" i="14"/>
  <c r="Y74" i="14"/>
  <c r="AB74" i="14" s="1"/>
  <c r="Y73" i="14"/>
  <c r="Y71" i="14"/>
  <c r="Y70" i="14"/>
  <c r="Y69" i="14"/>
  <c r="Y66" i="14"/>
  <c r="AB66" i="14" s="1"/>
  <c r="Y65" i="14"/>
  <c r="Y60" i="14"/>
  <c r="Y59" i="14"/>
  <c r="AB59" i="14" s="1"/>
  <c r="Y52" i="14"/>
  <c r="AB52" i="14" s="1"/>
  <c r="Y43" i="14"/>
  <c r="Y39" i="14"/>
  <c r="Y37" i="14"/>
  <c r="Y27" i="14"/>
  <c r="AB27" i="14" s="1"/>
  <c r="Y21" i="14"/>
  <c r="X39" i="13"/>
  <c r="Y57" i="10"/>
  <c r="Y15" i="16"/>
  <c r="Y16" i="16"/>
  <c r="AB16" i="16" s="1"/>
  <c r="Y96" i="7"/>
  <c r="Y63" i="10"/>
  <c r="Y87" i="7"/>
  <c r="AB87" i="7" s="1"/>
  <c r="Y89" i="7"/>
  <c r="Y59" i="10"/>
  <c r="Y58" i="10"/>
  <c r="AB58" i="10" s="1"/>
  <c r="Y22" i="12"/>
  <c r="Y28" i="12" s="1"/>
  <c r="Y15" i="2"/>
  <c r="Y71" i="2"/>
  <c r="Y67" i="2"/>
  <c r="AB16" i="12"/>
  <c r="AB18" i="12"/>
  <c r="AB19" i="12"/>
  <c r="AB20" i="12"/>
  <c r="AB21" i="12"/>
  <c r="AB24" i="12"/>
  <c r="AB25" i="12"/>
  <c r="AB26" i="12"/>
  <c r="AB27" i="12"/>
  <c r="Y51" i="3"/>
  <c r="AB51" i="3" s="1"/>
  <c r="Y50" i="3"/>
  <c r="Y49" i="3"/>
  <c r="Y48" i="3"/>
  <c r="AB48" i="3" s="1"/>
  <c r="Y113" i="14"/>
  <c r="Y76" i="7"/>
  <c r="Y67" i="7"/>
  <c r="Y24" i="7"/>
  <c r="AB24" i="7" s="1"/>
  <c r="Z92" i="10"/>
  <c r="AA92" i="10"/>
  <c r="Y52" i="3"/>
  <c r="AB22" i="16"/>
  <c r="AB23" i="16"/>
  <c r="AB24" i="16"/>
  <c r="AB29" i="16"/>
  <c r="AB30" i="16"/>
  <c r="AB31" i="16"/>
  <c r="AB32" i="16"/>
  <c r="AB20" i="16"/>
  <c r="AB21" i="16"/>
  <c r="AB12" i="16"/>
  <c r="AB13" i="16"/>
  <c r="AB14" i="16"/>
  <c r="AB15" i="16"/>
  <c r="AB17" i="16"/>
  <c r="AB18" i="16"/>
  <c r="AB19" i="16"/>
  <c r="AB10" i="16"/>
  <c r="AB11" i="16"/>
  <c r="AB315" i="15"/>
  <c r="AB316" i="15"/>
  <c r="AB317" i="15"/>
  <c r="AB318" i="15"/>
  <c r="AB319" i="15"/>
  <c r="AB320" i="15"/>
  <c r="AB321" i="15"/>
  <c r="AB322" i="15"/>
  <c r="AB323" i="15"/>
  <c r="AB324" i="15"/>
  <c r="AB325" i="15"/>
  <c r="AB326" i="15"/>
  <c r="AB327" i="15"/>
  <c r="AB313" i="15"/>
  <c r="AB314" i="15"/>
  <c r="AB283" i="15"/>
  <c r="AB284" i="15"/>
  <c r="AB285" i="15"/>
  <c r="AB286" i="15"/>
  <c r="AB287" i="15"/>
  <c r="AB288" i="15"/>
  <c r="AB289" i="15"/>
  <c r="AB290" i="15"/>
  <c r="AB291" i="15"/>
  <c r="AB292" i="15"/>
  <c r="AB293" i="15"/>
  <c r="AB294" i="15"/>
  <c r="AB295" i="15"/>
  <c r="AB296" i="15"/>
  <c r="AB297" i="15"/>
  <c r="AB298" i="15"/>
  <c r="AB299" i="15"/>
  <c r="AB300" i="15"/>
  <c r="AB301" i="15"/>
  <c r="AB302" i="15"/>
  <c r="AB303" i="15"/>
  <c r="AB304" i="15"/>
  <c r="AB305" i="15"/>
  <c r="AB306" i="15"/>
  <c r="AB307" i="15"/>
  <c r="AB308" i="15"/>
  <c r="AB309" i="15"/>
  <c r="AB310" i="15"/>
  <c r="AB311" i="15"/>
  <c r="AB312" i="15"/>
  <c r="AB234" i="15"/>
  <c r="AB235" i="15"/>
  <c r="AB236" i="15"/>
  <c r="AB237" i="15"/>
  <c r="AB238" i="15"/>
  <c r="AB239" i="15"/>
  <c r="AB240" i="15"/>
  <c r="AB241" i="15"/>
  <c r="AB242" i="15"/>
  <c r="AB243" i="15"/>
  <c r="AB244" i="15"/>
  <c r="AB245" i="15"/>
  <c r="AB246" i="15"/>
  <c r="AB247" i="15"/>
  <c r="AB248" i="15"/>
  <c r="AB249" i="15"/>
  <c r="AB250" i="15"/>
  <c r="AB251" i="15"/>
  <c r="AB252" i="15"/>
  <c r="AB253" i="15"/>
  <c r="AB254" i="15"/>
  <c r="AB255" i="15"/>
  <c r="AB256" i="15"/>
  <c r="AB257" i="15"/>
  <c r="AB258" i="15"/>
  <c r="AB259" i="15"/>
  <c r="AB260" i="15"/>
  <c r="AB261" i="15"/>
  <c r="AB262" i="15"/>
  <c r="AB263" i="15"/>
  <c r="AB264" i="15"/>
  <c r="AB265" i="15"/>
  <c r="AB266" i="15"/>
  <c r="AB267" i="15"/>
  <c r="AB268" i="15"/>
  <c r="AB269" i="15"/>
  <c r="AB270" i="15"/>
  <c r="AB271" i="15"/>
  <c r="AB272" i="15"/>
  <c r="AB273" i="15"/>
  <c r="AB274" i="15"/>
  <c r="AB275" i="15"/>
  <c r="AB276" i="15"/>
  <c r="AB277" i="15"/>
  <c r="AB278" i="15"/>
  <c r="AB279" i="15"/>
  <c r="AB280" i="15"/>
  <c r="AB281" i="15"/>
  <c r="AB282" i="15"/>
  <c r="AB222" i="15"/>
  <c r="AB223" i="15"/>
  <c r="AB224" i="15"/>
  <c r="AB225" i="15"/>
  <c r="AB226" i="15"/>
  <c r="AB227" i="15"/>
  <c r="AB228" i="15"/>
  <c r="AB229" i="15"/>
  <c r="AB230" i="15"/>
  <c r="AB231" i="15"/>
  <c r="AB232" i="15"/>
  <c r="AB233" i="15"/>
  <c r="AB153" i="15"/>
  <c r="AB155" i="15"/>
  <c r="AB156" i="15"/>
  <c r="AB157" i="15"/>
  <c r="AB158" i="15"/>
  <c r="AB159" i="15"/>
  <c r="AB160" i="15"/>
  <c r="AB161" i="15"/>
  <c r="AB162" i="15"/>
  <c r="AB163" i="15"/>
  <c r="AB164" i="15"/>
  <c r="AB165" i="15"/>
  <c r="AB166" i="15"/>
  <c r="AB167" i="15"/>
  <c r="AB168" i="15"/>
  <c r="AB169" i="15"/>
  <c r="AB170" i="15"/>
  <c r="AB171" i="15"/>
  <c r="AB172" i="15"/>
  <c r="AB173" i="15"/>
  <c r="AB174" i="15"/>
  <c r="AB175" i="15"/>
  <c r="AB176" i="15"/>
  <c r="AB177" i="15"/>
  <c r="AB178" i="15"/>
  <c r="AB179" i="15"/>
  <c r="AB180" i="15"/>
  <c r="AB181" i="15"/>
  <c r="AB182" i="15"/>
  <c r="AB183" i="15"/>
  <c r="AB184" i="15"/>
  <c r="AB185" i="15"/>
  <c r="AB186" i="15"/>
  <c r="AB187" i="15"/>
  <c r="AB188" i="15"/>
  <c r="AB190" i="15"/>
  <c r="AB191" i="15"/>
  <c r="AB192" i="15"/>
  <c r="AB193" i="15"/>
  <c r="AB194" i="15"/>
  <c r="AB196" i="15"/>
  <c r="AB197" i="15"/>
  <c r="AB198" i="15"/>
  <c r="AB199" i="15"/>
  <c r="AB200" i="15"/>
  <c r="AB201" i="15"/>
  <c r="AB202" i="15"/>
  <c r="AB203" i="15"/>
  <c r="AB204" i="15"/>
  <c r="AB205" i="15"/>
  <c r="AB206" i="15"/>
  <c r="AB207" i="15"/>
  <c r="AB208" i="15"/>
  <c r="AB209" i="15"/>
  <c r="AB210" i="15"/>
  <c r="AB211" i="15"/>
  <c r="AB212" i="15"/>
  <c r="AB213" i="15"/>
  <c r="AB214" i="15"/>
  <c r="AB215" i="15"/>
  <c r="AB216" i="15"/>
  <c r="AB217" i="15"/>
  <c r="AB218" i="15"/>
  <c r="AB219" i="15"/>
  <c r="AB220" i="15"/>
  <c r="AB221" i="15"/>
  <c r="AB13" i="15"/>
  <c r="AB12" i="15"/>
  <c r="AB11" i="15"/>
  <c r="AB15" i="15"/>
  <c r="AB16" i="15"/>
  <c r="AB17" i="15"/>
  <c r="AB18" i="15"/>
  <c r="AB19" i="15"/>
  <c r="AB20" i="15"/>
  <c r="AB22" i="15"/>
  <c r="AB23" i="15"/>
  <c r="AB24" i="15"/>
  <c r="AB25" i="15"/>
  <c r="AB26" i="15"/>
  <c r="AB27" i="15"/>
  <c r="AB28" i="15"/>
  <c r="AB29" i="15"/>
  <c r="AB30" i="15"/>
  <c r="AB31" i="15"/>
  <c r="AB32" i="15"/>
  <c r="AB33" i="15"/>
  <c r="AB34" i="15"/>
  <c r="AB35" i="15"/>
  <c r="AB36" i="15"/>
  <c r="AB37" i="15"/>
  <c r="AB38" i="15"/>
  <c r="AB39" i="15"/>
  <c r="AB41" i="15"/>
  <c r="AB43" i="15"/>
  <c r="AB44" i="15"/>
  <c r="AB45" i="15"/>
  <c r="AB46" i="15"/>
  <c r="AB47" i="15"/>
  <c r="AB48" i="15"/>
  <c r="AB49" i="15"/>
  <c r="AB50" i="15"/>
  <c r="AB51" i="15"/>
  <c r="AB52" i="15"/>
  <c r="AB53" i="15"/>
  <c r="AB54" i="15"/>
  <c r="AB56" i="15"/>
  <c r="AB57" i="15"/>
  <c r="AB58" i="15"/>
  <c r="AB59" i="15"/>
  <c r="AB60" i="15"/>
  <c r="AB61" i="15"/>
  <c r="AB62" i="15"/>
  <c r="AB63" i="15"/>
  <c r="AB64" i="15"/>
  <c r="AB65" i="15"/>
  <c r="AB66" i="15"/>
  <c r="AB67" i="15"/>
  <c r="AB68" i="15"/>
  <c r="AB69" i="15"/>
  <c r="AB70" i="15"/>
  <c r="AB71" i="15"/>
  <c r="AB72" i="15"/>
  <c r="AB73" i="15"/>
  <c r="AB74" i="15"/>
  <c r="AB75" i="15"/>
  <c r="AB76" i="15"/>
  <c r="AB77" i="15"/>
  <c r="AB78" i="15"/>
  <c r="AB79" i="15"/>
  <c r="AB80" i="15"/>
  <c r="AB81" i="15"/>
  <c r="AB82" i="15"/>
  <c r="AB83" i="15"/>
  <c r="AB84" i="15"/>
  <c r="AB85" i="15"/>
  <c r="AB86" i="15"/>
  <c r="AB87" i="15"/>
  <c r="AB88" i="15"/>
  <c r="AB89" i="15"/>
  <c r="AB90" i="15"/>
  <c r="AB91" i="15"/>
  <c r="AB92" i="15"/>
  <c r="AB93" i="15"/>
  <c r="AB94" i="15"/>
  <c r="AB95" i="15"/>
  <c r="AB96" i="15"/>
  <c r="AB97" i="15"/>
  <c r="AB98" i="15"/>
  <c r="AB99" i="15"/>
  <c r="AB100" i="15"/>
  <c r="AB101" i="15"/>
  <c r="AB102" i="15"/>
  <c r="AB103" i="15"/>
  <c r="AB104" i="15"/>
  <c r="AB105" i="15"/>
  <c r="AB106" i="15"/>
  <c r="AB107" i="15"/>
  <c r="AB108" i="15"/>
  <c r="AB109" i="15"/>
  <c r="AB110" i="15"/>
  <c r="AB111" i="15"/>
  <c r="AB112" i="15"/>
  <c r="AB113" i="15"/>
  <c r="AB114" i="15"/>
  <c r="AB116" i="15"/>
  <c r="AB117" i="15"/>
  <c r="AB118" i="15"/>
  <c r="AB119" i="15"/>
  <c r="AB120" i="15"/>
  <c r="AB121" i="15"/>
  <c r="AB122" i="15"/>
  <c r="AB123" i="15"/>
  <c r="AB124" i="15"/>
  <c r="AB125" i="15"/>
  <c r="AB126" i="15"/>
  <c r="AB127" i="15"/>
  <c r="AB128" i="15"/>
  <c r="AB129" i="15"/>
  <c r="AB130" i="15"/>
  <c r="AB131" i="15"/>
  <c r="AB132" i="15"/>
  <c r="AB133" i="15"/>
  <c r="AB134" i="15"/>
  <c r="AB135" i="15"/>
  <c r="AB136" i="15"/>
  <c r="AB137" i="15"/>
  <c r="AB138" i="15"/>
  <c r="AB139" i="15"/>
  <c r="AB140" i="15"/>
  <c r="AB141" i="15"/>
  <c r="AB142" i="15"/>
  <c r="AB143" i="15"/>
  <c r="AB144" i="15"/>
  <c r="AB145" i="15"/>
  <c r="AB146" i="15"/>
  <c r="AB147" i="15"/>
  <c r="AB148" i="15"/>
  <c r="AB149" i="15"/>
  <c r="AB150" i="15"/>
  <c r="AB151" i="15"/>
  <c r="AB152" i="15"/>
  <c r="AB14" i="15"/>
  <c r="AB113" i="3"/>
  <c r="AB115" i="3"/>
  <c r="AB120" i="3"/>
  <c r="AB121" i="3"/>
  <c r="AB122" i="3"/>
  <c r="AB123" i="3"/>
  <c r="AB124" i="3"/>
  <c r="AB111" i="3"/>
  <c r="AB110" i="3"/>
  <c r="AB109" i="3"/>
  <c r="AB87" i="3"/>
  <c r="AB88" i="3"/>
  <c r="AB89" i="3"/>
  <c r="AB90" i="3"/>
  <c r="AB91" i="3"/>
  <c r="AB92" i="3"/>
  <c r="AB93" i="3"/>
  <c r="AB94" i="3"/>
  <c r="AB95" i="3"/>
  <c r="AB96" i="3"/>
  <c r="AB97" i="3"/>
  <c r="AB98" i="3"/>
  <c r="AB99" i="3"/>
  <c r="AB100" i="3"/>
  <c r="AB101" i="3"/>
  <c r="AB102" i="3"/>
  <c r="AB103" i="3"/>
  <c r="AB104" i="3"/>
  <c r="AB105" i="3"/>
  <c r="AB107" i="3"/>
  <c r="AB108" i="3"/>
  <c r="AB55" i="3"/>
  <c r="AB56" i="3"/>
  <c r="AB57" i="3"/>
  <c r="AB58" i="3"/>
  <c r="AB59" i="3"/>
  <c r="AB60" i="3"/>
  <c r="AB61" i="3"/>
  <c r="AB62" i="3"/>
  <c r="AB63" i="3"/>
  <c r="AB64" i="3"/>
  <c r="AB65" i="3"/>
  <c r="AB67" i="3"/>
  <c r="AB68" i="3"/>
  <c r="AB69" i="3"/>
  <c r="AB70" i="3"/>
  <c r="AB71" i="3"/>
  <c r="AB72" i="3"/>
  <c r="AB73" i="3"/>
  <c r="AB74" i="3"/>
  <c r="AB75" i="3"/>
  <c r="AB77" i="3"/>
  <c r="AB78" i="3"/>
  <c r="AB79" i="3"/>
  <c r="AB82" i="3"/>
  <c r="AB84" i="3"/>
  <c r="AB85" i="3"/>
  <c r="AB86" i="3"/>
  <c r="AB53" i="3"/>
  <c r="AB54" i="3"/>
  <c r="AB52" i="3"/>
  <c r="AB47" i="3"/>
  <c r="AB45" i="3"/>
  <c r="AB46" i="3"/>
  <c r="AB25" i="3"/>
  <c r="AB26" i="3"/>
  <c r="AB28" i="3"/>
  <c r="AB29" i="3"/>
  <c r="AB31" i="3"/>
  <c r="AB33" i="3"/>
  <c r="AB34" i="3"/>
  <c r="AB24" i="3"/>
  <c r="AB23" i="3"/>
  <c r="AB22" i="3"/>
  <c r="AB21" i="3"/>
  <c r="AA10" i="13"/>
  <c r="AA11" i="13"/>
  <c r="AA12" i="13"/>
  <c r="AA13" i="13"/>
  <c r="AA14" i="13"/>
  <c r="AA15" i="13"/>
  <c r="AA16" i="13"/>
  <c r="AA19" i="13"/>
  <c r="AA20" i="13"/>
  <c r="AA21" i="13"/>
  <c r="AA22" i="13"/>
  <c r="AA23" i="13"/>
  <c r="AA24" i="13"/>
  <c r="AA26" i="13"/>
  <c r="AA27" i="13"/>
  <c r="AA28" i="13"/>
  <c r="AA29" i="13"/>
  <c r="AA30" i="13"/>
  <c r="AA31" i="13"/>
  <c r="AA32" i="13"/>
  <c r="AA33" i="13"/>
  <c r="AA34" i="13"/>
  <c r="AA35" i="13"/>
  <c r="AA36" i="13"/>
  <c r="AA37" i="13"/>
  <c r="AA38" i="13"/>
  <c r="AA39" i="13"/>
  <c r="AA40" i="13"/>
  <c r="AA41" i="13"/>
  <c r="AA42" i="13"/>
  <c r="AA43" i="13"/>
  <c r="AA44" i="13"/>
  <c r="AA45" i="13"/>
  <c r="AB129" i="14"/>
  <c r="AB130" i="14"/>
  <c r="AB131" i="14"/>
  <c r="AB132" i="14"/>
  <c r="AB133" i="14"/>
  <c r="AB134" i="14"/>
  <c r="AB135" i="14"/>
  <c r="AB136" i="14"/>
  <c r="AB137" i="14"/>
  <c r="AB31" i="14"/>
  <c r="AB33" i="14"/>
  <c r="AB35" i="14"/>
  <c r="AB36" i="14"/>
  <c r="AB37" i="14"/>
  <c r="AB39" i="14"/>
  <c r="AB40" i="14"/>
  <c r="AB43" i="14"/>
  <c r="AB44" i="14"/>
  <c r="AB45" i="14"/>
  <c r="AB49" i="14"/>
  <c r="AB51" i="14"/>
  <c r="AB53" i="14"/>
  <c r="AB54" i="14"/>
  <c r="AB55" i="14"/>
  <c r="AB56" i="14"/>
  <c r="AB57" i="14"/>
  <c r="AB58" i="14"/>
  <c r="AB60" i="14"/>
  <c r="AB65" i="14"/>
  <c r="AB69" i="14"/>
  <c r="AB70" i="14"/>
  <c r="AB71" i="14"/>
  <c r="AB72" i="14"/>
  <c r="AB73" i="14"/>
  <c r="AB75" i="14"/>
  <c r="AB77" i="14"/>
  <c r="AB80" i="14"/>
  <c r="AB84" i="14"/>
  <c r="AB85" i="14"/>
  <c r="AB88" i="14"/>
  <c r="AB89" i="14"/>
  <c r="AB90" i="14"/>
  <c r="AB91" i="14"/>
  <c r="AB92" i="14"/>
  <c r="AB93" i="14"/>
  <c r="AB94" i="14"/>
  <c r="AB95" i="14"/>
  <c r="AB96" i="14"/>
  <c r="AB97" i="14"/>
  <c r="AB98" i="14"/>
  <c r="AB99" i="14"/>
  <c r="AB100" i="14"/>
  <c r="AB101" i="14"/>
  <c r="AB102" i="14"/>
  <c r="AB103" i="14"/>
  <c r="AB105" i="14"/>
  <c r="AB106" i="14"/>
  <c r="AB107" i="14"/>
  <c r="AB108" i="14"/>
  <c r="AB109" i="14"/>
  <c r="AB111" i="14"/>
  <c r="AB112" i="14"/>
  <c r="AB113" i="14"/>
  <c r="AB114" i="14"/>
  <c r="AB13" i="14"/>
  <c r="AB14" i="14"/>
  <c r="AB15" i="14"/>
  <c r="AB16" i="14"/>
  <c r="AB17" i="14"/>
  <c r="AB21" i="14"/>
  <c r="AB22" i="14"/>
  <c r="AB23" i="14"/>
  <c r="AB12" i="8"/>
  <c r="AB13" i="8"/>
  <c r="AB14" i="8"/>
  <c r="AB15" i="8"/>
  <c r="AB15" i="12"/>
  <c r="AB14" i="12"/>
  <c r="AB12" i="12"/>
  <c r="AB11" i="12"/>
  <c r="AB80" i="7"/>
  <c r="AB82" i="7"/>
  <c r="AB84" i="7"/>
  <c r="AB85" i="7"/>
  <c r="AB86" i="7"/>
  <c r="AB88" i="7"/>
  <c r="AB89" i="7"/>
  <c r="AB90" i="7"/>
  <c r="AB91" i="7"/>
  <c r="AB92" i="7"/>
  <c r="AB93" i="7"/>
  <c r="AB79" i="7"/>
  <c r="AB78" i="7"/>
  <c r="AB46" i="7"/>
  <c r="AB47" i="7"/>
  <c r="AB48" i="7"/>
  <c r="AB49" i="7"/>
  <c r="AB50" i="7"/>
  <c r="AB52" i="7"/>
  <c r="AB53" i="7"/>
  <c r="AB54" i="7"/>
  <c r="AB56" i="7"/>
  <c r="AB57" i="7"/>
  <c r="AB58" i="7"/>
  <c r="AB59" i="7"/>
  <c r="AB60" i="7"/>
  <c r="AB61" i="7"/>
  <c r="AB63" i="7"/>
  <c r="AB64" i="7"/>
  <c r="AB65" i="7"/>
  <c r="AB66" i="7"/>
  <c r="AB67" i="7"/>
  <c r="AB68" i="7"/>
  <c r="AB69" i="7"/>
  <c r="AB70" i="7"/>
  <c r="AB72" i="7"/>
  <c r="AB73" i="7"/>
  <c r="AB74" i="7"/>
  <c r="AB75" i="7"/>
  <c r="AB76" i="7"/>
  <c r="AB77" i="7"/>
  <c r="AB19" i="7"/>
  <c r="AB20" i="7"/>
  <c r="AB22" i="7"/>
  <c r="AB23" i="7"/>
  <c r="AB25" i="7"/>
  <c r="AB26" i="7"/>
  <c r="AB27" i="7"/>
  <c r="AB28" i="7"/>
  <c r="AB29" i="7"/>
  <c r="AB30" i="7"/>
  <c r="AB31" i="7"/>
  <c r="AB32" i="7"/>
  <c r="AB33" i="7"/>
  <c r="AB34" i="7"/>
  <c r="AB35" i="7"/>
  <c r="AB36" i="7"/>
  <c r="AB37" i="7"/>
  <c r="AB38" i="7"/>
  <c r="AB39" i="7"/>
  <c r="AB40" i="7"/>
  <c r="AB41" i="7"/>
  <c r="AB42" i="7"/>
  <c r="AB43" i="7"/>
  <c r="AB44" i="7"/>
  <c r="AB18" i="7"/>
  <c r="AC12" i="11"/>
  <c r="AC13" i="11"/>
  <c r="AC14" i="11"/>
  <c r="AC15" i="11"/>
  <c r="AC16" i="11"/>
  <c r="AC17" i="11"/>
  <c r="AC18" i="11"/>
  <c r="AC19" i="11"/>
  <c r="AC20" i="11"/>
  <c r="AC21" i="11"/>
  <c r="AC22" i="11"/>
  <c r="AC23" i="11"/>
  <c r="AC24" i="11"/>
  <c r="AC25" i="11"/>
  <c r="AC26" i="11"/>
  <c r="AC27" i="11"/>
  <c r="AC28" i="11"/>
  <c r="AC29" i="11"/>
  <c r="AC30" i="11"/>
  <c r="AC31" i="11"/>
  <c r="AC32" i="11"/>
  <c r="AC33" i="11"/>
  <c r="AC34" i="11"/>
  <c r="AC35" i="11"/>
  <c r="AC36" i="11"/>
  <c r="AC37" i="11"/>
  <c r="AC38" i="11"/>
  <c r="AC39" i="11"/>
  <c r="AC40" i="11"/>
  <c r="AC41" i="11"/>
  <c r="AC43" i="11"/>
  <c r="AC44" i="11"/>
  <c r="AC45" i="11"/>
  <c r="AC11" i="11"/>
  <c r="AB68" i="2"/>
  <c r="AB69" i="2"/>
  <c r="AB70" i="2"/>
  <c r="AB72" i="2"/>
  <c r="AB62" i="2"/>
  <c r="AB60" i="2"/>
  <c r="AB61" i="2"/>
  <c r="AB59" i="2"/>
  <c r="AB57" i="2"/>
  <c r="AB58" i="2"/>
  <c r="AB13" i="2"/>
  <c r="AB14" i="2"/>
  <c r="AB15" i="2"/>
  <c r="AB17" i="2"/>
  <c r="AB18" i="2"/>
  <c r="AB19" i="2"/>
  <c r="AB20" i="2"/>
  <c r="AB21" i="2"/>
  <c r="AB23" i="2"/>
  <c r="AB24" i="2"/>
  <c r="AB25" i="2"/>
  <c r="AB26" i="2"/>
  <c r="AB27" i="2"/>
  <c r="AB28" i="2"/>
  <c r="AB29" i="2"/>
  <c r="AB30" i="2"/>
  <c r="AB31" i="2"/>
  <c r="AB32" i="2"/>
  <c r="AB33" i="2"/>
  <c r="AB34" i="2"/>
  <c r="AB35" i="2"/>
  <c r="AB37" i="2"/>
  <c r="AB38" i="2"/>
  <c r="AB39" i="2"/>
  <c r="AB40" i="2"/>
  <c r="AB43" i="2"/>
  <c r="AB44" i="2"/>
  <c r="AB46" i="2"/>
  <c r="AB47" i="2"/>
  <c r="AB48" i="2"/>
  <c r="AB49" i="2"/>
  <c r="AB50" i="2"/>
  <c r="AB51" i="2"/>
  <c r="AB53" i="2"/>
  <c r="AB54" i="2"/>
  <c r="AB55" i="2"/>
  <c r="AB56" i="2"/>
  <c r="AB12" i="2"/>
  <c r="AB11" i="2"/>
  <c r="AB12" i="1"/>
  <c r="AB16" i="1"/>
  <c r="AB17" i="1"/>
  <c r="AB90" i="10"/>
  <c r="AB82" i="10"/>
  <c r="AB64" i="10"/>
  <c r="AB65" i="10"/>
  <c r="AB66" i="10"/>
  <c r="AB67" i="10"/>
  <c r="AB68" i="10"/>
  <c r="AB69" i="10"/>
  <c r="AB37" i="10"/>
  <c r="AB38" i="10"/>
  <c r="AB39" i="10"/>
  <c r="AB40" i="10"/>
  <c r="AB41" i="10"/>
  <c r="AB42" i="10"/>
  <c r="AB43" i="10"/>
  <c r="AB44" i="10"/>
  <c r="AB45" i="10"/>
  <c r="AB46" i="10"/>
  <c r="AB47" i="10"/>
  <c r="AB48" i="10"/>
  <c r="AB49" i="10"/>
  <c r="AB50" i="10"/>
  <c r="AB51" i="10"/>
  <c r="AB52" i="10"/>
  <c r="AB53" i="10"/>
  <c r="AB12" i="10"/>
  <c r="AB13" i="10"/>
  <c r="AB14" i="10"/>
  <c r="AB15" i="10"/>
  <c r="AB16" i="10"/>
  <c r="AB17" i="10"/>
  <c r="AB18" i="10"/>
  <c r="AB19" i="10"/>
  <c r="AB20" i="10"/>
  <c r="AB21" i="10"/>
  <c r="AB22" i="10"/>
  <c r="AB23" i="10"/>
  <c r="AB24" i="10"/>
  <c r="AB25" i="10"/>
  <c r="AB26" i="10"/>
  <c r="AB27" i="10"/>
  <c r="AB28" i="10"/>
  <c r="AB29" i="10"/>
  <c r="AB30" i="10"/>
  <c r="AB31" i="10"/>
  <c r="AB32" i="10"/>
  <c r="AB33" i="10"/>
  <c r="AB34" i="10"/>
  <c r="AB35" i="10"/>
  <c r="AB36" i="10"/>
  <c r="AB11" i="10"/>
  <c r="X88" i="10"/>
  <c r="AB88" i="10" s="1"/>
  <c r="X86" i="10"/>
  <c r="T90" i="10" s="1"/>
  <c r="X83" i="10"/>
  <c r="AB83" i="10" s="1"/>
  <c r="X82" i="10"/>
  <c r="Y9" i="16"/>
  <c r="Y25" i="16"/>
  <c r="AB25" i="16" s="1"/>
  <c r="Y88" i="14"/>
  <c r="Y80" i="14"/>
  <c r="Y76" i="14"/>
  <c r="AB76" i="14" s="1"/>
  <c r="Y68" i="14"/>
  <c r="AB68" i="14" s="1"/>
  <c r="Y62" i="14"/>
  <c r="AB62" i="14" s="1"/>
  <c r="Y57" i="14"/>
  <c r="Y50" i="14"/>
  <c r="AB50" i="14" s="1"/>
  <c r="Y46" i="14"/>
  <c r="AB46" i="14" s="1"/>
  <c r="Y44" i="14"/>
  <c r="Y18" i="7"/>
  <c r="Y42" i="14"/>
  <c r="AB42" i="14" s="1"/>
  <c r="Y29" i="14"/>
  <c r="AB29" i="14" s="1"/>
  <c r="Y24" i="14"/>
  <c r="AB24" i="14" s="1"/>
  <c r="Y17" i="7"/>
  <c r="AB17" i="7" s="1"/>
  <c r="Y22" i="14"/>
  <c r="Y104" i="14"/>
  <c r="AB104" i="14" s="1"/>
  <c r="Y19" i="14"/>
  <c r="AB19" i="14" s="1"/>
  <c r="Y17" i="14"/>
  <c r="Y67" i="14"/>
  <c r="AB67" i="14" s="1"/>
  <c r="Y61" i="14"/>
  <c r="AB61" i="14" s="1"/>
  <c r="Y53" i="14"/>
  <c r="Y49" i="14"/>
  <c r="Y45" i="14"/>
  <c r="Y41" i="14"/>
  <c r="AB41" i="14" s="1"/>
  <c r="Y38" i="14"/>
  <c r="AB38" i="14" s="1"/>
  <c r="Y34" i="14"/>
  <c r="AB34" i="14" s="1"/>
  <c r="Y28" i="14"/>
  <c r="AB28" i="14" s="1"/>
  <c r="Y18" i="14"/>
  <c r="AB18" i="14" s="1"/>
  <c r="Y86" i="14"/>
  <c r="AB86" i="14" s="1"/>
  <c r="Y82" i="14"/>
  <c r="AB82" i="14" s="1"/>
  <c r="Y64" i="14"/>
  <c r="AB64" i="14" s="1"/>
  <c r="Y48" i="14"/>
  <c r="AB48" i="14" s="1"/>
  <c r="Y40" i="14"/>
  <c r="Y85" i="14"/>
  <c r="Y83" i="14"/>
  <c r="AB83" i="14" s="1"/>
  <c r="Y81" i="14"/>
  <c r="AB81" i="14" s="1"/>
  <c r="Y63" i="14"/>
  <c r="AB63" i="14" s="1"/>
  <c r="Y36" i="14"/>
  <c r="Y32" i="14"/>
  <c r="AB32" i="14" s="1"/>
  <c r="Y26" i="14"/>
  <c r="AB26" i="14" s="1"/>
  <c r="AB11" i="14"/>
  <c r="X25" i="13"/>
  <c r="AA25" i="13" s="1"/>
  <c r="Y22" i="2"/>
  <c r="AB22" i="2" s="1"/>
  <c r="Y36" i="2"/>
  <c r="AB36" i="2" s="1"/>
  <c r="Z23" i="4"/>
  <c r="Y84" i="10"/>
  <c r="AB84" i="10" s="1"/>
  <c r="Y85" i="10"/>
  <c r="AB85" i="10" s="1"/>
  <c r="Y86" i="10"/>
  <c r="Y91" i="10" s="1"/>
  <c r="Y87" i="10"/>
  <c r="AB87" i="10" s="1"/>
  <c r="X70" i="10"/>
  <c r="Y60" i="10"/>
  <c r="AB60" i="10" s="1"/>
  <c r="AB55" i="10"/>
  <c r="AB56" i="10"/>
  <c r="AB59" i="10"/>
  <c r="AB61" i="10"/>
  <c r="AB62" i="10"/>
  <c r="AB54" i="10"/>
  <c r="AB57" i="10"/>
  <c r="Y62" i="7"/>
  <c r="AB62" i="7" s="1"/>
  <c r="Y55" i="7"/>
  <c r="AB55" i="7" s="1"/>
  <c r="Y15" i="3"/>
  <c r="Z44" i="3"/>
  <c r="Y44" i="3"/>
  <c r="AB16" i="3"/>
  <c r="AB17" i="3"/>
  <c r="AB19" i="3"/>
  <c r="AB20" i="3"/>
  <c r="AB15" i="3"/>
  <c r="Y18" i="3"/>
  <c r="AB18" i="3" s="1"/>
  <c r="Y21" i="7"/>
  <c r="AB21" i="7" s="1"/>
  <c r="Y38" i="3"/>
  <c r="Y76" i="3"/>
  <c r="AB76" i="3" s="1"/>
  <c r="Y118" i="3"/>
  <c r="AB118" i="3" s="1"/>
  <c r="Y45" i="2"/>
  <c r="AB45" i="2" s="1"/>
  <c r="AB17" i="4"/>
  <c r="Y66" i="7"/>
  <c r="Y53" i="3"/>
  <c r="X9" i="13"/>
  <c r="X46" i="13" s="1"/>
  <c r="Y17" i="12"/>
  <c r="AB17" i="12" s="1"/>
  <c r="Y11" i="8"/>
  <c r="AB11" i="8" s="1"/>
  <c r="Y13" i="8"/>
  <c r="Y52" i="2"/>
  <c r="AB52" i="2" s="1"/>
  <c r="AB40" i="3"/>
  <c r="AB41" i="3"/>
  <c r="AB42" i="3"/>
  <c r="AB36" i="3"/>
  <c r="AB38" i="3"/>
  <c r="AB49" i="3"/>
  <c r="AB50" i="3"/>
  <c r="Y80" i="3"/>
  <c r="AB80" i="3" s="1"/>
  <c r="Y112" i="3"/>
  <c r="AB112" i="3" s="1"/>
  <c r="Y79" i="3"/>
  <c r="Y15" i="4"/>
  <c r="AB15" i="4" s="1"/>
  <c r="Y117" i="3"/>
  <c r="AB117" i="3" s="1"/>
  <c r="Y114" i="3"/>
  <c r="AB114" i="3" s="1"/>
  <c r="Y106" i="3"/>
  <c r="AB106" i="3" s="1"/>
  <c r="X43" i="13"/>
  <c r="AB105" i="7"/>
  <c r="AB106" i="7"/>
  <c r="AB107" i="7"/>
  <c r="AB108" i="7"/>
  <c r="AB104" i="7"/>
  <c r="AB94" i="7"/>
  <c r="AB96" i="7"/>
  <c r="AB97" i="7"/>
  <c r="AB98" i="7"/>
  <c r="AB99" i="7"/>
  <c r="AB100" i="7"/>
  <c r="AB101" i="7"/>
  <c r="AB102" i="7"/>
  <c r="AB103" i="7"/>
  <c r="Y81" i="3"/>
  <c r="AB81" i="3" s="1"/>
  <c r="Z71" i="2"/>
  <c r="AB71" i="2" s="1"/>
  <c r="Z36" i="2"/>
  <c r="Z22" i="2"/>
  <c r="AB115" i="14"/>
  <c r="AB116" i="14"/>
  <c r="AB117" i="14"/>
  <c r="AB118" i="14"/>
  <c r="AB119" i="14"/>
  <c r="AB120" i="14"/>
  <c r="AB121" i="14"/>
  <c r="AB122" i="14"/>
  <c r="AB123" i="14"/>
  <c r="AB124" i="14"/>
  <c r="AB125" i="14"/>
  <c r="AB126" i="14"/>
  <c r="AB127" i="14"/>
  <c r="AB128" i="14"/>
  <c r="Z110" i="14"/>
  <c r="AB110" i="14" s="1"/>
  <c r="Y13" i="12"/>
  <c r="AB13" i="12" s="1"/>
  <c r="Y75" i="3"/>
  <c r="Y83" i="3"/>
  <c r="Y32" i="3"/>
  <c r="AB32" i="3" s="1"/>
  <c r="Y195" i="15"/>
  <c r="AB195" i="15" s="1"/>
  <c r="Y30" i="3"/>
  <c r="AB30" i="3" s="1"/>
  <c r="Y16" i="2"/>
  <c r="AB16" i="2" s="1"/>
  <c r="Y23" i="12"/>
  <c r="AB23" i="12" s="1"/>
  <c r="AB29" i="12"/>
  <c r="Y125" i="3"/>
  <c r="AB125" i="3" s="1"/>
  <c r="AB35" i="3"/>
  <c r="Z125" i="3"/>
  <c r="X81" i="10"/>
  <c r="AB81" i="10" s="1"/>
  <c r="X80" i="10"/>
  <c r="AB80" i="10" s="1"/>
  <c r="X79" i="10"/>
  <c r="AB79" i="10" s="1"/>
  <c r="X78" i="10"/>
  <c r="AB78" i="10" s="1"/>
  <c r="X77" i="10"/>
  <c r="AB77" i="10" s="1"/>
  <c r="X76" i="10"/>
  <c r="AB76" i="10" s="1"/>
  <c r="X75" i="10"/>
  <c r="AB75" i="10" s="1"/>
  <c r="X74" i="10"/>
  <c r="AB74" i="10" s="1"/>
  <c r="X73" i="10"/>
  <c r="AB73" i="10" s="1"/>
  <c r="X72" i="10"/>
  <c r="AB72" i="10" s="1"/>
  <c r="X71" i="10"/>
  <c r="AB71" i="10" s="1"/>
  <c r="Y11" i="1"/>
  <c r="AB11" i="1" s="1"/>
  <c r="AB64" i="2"/>
  <c r="AB65" i="2"/>
  <c r="AB66" i="2"/>
  <c r="AB67" i="2"/>
  <c r="AB63" i="2"/>
  <c r="Y27" i="2"/>
  <c r="Y15" i="1"/>
  <c r="AB15" i="1" s="1"/>
  <c r="Y18" i="1"/>
  <c r="AB18" i="1" s="1"/>
  <c r="Y13" i="1"/>
  <c r="AB13" i="1" s="1"/>
  <c r="Y81" i="7"/>
  <c r="AB81" i="7" s="1"/>
  <c r="Y27" i="7"/>
  <c r="Y14" i="1"/>
  <c r="AB14" i="1" s="1"/>
  <c r="Y49" i="7"/>
  <c r="Y51" i="7"/>
  <c r="AB51" i="7" s="1"/>
  <c r="Y45" i="7"/>
  <c r="AB45" i="7" s="1"/>
  <c r="Y83" i="7"/>
  <c r="AB83" i="7" s="1"/>
  <c r="Y95" i="7"/>
  <c r="AB95" i="7" s="1"/>
  <c r="Y112" i="14"/>
  <c r="Y26" i="16"/>
  <c r="AB26" i="16" s="1"/>
  <c r="X17" i="13"/>
  <c r="AA17" i="13" s="1"/>
  <c r="X18" i="13"/>
  <c r="AA18" i="13" s="1"/>
  <c r="Y28" i="16"/>
  <c r="AB28" i="16" s="1"/>
  <c r="Y27" i="16"/>
  <c r="AB27" i="16" s="1"/>
  <c r="T13" i="1"/>
  <c r="T12" i="1"/>
  <c r="T11" i="1"/>
  <c r="Y12" i="14"/>
  <c r="Y138" i="14" s="1"/>
  <c r="Y154" i="15"/>
  <c r="AB154" i="15" s="1"/>
  <c r="Y42" i="2"/>
  <c r="AB42" i="2" s="1"/>
  <c r="Y41" i="2"/>
  <c r="AB41" i="2" s="1"/>
  <c r="Y11" i="4"/>
  <c r="AB12" i="4"/>
  <c r="AB13" i="4"/>
  <c r="AB14" i="4"/>
  <c r="AB16" i="4"/>
  <c r="AB18" i="4"/>
  <c r="AB19" i="4"/>
  <c r="AB20" i="4"/>
  <c r="AB21" i="4"/>
  <c r="AB22" i="4"/>
  <c r="AB11" i="4"/>
  <c r="Z17" i="12"/>
  <c r="X333" i="15"/>
  <c r="AB11" i="6"/>
  <c r="AB18" i="9"/>
  <c r="AB11" i="5"/>
  <c r="Q11" i="2"/>
  <c r="T11" i="2"/>
  <c r="Q12" i="2"/>
  <c r="T12" i="2"/>
  <c r="Q13" i="2"/>
  <c r="T13" i="2"/>
  <c r="Q14" i="2"/>
  <c r="T14" i="2"/>
  <c r="Q15" i="2"/>
  <c r="T15" i="2"/>
  <c r="Q16" i="2"/>
  <c r="T16" i="2"/>
  <c r="Q17" i="2"/>
  <c r="T17" i="2"/>
  <c r="Q18" i="2"/>
  <c r="T18" i="2"/>
  <c r="Q19" i="2"/>
  <c r="T19" i="2"/>
  <c r="Q20" i="2"/>
  <c r="T20" i="2"/>
  <c r="Q21" i="2"/>
  <c r="T21" i="2"/>
  <c r="Q22" i="2"/>
  <c r="T22" i="2"/>
  <c r="Q23" i="2"/>
  <c r="T23" i="2"/>
  <c r="Q24" i="2"/>
  <c r="T24" i="2"/>
  <c r="Q25" i="2"/>
  <c r="T25" i="2"/>
  <c r="Q26" i="2"/>
  <c r="T26" i="2"/>
  <c r="Q27" i="2"/>
  <c r="T27" i="2"/>
  <c r="Q28" i="2"/>
  <c r="T28" i="2"/>
  <c r="Q29" i="2"/>
  <c r="T29" i="2"/>
  <c r="Q30" i="2"/>
  <c r="T30" i="2"/>
  <c r="Q31" i="2"/>
  <c r="T31" i="2"/>
  <c r="Q32" i="2"/>
  <c r="T32" i="2"/>
  <c r="Q33" i="2"/>
  <c r="T33" i="2"/>
  <c r="Q34" i="2"/>
  <c r="T34" i="2"/>
  <c r="Q35" i="2"/>
  <c r="T35" i="2"/>
  <c r="Q36" i="2"/>
  <c r="T36" i="2"/>
  <c r="Q37" i="2"/>
  <c r="T37" i="2"/>
  <c r="Q38" i="2"/>
  <c r="T38" i="2"/>
  <c r="Q39" i="2"/>
  <c r="T39" i="2"/>
  <c r="Q40" i="2"/>
  <c r="T40" i="2"/>
  <c r="Q41" i="2"/>
  <c r="T41" i="2"/>
  <c r="Q42" i="2"/>
  <c r="T42" i="2"/>
  <c r="Q43" i="2"/>
  <c r="T43" i="2"/>
  <c r="Q44" i="2"/>
  <c r="T44" i="2"/>
  <c r="Q45" i="2"/>
  <c r="T45" i="2"/>
  <c r="Q46" i="2"/>
  <c r="T46" i="2"/>
  <c r="Q47" i="2"/>
  <c r="T47" i="2"/>
  <c r="Q48" i="2"/>
  <c r="T48" i="2"/>
  <c r="Q49" i="2"/>
  <c r="T49" i="2"/>
  <c r="Q50" i="2"/>
  <c r="Q51" i="2"/>
  <c r="Q52" i="2"/>
  <c r="Q53" i="2"/>
  <c r="T53" i="2"/>
  <c r="Q54" i="2"/>
  <c r="T54" i="2"/>
  <c r="Q55" i="2"/>
  <c r="T55" i="2"/>
  <c r="Q56" i="2"/>
  <c r="T56" i="2"/>
  <c r="Q57" i="2"/>
  <c r="T57" i="2"/>
  <c r="Q58" i="2"/>
  <c r="T58" i="2"/>
  <c r="Q59" i="2"/>
  <c r="T59" i="2"/>
  <c r="Q60" i="2"/>
  <c r="T60" i="2"/>
  <c r="Q61" i="2"/>
  <c r="T61" i="2"/>
  <c r="Q62" i="2"/>
  <c r="T62" i="2"/>
  <c r="Q63" i="2"/>
  <c r="T63" i="2"/>
  <c r="Q64" i="2"/>
  <c r="T64" i="2"/>
  <c r="Q65" i="2"/>
  <c r="T65" i="2"/>
  <c r="Q66" i="2"/>
  <c r="T66" i="2"/>
  <c r="Q67" i="2"/>
  <c r="T67" i="2"/>
  <c r="Q68" i="2"/>
  <c r="T68" i="2"/>
  <c r="Q69" i="2"/>
  <c r="T69" i="2"/>
  <c r="Q70" i="2"/>
  <c r="T70" i="2"/>
  <c r="Q71" i="2"/>
  <c r="T71" i="2"/>
  <c r="Q72" i="2"/>
  <c r="X73" i="2"/>
  <c r="X74" i="2"/>
  <c r="X138" i="14"/>
  <c r="B13" i="19" s="1"/>
  <c r="Y33" i="16" l="1"/>
  <c r="Y126" i="3"/>
  <c r="X91" i="10"/>
  <c r="X94" i="10"/>
  <c r="AB12" i="14"/>
  <c r="AB138" i="14" s="1"/>
  <c r="AA9" i="13"/>
  <c r="AB22" i="12"/>
  <c r="AB28" i="12" s="1"/>
  <c r="AB11" i="7"/>
  <c r="Z138" i="14"/>
  <c r="Y92" i="10"/>
  <c r="AB9" i="16"/>
  <c r="AB33" i="16" s="1"/>
  <c r="AA46" i="13"/>
  <c r="AB16" i="8"/>
  <c r="AB109" i="7"/>
  <c r="AC46" i="11"/>
  <c r="AB63" i="10"/>
  <c r="AB86" i="10"/>
  <c r="AB92" i="10"/>
  <c r="AB70" i="10"/>
  <c r="T89" i="10"/>
  <c r="T88" i="10"/>
  <c r="T87" i="10"/>
  <c r="T86" i="10"/>
  <c r="T85" i="10"/>
  <c r="T84" i="10"/>
  <c r="AV12" i="5"/>
  <c r="AV13" i="5"/>
  <c r="AV14" i="5"/>
  <c r="AV11" i="5"/>
  <c r="X82" i="6"/>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106" i="3"/>
  <c r="AV107" i="3"/>
  <c r="AV108" i="3"/>
  <c r="AV109" i="3"/>
  <c r="AV110" i="3"/>
  <c r="AV111" i="3"/>
  <c r="AV112" i="3"/>
  <c r="AV113" i="3"/>
  <c r="AV114" i="3"/>
  <c r="AV115" i="3"/>
  <c r="AV116" i="3"/>
  <c r="AV117" i="3"/>
  <c r="AV118" i="3"/>
  <c r="AV119" i="3"/>
  <c r="AV120" i="3"/>
  <c r="AV121" i="3"/>
  <c r="AV122" i="3"/>
  <c r="AV123" i="3"/>
  <c r="AV124" i="3"/>
  <c r="AV125" i="3"/>
  <c r="AV15" i="3"/>
  <c r="AV107" i="7"/>
  <c r="AV106" i="7"/>
  <c r="AV105" i="7"/>
  <c r="AV104" i="7"/>
  <c r="AV103" i="7"/>
  <c r="AV102" i="7"/>
  <c r="AV100" i="7"/>
  <c r="AV99" i="7"/>
  <c r="AV98" i="7"/>
  <c r="AV96" i="7"/>
  <c r="AV95" i="7"/>
  <c r="AV94" i="7"/>
  <c r="AV93" i="7"/>
  <c r="AV92" i="7"/>
  <c r="AV91" i="7"/>
  <c r="AV90" i="7"/>
  <c r="AV89" i="7"/>
  <c r="AV88" i="7"/>
  <c r="AB91" i="10" l="1"/>
  <c r="D26" i="19"/>
  <c r="D14" i="19"/>
  <c r="D17" i="19" s="1"/>
  <c r="D28" i="19" s="1"/>
  <c r="X19" i="1"/>
  <c r="B4" i="19" l="1"/>
  <c r="B10" i="19" l="1"/>
  <c r="AC46" i="13"/>
  <c r="AB46" i="13"/>
  <c r="S45" i="13"/>
  <c r="P45" i="13"/>
  <c r="S44" i="13"/>
  <c r="P44" i="13"/>
  <c r="S43" i="13"/>
  <c r="P43" i="13"/>
  <c r="S42" i="13"/>
  <c r="P42" i="13"/>
  <c r="S41" i="13"/>
  <c r="P41" i="13"/>
  <c r="S40" i="13"/>
  <c r="P40" i="13"/>
  <c r="S39" i="13"/>
  <c r="P39" i="13"/>
  <c r="S38" i="13"/>
  <c r="P38" i="13"/>
  <c r="S37" i="13"/>
  <c r="P37" i="13"/>
  <c r="S36" i="13"/>
  <c r="P36" i="13"/>
  <c r="S35" i="13"/>
  <c r="P35" i="13"/>
  <c r="S34" i="13"/>
  <c r="P34" i="13"/>
  <c r="S33" i="13"/>
  <c r="P33" i="13"/>
  <c r="S32" i="13"/>
  <c r="P32" i="13"/>
  <c r="S31" i="13"/>
  <c r="P31" i="13"/>
  <c r="S30" i="13"/>
  <c r="P30" i="13"/>
  <c r="S29" i="13"/>
  <c r="P29" i="13"/>
  <c r="S28" i="13"/>
  <c r="P28" i="13"/>
  <c r="S27" i="13"/>
  <c r="P27" i="13"/>
  <c r="S26" i="13"/>
  <c r="P26" i="13"/>
  <c r="S25" i="13"/>
  <c r="P25" i="13"/>
  <c r="S24" i="13"/>
  <c r="P24" i="13"/>
  <c r="S23" i="13"/>
  <c r="P23" i="13"/>
  <c r="S22" i="13"/>
  <c r="P22" i="13"/>
  <c r="S21" i="13"/>
  <c r="P21" i="13"/>
  <c r="S20" i="13"/>
  <c r="P20" i="13"/>
  <c r="S19" i="13"/>
  <c r="P19" i="13"/>
  <c r="S18" i="13"/>
  <c r="P18" i="13"/>
  <c r="S17" i="13"/>
  <c r="P17" i="13"/>
  <c r="S16" i="13"/>
  <c r="P16" i="13"/>
  <c r="S15" i="13"/>
  <c r="P15" i="13"/>
  <c r="S14" i="13"/>
  <c r="P14" i="13"/>
  <c r="S13" i="13"/>
  <c r="P13" i="13"/>
  <c r="S12" i="13"/>
  <c r="P12" i="13"/>
  <c r="S11" i="13"/>
  <c r="P11" i="13"/>
  <c r="S10" i="13"/>
  <c r="P10" i="13"/>
  <c r="S9" i="13"/>
  <c r="P9" i="13"/>
  <c r="B6" i="19" l="1"/>
  <c r="T69" i="10"/>
  <c r="Q69" i="10"/>
  <c r="T68" i="10"/>
  <c r="Q68" i="10"/>
  <c r="T67" i="10"/>
  <c r="Q67" i="10"/>
  <c r="T66" i="10"/>
  <c r="Q66" i="10"/>
  <c r="T65" i="10"/>
  <c r="Q65" i="10"/>
  <c r="T64" i="10"/>
  <c r="Q64" i="10"/>
  <c r="T63" i="10"/>
  <c r="Q63" i="10"/>
  <c r="T62" i="10"/>
  <c r="Q62" i="10"/>
  <c r="T61" i="10"/>
  <c r="Q61" i="10"/>
  <c r="T60" i="10"/>
  <c r="Q60" i="10"/>
  <c r="T59" i="10"/>
  <c r="Q59" i="10"/>
  <c r="T58" i="10"/>
  <c r="Q58" i="10"/>
  <c r="T57" i="10"/>
  <c r="Q57" i="10"/>
  <c r="T56" i="10"/>
  <c r="Q56" i="10"/>
  <c r="T55" i="10"/>
  <c r="Q55" i="10"/>
  <c r="T54" i="10"/>
  <c r="Q54" i="10"/>
  <c r="T53" i="10"/>
  <c r="Q53" i="10"/>
  <c r="T52" i="10"/>
  <c r="Q52" i="10"/>
  <c r="T51" i="10"/>
  <c r="Q51" i="10"/>
  <c r="T50" i="10"/>
  <c r="Q50" i="10"/>
  <c r="T49" i="10"/>
  <c r="Q49" i="10"/>
  <c r="T48" i="10"/>
  <c r="Q48" i="10"/>
  <c r="T47" i="10"/>
  <c r="Q47" i="10"/>
  <c r="T46" i="10"/>
  <c r="Q46" i="10"/>
  <c r="T45" i="10"/>
  <c r="Q45" i="10"/>
  <c r="T44" i="10"/>
  <c r="Q44" i="10"/>
  <c r="T43" i="10"/>
  <c r="Q43" i="10"/>
  <c r="T42" i="10"/>
  <c r="Q42" i="10"/>
  <c r="T41" i="10"/>
  <c r="Q41" i="10"/>
  <c r="T40" i="10"/>
  <c r="Q40" i="10"/>
  <c r="T39" i="10"/>
  <c r="Q39" i="10"/>
  <c r="T38" i="10"/>
  <c r="Q38" i="10"/>
  <c r="T37" i="10"/>
  <c r="Q37" i="10"/>
  <c r="T36" i="10"/>
  <c r="Q36" i="10"/>
  <c r="T35" i="10"/>
  <c r="Q35" i="10"/>
  <c r="T34" i="10"/>
  <c r="Q34" i="10"/>
  <c r="T33" i="10"/>
  <c r="Q33" i="10"/>
  <c r="T32" i="10"/>
  <c r="Q32" i="10"/>
  <c r="T31" i="10"/>
  <c r="Q31" i="10"/>
  <c r="T30" i="10"/>
  <c r="Q30" i="10"/>
  <c r="T29" i="10"/>
  <c r="Q29" i="10"/>
  <c r="T28" i="10"/>
  <c r="Q28" i="10"/>
  <c r="T27" i="10"/>
  <c r="Q27" i="10"/>
  <c r="T26" i="10"/>
  <c r="Q26" i="10"/>
  <c r="T25" i="10"/>
  <c r="Q25" i="10"/>
  <c r="T24" i="10"/>
  <c r="Q24" i="10"/>
  <c r="T23" i="10"/>
  <c r="Q23" i="10"/>
  <c r="T22" i="10"/>
  <c r="Q22" i="10"/>
  <c r="T21" i="10"/>
  <c r="Q21" i="10"/>
  <c r="T20" i="10"/>
  <c r="Q20" i="10"/>
  <c r="T19" i="10"/>
  <c r="Q19" i="10"/>
  <c r="T18" i="10"/>
  <c r="Q18" i="10"/>
  <c r="T17" i="10"/>
  <c r="Q17" i="10"/>
  <c r="T16" i="10"/>
  <c r="Q16" i="10"/>
  <c r="T15" i="10"/>
  <c r="Q15" i="10"/>
  <c r="T14" i="10"/>
  <c r="Q14" i="10"/>
  <c r="T13" i="10"/>
  <c r="Q13" i="10"/>
  <c r="T12" i="10"/>
  <c r="Q12" i="10"/>
  <c r="T11" i="10"/>
  <c r="Q11" i="10"/>
  <c r="X28" i="12" l="1"/>
  <c r="AK21" i="12"/>
  <c r="AV21" i="12" s="1"/>
  <c r="AK20" i="12"/>
  <c r="AV20" i="12" s="1"/>
  <c r="AK19" i="12"/>
  <c r="AV19" i="12" s="1"/>
  <c r="AK18" i="12"/>
  <c r="AV18" i="12" s="1"/>
  <c r="AK17" i="12"/>
  <c r="AV17" i="12" s="1"/>
  <c r="AK16" i="12"/>
  <c r="AV16" i="12" s="1"/>
  <c r="AK15" i="12"/>
  <c r="AV15" i="12" s="1"/>
  <c r="AK14" i="12"/>
  <c r="AV14" i="12" s="1"/>
  <c r="AK13" i="12"/>
  <c r="AV13" i="12" s="1"/>
  <c r="AK12" i="12"/>
  <c r="AV12" i="12" s="1"/>
  <c r="AK11" i="12"/>
  <c r="AV11" i="12" s="1"/>
  <c r="X33" i="16"/>
  <c r="B16" i="19" s="1"/>
  <c r="AV32" i="16"/>
  <c r="T32" i="16"/>
  <c r="AV31" i="16"/>
  <c r="T31" i="16"/>
  <c r="AV30" i="16"/>
  <c r="T30" i="16"/>
  <c r="AV29" i="16"/>
  <c r="T29" i="16"/>
  <c r="AV28" i="16"/>
  <c r="T28" i="16"/>
  <c r="AV27" i="16"/>
  <c r="T27" i="16"/>
  <c r="AV26" i="16"/>
  <c r="T26" i="16"/>
  <c r="AV25" i="16"/>
  <c r="T25" i="16"/>
  <c r="AV24" i="16"/>
  <c r="T24" i="16"/>
  <c r="AV23" i="16"/>
  <c r="T23" i="16"/>
  <c r="AV22" i="16"/>
  <c r="T22" i="16"/>
  <c r="T21" i="16"/>
  <c r="AV20" i="16"/>
  <c r="T20" i="16"/>
  <c r="AV19" i="16"/>
  <c r="T19" i="16"/>
  <c r="AV18" i="16"/>
  <c r="T18" i="16"/>
  <c r="AV17" i="16"/>
  <c r="T17" i="16"/>
  <c r="AV16" i="16"/>
  <c r="T16" i="16"/>
  <c r="AV15" i="16"/>
  <c r="T15" i="16"/>
  <c r="AV14" i="16"/>
  <c r="T14" i="16"/>
  <c r="AV13" i="16"/>
  <c r="T13" i="16"/>
  <c r="AV12" i="16"/>
  <c r="T12" i="16"/>
  <c r="AV11" i="16"/>
  <c r="T11" i="16"/>
  <c r="AV10" i="16"/>
  <c r="AV9" i="16"/>
  <c r="B11" i="19" l="1"/>
  <c r="Y46" i="11" l="1"/>
  <c r="B9" i="19" s="1"/>
  <c r="U45" i="11"/>
  <c r="R45" i="11"/>
  <c r="U44" i="11"/>
  <c r="R44" i="11"/>
  <c r="U43" i="11"/>
  <c r="R43" i="11"/>
  <c r="U42" i="11"/>
  <c r="R42" i="11"/>
  <c r="U41" i="11"/>
  <c r="R41" i="11"/>
  <c r="U40" i="11"/>
  <c r="R40" i="11"/>
  <c r="U39" i="11"/>
  <c r="R39" i="11"/>
  <c r="U38" i="11"/>
  <c r="R38" i="11"/>
  <c r="U37" i="11"/>
  <c r="R37" i="11"/>
  <c r="U36" i="11"/>
  <c r="R36" i="11"/>
  <c r="U35" i="11"/>
  <c r="R35" i="11"/>
  <c r="U34" i="11"/>
  <c r="R34" i="11"/>
  <c r="U33" i="11"/>
  <c r="R33" i="11"/>
  <c r="U32" i="11"/>
  <c r="R32" i="11"/>
  <c r="U31" i="11"/>
  <c r="R31" i="11"/>
  <c r="U30" i="11"/>
  <c r="R30" i="11"/>
  <c r="U29" i="11"/>
  <c r="R29" i="11"/>
  <c r="U28" i="11"/>
  <c r="R28" i="11"/>
  <c r="U27" i="11"/>
  <c r="R27" i="11"/>
  <c r="R26" i="11"/>
  <c r="R25" i="11"/>
  <c r="R24" i="11"/>
  <c r="R23" i="11"/>
  <c r="R22" i="11"/>
  <c r="R21" i="11"/>
  <c r="R20" i="11"/>
  <c r="R19" i="11"/>
  <c r="R18" i="11"/>
  <c r="R17" i="11"/>
  <c r="R16" i="11"/>
  <c r="R15" i="11"/>
  <c r="R14" i="11"/>
  <c r="R13" i="11"/>
  <c r="R12" i="11"/>
  <c r="R11" i="11"/>
  <c r="T11" i="15" l="1"/>
  <c r="T194" i="15" l="1"/>
  <c r="T193" i="15"/>
  <c r="T192" i="15"/>
  <c r="T191" i="15"/>
  <c r="T190" i="15"/>
  <c r="T189" i="15"/>
  <c r="T188" i="15"/>
  <c r="T187" i="15"/>
  <c r="T186" i="15"/>
  <c r="X115" i="15"/>
  <c r="AB115" i="15" s="1"/>
  <c r="T110" i="15"/>
  <c r="T109" i="15"/>
  <c r="T108" i="15"/>
  <c r="T107" i="15"/>
  <c r="T106" i="15"/>
  <c r="T105" i="15"/>
  <c r="T104" i="15"/>
  <c r="T103" i="15"/>
  <c r="T102" i="15"/>
  <c r="T101" i="15"/>
  <c r="T100" i="15"/>
  <c r="T99" i="15"/>
  <c r="T98" i="15"/>
  <c r="T97" i="15"/>
  <c r="T96" i="15"/>
  <c r="T95" i="15"/>
  <c r="T94" i="15"/>
  <c r="T93" i="15"/>
  <c r="T92" i="15"/>
  <c r="T91" i="15"/>
  <c r="T75" i="15"/>
  <c r="T74" i="15"/>
  <c r="T73" i="15"/>
  <c r="T72" i="15"/>
  <c r="T71" i="15"/>
  <c r="T70" i="15"/>
  <c r="T69" i="15"/>
  <c r="T68" i="15"/>
  <c r="T67" i="15"/>
  <c r="T64" i="15"/>
  <c r="T63" i="15"/>
  <c r="T62" i="15"/>
  <c r="T61" i="15"/>
  <c r="T60" i="15"/>
  <c r="T59" i="15"/>
  <c r="X55" i="15"/>
  <c r="X42" i="15"/>
  <c r="AB42" i="15" s="1"/>
  <c r="X40" i="15"/>
  <c r="AB40" i="15" s="1"/>
  <c r="T31" i="15"/>
  <c r="T30" i="15"/>
  <c r="T29" i="15"/>
  <c r="T28" i="15"/>
  <c r="T27" i="15"/>
  <c r="T26" i="15"/>
  <c r="T25" i="15"/>
  <c r="T24" i="15"/>
  <c r="T23" i="15"/>
  <c r="T22" i="15"/>
  <c r="T21" i="15"/>
  <c r="T20" i="15"/>
  <c r="T19" i="15"/>
  <c r="T18" i="15"/>
  <c r="T17" i="15"/>
  <c r="T16" i="15"/>
  <c r="T15" i="15"/>
  <c r="T14" i="15"/>
  <c r="T13" i="15"/>
  <c r="Q13" i="15"/>
  <c r="T12" i="15"/>
  <c r="Q12" i="15"/>
  <c r="Q11" i="15"/>
  <c r="T58" i="15" l="1"/>
  <c r="T57" i="15"/>
  <c r="T56" i="15"/>
  <c r="AB55" i="15"/>
  <c r="AB328" i="15" s="1"/>
  <c r="T114" i="15"/>
  <c r="T33" i="15"/>
  <c r="X328" i="15"/>
  <c r="T121" i="15"/>
  <c r="T47" i="15"/>
  <c r="T49" i="15"/>
  <c r="T54" i="15"/>
  <c r="T42" i="15"/>
  <c r="T36" i="15"/>
  <c r="T37" i="15"/>
  <c r="T43" i="15"/>
  <c r="T117" i="15"/>
  <c r="T38" i="15"/>
  <c r="T44" i="15"/>
  <c r="T51" i="15"/>
  <c r="T111" i="15"/>
  <c r="T118" i="15"/>
  <c r="T39" i="15"/>
  <c r="T45" i="15"/>
  <c r="T52" i="15"/>
  <c r="T112" i="15"/>
  <c r="T119" i="15"/>
  <c r="T35" i="15"/>
  <c r="T32" i="15"/>
  <c r="T40" i="15"/>
  <c r="T46" i="15"/>
  <c r="T53" i="15"/>
  <c r="T113" i="15"/>
  <c r="T120" i="15"/>
  <c r="T34" i="15"/>
  <c r="T41" i="15"/>
  <c r="T48" i="15"/>
  <c r="T55" i="15"/>
  <c r="T115" i="15"/>
  <c r="T122" i="15"/>
  <c r="T123" i="15"/>
  <c r="T50" i="15"/>
  <c r="T116" i="15"/>
  <c r="B15" i="19" l="1"/>
  <c r="X25" i="9"/>
  <c r="Q24" i="9"/>
  <c r="Q23" i="9"/>
  <c r="Q22" i="9"/>
  <c r="Q21" i="9"/>
  <c r="Q20" i="9"/>
  <c r="Q19" i="9"/>
  <c r="Q18" i="9"/>
  <c r="Q17" i="9"/>
  <c r="Q16" i="9"/>
  <c r="Q15" i="9"/>
  <c r="Q14" i="9"/>
  <c r="Q13" i="9"/>
  <c r="Q12" i="9"/>
  <c r="Q11" i="9"/>
  <c r="B25" i="19" l="1"/>
  <c r="X26" i="9"/>
  <c r="X16" i="8"/>
  <c r="B12" i="19" s="1"/>
  <c r="Q15" i="8"/>
  <c r="Q14" i="8"/>
  <c r="Q12" i="8"/>
  <c r="Q11" i="8"/>
  <c r="X109" i="7" l="1"/>
  <c r="AV108" i="7"/>
  <c r="T108" i="7"/>
  <c r="Q108" i="7"/>
  <c r="T107" i="7"/>
  <c r="Q107" i="7"/>
  <c r="T106" i="7"/>
  <c r="Q106" i="7"/>
  <c r="T105" i="7"/>
  <c r="Q105" i="7"/>
  <c r="T104" i="7"/>
  <c r="Q104" i="7"/>
  <c r="T103" i="7"/>
  <c r="Q103" i="7"/>
  <c r="T102" i="7"/>
  <c r="Q102" i="7"/>
  <c r="AV101" i="7"/>
  <c r="T101" i="7"/>
  <c r="Q101" i="7"/>
  <c r="T100" i="7"/>
  <c r="Q100" i="7"/>
  <c r="T99" i="7"/>
  <c r="Q99" i="7"/>
  <c r="T98" i="7"/>
  <c r="Q98" i="7"/>
  <c r="AV97" i="7"/>
  <c r="T97" i="7"/>
  <c r="Q97" i="7"/>
  <c r="T96" i="7"/>
  <c r="Q96" i="7"/>
  <c r="T95" i="7"/>
  <c r="Q95" i="7"/>
  <c r="T94" i="7"/>
  <c r="Q94" i="7"/>
  <c r="T93" i="7"/>
  <c r="Q93" i="7"/>
  <c r="T92" i="7"/>
  <c r="Q92" i="7"/>
  <c r="T91" i="7"/>
  <c r="Q91" i="7"/>
  <c r="T90" i="7"/>
  <c r="Q90" i="7"/>
  <c r="T89" i="7"/>
  <c r="Q89" i="7"/>
  <c r="T88" i="7"/>
  <c r="Q88" i="7"/>
  <c r="AV87" i="7"/>
  <c r="T87" i="7"/>
  <c r="Q87" i="7"/>
  <c r="AV86" i="7"/>
  <c r="T86" i="7"/>
  <c r="Q86" i="7"/>
  <c r="AV85" i="7"/>
  <c r="T85" i="7"/>
  <c r="Q85" i="7"/>
  <c r="AV84" i="7"/>
  <c r="T84" i="7"/>
  <c r="Q84" i="7"/>
  <c r="AV83" i="7"/>
  <c r="T83" i="7"/>
  <c r="Q83" i="7"/>
  <c r="AV82" i="7"/>
  <c r="T82" i="7"/>
  <c r="Q82" i="7"/>
  <c r="AV81" i="7"/>
  <c r="T81" i="7"/>
  <c r="Q81" i="7"/>
  <c r="AV80" i="7"/>
  <c r="T80" i="7"/>
  <c r="Q80" i="7"/>
  <c r="AV79" i="7"/>
  <c r="T79" i="7"/>
  <c r="Q79" i="7"/>
  <c r="AV78" i="7"/>
  <c r="T78" i="7"/>
  <c r="Q78" i="7"/>
  <c r="AV77" i="7"/>
  <c r="T77" i="7"/>
  <c r="Q77" i="7"/>
  <c r="AV76" i="7"/>
  <c r="T76" i="7"/>
  <c r="Q76" i="7"/>
  <c r="AV75" i="7"/>
  <c r="T75" i="7"/>
  <c r="Q75" i="7"/>
  <c r="AV74" i="7"/>
  <c r="T74" i="7"/>
  <c r="Q74" i="7"/>
  <c r="AV73" i="7"/>
  <c r="T73" i="7"/>
  <c r="Q73" i="7"/>
  <c r="AV72" i="7"/>
  <c r="T72" i="7"/>
  <c r="Q72" i="7"/>
  <c r="AV71" i="7"/>
  <c r="T71" i="7"/>
  <c r="Q71" i="7"/>
  <c r="AV70" i="7"/>
  <c r="T70" i="7"/>
  <c r="Q70" i="7"/>
  <c r="AV69" i="7"/>
  <c r="T69" i="7"/>
  <c r="Q69" i="7"/>
  <c r="AV68" i="7"/>
  <c r="T68" i="7"/>
  <c r="Q68" i="7"/>
  <c r="AV67" i="7"/>
  <c r="T67" i="7"/>
  <c r="Q67" i="7"/>
  <c r="AV66" i="7"/>
  <c r="T66" i="7"/>
  <c r="Q66" i="7"/>
  <c r="AV65" i="7"/>
  <c r="T65" i="7"/>
  <c r="Q65" i="7"/>
  <c r="AV64" i="7"/>
  <c r="T64" i="7"/>
  <c r="Q64" i="7"/>
  <c r="AV63" i="7"/>
  <c r="T63" i="7"/>
  <c r="Q63" i="7"/>
  <c r="AV62" i="7"/>
  <c r="T62" i="7"/>
  <c r="Q62" i="7"/>
  <c r="AV61" i="7"/>
  <c r="T61" i="7"/>
  <c r="Q61" i="7"/>
  <c r="AV60" i="7"/>
  <c r="T60" i="7"/>
  <c r="Q60" i="7"/>
  <c r="AV59" i="7"/>
  <c r="T59" i="7"/>
  <c r="Q59" i="7"/>
  <c r="AV58" i="7"/>
  <c r="T58" i="7"/>
  <c r="Q58" i="7"/>
  <c r="AV57" i="7"/>
  <c r="T57" i="7"/>
  <c r="Q57" i="7"/>
  <c r="AV56" i="7"/>
  <c r="T56" i="7"/>
  <c r="Q56" i="7"/>
  <c r="AV55" i="7"/>
  <c r="T55" i="7"/>
  <c r="Q55" i="7"/>
  <c r="AV54" i="7"/>
  <c r="T54" i="7"/>
  <c r="Q54" i="7"/>
  <c r="AV53" i="7"/>
  <c r="T53" i="7"/>
  <c r="Q53" i="7"/>
  <c r="AV52" i="7"/>
  <c r="T52" i="7"/>
  <c r="Q52" i="7"/>
  <c r="AV51" i="7"/>
  <c r="T51" i="7"/>
  <c r="Q51" i="7"/>
  <c r="AV50" i="7"/>
  <c r="T50" i="7"/>
  <c r="Q50" i="7"/>
  <c r="AV49" i="7"/>
  <c r="T49" i="7"/>
  <c r="Q49" i="7"/>
  <c r="AV48" i="7"/>
  <c r="T48" i="7"/>
  <c r="Q48" i="7"/>
  <c r="AV47" i="7"/>
  <c r="T47" i="7"/>
  <c r="Q47" i="7"/>
  <c r="AV46" i="7"/>
  <c r="T46" i="7"/>
  <c r="Q46" i="7"/>
  <c r="AV45" i="7"/>
  <c r="T45" i="7"/>
  <c r="Q45" i="7"/>
  <c r="AV44" i="7"/>
  <c r="T44" i="7"/>
  <c r="Q44" i="7"/>
  <c r="AV43" i="7"/>
  <c r="T43" i="7"/>
  <c r="Q43" i="7"/>
  <c r="AV42" i="7"/>
  <c r="T42" i="7"/>
  <c r="Q42" i="7"/>
  <c r="AV41" i="7"/>
  <c r="T41" i="7"/>
  <c r="Q41" i="7"/>
  <c r="AV40" i="7"/>
  <c r="T40" i="7"/>
  <c r="Q40" i="7"/>
  <c r="AV39" i="7"/>
  <c r="T39" i="7"/>
  <c r="Q39" i="7"/>
  <c r="AV38" i="7"/>
  <c r="T38" i="7"/>
  <c r="Q38" i="7"/>
  <c r="AV37" i="7"/>
  <c r="T37" i="7"/>
  <c r="Q37" i="7"/>
  <c r="AV36" i="7"/>
  <c r="T36" i="7"/>
  <c r="Q36" i="7"/>
  <c r="AV35" i="7"/>
  <c r="T35" i="7"/>
  <c r="Q35" i="7"/>
  <c r="AV34" i="7"/>
  <c r="T34" i="7"/>
  <c r="Q34" i="7"/>
  <c r="AV33" i="7"/>
  <c r="T33" i="7"/>
  <c r="Q33" i="7"/>
  <c r="AV32" i="7"/>
  <c r="T32" i="7"/>
  <c r="Q32" i="7"/>
  <c r="AV31" i="7"/>
  <c r="T31" i="7"/>
  <c r="Q31" i="7"/>
  <c r="AV30" i="7"/>
  <c r="T30" i="7"/>
  <c r="Q30" i="7"/>
  <c r="AV29" i="7"/>
  <c r="T29" i="7"/>
  <c r="Q29" i="7"/>
  <c r="AV28" i="7"/>
  <c r="T28" i="7"/>
  <c r="Q28" i="7"/>
  <c r="AV27" i="7"/>
  <c r="T27" i="7"/>
  <c r="Q27" i="7"/>
  <c r="AV26" i="7"/>
  <c r="T26" i="7"/>
  <c r="Q26" i="7"/>
  <c r="AV25" i="7"/>
  <c r="T25" i="7"/>
  <c r="Q25" i="7"/>
  <c r="AV24" i="7"/>
  <c r="T24" i="7"/>
  <c r="Q24" i="7"/>
  <c r="AV23" i="7"/>
  <c r="T23" i="7"/>
  <c r="Q23" i="7"/>
  <c r="AV22" i="7"/>
  <c r="T22" i="7"/>
  <c r="Q22" i="7"/>
  <c r="AV21" i="7"/>
  <c r="T21" i="7"/>
  <c r="Q21" i="7"/>
  <c r="AV20" i="7"/>
  <c r="T20" i="7"/>
  <c r="Q20" i="7"/>
  <c r="AV19" i="7"/>
  <c r="T19" i="7"/>
  <c r="Q19" i="7"/>
  <c r="AV18" i="7"/>
  <c r="T18" i="7"/>
  <c r="Q18" i="7"/>
  <c r="AV17" i="7"/>
  <c r="T17" i="7"/>
  <c r="Q17" i="7"/>
  <c r="AV16" i="7"/>
  <c r="T16" i="7"/>
  <c r="Q16" i="7"/>
  <c r="AV15" i="7"/>
  <c r="T15" i="7"/>
  <c r="Q15" i="7"/>
  <c r="AV14" i="7"/>
  <c r="T14" i="7"/>
  <c r="Q14" i="7"/>
  <c r="AV13" i="7"/>
  <c r="T13" i="7"/>
  <c r="Q13" i="7"/>
  <c r="AV12" i="7"/>
  <c r="T12" i="7"/>
  <c r="Q12" i="7"/>
  <c r="AV11" i="7"/>
  <c r="T11" i="7"/>
  <c r="Q11" i="7"/>
  <c r="B8" i="19" l="1"/>
  <c r="X81" i="6"/>
  <c r="B24" i="19" s="1"/>
  <c r="X15" i="5" l="1"/>
  <c r="B23" i="19" s="1"/>
  <c r="B26" i="19" s="1"/>
  <c r="C25" i="19" l="1"/>
  <c r="C23" i="19"/>
  <c r="C24" i="19"/>
  <c r="X24" i="4"/>
  <c r="B5" i="19" s="1"/>
  <c r="AV23" i="4"/>
  <c r="AV22" i="4"/>
  <c r="AV21" i="4"/>
  <c r="AV20" i="4"/>
  <c r="AV19" i="4"/>
  <c r="AV18" i="4"/>
  <c r="AV17" i="4"/>
  <c r="AV16" i="4"/>
  <c r="AV15" i="4"/>
  <c r="AV14" i="4"/>
  <c r="AV13" i="4"/>
  <c r="AV12" i="4"/>
  <c r="AV11" i="4"/>
  <c r="C26" i="19" l="1"/>
  <c r="T125" i="3"/>
  <c r="Q125" i="3"/>
  <c r="T124" i="3"/>
  <c r="Q124" i="3"/>
  <c r="T123" i="3"/>
  <c r="Q123" i="3"/>
  <c r="T122" i="3"/>
  <c r="Q122" i="3"/>
  <c r="Q121" i="3"/>
  <c r="Q120" i="3"/>
  <c r="X119" i="3"/>
  <c r="AB119" i="3" s="1"/>
  <c r="Q119" i="3"/>
  <c r="Q118" i="3"/>
  <c r="Q117" i="3"/>
  <c r="X116" i="3"/>
  <c r="AB116" i="3" s="1"/>
  <c r="Q116" i="3"/>
  <c r="T115" i="3"/>
  <c r="Q115" i="3"/>
  <c r="T114" i="3"/>
  <c r="Q114" i="3"/>
  <c r="T113" i="3"/>
  <c r="Q113" i="3"/>
  <c r="T112" i="3"/>
  <c r="Q112" i="3"/>
  <c r="T111" i="3"/>
  <c r="Q111" i="3"/>
  <c r="T110" i="3"/>
  <c r="Q110" i="3"/>
  <c r="T109" i="3"/>
  <c r="Q109" i="3"/>
  <c r="T108" i="3"/>
  <c r="Q108" i="3"/>
  <c r="T107" i="3"/>
  <c r="Q107" i="3"/>
  <c r="T106" i="3"/>
  <c r="Q106" i="3"/>
  <c r="AG105" i="3"/>
  <c r="AV105" i="3" s="1"/>
  <c r="Q105" i="3"/>
  <c r="AG104" i="3"/>
  <c r="AV104" i="3" s="1"/>
  <c r="Q104" i="3"/>
  <c r="AG103" i="3"/>
  <c r="AV103" i="3" s="1"/>
  <c r="Q103" i="3"/>
  <c r="AG102" i="3"/>
  <c r="AV102" i="3" s="1"/>
  <c r="Q102" i="3"/>
  <c r="AG101" i="3"/>
  <c r="AV101" i="3" s="1"/>
  <c r="Q101" i="3"/>
  <c r="AG100" i="3"/>
  <c r="AV100" i="3" s="1"/>
  <c r="Q100" i="3"/>
  <c r="AG99" i="3"/>
  <c r="AV99" i="3" s="1"/>
  <c r="Q99" i="3"/>
  <c r="AG98" i="3"/>
  <c r="AV98" i="3" s="1"/>
  <c r="Q98" i="3"/>
  <c r="AG97" i="3"/>
  <c r="AV97" i="3" s="1"/>
  <c r="Q97" i="3"/>
  <c r="AG96" i="3"/>
  <c r="AV96" i="3" s="1"/>
  <c r="Q96" i="3"/>
  <c r="AG95" i="3"/>
  <c r="AV95" i="3" s="1"/>
  <c r="Q95" i="3"/>
  <c r="AG94" i="3"/>
  <c r="AV94" i="3" s="1"/>
  <c r="Q94" i="3"/>
  <c r="AG93" i="3"/>
  <c r="AV93" i="3" s="1"/>
  <c r="Q93" i="3"/>
  <c r="AG92" i="3"/>
  <c r="AV92" i="3" s="1"/>
  <c r="Q92" i="3"/>
  <c r="AG91" i="3"/>
  <c r="AV91" i="3" s="1"/>
  <c r="Q91" i="3"/>
  <c r="AG90" i="3"/>
  <c r="AV90" i="3" s="1"/>
  <c r="Q90" i="3"/>
  <c r="AG89" i="3"/>
  <c r="AV89" i="3" s="1"/>
  <c r="Q89" i="3"/>
  <c r="AG88" i="3"/>
  <c r="AV88" i="3" s="1"/>
  <c r="Q88" i="3"/>
  <c r="AG87" i="3"/>
  <c r="AV87" i="3" s="1"/>
  <c r="Q87" i="3"/>
  <c r="AG86" i="3"/>
  <c r="AV86" i="3" s="1"/>
  <c r="Q86" i="3"/>
  <c r="Q85" i="3"/>
  <c r="Q84" i="3"/>
  <c r="X83" i="3"/>
  <c r="Q83" i="3"/>
  <c r="Q82" i="3"/>
  <c r="Q81" i="3"/>
  <c r="Q80" i="3"/>
  <c r="Q79" i="3"/>
  <c r="Q78" i="3"/>
  <c r="T77" i="3"/>
  <c r="Q77" i="3"/>
  <c r="T76" i="3"/>
  <c r="Q76" i="3"/>
  <c r="T75" i="3"/>
  <c r="Q75" i="3"/>
  <c r="T74" i="3"/>
  <c r="Q74" i="3"/>
  <c r="T73" i="3"/>
  <c r="Q73" i="3"/>
  <c r="T72" i="3"/>
  <c r="Q72" i="3"/>
  <c r="T71" i="3"/>
  <c r="Q71" i="3"/>
  <c r="T70" i="3"/>
  <c r="Q70" i="3"/>
  <c r="T69" i="3"/>
  <c r="Q69" i="3"/>
  <c r="Q68" i="3"/>
  <c r="Q67" i="3"/>
  <c r="Q66" i="3"/>
  <c r="Q65" i="3"/>
  <c r="Q64" i="3"/>
  <c r="Q63" i="3"/>
  <c r="Q62" i="3"/>
  <c r="Q61" i="3"/>
  <c r="Q60" i="3"/>
  <c r="T59" i="3"/>
  <c r="Q59" i="3"/>
  <c r="T58" i="3"/>
  <c r="Q58" i="3"/>
  <c r="T57" i="3"/>
  <c r="Q57" i="3"/>
  <c r="T56" i="3"/>
  <c r="Q56" i="3"/>
  <c r="T55" i="3"/>
  <c r="Q55" i="3"/>
  <c r="T54" i="3"/>
  <c r="Q54" i="3"/>
  <c r="T53" i="3"/>
  <c r="Q53" i="3"/>
  <c r="T52" i="3"/>
  <c r="Q52" i="3"/>
  <c r="T51" i="3"/>
  <c r="Q51" i="3"/>
  <c r="T50" i="3"/>
  <c r="Q50" i="3"/>
  <c r="T49" i="3"/>
  <c r="Q49" i="3"/>
  <c r="T48" i="3"/>
  <c r="Q48" i="3"/>
  <c r="T47" i="3"/>
  <c r="Q47" i="3"/>
  <c r="T46" i="3"/>
  <c r="Q46" i="3"/>
  <c r="T45" i="3"/>
  <c r="Q45" i="3"/>
  <c r="X44" i="3"/>
  <c r="AB44" i="3" s="1"/>
  <c r="Q44" i="3"/>
  <c r="X43" i="3"/>
  <c r="AB43" i="3" s="1"/>
  <c r="Q43" i="3"/>
  <c r="T42" i="3"/>
  <c r="Q42" i="3"/>
  <c r="T41" i="3"/>
  <c r="Q41" i="3"/>
  <c r="T40" i="3"/>
  <c r="Q40" i="3"/>
  <c r="T39" i="3"/>
  <c r="Q39" i="3"/>
  <c r="T38" i="3"/>
  <c r="Q38" i="3"/>
  <c r="T37" i="3"/>
  <c r="Q37" i="3"/>
  <c r="T36" i="3"/>
  <c r="Q36" i="3"/>
  <c r="T35" i="3"/>
  <c r="Q35" i="3"/>
  <c r="T34" i="3"/>
  <c r="Q34" i="3"/>
  <c r="T33" i="3"/>
  <c r="Q33" i="3"/>
  <c r="T32" i="3"/>
  <c r="Q32" i="3"/>
  <c r="T31" i="3"/>
  <c r="Q31" i="3"/>
  <c r="T30" i="3"/>
  <c r="Q30" i="3"/>
  <c r="T29" i="3"/>
  <c r="Q29" i="3"/>
  <c r="T28" i="3"/>
  <c r="Q28" i="3"/>
  <c r="T27" i="3"/>
  <c r="Q27" i="3"/>
  <c r="T26" i="3"/>
  <c r="Q26" i="3"/>
  <c r="T25" i="3"/>
  <c r="Q25" i="3"/>
  <c r="T24" i="3"/>
  <c r="Q24" i="3"/>
  <c r="T23" i="3"/>
  <c r="Q23" i="3"/>
  <c r="T22" i="3"/>
  <c r="Q22" i="3"/>
  <c r="T21" i="3"/>
  <c r="Q21" i="3"/>
  <c r="Q20" i="3"/>
  <c r="Q19" i="3"/>
  <c r="Q18" i="3"/>
  <c r="Q17" i="3"/>
  <c r="Q16" i="3"/>
  <c r="Q15" i="3"/>
  <c r="T83" i="3" l="1"/>
  <c r="AB83" i="3"/>
  <c r="AB126" i="3"/>
  <c r="T121" i="3"/>
  <c r="T43" i="3"/>
  <c r="T44" i="3"/>
  <c r="T84" i="3"/>
  <c r="T85" i="3"/>
  <c r="T86" i="3"/>
  <c r="T87" i="3"/>
  <c r="T88" i="3"/>
  <c r="T89" i="3"/>
  <c r="T90" i="3"/>
  <c r="T91" i="3"/>
  <c r="T92" i="3"/>
  <c r="T93" i="3"/>
  <c r="T94" i="3"/>
  <c r="T95" i="3"/>
  <c r="T96" i="3"/>
  <c r="T97" i="3"/>
  <c r="T98" i="3"/>
  <c r="T99" i="3"/>
  <c r="T100" i="3"/>
  <c r="T101" i="3"/>
  <c r="T102" i="3"/>
  <c r="T103" i="3"/>
  <c r="T104" i="3"/>
  <c r="T105" i="3"/>
  <c r="T117" i="3"/>
  <c r="T118" i="3"/>
  <c r="T119" i="3"/>
  <c r="X126" i="3"/>
  <c r="B14" i="19" s="1"/>
  <c r="T78" i="3"/>
  <c r="T79" i="3"/>
  <c r="T80" i="3"/>
  <c r="T81" i="3"/>
  <c r="T82" i="3"/>
  <c r="T116" i="3"/>
  <c r="T120" i="3"/>
  <c r="B7" i="19" l="1"/>
  <c r="B17" i="19" l="1"/>
  <c r="C7" i="19" s="1"/>
  <c r="T18" i="1"/>
  <c r="T17" i="1"/>
  <c r="T16" i="1"/>
  <c r="T15" i="1"/>
  <c r="T14" i="1"/>
  <c r="C5" i="19" l="1"/>
  <c r="C15" i="19"/>
  <c r="C13" i="19"/>
  <c r="C12" i="19"/>
  <c r="B28" i="19"/>
  <c r="B32" i="19" s="1"/>
  <c r="C9" i="19"/>
  <c r="C14" i="19"/>
  <c r="C11" i="19"/>
  <c r="C8" i="19"/>
  <c r="B20" i="19"/>
  <c r="C4" i="19"/>
  <c r="C10" i="19"/>
  <c r="C6" i="19"/>
  <c r="C16" i="19"/>
  <c r="C17"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tc={F57B43F7-4085-4E36-A01D-191C15B35C7A}</author>
    <author>tc={1821E402-ACAE-47CD-AA85-1AA64B029249}</author>
    <author>tc={F78B3D04-3B68-470A-B90D-64D93354DB7A}</author>
    <author>tc={A4B2017A-0348-4564-BC47-110FA9BC0931}</author>
    <author>tc={68B90427-2F3F-4DBD-AE94-C9C5D27F1E31}</author>
  </authors>
  <commentList>
    <comment ref="Y11" authorId="0" shapeId="0" xr:uid="{F57B43F7-4085-4E36-A01D-191C15B35C7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287              12.900.000</t>
        </r>
      </text>
    </comment>
    <comment ref="Y13" authorId="1" shapeId="0" xr:uid="{1821E402-ACAE-47CD-AA85-1AA64B02924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290              12.900.000
289               8.100.000</t>
        </r>
      </text>
    </comment>
    <comment ref="Y14" authorId="2" shapeId="0" xr:uid="{F78B3D04-3B68-470A-B90D-64D93354DB7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298              12.900.000</t>
        </r>
      </text>
    </comment>
    <comment ref="Y15" authorId="3" shapeId="0" xr:uid="{A4B2017A-0348-4564-BC47-110FA9BC093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293                   12.900.000
291                   11.100.000
291                   11.100.000</t>
        </r>
      </text>
    </comment>
    <comment ref="Y18" authorId="4" shapeId="0" xr:uid="{68B90427-2F3F-4DBD-AE94-C9C5D27F1E3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301            11.100.000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tc={6085B0D3-A1D6-4032-A47D-7601497BFCB5}</author>
    <author>tc={1BAC74D2-3615-48AF-86AA-08D8C29BE7B2}</author>
    <author>tc={328A522A-E22D-4F3C-B1FC-72B4BEC0202E}</author>
    <author>tc={014F8234-1341-4990-96C5-C75891647114}</author>
    <author>tc={5D92617B-AE05-4EBB-A1A8-D73653FE06F0}</author>
    <author>tc={36734499-C953-4199-915D-EEAF8AC3ACA5}</author>
    <author>tc={EE4F4EB9-32C1-4DA5-85E6-46A6BF8B3802}</author>
    <author>tc={586D73D5-B691-49DA-8567-6F92D2B4937E}</author>
    <author>tc={FEED4CD2-75C1-4CCA-8726-0DCB3862D982}</author>
  </authors>
  <commentList>
    <comment ref="X9" authorId="0" shapeId="0" xr:uid="{6085B0D3-A1D6-4032-A47D-7601497BFCB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384              $ 17.200.000
533                 14.800.000</t>
        </r>
      </text>
    </comment>
    <comment ref="X17" authorId="1" shapeId="0" xr:uid="{1BAC74D2-3615-48AF-86AA-08D8C29BE7B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373                 17.200.000</t>
        </r>
      </text>
    </comment>
    <comment ref="X18" authorId="2" shapeId="0" xr:uid="{328A522A-E22D-4F3C-B1FC-72B4BEC0202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376                14.800.000</t>
        </r>
      </text>
    </comment>
    <comment ref="X20" authorId="3" shapeId="0" xr:uid="{014F8234-1341-4990-96C5-C7589164711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628                14.800.000</t>
        </r>
      </text>
    </comment>
    <comment ref="X24" authorId="4" shapeId="0" xr:uid="{5D92617B-AE05-4EBB-A1A8-D73653FE06F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616       14.800.000</t>
        </r>
      </text>
    </comment>
    <comment ref="X25" authorId="5" shapeId="0" xr:uid="{36734499-C953-4199-915D-EEAF8AC3ACA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375                 17.200.000
388                 17.200.000
608                 16.000.000</t>
        </r>
      </text>
    </comment>
    <comment ref="X35" authorId="6" shapeId="0" xr:uid="{EE4F4EB9-32C1-4DA5-85E6-46A6BF8B380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549            17.200.000</t>
        </r>
      </text>
    </comment>
    <comment ref="X39" authorId="7" shapeId="0" xr:uid="{586D73D5-B691-49DA-8567-6F92D2B4937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633              17.200.000</t>
        </r>
      </text>
    </comment>
    <comment ref="X43" authorId="8" shapeId="0" xr:uid="{FEED4CD2-75C1-4CCA-8726-0DCB3862D98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417           14.800.000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tc={EDBF6A2D-CFFE-4848-A41D-C66417D9F514}</author>
    <author>tc={86A36F77-0885-439A-8EEE-4F0A31E06A1A}</author>
    <author>tc={66A11A82-CA30-4701-BE1F-BCF419DE1D6D}</author>
    <author>tc={DCD7876F-DD9E-43B0-B77D-39A73B00C4FA}</author>
    <author>tc={ED152997-315B-4B0C-B7F4-ADCE9E201E17}</author>
    <author>tc={198B0932-7CD7-4483-8760-3615DD5D3F70}</author>
    <author>tc={CF7E6AE5-3A4A-4659-BFE3-A5C8D36B536C}</author>
    <author>tc={EF00DF59-BEED-4052-8DFB-D613147007F6}</author>
    <author>tc={64232F9F-809C-4BCE-9970-D95A7CA4B475}</author>
    <author>tc={6FDCA5D2-7D76-42AB-81B8-1FF9AFEB0EDC}</author>
    <author>tc={193D9E14-7F9C-4040-B4A8-3AEAA23BC1F2}</author>
    <author>tc={40F9810A-9718-4587-A87A-47BEE070A15B}</author>
    <author>tc={2C5E5D1D-F242-46D3-A2E0-B71369656AC0}</author>
    <author>tc={E6DE23EA-A62E-4D35-8680-0878643C770A}</author>
    <author>tc={B7BFAF43-A719-4030-B8ED-AD7DD6D86BA0}</author>
    <author>tc={35951D74-D413-4CFC-9FD3-045F3EDE3303}</author>
    <author>tc={1A3F11DA-444B-4963-B7D6-1E10D5C5500C}</author>
    <author>tc={5A8F3F28-0920-4947-BB1B-AA5E39C67CE3}</author>
    <author>tc={25F3F5BF-7DA2-42D3-ABD6-5F6AFA7A613C}</author>
    <author>tc={5C7C461F-BCE2-41D5-A4A2-70FD936EE55A}</author>
    <author>tc={D46AC2BC-F427-429F-AF7F-55ECCAAA75AF}</author>
    <author>tc={93BE3A3C-B5FD-4F99-9818-919B8E258259}</author>
    <author>tc={BA68B1D1-6BCD-457B-AD00-10851FA964D1}</author>
    <author>tc={09690D20-4343-4D31-8158-B4AB9961F832}</author>
    <author>tc={1AB8FC2C-88A1-457B-9604-B5E4AD642365}</author>
    <author>tc={81BC3214-8CD6-433F-B727-76AFBB3FB156}</author>
    <author>tc={7A0DE695-D31E-42F9-A6A7-883D6E906354}</author>
    <author>tc={52D9DBB8-32D8-4292-AF2B-9CDB81148C87}</author>
    <author>tc={12DE3559-F612-44C1-8693-2EF74E27F418}</author>
    <author>tc={124A9D81-4C15-42DF-8F74-1E1F0F403453}</author>
    <author>tc={10BE72C4-514F-436E-95F4-3ACABCF07095}</author>
    <author>tc={10CC4627-7A94-41EA-85D1-B229DFC8154E}</author>
    <author>tc={DE61AAD8-51FD-4311-A5C6-1D8C028CD30B}</author>
    <author>tc={9DD624D6-E682-48D9-A362-B90E63BC507E}</author>
    <author>tc={4972808B-87D9-4911-930B-BFDDDB6BB9B1}</author>
    <author>tc={DB0D40A1-CEDA-44FD-81C2-56A88F5197C3}</author>
    <author>tc={67DF00E7-FE93-4066-BDFF-C0394FB75E11}</author>
    <author>tc={61B4D6D7-F784-485E-94CA-522643BDECC7}</author>
    <author>tc={F2390577-7B04-4113-9C01-F0329FFFE764}</author>
    <author>tc={21546530-32E7-4CBC-B92F-A73B17F9FAAB}</author>
    <author>tc={775E2057-FDBC-4F5B-BF33-235F7B7081D7}</author>
    <author>tc={451B41FE-AB5C-490E-91DD-05264C59E8B0}</author>
  </authors>
  <commentList>
    <comment ref="Y15" authorId="0" shapeId="0" xr:uid="{EDBF6A2D-CFFE-4848-A41D-C66417D9F514}">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PP                  Valor
586                8.000.000
Reply:
    </t>
        </r>
      </text>
    </comment>
    <comment ref="Y18" authorId="1" shapeId="0" xr:uid="{86A36F77-0885-439A-8EEE-4F0A31E06A1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494             4.800.000</t>
        </r>
      </text>
    </comment>
    <comment ref="Y19" authorId="2" shapeId="0" xr:uid="{66A11A82-CA30-4701-BE1F-BCF419DE1D6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516               5.800.000
603               5.400.000
Reply:
    585             8.000.000</t>
        </r>
      </text>
    </comment>
    <comment ref="Z19" authorId="3" shapeId="0" xr:uid="{DCD7876F-DD9E-43B0-B77D-39A73B00C4F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Banco              Valor
516        281                  5.800.000</t>
        </r>
      </text>
    </comment>
    <comment ref="Y20" authorId="4" shapeId="0" xr:uid="{ED152997-315B-4B0C-B7F4-ADCE9E201E17}">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PP           VALOR 
</t>
        </r>
      </text>
    </comment>
    <comment ref="Y26" authorId="5" shapeId="0" xr:uid="{198B0932-7CD7-4483-8760-3615DD5D3F7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479           2.800.000
464           3.300.000
522           2.500.000
686           3.300.000</t>
        </r>
      </text>
    </comment>
    <comment ref="Y27" authorId="6" shapeId="0" xr:uid="{CF7E6AE5-3A4A-4659-BFE3-A5C8D36B536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414        7.400.000
501        7.400.000
523        8.400.000
586       1.050.000
576     5.600.000
Reply:
    585      1.050.000</t>
        </r>
      </text>
    </comment>
    <comment ref="Y29" authorId="7" shapeId="0" xr:uid="{EF00DF59-BEED-4052-8DFB-D613147007F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479        2.800.000
502        4.800.000
464        3.300.000
460        5.600.000
522        2.500.000
586       1.050.000
686        3.300.000
Reply:
    585      1.050.000</t>
        </r>
      </text>
    </comment>
    <comment ref="Y30" authorId="8" shapeId="0" xr:uid="{64232F9F-809C-4BCE-9970-D95A7CA4B47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492             7.400.000
414             3.700.000</t>
        </r>
      </text>
    </comment>
    <comment ref="Y31" authorId="9" shapeId="0" xr:uid="{6FDCA5D2-7D76-42AB-81B8-1FF9AFEB0ED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492               7.400.000
414               3.700.000
501              7.400.000
502              6.000.000
498              14.800.000
576                5.600.000</t>
        </r>
      </text>
    </comment>
    <comment ref="Y32" authorId="10" shapeId="0" xr:uid="{193D9E14-7F9C-4040-B4A8-3AEAA23BC1F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502             4.000.000</t>
        </r>
      </text>
    </comment>
    <comment ref="Y36" authorId="11" shapeId="0" xr:uid="{40F9810A-9718-4587-A87A-47BEE070A15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564         10.000.000
586         1.050.000
632        11.000.000
Reply:
    585         1.050.000
Reply:
    562               10.000.000</t>
        </r>
      </text>
    </comment>
    <comment ref="Y37" authorId="12" shapeId="0" xr:uid="{2C5E5D1D-F242-46D3-A2E0-B71369656AC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479      2.800.000
464       3.300.000
522       3.000.000
686       3.300.000
632       3.000.000
Reply:
    562     2.000.000</t>
        </r>
      </text>
    </comment>
    <comment ref="Y38" authorId="13" shapeId="0" xr:uid="{E6DE23EA-A62E-4D35-8680-0878643C770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563       7.000.000
564       4.000.000
Reply:
    562        2.000.000</t>
        </r>
      </text>
    </comment>
    <comment ref="Y39" authorId="14" shapeId="0" xr:uid="{B7BFAF43-A719-4030-B8ED-AD7DD6D86BA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563        7.800.000
564           800.000
632           800.000
Reply:
    562         2.800.000</t>
        </r>
      </text>
    </comment>
    <comment ref="Y44" authorId="15" shapeId="0" xr:uid="{35951D74-D413-4CFC-9FD3-045F3EDE330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523                8.400.000
516               5.800.000
603               5.400.000</t>
        </r>
      </text>
    </comment>
    <comment ref="Z44" authorId="16" shapeId="0" xr:uid="{1A3F11DA-444B-4963-B7D6-1E10D5C5500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516              281             5.800.000</t>
        </r>
      </text>
    </comment>
    <comment ref="Y48" authorId="17" shapeId="0" xr:uid="{5A8F3F28-0920-4947-BB1B-AA5E39C67CE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568              8.000.000
Reply:
    657           8.150.000</t>
        </r>
      </text>
    </comment>
    <comment ref="Y49" authorId="18" shapeId="0" xr:uid="{25F3F5BF-7DA2-42D3-ABD6-5F6AFA7A613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568             3.000.000
Reply:
    567          3.150.000</t>
        </r>
      </text>
    </comment>
    <comment ref="Y50" authorId="19" shapeId="0" xr:uid="{5C7C461F-BCE2-41D5-A4A2-70FD936EE55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568              2.000.000
Reply:
    567           2.500.0000</t>
        </r>
      </text>
    </comment>
    <comment ref="Y51" authorId="20" shapeId="0" xr:uid="{D46AC2BC-F427-429F-AF7F-55ECCAAA75A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568              1.800.000
Reply:
    567             1.000.000</t>
        </r>
      </text>
    </comment>
    <comment ref="Y52" authorId="21" shapeId="0" xr:uid="{93BE3A3C-B5FD-4F99-9818-919B8E25825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636               10.800.000</t>
        </r>
      </text>
    </comment>
    <comment ref="Y53" authorId="22" shapeId="0" xr:uid="{BA68B1D1-6BCD-457B-AD00-10851FA964D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475                4.800.000
586                   500.000</t>
        </r>
      </text>
    </comment>
    <comment ref="Y66" authorId="23" shapeId="0" xr:uid="{09690D20-4343-4D31-8158-B4AB9961F83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522               2.500.000
639             14.800.000</t>
        </r>
      </text>
    </comment>
    <comment ref="Y70" authorId="24" shapeId="0" xr:uid="{1AB8FC2C-88A1-457B-9604-B5E4AD64236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479      2.800.000
464      3.500.000
460      5.600.000
505      7.400.000
522      2.500.000
488     10.000.000
586     1.050.000
686     3.500.000
Reply:
    585    1.050.000</t>
        </r>
      </text>
    </comment>
    <comment ref="Y75" authorId="25" shapeId="0" xr:uid="{81BC3214-8CD6-433F-B727-76AFBB3FB15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505                 7.400.000</t>
        </r>
      </text>
    </comment>
    <comment ref="Y76" authorId="26" shapeId="0" xr:uid="{7A0DE695-D31E-42F9-A6A7-883D6E90635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494              10.000.000
Reply:
    585               500.000</t>
        </r>
      </text>
    </comment>
    <comment ref="Y79" authorId="27" shapeId="0" xr:uid="{52D9DBB8-32D8-4292-AF2B-9CDB81148C8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488        3.000.000</t>
        </r>
      </text>
    </comment>
    <comment ref="Y80" authorId="28" shapeId="0" xr:uid="{12DE3559-F612-44C1-8693-2EF74E27F41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488       3.800.000</t>
        </r>
      </text>
    </comment>
    <comment ref="Y81" authorId="29" shapeId="0" xr:uid="{124A9D81-4C15-42DF-8F74-1E1F0F40345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109              14.800.000
504             $14.800.000</t>
        </r>
      </text>
    </comment>
    <comment ref="Y83" authorId="30" shapeId="0" xr:uid="{10BE72C4-514F-436E-95F4-3ACABCF0709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503                   13.800.000</t>
        </r>
      </text>
    </comment>
    <comment ref="Y84" authorId="31" shapeId="0" xr:uid="{10CC4627-7A94-41EA-85D1-B229DFC8154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503             3.000.000</t>
        </r>
      </text>
    </comment>
    <comment ref="Y106" authorId="32" shapeId="0" xr:uid="{DE61AAD8-51FD-4311-A5C6-1D8C028CD30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526              6.800.000</t>
        </r>
      </text>
    </comment>
    <comment ref="Y111" authorId="33" shapeId="0" xr:uid="{9DD624D6-E682-48D9-A362-B90E63BC507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464     3.300.000
475     5.000.000
522     2.500.000
526     10.000.000
556      7.400.000
586     1.050.000
576     5.600.000
686     3.300.000
Reply:
    585    1.050.000
Reply:
    538          10.000.000</t>
        </r>
      </text>
    </comment>
    <comment ref="Y112" authorId="34" shapeId="0" xr:uid="{4972808B-87D9-4911-930B-BFDDDB6BB9B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479          2.800.000
460          5.600.000
556          7.400.000</t>
        </r>
      </text>
    </comment>
    <comment ref="Y114" authorId="35" shapeId="0" xr:uid="{DB0D40A1-CEDA-44FD-81C2-56A88F5197C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529           16.800.000</t>
        </r>
      </text>
    </comment>
    <comment ref="Y116" authorId="36" shapeId="0" xr:uid="{67DF00E7-FE93-4066-BDFF-C0394FB75E1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479        2.800.000
464        3.300.000
475        5.000.000
522        2.500.000
545       14.800.000
686         3.300.000</t>
        </r>
      </text>
    </comment>
    <comment ref="Y117" authorId="37" shapeId="0" xr:uid="{61B4D6D7-F784-485E-94CA-522643BDECC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554            16.800.000</t>
        </r>
      </text>
    </comment>
    <comment ref="Y118" authorId="38" shapeId="0" xr:uid="{F2390577-7B04-4113-9C01-F0329FFFE76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586                  1.050.000
Reply:
    585              1.050.000</t>
        </r>
      </text>
    </comment>
    <comment ref="Y122" authorId="39" shapeId="0" xr:uid="{21546530-32E7-4CBC-B92F-A73B17F9FAAB}">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PP               VALOR 
  538              4.800.000    </t>
        </r>
      </text>
    </comment>
    <comment ref="Y125" authorId="40" shapeId="0" xr:uid="{775E2057-FDBC-4F5B-BF33-235F7B7081D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N/A               1.300.000
N/A               1.300.000
N/A               1.300.000
N/A               1.300.000</t>
        </r>
      </text>
    </comment>
    <comment ref="Z125" authorId="41" shapeId="0" xr:uid="{451B41FE-AB5C-490E-91DD-05264C59E8B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Banco          Valor
N/A             194             1.300.000
N/A              198             1.300.000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tc={181B7B9B-67FC-43E3-83C0-46D98F5D0FB0}</author>
    <author>tc={1165BE5A-C3AA-4A43-93B0-627378AF3336}</author>
    <author>AUXPLANEACION01</author>
    <author>tc={CEA80916-ED81-40A7-9E7B-53B80E78D2DE}</author>
    <author>tc={99D1905D-B723-497F-B910-056B3CFEB30A}</author>
    <author>tc={CBA43008-9EC7-4EB4-8F80-73A29D58C448}</author>
    <author>tc={EF24BF14-ABED-46A3-A9D0-A1D3F5AAB0A6}</author>
    <author>tc={0D426416-DB7A-45FC-98A7-477649FD1889}</author>
    <author>tc={B6751145-1AAD-49AD-A098-37BAE0BAEFF0}</author>
    <author>tc={1CD2504A-03A2-4D51-B076-B11D520416C7}</author>
    <author>tc={79BD4D17-A777-4277-8392-84272A69BBD0}</author>
    <author>tc={46350F98-D9E0-485D-981C-66F503FBBF80}</author>
    <author>tc={9DE39FB5-0FBD-4B5F-8996-C3C8153BAA7B}</author>
    <author>tc={C0E11CE6-1612-4418-A8BC-C2F1FD7B7BEC}</author>
    <author>tc={1E9F24C5-32AA-4BAE-B43C-E8496537E815}</author>
    <author>tc={58B68A27-D3A5-478A-B737-48F7F9A5449D}</author>
    <author>tc={7BB19FB2-C4D1-4CF5-BFF8-0D4E88A8B0F0}</author>
    <author>tc={909E790B-86FD-43AC-9651-7B37AAF5515B}</author>
    <author>tc={338AB8B1-D1AA-43B3-A383-0A0028C8A94B}</author>
    <author>tc={391458EF-102F-4F12-B934-E6D9724E0AD4}</author>
    <author>tc={51649187-578A-4A1C-BF8D-B835FDE3A222}</author>
    <author>tc={5BE8984E-164D-476E-8B40-53F5F6B791F2}</author>
    <author>tc={06791325-8E83-4EA1-B62D-C3F028F6EC25}</author>
    <author>tc={84BF5C97-51BE-409A-84E5-0130DDD67233}</author>
    <author>tc={BA133088-EF54-45D5-A7FA-A5731C48BACD}</author>
    <author>tc={48606080-FBC3-4C3E-9D9D-7E812131EB49}</author>
    <author>tc={FF3B50DA-5C0E-4AFD-9B49-CA37F9B12227}</author>
    <author>tc={0130D106-16D2-456F-95E2-2EF9B3F7B099}</author>
    <author>tc={918F4E70-ADD2-4A63-8700-695B8A5F6906}</author>
    <author>tc={C752F776-7034-47BB-83A3-D3040ADA5E4D}</author>
  </authors>
  <commentList>
    <comment ref="Y14" authorId="0" shapeId="0" xr:uid="{181B7B9B-67FC-43E3-83C0-46D98F5D0FB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443               16.200.000</t>
        </r>
      </text>
    </comment>
    <comment ref="Y21" authorId="1" shapeId="0" xr:uid="{1165BE5A-C3AA-4A43-93B0-627378AF333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N/A             30.000.000</t>
        </r>
      </text>
    </comment>
    <comment ref="Y123" authorId="2" shapeId="0" xr:uid="{FC4D8C12-75C8-4082-A1C0-0ECC1B04B288}">
      <text>
        <r>
          <rPr>
            <b/>
            <sz val="9"/>
            <color indexed="81"/>
            <rFont val="Tahoma"/>
            <family val="2"/>
          </rPr>
          <t>AUXPLANEACION01:</t>
        </r>
        <r>
          <rPr>
            <sz val="9"/>
            <color indexed="81"/>
            <rFont val="Tahoma"/>
            <family val="2"/>
          </rPr>
          <t xml:space="preserve">
pp    valor
559     14.400.000</t>
        </r>
      </text>
    </comment>
    <comment ref="Y154" authorId="3" shapeId="0" xr:uid="{CEA80916-ED81-40A7-9E7B-53B80E78D2D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N/A                  140.000.000</t>
        </r>
      </text>
    </comment>
    <comment ref="Y189" authorId="2" shapeId="0" xr:uid="{91A7C8E8-8F30-4B7D-A035-FC4914FC9FD4}">
      <text>
        <r>
          <rPr>
            <b/>
            <sz val="9"/>
            <color indexed="81"/>
            <rFont val="Tahoma"/>
            <family val="2"/>
          </rPr>
          <t>AUXPLANEACION01:</t>
        </r>
        <r>
          <rPr>
            <sz val="9"/>
            <color indexed="81"/>
            <rFont val="Tahoma"/>
            <family val="2"/>
          </rPr>
          <t xml:space="preserve">
pp      valor
570     22.200.000</t>
        </r>
      </text>
    </comment>
    <comment ref="X194" authorId="4" shapeId="0" xr:uid="{99D1905D-B723-497F-B910-056B3CFEB30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570                     22.200.000</t>
        </r>
      </text>
    </comment>
    <comment ref="Y195" authorId="5" shapeId="0" xr:uid="{CBA43008-9EC7-4EB4-8F80-73A29D58C44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308                8.100.000
281                8.100.000
296               15.000.000
294               8.100.000
304               8.100.000
283              18.000.000
284              18.000.000
280               18.000.000</t>
        </r>
      </text>
    </comment>
    <comment ref="X301" authorId="6" shapeId="0" xr:uid="{EF24BF14-ABED-46A3-A9D0-A1D3F5AAB0A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ADICION SEGÚN DECRETO 003 DE 01/01/2024</t>
        </r>
      </text>
    </comment>
    <comment ref="Y301" authorId="7" shapeId="0" xr:uid="{0D426416-DB7A-45FC-98A7-477649FD188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$1.374.833.727,62</t>
        </r>
      </text>
    </comment>
    <comment ref="X302" authorId="8" shapeId="0" xr:uid="{B6751145-1AAD-49AD-A098-37BAE0BAEFF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ADICION SEGÚN DECRETO 003 DE 01/01/2024</t>
        </r>
      </text>
    </comment>
    <comment ref="Y302" authorId="9" shapeId="0" xr:uid="{1CD2504A-03A2-4D51-B076-B11D520416C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$19.917.628,79</t>
        </r>
      </text>
    </comment>
    <comment ref="X303" authorId="10" shapeId="0" xr:uid="{79BD4D17-A777-4277-8392-84272A69BB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ADICION SEGÚN DECRETO 003 DE 01/01/2024</t>
        </r>
      </text>
    </comment>
    <comment ref="Y303" authorId="11" shapeId="0" xr:uid="{46350F98-D9E0-485D-981C-66F503FBBF8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$362.860.827,12</t>
        </r>
      </text>
    </comment>
    <comment ref="X304" authorId="12" shapeId="0" xr:uid="{9DE39FB5-0FBD-4B5F-8996-C3C8153BAA7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ADICION SEGÚN DECRETO 003 DE 01/01/2024</t>
        </r>
      </text>
    </comment>
    <comment ref="Y304" authorId="13" shapeId="0" xr:uid="{C0E11CE6-1612-4418-A8BC-C2F1FD7B7BE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$154.016.729,13</t>
        </r>
      </text>
    </comment>
    <comment ref="X305" authorId="14" shapeId="0" xr:uid="{1E9F24C5-32AA-4BAE-B43C-E8496537E81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ADICION SEGÚN DECRETO 003 DE 01/01/2024</t>
        </r>
      </text>
    </comment>
    <comment ref="Y305" authorId="15" shapeId="0" xr:uid="{58B68A27-D3A5-478A-B737-48F7F9A5449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$43.057.860,94</t>
        </r>
      </text>
    </comment>
    <comment ref="X306" authorId="16" shapeId="0" xr:uid="{7BB19FB2-C4D1-4CF5-BFF8-0D4E88A8B0F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ADICION SEGÚN DECRETO 003 DE 01/01/2024</t>
        </r>
      </text>
    </comment>
    <comment ref="Y306" authorId="17" shapeId="0" xr:uid="{909E790B-86FD-43AC-9651-7B37AAF5515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$79.929.185,67</t>
        </r>
      </text>
    </comment>
    <comment ref="X307" authorId="18" shapeId="0" xr:uid="{338AB8B1-D1AA-43B3-A383-0A0028C8A94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ADICION SEGÚN DECRETO 003 DE 01/01/2024</t>
        </r>
      </text>
    </comment>
    <comment ref="Y307" authorId="19" shapeId="0" xr:uid="{391458EF-102F-4F12-B934-E6D9724E0AD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$63.923.948,25</t>
        </r>
      </text>
    </comment>
    <comment ref="X308" authorId="20" shapeId="0" xr:uid="{51649187-578A-4A1C-BF8D-B835FDE3A22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ADICION SEGÚN DECRETO 003 DE 01/01/2024</t>
        </r>
      </text>
    </comment>
    <comment ref="Y308" authorId="21" shapeId="0" xr:uid="{5BE8984E-164D-476E-8B40-53F5F6B791F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$239.000.767,56</t>
        </r>
      </text>
    </comment>
    <comment ref="X309" authorId="22" shapeId="0" xr:uid="{06791325-8E83-4EA1-B62D-C3F028F6EC2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ADICION SEGÚN DECRETO 003 DE 01/01/2024</t>
        </r>
      </text>
    </comment>
    <comment ref="Y309" authorId="23" shapeId="0" xr:uid="{84BF5C97-51BE-409A-84E5-0130DDD6723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$294.636.481,75</t>
        </r>
      </text>
    </comment>
    <comment ref="X310" authorId="24" shapeId="0" xr:uid="{BA133088-EF54-45D5-A7FA-A5731C48BAC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ADICION SEGÚN DECRETO 003 DE 01/01/2024</t>
        </r>
      </text>
    </comment>
    <comment ref="Y310" authorId="25" shapeId="0" xr:uid="{48606080-FBC3-4C3E-9D9D-7E812131EB4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$44.027.875,33</t>
        </r>
      </text>
    </comment>
    <comment ref="X311" authorId="26" shapeId="0" xr:uid="{FF3B50DA-5C0E-4AFD-9B49-CA37F9B1222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ADICION SEGÚN DECRETO 003 DE 01/01/2024</t>
        </r>
      </text>
    </comment>
    <comment ref="Y311" authorId="27" shapeId="0" xr:uid="{0130D106-16D2-456F-95E2-2EF9B3F7B09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$229.483.848,61</t>
        </r>
      </text>
    </comment>
    <comment ref="X312" authorId="28" shapeId="0" xr:uid="{918F4E70-ADD2-4A63-8700-695B8A5F690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ADICION SEGÚN DECRETO 003 DE 01/01/2024</t>
        </r>
      </text>
    </comment>
    <comment ref="Y312" authorId="29" shapeId="0" xr:uid="{C752F776-7034-47BB-83A3-D3040ADA5E4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$37.927.562,62</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tc={FAAC1BAB-9E01-4C0E-A3FA-6CD9E55BA452}</author>
    <author>tc={AD181F4F-C17D-434C-8A50-1F7DA83E7514}</author>
    <author>tc={D0876C33-ED83-4321-AB70-68F3C5BE3CE2}</author>
    <author>tc={4231AF14-BACB-46B0-854A-B11A43A89040}</author>
    <author>tc={13510EEF-A0F2-46BE-A773-6CCB8A9B3E8A}</author>
    <author>tc={428011C8-018E-43F9-9F04-2C5AD7D188B5}</author>
    <author>tc={521B327D-8058-4E5C-BD10-53996C42AE2B}</author>
  </authors>
  <commentList>
    <comment ref="Y9" authorId="0" shapeId="0" xr:uid="{FAAC1BAB-9E01-4C0E-A3FA-6CD9E55BA45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15               9.600.000
Reply:
    184           12.000.000
612            12.000.000
596           10.800.000</t>
        </r>
      </text>
    </comment>
    <comment ref="Y15" authorId="1" shapeId="0" xr:uid="{AD181F4F-C17D-434C-8A50-1F7DA83E751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10               17.200.000
19               14.800.000
17               10.800.000
20               14.800.000
629             7.400.000
Reply:
    18            9.600.000
611          7.400.000
595           14.800.000</t>
        </r>
      </text>
    </comment>
    <comment ref="Y16" authorId="2" shapeId="0" xr:uid="{D0876C33-ED83-4321-AB70-68F3C5BE3CE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611         7.400.000
Reply:
    629         7.400.000</t>
        </r>
      </text>
    </comment>
    <comment ref="Y25" authorId="3" shapeId="0" xr:uid="{4231AF14-BACB-46B0-854A-B11A43A8904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165             14.800.000
594             17.200.000</t>
        </r>
      </text>
    </comment>
    <comment ref="Y26" authorId="4" shapeId="0" xr:uid="{13510EEF-A0F2-46BE-A773-6CCB8A9B3E8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                     12.000.000
7                     12.000.000</t>
        </r>
      </text>
    </comment>
    <comment ref="Y27" authorId="5" shapeId="0" xr:uid="{428011C8-018E-43F9-9F04-2C5AD7D188B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6                    7.400.000
9                    7.400.000</t>
        </r>
      </text>
    </comment>
    <comment ref="Y28" authorId="6" shapeId="0" xr:uid="{521B327D-8058-4E5C-BD10-53996C42AE2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6                    7.400.000
9                    7.400.000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tc={8ADBB074-CA48-42EE-BF9B-FB6D9F7D2D64}</author>
    <author>tc={9A1B2746-1380-49FF-A2F3-684B634F0B6E}</author>
    <author>tc={BFBD4D59-2E8C-4D1E-BED4-94C5BA9057D4}</author>
    <author>tc={55EF5678-CA2A-40F2-9EC0-E9A2987DCBA8}</author>
    <author>tc={92C94405-24D0-4F93-B147-004C1503F837}</author>
    <author>tc={B7063E86-F688-4024-AE57-ECFEEBFE34CF}</author>
    <author>tc={08913DC8-3D45-44A5-8AB7-BA643ECCDF2A}</author>
    <author>tc={365E5A3F-B3B3-4F8E-9A05-6C2E8B299F8F}</author>
    <author>tc={2D05F987-B31A-4588-ADA9-D4204E8FEB54}</author>
    <author>tc={C0CD254A-24F4-41EB-B550-E1F6269C9CDF}</author>
    <author>tc={09F5527A-7902-48F3-9949-0F486E0320F9}</author>
    <author>tc={09AEA5D7-4432-45F0-8BE2-89A6BED68738}</author>
    <author>tc={84143978-7459-4797-835D-946C76F5CD54}</author>
    <author>tc={D6AF7473-6B93-4120-BBE8-B2F6761F2908}</author>
    <author>tc={3E66EF4A-5D5F-460B-A165-F8EAE5DD91E4}</author>
    <author>tc={64F0C0F0-F80B-4ACD-992E-286E9FD748F6}</author>
    <author>tc={46CC6CCC-445A-44CD-99A0-E1EFA0457313}</author>
    <author>tc={C40CED4E-4BC6-4805-9A9E-F95B1139BC0B}</author>
    <author>tc={6951ABE9-2512-4B47-B065-AC9A51756637}</author>
    <author>tc={2EAC2E33-135B-4A08-A6C8-374D4650CF15}</author>
    <author>tc={5A115B48-BD62-4DB0-B15A-ED1E3ED94EFE}</author>
    <author>tc={C1E41BC8-61BB-4210-AC1E-705AC6620AFC}</author>
    <author>tc={17FC4917-FC23-4E1E-A677-8700F78B9A1C}</author>
    <author>tc={EF86F9C2-0FC5-4566-A29A-DD30EE093B1A}</author>
    <author>tc={D2363972-99F4-405C-A5E1-8495ABC13211}</author>
    <author>tc={8A1EC841-9B7C-4475-80FA-0376342B3A69}</author>
    <author>tc={2DC91554-F08C-42CF-844C-2CE22C300ABB}</author>
    <author>tc={A705ECA8-445E-4B8B-993C-3A1EA580DA25}</author>
    <author>tc={77F949C4-2787-4DC4-87BA-04CB72793327}</author>
    <author>tc={5411C72D-F40F-47FA-B46B-50C454A7DA43}</author>
    <author>tc={EF5095C3-645E-412C-B3F6-313936E395E1}</author>
    <author>tc={80F22D5C-4DC6-45A8-9801-C6031C7752D3}</author>
    <author>tc={94A4C41C-2FAE-4183-81A7-98453162618F}</author>
  </authors>
  <commentList>
    <comment ref="Y57" authorId="0" shapeId="0" xr:uid="{8ADBB074-CA48-42EE-BF9B-FB6D9F7D2D6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129            5.553.150
128            5.627.179
Reply:
    136         5.646.150</t>
        </r>
      </text>
    </comment>
    <comment ref="Y58" authorId="1" shapeId="0" xr:uid="{9A1B2746-1380-49FF-A2F3-684B634F0B6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85                8.325.000
129             3.868.150
128             3.842.179
Reply:
    136         3.861.150</t>
        </r>
      </text>
    </comment>
    <comment ref="Y59" authorId="2" shapeId="0" xr:uid="{BFBD4D59-2E8C-4D1E-BED4-94C5BA9057D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85                 1.110.000
129                3.683.150
128                3.657.179
Reply:
    136             3.676.150</t>
        </r>
      </text>
    </comment>
    <comment ref="Y60" authorId="3" shapeId="0" xr:uid="{55EF5678-CA2A-40F2-9EC0-E9A2987DCBA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85                 5.365.000
129                  908.150
128                  697.177</t>
        </r>
      </text>
    </comment>
    <comment ref="Y61" authorId="4" shapeId="0" xr:uid="{92C94405-24D0-4F93-B147-004C1503F83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136         936.150</t>
        </r>
      </text>
    </comment>
    <comment ref="Y63" authorId="5" shapeId="0" xr:uid="{B7063E86-F688-4024-AE57-ECFEEBFE34C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129                 1.887.400
128                 2.176.286
Reply:
    136              1.880.400</t>
        </r>
      </text>
    </comment>
    <comment ref="X70" authorId="6" shapeId="0" xr:uid="{08913DC8-3D45-44A5-8AB7-BA643ECCDF2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t>
        </r>
      </text>
    </comment>
    <comment ref="X71" authorId="7" shapeId="0" xr:uid="{365E5A3F-B3B3-4F8E-9A05-6C2E8B299F8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t>
        </r>
      </text>
    </comment>
    <comment ref="X72" authorId="8" shapeId="0" xr:uid="{2D05F987-B31A-4588-ADA9-D4204E8FEB5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t>
        </r>
      </text>
    </comment>
    <comment ref="X73" authorId="9" shapeId="0" xr:uid="{C0CD254A-24F4-41EB-B550-E1F6269C9CD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t>
        </r>
      </text>
    </comment>
    <comment ref="X74" authorId="10" shapeId="0" xr:uid="{09F5527A-7902-48F3-9949-0F486E0320F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t>
        </r>
      </text>
    </comment>
    <comment ref="X75" authorId="11" shapeId="0" xr:uid="{09AEA5D7-4432-45F0-8BE2-89A6BED6873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t>
        </r>
      </text>
    </comment>
    <comment ref="X76" authorId="12" shapeId="0" xr:uid="{84143978-7459-4797-835D-946C76F5CD5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t>
        </r>
      </text>
    </comment>
    <comment ref="X77" authorId="13" shapeId="0" xr:uid="{D6AF7473-6B93-4120-BBE8-B2F6761F290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t>
        </r>
      </text>
    </comment>
    <comment ref="X78" authorId="14" shapeId="0" xr:uid="{3E66EF4A-5D5F-460B-A165-F8EAE5DD91E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t>
        </r>
      </text>
    </comment>
    <comment ref="X79" authorId="15" shapeId="0" xr:uid="{64F0C0F0-F80B-4ACD-992E-286E9FD748F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t>
        </r>
      </text>
    </comment>
    <comment ref="X80" authorId="16" shapeId="0" xr:uid="{46CC6CCC-445A-44CD-99A0-E1EFA045731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t>
        </r>
      </text>
    </comment>
    <comment ref="X81" authorId="17" shapeId="0" xr:uid="{C40CED4E-4BC6-4805-9A9E-F95B1139BC0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t>
        </r>
      </text>
    </comment>
    <comment ref="X82" authorId="18" shapeId="0" xr:uid="{6951ABE9-2512-4B47-B065-AC9A5175663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Contracredito segun Decreto 0346 25/01/2024</t>
        </r>
      </text>
    </comment>
    <comment ref="X83" authorId="19" shapeId="0" xr:uid="{2EAC2E33-135B-4A08-A6C8-374D4650CF1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contracredito segun decreto 0346 25/01/2024</t>
        </r>
      </text>
    </comment>
    <comment ref="X84" authorId="20" shapeId="0" xr:uid="{5A115B48-BD62-4DB0-B15A-ED1E3ED94EF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t>
        </r>
      </text>
    </comment>
    <comment ref="Y84" authorId="21" shapeId="0" xr:uid="{C1E41BC8-61BB-4210-AC1E-705AC6620AFC}">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135                 7.700.000
134                 5.000.000
138                 5.950.000
Reply:
    131               4.300.000
Reply:
    130               4.300.000
Reply:
    </t>
        </r>
      </text>
    </comment>
    <comment ref="X85" authorId="22" shapeId="0" xr:uid="{17FC4917-FC23-4E1E-A677-8700F78B9A1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t>
        </r>
      </text>
    </comment>
    <comment ref="Y85" authorId="23" shapeId="0" xr:uid="{EF86F9C2-0FC5-4566-A29A-DD30EE093B1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135              4.000.000
134              8.000.000
137              4.300.000
138            10.000.000
Reply:
    131          8.600.000
Reply:
    130           8.600.000</t>
        </r>
      </text>
    </comment>
    <comment ref="X86" authorId="24" shapeId="0" xr:uid="{D2363972-99F4-405C-A5E1-8495ABC1321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
Credito segun decreto 0346 25/01/2024</t>
        </r>
      </text>
    </comment>
    <comment ref="Y86" authorId="25" shapeId="0" xr:uid="{8A1EC841-9B7C-4475-80FA-0376342B3A6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137                8.600.000
Reply:
    130     4.300.000</t>
        </r>
      </text>
    </comment>
    <comment ref="X87" authorId="26" shapeId="0" xr:uid="{2DC91554-F08C-42CF-844C-2CE22C300AB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t>
        </r>
      </text>
    </comment>
    <comment ref="Y87" authorId="27" shapeId="0" xr:uid="{A705ECA8-445E-4B8B-993C-3A1EA580DA2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137                 4.300.000</t>
        </r>
      </text>
    </comment>
    <comment ref="X88" authorId="28" shapeId="0" xr:uid="{77F949C4-2787-4DC4-87BA-04CB7279332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 
Credito según decreto 0346 25/01/2024</t>
        </r>
      </text>
    </comment>
    <comment ref="Y88" authorId="29" shapeId="0" xr:uid="{5411C72D-F40F-47FA-B46B-50C454A7DA4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131         3.300.000
Reply:
    130        3.300.000
Reply:
    137                 6.450.000
134                3.850.000</t>
        </r>
      </text>
    </comment>
    <comment ref="X89" authorId="30" shapeId="0" xr:uid="{EF5095C3-645E-412C-B3F6-313936E395E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Reestribución interna entre actividades</t>
        </r>
      </text>
    </comment>
    <comment ref="Y89" authorId="31" shapeId="0" xr:uid="{80F22D5C-4DC6-45A8-9801-C6031C7752D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135               3.150.000
138               4.400.000
134               2.500.000
Reply:
    131              3.150.000
Reply:
    130          3.150.000</t>
        </r>
      </text>
    </comment>
    <comment ref="X90" authorId="32" shapeId="0" xr:uid="{94A4C41C-2FAE-4183-81A7-98453162618F}">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credito segun decreto 0346 25/01/2024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tc={460D0691-A731-4C5A-8F8A-A4934FC50A48}</author>
    <author>tc={F1020F72-73C8-4CEA-8722-15B517DCAF36}</author>
    <author>tc={CA493DB6-FBAA-4151-9B99-337332812235}</author>
    <author>tc={94AAB18C-8E2D-4313-9B51-1A4FEF61C2DB}</author>
    <author>tc={CB855DC5-D69C-458E-A1B9-98EDBD4BC109}</author>
  </authors>
  <commentList>
    <comment ref="Y11" authorId="0" shapeId="0" xr:uid="{460D0691-A731-4C5A-8F8A-A4934FC50A4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98                     15.000.000</t>
        </r>
      </text>
    </comment>
    <comment ref="Y15" authorId="1" shapeId="0" xr:uid="{F1020F72-73C8-4CEA-8722-15B517DCAF3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108          60.000.000</t>
        </r>
      </text>
    </comment>
    <comment ref="Y17" authorId="2" shapeId="0" xr:uid="{CA493DB6-FBAA-4151-9B99-33733281223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64                  8.600.000
237               14.800.000
232               17.200.000
234               14.800.000
235              14.800.000
236               14.800.000
240               14.800.000
239               14.800.000
590                 6.540.000
591                8.000.000         
578             11.1000.000
579             12.900.000
Reply:
    555           14.800.000
Reply:
    550                14.800.000
Reply:
    524                     17.200.000
Reply:
    551                   7.200.000</t>
        </r>
      </text>
    </comment>
    <comment ref="Y23" authorId="3" shapeId="0" xr:uid="{94AAB18C-8E2D-4313-9B51-1A4FEF61C2D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69                 17.200.000
66                  14.800.000
64                   8.600.000
77                  17.200.000
75                   17.200.000
84                  14.800.000
79                  17.200.000
86                  14.800.000
91                  14.800.000
78                  17.200.000
88                  14.800.000
67                  17.200.000
204                14.800.000
584                14.800.000
82                  14.800.000
87                    8.600.000
Reply:
    581            8.100.000
582           16.000.000
583          17.200.000
588           12.000.000</t>
        </r>
      </text>
    </comment>
    <comment ref="Z23" authorId="4" shapeId="0" xr:uid="{CB855DC5-D69C-458E-A1B9-98EDBD4BC109}">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PP            Banco          Valor
67            33                 17.200.000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tc={87613E4E-9925-4192-98C1-B7C92F071A57}</author>
    <author>tc={C8B5A34F-92CE-499D-BBE4-09CB9836444D}</author>
    <author>tc={C79E1BF0-B2F3-46A7-9409-62E58D5E2BF4}</author>
    <author>tc={2C694844-073A-4672-B2D1-FEB407906223}</author>
    <author>tc={8F9FC0C8-47C3-4C0C-A5B0-7B5B379E2466}</author>
    <author>tc={E731B59B-17D2-4F48-822E-C41BA50EFCD8}</author>
    <author>tc={FE7B3603-07EF-4B44-9E2B-C551B402DC04}</author>
    <author>tc={8682DE92-3450-4B12-B626-2A04D2722F3E}</author>
    <author>tc={3E957A05-20DB-4EA2-B991-45ACE1555F1A}</author>
    <author>tc={02B5D72E-1431-4421-B308-A375DCBD135E}</author>
    <author>tc={48F84136-1492-4740-84C5-1EEB7448A875}</author>
    <author>tc={3AF065D7-C401-4FE8-9F55-A7308EC972F9}</author>
    <author>tc={80B68FDA-4BDA-4E8A-AE82-4F2F85BF1424}</author>
    <author>tc={D7AB82E5-9D93-4416-9B27-7EE2DB96E362}</author>
  </authors>
  <commentList>
    <comment ref="Y15" authorId="0" shapeId="0" xr:uid="{87613E4E-9925-4192-98C1-B7C92F071A5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343               2.000.000
357              2.000.000
350              1.200.000
448              2.800.000
627             4.000.000</t>
        </r>
      </text>
    </comment>
    <comment ref="Y16" authorId="1" shapeId="0" xr:uid="{C8B5A34F-92CE-499D-BBE4-09CB9836444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748           545.060.572</t>
        </r>
      </text>
    </comment>
    <comment ref="Y22" authorId="2" shapeId="0" xr:uid="{C79E1BF0-B2F3-46A7-9409-62E58D5E2BF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286             6.000.000
335             8.000.000
288             6.800.000
332             7.200.000
299             4.000.000
302            10.000.000
334            4.000.000
303            10.000.000
305             10.400.000
307             7.200.000
331             7.200.000
325             8.000.000
330             10.000.000
338             4.400.000
339            7.600.000
345            4.400.000
349            10.000.000
343             3.200.000
347             8.400.000
341              2.000.000
357              5.200.000
354              4.400.000
362             10.000.000
410             5.200.000
360             8.000.000
351             8.400.000
326            7.200.000
359            2.800.000
348            9.200.000
358           4.000.000
346           3.600.000
355           3.600.000
353           4.800.000
356           4.800.000
540           4.000.000
541           8.000.000
544          2.000.000
Reply:
    PP                   Valor
408                 11.800.000
350                 4.000.000
447                8.000.000
406               6.000.000
407              6.400.000
344              10.800.000
352                8.800.000
448              9.000.000
338              4.400.000
Reply:
    543     10.800.000</t>
        </r>
      </text>
    </comment>
    <comment ref="Z22" authorId="3" shapeId="0" xr:uid="{2C694844-073A-4672-B2D1-FEB40790622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BANCO      VALOR 
338        89             4.400.000</t>
        </r>
      </text>
    </comment>
    <comment ref="Y27" authorId="4" shapeId="0" xr:uid="{8F9FC0C8-47C3-4C0C-A5B0-7B5B379E246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359               2.400.000
346               2.000.000</t>
        </r>
      </text>
    </comment>
    <comment ref="Y36" authorId="5" shapeId="0" xr:uid="{E731B59B-17D2-4F48-822E-C41BA50EFCD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286              4.400.000
335              8.000.000
288              8.400.000
332              5.200.000
299              4.400.000
302              2.000.000
334              4.000.000
303             4.800.000
305             6.800.000
307            10.000.000
331             6.800.000
325             6.800.000
330             5.600.000
338             2.800.000
339             6.800.000
345             4.000.000
349             4.800.000
343            2.800.000
347            3.600.000
341             4.000.000
357             2.000.000
354             4.000.000
410             4.000.000
360             6.800.000
351             5.600.000
326              6.800.000
359             4.000.000
348            7.200.000
358            4.400.000
346            3.600.000
355             2.800.000
353            3.200.000
356            2.000.000
540            4.000.000
541            1.000.000
542             6.200.000
Reply:
    PP                 Valor
408              5.200.000
350             2.800.000
447            4.800.000
406            5.800.000
344            5.600.000
407            4.000.000
338            2.800.000
Reply:
    543        3.800.000</t>
        </r>
      </text>
    </comment>
    <comment ref="Z36" authorId="6" shapeId="0" xr:uid="{FE7B3603-07EF-4B44-9E2B-C551B402DC0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BANCO      VALOR 
338           88         2.800.000</t>
        </r>
      </text>
    </comment>
    <comment ref="Y41" authorId="7" shapeId="0" xr:uid="{8682DE92-3450-4B12-B626-2A04D2722F3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98                    60.000.000</t>
        </r>
      </text>
    </comment>
    <comment ref="Y42" authorId="8" shapeId="0" xr:uid="{3E957A05-20DB-4EA2-B991-45ACE1555F1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31               5.000.000</t>
        </r>
      </text>
    </comment>
    <comment ref="Y45" authorId="9" shapeId="0" xr:uid="{02B5D72E-1431-4421-B308-A375DCBD135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286                1.600.000
335                1.200.000
288                 2.000.000
332                 2.400.000
292                13.200.000
295                11.200.000
299                800.000
333               11.200.000
331               3.200.000
330               1.600.000
302               2.000.000
339                    400.000
345                    800.000
354                    800.000
362                 2.000.000
351                    800.000
347                 3.600.000
326                    800.000
348                    800.000
408                    200.000
447                  2.000.000
409                 11.200.000
406                     200.000
344                     800.000
356                     400.000
541                     200.000
542                  6.000.000
544                 1.600.000
Reply:
    352                  3.200.000
407                     400.000
448                      200.000
Reply:
    543            200.000</t>
        </r>
      </text>
    </comment>
    <comment ref="Y52" authorId="10" shapeId="0" xr:uid="{48F84136-1492-4740-84C5-1EEB7448A87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544      8.400.000</t>
        </r>
      </text>
    </comment>
    <comment ref="Y67" authorId="11" shapeId="0" xr:uid="{3AF065D7-C401-4FE8-9F55-A7308EC972F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358               800.000
355             1.600.000
356             2.000.000
540             2.800.000
542            5.000.000
627            4.000.000</t>
        </r>
      </text>
    </comment>
    <comment ref="Y71" authorId="12" shapeId="0" xr:uid="{80B68FDA-4BDA-4E8A-AE82-4F2F85BF142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338              800.000
341             2.000.000
338             2.000.000
627            1.200.000</t>
        </r>
      </text>
    </comment>
    <comment ref="Z71" authorId="13" shapeId="0" xr:uid="{D7AB82E5-9D93-4416-9B27-7EE2DB96E36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BANCO      VALOR 
338          87             800.000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tc={E852C313-5BD9-46D0-B980-A7166E65C71F}</author>
    <author>tc={CAE98FF3-B92D-49FA-8443-EA6953975BA5}</author>
    <author>tc={82E31053-E367-476B-B278-14BE7030F020}</author>
    <author>tc={F0022E26-3D04-4A0B-B29D-E44993E96F16}</author>
    <author>tc={5DD66248-443E-496B-9EA5-92D4FFB412C5}</author>
    <author>tc={3E58561E-437A-4288-B85A-6EC2B5F03188}</author>
    <author>tc={B363D832-0165-4269-8598-DE5CD174C90F}</author>
  </authors>
  <commentList>
    <comment ref="Z16" authorId="0" shapeId="0" xr:uid="{E852C313-5BD9-46D0-B980-A7166E65C71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394                10.500.000
662                10.000.000</t>
        </r>
      </text>
    </comment>
    <comment ref="Z18" authorId="1" shapeId="0" xr:uid="{CAE98FF3-B92D-49FA-8443-EA6953975BA5}">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PP                  Valor
396              8.100.000
651            16.200.000
</t>
        </r>
      </text>
    </comment>
    <comment ref="Z27" authorId="2" shapeId="0" xr:uid="{82E31053-E367-476B-B278-14BE7030F02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PP              VLR
393           12.900.000
419             8.100.000    </t>
        </r>
      </text>
    </comment>
    <comment ref="Z33" authorId="3" shapeId="0" xr:uid="{F0022E26-3D04-4A0B-B29D-E44993E96F1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654             8.100.000</t>
        </r>
      </text>
    </comment>
    <comment ref="Z34" authorId="4" shapeId="0" xr:uid="{5DD66248-443E-496B-9EA5-92D4FFB412C5}">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PP                   Valor
</t>
        </r>
      </text>
    </comment>
    <comment ref="Z41" authorId="5" shapeId="0" xr:uid="{3E58561E-437A-4288-B85A-6EC2B5F0318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652             9.000.000</t>
        </r>
      </text>
    </comment>
    <comment ref="Z42" authorId="6" shapeId="0" xr:uid="{B363D832-0165-4269-8598-DE5CD174C90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652           9.000.000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tc={32D8D3B9-E186-4F69-B07B-7C6D9BD95D0C}</author>
    <author>tc={FDCE1AEC-8566-4CCF-B5C3-4A5E554E1025}</author>
    <author>tc={8B9A6B71-3EA5-4A9B-AF7D-909724C8FE7D}</author>
    <author>tc={F64DC8EE-52B3-473C-9BC7-C2A7E22C86ED}</author>
    <author>tc={8BB84355-A8E7-4A7D-A503-0B8113194903}</author>
    <author>tc={DF9290D7-5CBC-49A1-8A00-4D679097A5B1}</author>
    <author>tc={E37322FF-979A-4F14-BE4F-3D990DB2B413}</author>
    <author>tc={2F0EEF97-421F-4322-BAA9-6FAA35E0658A}</author>
    <author>tc={26F29F43-DB97-483D-B065-B39F57424784}</author>
    <author>tc={D2B11883-9CD7-48A0-BDF9-BE1D839E4113}</author>
    <author>tc={178A627D-3C02-4704-A288-5AE12BD2F55D}</author>
    <author>tc={46B2C2BE-2C04-4DC9-BEE1-B56AA29846E3}</author>
    <author>tc={73F67DB6-2272-47EF-82C7-60833AF115E6}</author>
    <author>tc={B7F93ED6-BD12-44CD-888F-D4AD48B3F68F}</author>
    <author>tc={06F35EA8-EB76-40D8-B739-A6A8F3FE71C0}</author>
    <author>tc={29290BEC-F192-4E04-AFCF-DED9867EFA62}</author>
    <author>tc={B0DFBD07-94F6-42D7-A88C-E1B5F0D26790}</author>
    <author>tc={4E9949E6-88FB-47F6-B05E-679563935848}</author>
    <author>tc={AB7EEC64-57D2-4AE5-AE84-A9C263DE9276}</author>
    <author>tc={0F65B448-ADEA-4F6F-BBF9-7EE23F0CB099}</author>
    <author>tc={60ABA499-14EC-402C-A924-88D461DE416F}</author>
    <author>tc={5B31E4BC-BBB7-4378-B74F-D7BDA527B252}</author>
    <author>tc={014B2F55-04A6-4771-B165-3E0882E691E8}</author>
    <author>tc={62EB1498-7D1B-4DFC-BE5E-12A7211814DE}</author>
    <author>tc={02EB2C37-D553-47C2-8565-538E6FDAA4BC}</author>
    <author>tc={A4A948F1-5322-4676-BDC3-03D13C82ED78}</author>
    <author>tc={2650F772-EC56-423E-AC58-365CF69ACD6C}</author>
    <author>tc={459FE9C3-EFD0-455F-A123-165F692EE4CA}</author>
  </authors>
  <commentList>
    <comment ref="Y11" authorId="0" shapeId="0" xr:uid="{32D8D3B9-E186-4F69-B07B-7C6D9BD95D0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273              14.000.000
537               15.800.000</t>
        </r>
      </text>
    </comment>
    <comment ref="Y12" authorId="1" shapeId="0" xr:uid="{FDCE1AEC-8566-4CCF-B5C3-4A5E554E102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598         17.200.000</t>
        </r>
      </text>
    </comment>
    <comment ref="Y17" authorId="2" shapeId="0" xr:uid="{8B9A6B71-3EA5-4A9B-AF7D-909724C8FE7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274                  9.000.000
Reply:
    276             5.200.000
600              5.800.000</t>
        </r>
      </text>
    </comment>
    <comment ref="Y18" authorId="3" shapeId="0" xr:uid="{F64DC8EE-52B3-473C-9BC7-C2A7E22C86E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276      10.000.000
Reply:
    600      5.000.000</t>
        </r>
      </text>
    </comment>
    <comment ref="Y21" authorId="4" shapeId="0" xr:uid="{8BB84355-A8E7-4A7D-A503-0B811319490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377                14.800.000</t>
        </r>
      </text>
    </comment>
    <comment ref="Y23" authorId="5" shapeId="0" xr:uid="{DF9290D7-5CBC-49A1-8A00-4D679097A5B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382        5.400.000</t>
        </r>
      </text>
    </comment>
    <comment ref="Y24" authorId="6" shapeId="0" xr:uid="{E37322FF-979A-4F14-BE4F-3D990DB2B41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382        5.400.000
Reply:
    560            3.900.000</t>
        </r>
      </text>
    </comment>
    <comment ref="Y25" authorId="7" shapeId="0" xr:uid="{2F0EEF97-421F-4322-BAA9-6FAA35E0658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382        5.400.000</t>
        </r>
      </text>
    </comment>
    <comment ref="Y27" authorId="8" shapeId="0" xr:uid="{26F29F43-DB97-483D-B065-B39F5742478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241              10.000.000</t>
        </r>
      </text>
    </comment>
    <comment ref="Y45" authorId="9" shapeId="0" xr:uid="{D2B11883-9CD7-48A0-BDF9-BE1D839E411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256             3.000.000</t>
        </r>
      </text>
    </comment>
    <comment ref="Y49" authorId="10" shapeId="0" xr:uid="{178A627D-3C02-4704-A288-5AE12BD2F55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241             4.000.000</t>
        </r>
      </text>
    </comment>
    <comment ref="Y51" authorId="11" shapeId="0" xr:uid="{46B2C2BE-2C04-4DC9-BEE1-B56AA29846E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256              2.000.000</t>
        </r>
      </text>
    </comment>
    <comment ref="Y55" authorId="12" shapeId="0" xr:uid="{73F67DB6-2272-47EF-82C7-60833AF115E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66                10.000.000
Reply:
    566         10.000.000
Reply:
    276              7.000.000
Reply:
    537            10.000.000</t>
        </r>
      </text>
    </comment>
    <comment ref="Y62" authorId="13" shapeId="0" xr:uid="{B7F93ED6-BD12-44CD-888F-D4AD48B3F68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274             9.000.000
Reply:
    566            4.800.000
Reply:
    569              7.400.000</t>
        </r>
      </text>
    </comment>
    <comment ref="Y66" authorId="14" shapeId="0" xr:uid="{06F35EA8-EB76-40D8-B739-A6A8F3FE71C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399                24.000.000</t>
        </r>
      </text>
    </comment>
    <comment ref="Y67" authorId="15" shapeId="0" xr:uid="{29290BEC-F192-4E04-AFCF-DED9867EFA6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398          $11.100.000
560              3.900.000</t>
        </r>
      </text>
    </comment>
    <comment ref="Y71" authorId="16" shapeId="0" xr:uid="{B0DFBD07-94F6-42D7-A88C-E1B5F0D2679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557             14.800.000
374             25.800.000</t>
        </r>
      </text>
    </comment>
    <comment ref="Y72" authorId="17" shapeId="0" xr:uid="{4E9949E6-88FB-47F6-B05E-67956393584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398          $11.100.000</t>
        </r>
      </text>
    </comment>
    <comment ref="Y76" authorId="18" shapeId="0" xr:uid="{AB7EEC64-57D2-4AE5-AE84-A9C263DE927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256             5.000.000
560             7.000.000</t>
        </r>
      </text>
    </comment>
    <comment ref="Y77" authorId="19" shapeId="0" xr:uid="{0F65B448-ADEA-4F6F-BBF9-7EE23F0CB099}">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PP               Valor
</t>
        </r>
      </text>
    </comment>
    <comment ref="Y81" authorId="20" shapeId="0" xr:uid="{60ABA499-14EC-402C-A924-88D461DE416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241               4.000.000</t>
        </r>
      </text>
    </comment>
    <comment ref="Y83" authorId="21" shapeId="0" xr:uid="{5B31E4BC-BBB7-4378-B74F-D7BDA527B25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256             5.000.000</t>
        </r>
      </text>
    </comment>
    <comment ref="Y87" authorId="22" shapeId="0" xr:uid="{014B2F55-04A6-4771-B165-3E0882E691E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383         16.800.000
385         16.200.000
599           9.200.000
Reply:
    597       9.200.000</t>
        </r>
      </text>
    </comment>
    <comment ref="Y89" authorId="23" shapeId="0" xr:uid="{62EB1498-7D1B-4DFC-BE5E-12A7211814D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558          8.600.000
Reply:
    609           5.800.000</t>
        </r>
      </text>
    </comment>
    <comment ref="Y95" authorId="24" shapeId="0" xr:uid="{02EB2C37-D553-47C2-8565-538E6FDAA4B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256              7.200.000</t>
        </r>
      </text>
    </comment>
    <comment ref="Y96" authorId="25" shapeId="0" xr:uid="{A4A948F1-5322-4676-BDC3-03D13C82ED7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609              5.000.000</t>
        </r>
      </text>
    </comment>
    <comment ref="Y98" authorId="26" shapeId="0" xr:uid="{2650F772-EC56-423E-AC58-365CF69ACD6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569      7.400.000</t>
        </r>
      </text>
    </comment>
    <comment ref="Y101" authorId="27" shapeId="0" xr:uid="{459FE9C3-EFD0-455F-A123-165F692EE4C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558      8600000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tc={56035A5C-5310-4CDD-BEF2-2767EE5C3B77}</author>
    <author>tc={ADC419A9-F71C-4B7A-8D89-D24F42656585}</author>
    <author>tc={AC6ED8F3-F690-437C-BBD3-D2F8F9D1AAE3}</author>
    <author>tc={4923C768-F5DD-48A8-90E8-E63BC78D7E7B}</author>
    <author>tc={293D88E1-BF37-4747-99F9-EA40E6497021}</author>
    <author>tc={E7D1F846-7B63-453B-B8A2-1DB24F2B9DDA}</author>
  </authors>
  <commentList>
    <comment ref="Y12" authorId="0" shapeId="0" xr:uid="{56035A5C-5310-4CDD-BEF2-2767EE5C3B7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506                    $ 17.200.000</t>
        </r>
      </text>
    </comment>
    <comment ref="Y13" authorId="1" shapeId="0" xr:uid="{ADC419A9-F71C-4B7A-8D89-D24F4265658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61                  19.800.000
238                 22.200.000
462                 17.200.000
453                 17.200.000</t>
        </r>
      </text>
    </comment>
    <comment ref="Y17" authorId="2" shapeId="0" xr:uid="{AC6ED8F3-F690-437C-BBD3-D2F8F9D1AAE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203             70.000.000
127             50.000.000
553            400.000.000</t>
        </r>
      </text>
    </comment>
    <comment ref="Z17" authorId="3" shapeId="0" xr:uid="{4923C768-F5DD-48A8-90E8-E63BC78D7E7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203             70.000.000
127             50.000.000</t>
        </r>
      </text>
    </comment>
    <comment ref="Y22" authorId="4" shapeId="0" xr:uid="{293D88E1-BF37-4747-99F9-EA40E649702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634              6.000.000</t>
        </r>
      </text>
    </comment>
    <comment ref="Y23" authorId="5" shapeId="0" xr:uid="{E7D1F846-7B63-453B-B8A2-1DB24F2B9DD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471             14.800.000
480             14.800.000
495             17.200.000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tc={F6CD72E6-6B58-49E4-8BCC-7C5733F23149}</author>
    <author>tc={C4EE27BB-7B25-4886-A1C1-52B6B3DDFDB3}</author>
  </authors>
  <commentList>
    <comment ref="Y11" authorId="0" shapeId="0" xr:uid="{F6CD72E6-6B58-49E4-8BCC-7C5733F2314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279              16.200.000
323              30.000.000
552              17.200.000</t>
        </r>
      </text>
    </comment>
    <comment ref="Y13" authorId="1" shapeId="0" xr:uid="{C4EE27BB-7B25-4886-A1C1-52B6B3DDFDB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361             22.200.000
472             25.800.000
493             22.200.000
517             22.200.000
515             22.200.000
548             22.200.000
539             22.200.000
547             25.800.000
500             13.800.000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tc={E1F64BCD-82AB-427C-A9C2-20722CBA00D8}</author>
    <author>tc={52A57CFE-FE4F-4FFF-B511-9365E047E87E}</author>
    <author>tc={1980C550-CAD5-4C0C-8FE5-91C18318489E}</author>
    <author>tc={C5278F34-F3BF-47C9-B82E-14B2FC1E05B6}</author>
    <author>tc={BE2FFBCE-97C7-4649-A0E1-4700EC5789EC}</author>
    <author>tc={57D4ED59-DBA1-4874-B1D1-2B8D7678C3A4}</author>
    <author>tc={42F90119-04C0-4084-ACC2-86262EF114AC}</author>
    <author>tc={B6CB65C3-9CB5-41A7-AFD2-FA164BB61474}</author>
    <author>tc={1463B071-509A-41A8-A8C9-65833E585E06}</author>
    <author>tc={C68773C9-0C92-444E-8587-8693DAFFBBCF}</author>
    <author>tc={2BACAA30-CFE9-437B-9601-7AC327B8C305}</author>
    <author>tc={875B9805-7A31-44E3-9C83-92546806F6FB}</author>
    <author>tc={31979814-D607-46F6-9F9A-EBCE7F6F3C92}</author>
    <author>tc={621E8845-C9D9-4278-A1DB-76A466D103C7}</author>
    <author>tc={D8F5A5FD-80D7-44E0-A000-70689BA3A84E}</author>
    <author>tc={5B94061E-5AC4-4FA4-98A7-80DCF09A5ED0}</author>
    <author>tc={016F8A7C-4CCE-4CBF-832B-B9E26DE9C933}</author>
    <author>tc={2A949CB8-4CE9-46B1-AFD9-1E894E19676D}</author>
    <author>tc={F8601A2A-D586-43DE-8375-9D1C490BDCD6}</author>
    <author>tc={60F9DB41-C348-46D6-BA3F-52BD0146C1DA}</author>
    <author>tc={9CFE4CA1-5E62-4FFC-B8D0-025B86E5DF09}</author>
    <author>tc={5E621F3A-756A-43B1-BE3A-4F5E79516B1C}</author>
    <author>tc={90AF9025-FF0F-4BBB-A4B6-47289A3B91DA}</author>
    <author>tc={B9B9624D-5F81-4FD0-BE90-7EF7078CFDF7}</author>
    <author>tc={23D9AC4F-9443-4B09-8551-B7900FE759D5}</author>
    <author>tc={7DE66D55-7B5B-4E05-8AB4-F43868D0150B}</author>
    <author>tc={EF407061-ADD4-45E0-82A8-8FB6C721FAD3}</author>
    <author>tc={51E1B328-4E15-4307-842D-3C496C5D3138}</author>
    <author>tc={4B989D66-90E0-4386-BC21-B6B5AFCE11A4}</author>
    <author>tc={2347A6E0-D84E-42B7-9644-7C2767F0540F}</author>
    <author>tc={2D5A6CEC-E8F3-466C-9AAE-8786E281E898}</author>
    <author>tc={2332F29D-5519-4A39-AD01-8D08F69B9CE6}</author>
    <author>tc={BB4E6339-664E-4DB1-A30D-54A15BBBEA62}</author>
    <author>tc={3E27E513-CFA0-4124-AC8A-21F6A6F9DD8F}</author>
    <author>tc={DF9264A7-F9B3-4B40-96DE-3060D826BC76}</author>
    <author>tc={E9775736-2BBC-4DAA-A90E-EF6281CB9402}</author>
    <author>tc={BB50FAB7-FECA-4E2F-A7B1-7FBDB7606609}</author>
    <author>tc={E39C63DB-6EDA-4722-B21A-844B53CA30CB}</author>
    <author>tc={01CCED37-0448-497D-B83F-B77A933495F5}</author>
    <author>tc={BE403A43-A6E6-44DC-BCAB-7559784FB9DC}</author>
    <author>tc={CD9487A9-820E-4631-89B4-65D2C7C51A8C}</author>
    <author>tc={ACD653C4-600E-47DF-BCEC-5F7321942DEC}</author>
    <author>tc={8D5FA4D3-19B9-47E4-B523-2C9BF0668EFB}</author>
    <author>tc={F91A2FE3-A104-42FD-986C-03C14A5277E7}</author>
    <author>tc={CE573EA8-4459-4A69-96EA-513202EC3E72}</author>
    <author>tc={AE99CA40-591A-4849-A059-F006B7A14EB1}</author>
    <author>tc={AE4135BD-E88C-4239-BD2F-578AD7FFCCC1}</author>
    <author>tc={F1593D20-8146-44A6-80C7-1F2173C75F15}</author>
    <author>tc={3CF9FE76-5858-4A76-880A-CD4887119EA0}</author>
    <author>tc={037D4713-C464-4BD5-9A16-290D8E392EA1}</author>
    <author>tc={686DD4A9-AAC3-4F6B-9699-92D2A6623F06}</author>
    <author>tc={8F293236-641C-48CF-9746-0996F21D7B18}</author>
    <author>tc={F1D3A865-E393-4DC6-ADBC-9740A4BE265B}</author>
    <author>tc={AADD7F31-D3E3-4FF7-9DCC-EAD8CAF4B603}</author>
    <author>tc={68816DA1-0A59-483A-8C70-8F5F59C4C4FE}</author>
    <author>tc={07E5CF52-412A-4A96-97BB-12201B8528FB}</author>
    <author>tc={B994312E-AC96-4B87-A27B-B040BFBB51CB}</author>
    <author>tc={16590F40-5E6A-4DFF-8064-777D78AAD3A1}</author>
    <author>tc={4DB25C08-2A0E-448C-ABE0-99122C5C21F9}</author>
    <author>tc={91D2ED6C-CD5C-4DE9-B44E-22BB4BF2387E}</author>
    <author>tc={60483CF0-0278-42A5-A92F-044C88A8349C}</author>
    <author>tc={59BF6F3C-AA65-450C-8282-1EBAB48E2641}</author>
    <author>tc={63481B2F-1769-4FD1-B95B-B16E5B51F2CC}</author>
    <author>tc={F6B5B57C-B553-48DF-BE88-3BDD5B73F37F}</author>
    <author>tc={E339FF7F-90A4-4549-92D8-D0F202392947}</author>
    <author>tc={E2165810-C377-4579-BA9F-FC76914C002B}</author>
    <author>tc={B31B83D3-3B9E-4190-B33E-7F1CBE523734}</author>
    <author>tc={AD13DD62-E23C-4424-946B-5792D7FD9752}</author>
    <author>tc={BEB2EC4D-5549-4874-97F4-A3965B3B991B}</author>
    <author>tc={5431B52F-8BB3-4E5A-B8B0-BAA08A5D795D}</author>
    <author>tc={40DA2B8B-5900-4589-B830-8FF661FFDBCB}</author>
    <author>tc={44CF14BA-DAFE-4F91-8596-B793FC201FFF}</author>
    <author>tc={96638FB6-B356-434D-BB3A-BDDE001F0B97}</author>
    <author>tc={0054D31D-8A3D-4325-9B9E-B5FEAD044F15}</author>
    <author>tc={331B8379-09E1-469B-B5F4-3EDE8CFEC2AB}</author>
    <author>tc={33B39DD8-BE5A-476C-ADF9-3976E9750B48}</author>
    <author>tc={0D8163B3-31B1-4562-8788-EFCA1C45FFEB}</author>
    <author>tc={5913C2F7-E92D-40A0-829A-9753562DA298}</author>
    <author>tc={BB875BB2-73E2-4D69-A478-D98B227AD4B2}</author>
    <author>tc={EC253326-18FF-4342-AB09-FA5AC730FDE7}</author>
    <author>tc={0ADD0BCF-F4A9-43ED-B901-08ADA32B9F89}</author>
    <author>tc={07F5A930-7DA8-42C0-AD20-441396F43A19}</author>
    <author>tc={AB6E4D5F-1DBB-43A3-9662-83D954D89CFC}</author>
    <author>tc={0CD263AD-6AD6-43BF-962C-EEBDDB5BB966}</author>
    <author>tc={BD34667F-1006-4013-BC96-A1AA223E541B}</author>
    <author>tc={1C8C0A8A-AFFF-4D52-9B70-331323E0370E}</author>
    <author>tc={17335040-4A51-4401-831A-63A9EAC72791}</author>
    <author>tc={5C977245-5668-4022-8A18-55640BB220D3}</author>
    <author>tc={630A1657-17BD-4327-AAD5-A81C00A71DD0}</author>
    <author>tc={190045A9-E9BD-4CFF-B3CC-0B8A69F6ACC0}</author>
    <author>tc={8EF8C22B-0ECB-4A54-ABC4-2214F692C391}</author>
  </authors>
  <commentList>
    <comment ref="Y12" authorId="0" shapeId="0" xr:uid="{E1F64BCD-82AB-427C-A9C2-20722CBA00D8}">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pp              valor
31              1.844.628.621
</t>
        </r>
      </text>
    </comment>
    <comment ref="Y13" authorId="1" shapeId="0" xr:uid="{52A57CFE-FE4F-4FFF-B511-9365E047E87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233             2.602.820.888</t>
        </r>
      </text>
    </comment>
    <comment ref="Y14" authorId="2" shapeId="0" xr:uid="{1980C550-CAD5-4C0C-8FE5-91C18318489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2.351.475.168</t>
        </r>
      </text>
    </comment>
    <comment ref="Y16" authorId="3" shapeId="0" xr:uid="{C5278F34-F3BF-47C9-B82E-14B2FC1E05B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95.681.019.630</t>
        </r>
      </text>
    </comment>
    <comment ref="Y17" authorId="4" shapeId="0" xr:uid="{BE2FFBCE-97C7-4649-A0E1-4700EC5789E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10.692464.608</t>
        </r>
      </text>
    </comment>
    <comment ref="Y18" authorId="5" shapeId="0" xr:uid="{57D4ED59-DBA1-4874-B1D1-2B8D7678C3A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8.767 360</t>
        </r>
      </text>
    </comment>
    <comment ref="Y19" authorId="6" shapeId="0" xr:uid="{42F90119-04C0-4084-ACC2-86262EF114A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1.384.320.000</t>
        </r>
      </text>
    </comment>
    <comment ref="Y20" authorId="7" shapeId="0" xr:uid="{B6CB65C3-9CB5-41A7-AFD2-FA164BB6147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460.643.228</t>
        </r>
      </text>
    </comment>
    <comment ref="Y21" authorId="8" shapeId="0" xr:uid="{1463B071-509A-41A8-A8C9-65833E585E0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1.652.664.557.98</t>
        </r>
      </text>
    </comment>
    <comment ref="Y22" authorId="9" shapeId="0" xr:uid="{C68773C9-0C92-444E-8587-8693DAFFBBC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200.000.000</t>
        </r>
      </text>
    </comment>
    <comment ref="Y23" authorId="10" shapeId="0" xr:uid="{2BACAA30-CFE9-437B-9601-7AC327B8C30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36.168.180</t>
        </r>
      </text>
    </comment>
    <comment ref="Y24" authorId="11" shapeId="0" xr:uid="{875B9805-7A31-44E3-9C83-92546806F6F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1.000.000</t>
        </r>
      </text>
    </comment>
    <comment ref="Y25" authorId="12" shapeId="0" xr:uid="{31979814-D607-46F6-9F9A-EBCE7F6F3C9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58.881.007</t>
        </r>
      </text>
    </comment>
    <comment ref="Y26" authorId="13" shapeId="0" xr:uid="{621E8845-C9D9-4278-A1DB-76A466D103C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95.878.720</t>
        </r>
      </text>
    </comment>
    <comment ref="Y27" authorId="14" shapeId="0" xr:uid="{D8F5A5FD-80D7-44E0-A000-70689BA3A84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475.242.929.84</t>
        </r>
      </text>
    </comment>
    <comment ref="Y28" authorId="15" shapeId="0" xr:uid="{5B94061E-5AC4-4FA4-98A7-80DCF09A5E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4.831.680</t>
        </r>
      </text>
    </comment>
    <comment ref="Y29" authorId="16" shapeId="0" xr:uid="{016F8A7C-4CCE-4CBF-832B-B9E26DE9C93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962.160.000</t>
        </r>
      </text>
    </comment>
    <comment ref="Y30" authorId="17" shapeId="0" xr:uid="{2A949CB8-4CE9-46B1-AFD9-1E894E19676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60892845</t>
        </r>
      </text>
    </comment>
    <comment ref="Y31" authorId="18" shapeId="0" xr:uid="{F8601A2A-D586-43DE-8375-9D1C490BDCD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322.426.172</t>
        </r>
      </text>
    </comment>
    <comment ref="Y32" authorId="19" shapeId="0" xr:uid="{60F9DB41-C348-46D6-BA3F-52BD0146C1D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189.536.480</t>
        </r>
      </text>
    </comment>
    <comment ref="Y33" authorId="20" shapeId="0" xr:uid="{9CFE4CA1-5E62-4FFC-B8D0-025B86E5DF0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582.910.049</t>
        </r>
      </text>
    </comment>
    <comment ref="Y34" authorId="21" shapeId="0" xr:uid="{5E621F3A-756A-43B1-BE3A-4F5E79516B1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9.228.800</t>
        </r>
      </text>
    </comment>
    <comment ref="Y35" authorId="22" shapeId="0" xr:uid="{90AF9025-FF0F-4BBB-A4B6-47289A3B91D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1.730.400.000</t>
        </r>
      </text>
    </comment>
    <comment ref="Y36" authorId="23" shapeId="0" xr:uid="{B9B9624D-5F81-4FD0-BE90-7EF7078CFDF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96.602.454</t>
        </r>
      </text>
    </comment>
    <comment ref="Y37" authorId="24" shapeId="0" xr:uid="{23D9AC4F-9443-4B09-8551-B7900FE759D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492.129.489.54</t>
        </r>
      </text>
    </comment>
    <comment ref="Y38" authorId="25" shapeId="0" xr:uid="{7DE66D55-7B5B-4E05-8AB4-F43868D0150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4.383.680.000</t>
        </r>
      </text>
    </comment>
    <comment ref="Y39" authorId="26" shapeId="0" xr:uid="{EF407061-ADD4-45E0-82A8-8FB6C721FAD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720.084.163.78</t>
        </r>
      </text>
    </comment>
    <comment ref="Y40" authorId="27" shapeId="0" xr:uid="{51E1B328-4E15-4307-842D-3C496C5D313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3.000.000</t>
        </r>
      </text>
    </comment>
    <comment ref="Y41" authorId="28" shapeId="0" xr:uid="{4B989D66-90E0-4386-BC21-B6B5AFCE11A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10.000.000</t>
        </r>
      </text>
    </comment>
    <comment ref="Y42" authorId="29" shapeId="0" xr:uid="{2347A6E0-D84E-42B7-9644-7C2767F0540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5.000.000</t>
        </r>
      </text>
    </comment>
    <comment ref="Y43" authorId="30" shapeId="0" xr:uid="{2D5A6CEC-E8F3-466C-9AAE-8786E281E89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1.600.720.440.88</t>
        </r>
      </text>
    </comment>
    <comment ref="Y44" authorId="31" shapeId="0" xr:uid="{2332F29D-5519-4A39-AD01-8D08F69B9CE6}">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N/A            257.600.000
</t>
        </r>
      </text>
    </comment>
    <comment ref="Y45" authorId="32" shapeId="0" xr:uid="{BB4E6339-664E-4DB1-A30D-54A15BBBEA6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29.347.584</t>
        </r>
      </text>
    </comment>
    <comment ref="Y46" authorId="33" shapeId="0" xr:uid="{3E27E513-CFA0-4124-AC8A-21F6A6F9DD8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3.483.802.784</t>
        </r>
      </text>
    </comment>
    <comment ref="Y47" authorId="34" shapeId="0" xr:uid="{DF9264A7-F9B3-4B40-96DE-3060D826BC7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268 534 991</t>
        </r>
      </text>
    </comment>
    <comment ref="Y48" authorId="35" shapeId="0" xr:uid="{E9775736-2BBC-4DAA-A90E-EF6281CB940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1.436.573.376</t>
        </r>
      </text>
    </comment>
    <comment ref="Y49" authorId="36" shapeId="0" xr:uid="{BB50FAB7-FECA-4E2F-A7B1-7FBDB760660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4.614.400</t>
        </r>
      </text>
    </comment>
    <comment ref="Y50" authorId="37" shapeId="0" xr:uid="{E39C63DB-6EDA-4722-B21A-844B53CA30C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1.153.600.000</t>
        </r>
      </text>
    </comment>
    <comment ref="Y51" authorId="38" shapeId="0" xr:uid="{01CCED37-0448-497D-B83F-B77A933495F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190.214.354</t>
        </r>
      </text>
    </comment>
    <comment ref="Y52" authorId="39" shapeId="0" xr:uid="{BE403A43-A6E6-44DC-BCAB-7559784FB9D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1.023.043.845.60</t>
        </r>
      </text>
    </comment>
    <comment ref="Y53" authorId="40" shapeId="0" xr:uid="{CD9487A9-820E-4631-89B4-65D2C7C51A8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4.614.400.000</t>
        </r>
      </text>
    </comment>
    <comment ref="Y54" authorId="41" shapeId="0" xr:uid="{ACD653C4-600E-47DF-BCEC-5F7321942DE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1.153.600.000</t>
        </r>
      </text>
    </comment>
    <comment ref="Y57" authorId="42" shapeId="0" xr:uid="{8D5FA4D3-19B9-47E4-B523-2C9BF0668EF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2.307.200.000</t>
        </r>
      </text>
    </comment>
    <comment ref="Y59" authorId="43" shapeId="0" xr:uid="{F91A2FE3-A104-42FD-986C-03C14A5277E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96.137.092.80</t>
        </r>
      </text>
    </comment>
    <comment ref="Y60" authorId="44" shapeId="0" xr:uid="{CE573EA8-4459-4A69-96EA-513202EC3E7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525.595.834.40</t>
        </r>
      </text>
    </comment>
    <comment ref="Y61" authorId="45" shapeId="0" xr:uid="{AE99CA40-591A-4849-A059-F006B7A14EB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4.312.872.032</t>
        </r>
      </text>
    </comment>
    <comment ref="Y62" authorId="46" shapeId="0" xr:uid="{AE4135BD-E88C-4239-BD2F-578AD7FFCCC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693.336.672</t>
        </r>
      </text>
    </comment>
    <comment ref="Y63" authorId="47" shapeId="0" xr:uid="{F1593D20-8146-44A6-80C7-1F2173C75F1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10.826.928</t>
        </r>
      </text>
    </comment>
    <comment ref="Y64" authorId="48" shapeId="0" xr:uid="{3CF9FE76-5858-4A76-880A-CD4887119EA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61.140.800</t>
        </r>
      </text>
    </comment>
    <comment ref="Y65" authorId="49" shapeId="0" xr:uid="{037D4713-C464-4BD5-9A16-290D8E392EA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72.111.513.60</t>
        </r>
      </text>
    </comment>
    <comment ref="Y66" authorId="50" shapeId="0" xr:uid="{686DD4A9-AAC3-4F6B-9699-92D2A6623F0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394.224.728.80</t>
        </r>
      </text>
    </comment>
    <comment ref="Y67" authorId="51" shapeId="0" xr:uid="{8F293236-641C-48CF-9746-0996F21D7B1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3.481.052.094</t>
        </r>
      </text>
    </comment>
    <comment ref="Y68" authorId="52" shapeId="0" xr:uid="{F1D3A865-E393-4DC6-ADBC-9740A4BE265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520.919.616</t>
        </r>
      </text>
    </comment>
    <comment ref="Y69" authorId="53" shapeId="0" xr:uid="{AADD7F31-D3E3-4FF7-9DCC-EAD8CAF4B60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N/A            65.818.860.80</t>
        </r>
      </text>
    </comment>
    <comment ref="Y70" authorId="54" shapeId="0" xr:uid="{68816DA1-0A59-483A-8C70-8F5F59C4C4F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65.818.860.80</t>
        </r>
      </text>
    </comment>
    <comment ref="Y71" authorId="55" shapeId="0" xr:uid="{07E5CF52-412A-4A96-97BB-12201B8528F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651.196.597.96</t>
        </r>
      </text>
    </comment>
    <comment ref="Y72" authorId="56" shapeId="0" xr:uid="{B994312E-AC96-4B87-A27B-B040BFBB51C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86.819.936</t>
        </r>
      </text>
    </comment>
    <comment ref="Y73" authorId="57" shapeId="0" xr:uid="{16590F40-5E6A-4DFF-8064-777D78AAD3A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12.035.973.60</t>
        </r>
      </text>
    </comment>
    <comment ref="Y74" authorId="58" shapeId="0" xr:uid="{4DB25C08-2A0E-448C-ABE0-99122C5C21F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65.818.860.80</t>
        </r>
      </text>
    </comment>
    <comment ref="Y75" authorId="59" shapeId="0" xr:uid="{91D2ED6C-CD5C-4DE9-B44E-22BB4BF2387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651.196.596.96</t>
        </r>
      </text>
    </comment>
    <comment ref="Y76" authorId="60" shapeId="0" xr:uid="{60483CF0-0278-42A5-A92F-044C88A8349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86.819.936</t>
        </r>
      </text>
    </comment>
    <comment ref="Y77" authorId="61" shapeId="0" xr:uid="{59BF6F3C-AA65-450C-8282-1EBAB48E264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24.042.194.40</t>
        </r>
      </text>
    </comment>
    <comment ref="Y78" authorId="62" shapeId="0" xr:uid="{63481B2F-1769-4FD1-B95B-B16E5B51F2C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131.461.780.80</t>
        </r>
      </text>
    </comment>
    <comment ref="Y79" authorId="63" shapeId="0" xr:uid="{F6B5B57C-B553-48DF-BE88-3BDD5B73F37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1.300.609.084</t>
        </r>
      </text>
    </comment>
    <comment ref="Y80" authorId="64" shapeId="0" xr:uid="{E339FF7F-90A4-4549-92D8-D0F20239294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173.639.872</t>
        </r>
      </text>
    </comment>
    <comment ref="Y81" authorId="65" shapeId="0" xr:uid="{E2165810-C377-4579-BA9F-FC76914C002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5.000.000</t>
        </r>
      </text>
    </comment>
    <comment ref="Y82" authorId="66" shapeId="0" xr:uid="{B31B83D3-3B9E-4190-B33E-7F1CBE52373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10.000.000</t>
        </r>
      </text>
    </comment>
    <comment ref="Y83" authorId="67" shapeId="0" xr:uid="{AD13DD62-E23C-4424-946B-5792D7FD975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12.228.160</t>
        </r>
      </text>
    </comment>
    <comment ref="Y84" authorId="68" shapeId="0" xr:uid="{BEB2EC4D-5549-4874-97F4-A3965B3B991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61.384.297</t>
        </r>
      </text>
    </comment>
    <comment ref="Y85" authorId="69" shapeId="0" xr:uid="{5431B52F-8BB3-4E5A-B8B0-BAA08A5D795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24.559.584</t>
        </r>
      </text>
    </comment>
    <comment ref="Y86" authorId="70" shapeId="0" xr:uid="{40DA2B8B-5900-4589-B830-8FF661FFDBC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299.589.920</t>
        </r>
      </text>
    </comment>
    <comment ref="Y87" authorId="71" shapeId="0" xr:uid="{44CF14BA-DAFE-4F91-8596-B793FC201FF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723.384.002.58</t>
        </r>
      </text>
    </comment>
    <comment ref="Y88" authorId="72" shapeId="0" xr:uid="{96638FB6-B356-434D-BB3A-BDDE001F0B9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61.440.000</t>
        </r>
      </text>
    </comment>
    <comment ref="Y89" authorId="73" shapeId="0" xr:uid="{0054D31D-8A3D-4325-9B9E-B5FEAD044F1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942.455.833</t>
        </r>
      </text>
    </comment>
    <comment ref="Y90" authorId="74" shapeId="0" xr:uid="{331B8379-09E1-469B-B5F4-3EDE8CFEC2A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123.697.784.25</t>
        </r>
      </text>
    </comment>
    <comment ref="Y91" authorId="75" shapeId="0" xr:uid="{33B39DD8-BE5A-476C-ADF9-3976E9750B4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N/A             24.217.178.73</t>
        </r>
      </text>
    </comment>
    <comment ref="AA95" authorId="76" shapeId="0" xr:uid="{0D8163B3-31B1-4562-8788-EFCA1C45FFE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concepto tecnico traslado ID.18236</t>
        </r>
      </text>
    </comment>
    <comment ref="Y100" authorId="77" shapeId="0" xr:uid="{5913C2F7-E92D-40A0-829A-9753562DA29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392                 122.595.000
391                 110.388.091</t>
        </r>
      </text>
    </comment>
    <comment ref="X102" authorId="78" shapeId="0" xr:uid="{BB875BB2-73E2-4D69-A478-D98B227AD4B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Adición Decreto 264 11/01/2024</t>
        </r>
      </text>
    </comment>
    <comment ref="X103" authorId="79" shapeId="0" xr:uid="{EC253326-18FF-4342-AB09-FA5AC730FDE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Adición Decreto 264 11/01/2024</t>
        </r>
      </text>
    </comment>
    <comment ref="Y104" authorId="80" shapeId="0" xr:uid="{0ADD0BCF-F4A9-43ED-B901-08ADA32B9F8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VLR
444              15.166.666
445              15.166.666
454               15.166.666
456               18.633.333
451               16.900.000
449               15.166.666
496               15.166.666
455               18.633.333
473                15.166.666
499                15.166.666
469                15.166.666
497                15.166.666
481                15.166.666
468                15.166.666
465                15.166.666
514                15.166.666
519                15.166.666
Reply:
    459              15.166.666
Reply:
    458                 18.633.333
Reply:
    520               15.166.666
507               15.166.666             
Reply:
    513              15.166.666
496              15.166.666
470              16.900.000
474             16.900.000</t>
        </r>
      </text>
    </comment>
    <comment ref="Y109" authorId="81" shapeId="0" xr:uid="{07F5A930-7DA8-42C0-AD20-441396F43A1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21                955.768.076.08</t>
        </r>
      </text>
    </comment>
    <comment ref="Y110" authorId="82" shapeId="0" xr:uid="{AB6E4D5F-1DBB-43A3-9662-83D954D89CF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413                16.800.000
404                17.280.000
405                16.800.000
415                16.800.000
411                  1.728.000
412                12.480.000
416                  7.200.000
476                19.200.000
411                17.280.000
818                15.166.666
664                15.800.000</t>
        </r>
      </text>
    </comment>
    <comment ref="Z110" authorId="83" shapeId="0" xr:uid="{0CD263AD-6AD6-43BF-962C-EEBDDB5BB96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Banco            Valor
411          209             1.728.000</t>
        </r>
      </text>
    </comment>
    <comment ref="X111" authorId="84" shapeId="0" xr:uid="{BD34667F-1006-4013-BC96-A1AA223E541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ADICIÓN REC. DEL BALANCE DECRETO 002 DE 01/01/2024</t>
        </r>
      </text>
    </comment>
    <comment ref="Y111" authorId="85" shapeId="0" xr:uid="{1C8C0A8A-AFFF-4D52-9B70-331323E0370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21             127.380.177</t>
        </r>
      </text>
    </comment>
    <comment ref="Y112" authorId="86" shapeId="0" xr:uid="{17335040-4A51-4401-831A-63A9EAC7279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pp               valor
21              3.000.000.000</t>
        </r>
      </text>
    </comment>
    <comment ref="X113" authorId="87" shapeId="0" xr:uid="{5C977245-5668-4022-8A18-55640BB220D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Adición según Decreto 264 de 11/01/2024</t>
        </r>
      </text>
    </comment>
    <comment ref="Y113" authorId="88" shapeId="0" xr:uid="{630A1657-17BD-4327-AAD5-A81C00A71D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PP                 Valor
N/A              2.488.020.137.34
Reply:
    618            15.166.666       </t>
        </r>
      </text>
    </comment>
    <comment ref="X114" authorId="89" shapeId="0" xr:uid="{190045A9-E9BD-4CFF-B3CC-0B8A69F6ACC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Adición según Decreto 264 de 11/01/2024</t>
        </r>
      </text>
    </comment>
    <comment ref="X128" authorId="90" shapeId="0" xr:uid="{8EF8C22B-0ECB-4A54-ABC4-2214F692C39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Adición según Decreto 264 de 11/01/2024</t>
        </r>
      </text>
    </comment>
  </commentList>
</comments>
</file>

<file path=xl/sharedStrings.xml><?xml version="1.0" encoding="utf-8"?>
<sst xmlns="http://schemas.openxmlformats.org/spreadsheetml/2006/main" count="18554" uniqueCount="2844">
  <si>
    <t xml:space="preserve">FORMATO </t>
  </si>
  <si>
    <t>PROGRAMACIÓN PLAN DE ACCIÓN 
SECRETARÍA ADMINISTRATIVA         AÑO:  2024</t>
  </si>
  <si>
    <t xml:space="preserve">CODIGO:  </t>
  </si>
  <si>
    <t xml:space="preserve">F-PLA-06   </t>
  </si>
  <si>
    <t xml:space="preserve">VERSIÓN: </t>
  </si>
  <si>
    <t xml:space="preserve">FECHA: </t>
  </si>
  <si>
    <t>PÁGINA:</t>
  </si>
  <si>
    <t xml:space="preserve"> 1 de 1</t>
  </si>
  <si>
    <t>PLAN DE DESARROLLO DEPARTAMENTAL:   "TÚ  Y YO SOMOS QUINDÍO"</t>
  </si>
  <si>
    <t>LINEA ESTRATÉGICA</t>
  </si>
  <si>
    <t>SECTOR</t>
  </si>
  <si>
    <t>PROGRAMA</t>
  </si>
  <si>
    <t>META PRODUCTO</t>
  </si>
  <si>
    <t>INDICADOR PRODUCTO</t>
  </si>
  <si>
    <t>META FÍSICA</t>
  </si>
  <si>
    <t>PROYECTO</t>
  </si>
  <si>
    <t>POBLACIÓN</t>
  </si>
  <si>
    <t>FECHA DE INICIO   (dd/mm/aaaa)</t>
  </si>
  <si>
    <t>FECHA DE TERMINACIÓN    (dd/mm/aaaa)</t>
  </si>
  <si>
    <t>RESPONSABLE  DEL PROYECTO (Cargo)</t>
  </si>
  <si>
    <t>FUENTE DE RECURSOS</t>
  </si>
  <si>
    <t>GENERO</t>
  </si>
  <si>
    <t>DISTRIBUCIÓN ETÁREA (EDAD)</t>
  </si>
  <si>
    <t xml:space="preserve">GRUPOS ÉTNICOS </t>
  </si>
  <si>
    <t xml:space="preserve">POBLACIÓN VULNERABLE </t>
  </si>
  <si>
    <t>TOTAL</t>
  </si>
  <si>
    <t>CODIGO</t>
  </si>
  <si>
    <t>NOMBRE</t>
  </si>
  <si>
    <t>CÓDIGO PDD</t>
  </si>
  <si>
    <t>PRODUCTO PDD</t>
  </si>
  <si>
    <t>CÓDIGO CATÁLOGO DE PRODUCTOS MGA</t>
  </si>
  <si>
    <t xml:space="preserve">PRODUCTO CATÁLOGO MGA </t>
  </si>
  <si>
    <t>INDICADOR PDD</t>
  </si>
  <si>
    <t>CÓDIGO CATALOGO DE INDICADOR MGA</t>
  </si>
  <si>
    <t xml:space="preserve">INDICADOR CATÁLOGO MGA </t>
  </si>
  <si>
    <t>PROGRAMADA VIGENCIA</t>
  </si>
  <si>
    <t>REPROGRAMADA VIGENCIA</t>
  </si>
  <si>
    <t>TOTAL VIGENCIA</t>
  </si>
  <si>
    <t>CODIGO BPIN</t>
  </si>
  <si>
    <t xml:space="preserve">NOMBRE PROYECTO </t>
  </si>
  <si>
    <t>PESO DE LA META (%)</t>
  </si>
  <si>
    <t xml:space="preserve">OBJETIVO GENERAL DEL PROYECTO </t>
  </si>
  <si>
    <t xml:space="preserve">OBJETIVOS ESPECIFICOS </t>
  </si>
  <si>
    <t>ACTIVIDADES CUANTIFICADAS</t>
  </si>
  <si>
    <t>VALOR ACTIVIDAD
(EN PESOS )</t>
  </si>
  <si>
    <t>CERTIFICADOS BANCOS EXPEDIDOS</t>
  </si>
  <si>
    <t>CERTIFICADOS BANCOS LIBERADOS Y ANULADOS</t>
  </si>
  <si>
    <t xml:space="preserve">AJUSTES PENDIENTES A REALIZAR </t>
  </si>
  <si>
    <t>SALDO DISPONIBLE</t>
  </si>
  <si>
    <t xml:space="preserve">RUBRO PRESUPUESTAL </t>
  </si>
  <si>
    <t>NOMBRE DEL GASTO (CPC)</t>
  </si>
  <si>
    <t xml:space="preserve">CÓDIGO </t>
  </si>
  <si>
    <t xml:space="preserve">NOMBRE  </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</si>
  <si>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</si>
  <si>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</si>
  <si>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</si>
  <si>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</si>
  <si>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</si>
  <si>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</si>
  <si>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</si>
  <si>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</si>
  <si>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</si>
  <si>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</si>
  <si>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</si>
  <si>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</si>
  <si>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</si>
  <si>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</si>
  <si>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</si>
  <si>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Gobierno territorial</t>
  </si>
  <si>
    <t xml:space="preserve"> Fortalecimiento a la gestión y dirección de la administración pública territorial "Quindío con una administración al servicio de la ciudadanía " </t>
  </si>
  <si>
    <t>ND</t>
  </si>
  <si>
    <t>Implementación de  las Dimensiones y Políticas  del Modelo Integrado de Planeación y de Gestión MIPG</t>
  </si>
  <si>
    <t xml:space="preserve">Servicio de Implementación Sistemas de Gestión </t>
  </si>
  <si>
    <t>Número de Dimensiones y Políticas   de MIPG implementadas.</t>
  </si>
  <si>
    <t>Sistema de Gestión implementado</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</si>
  <si>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</si>
  <si>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</si>
  <si>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</si>
  <si>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</si>
  <si>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0304-2.3.2.02.02.009.00.00.00.4599023.006- 20</t>
  </si>
  <si>
    <t xml:space="preserve"> recurso Ordinario</t>
  </si>
  <si>
    <t>Secretaría Administrativa-Dirección Talento Humano</t>
  </si>
  <si>
    <t xml:space="preserve">Realizar el  diagnóstico  y el Plan de Acción de la  implementación del Código de Integridad.  </t>
  </si>
  <si>
    <t>Ejecutar las actividades establecidas en el Plan Institucional de Archivos PINAR.</t>
  </si>
  <si>
    <t>Fortalecimiento del sistema de gestión documental mediante la modernización locativa y tecnológica para garantizar el acceso a la información oportuna y eficiente en el departamento del Quindío</t>
  </si>
  <si>
    <t xml:space="preserve">Optimizar los procesos y procedimiento s relacionados con la Gestión Documental de la Administración Central Departamental </t>
  </si>
  <si>
    <t>Fortalecer la gestión de los documentos que se producen como parte del desarrollo de las actividades y funciones de la entidad</t>
  </si>
  <si>
    <t>Realizar la actualización de los diferentes instrumentos archivísticos que comprenden la política de gestión documental de la entidad</t>
  </si>
  <si>
    <t xml:space="preserve">0304 - 2.3.2.02.02.009.00.00.00.4599023.011 - 20
</t>
  </si>
  <si>
    <t>Estrategias  de actualización, depuración, seguimiento y evaluación de las bases de datos  del Pasivo Pensional  de la Administración Departamental.</t>
  </si>
  <si>
    <t xml:space="preserve">Servicio de saneamiento fiscal y financiero </t>
  </si>
  <si>
    <t>Estrategias  de actualización, depuración, seguimiento y evaluación de las bases de datos  del Pasivo Pensional  de la Administración Departamental</t>
  </si>
  <si>
    <t>Programa de sanemiento fiscal y financiero ejecutado</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</si>
  <si>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</si>
  <si>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</si>
  <si>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</si>
  <si>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0304-2.3.2.02.02.009.00.00.00.4599002.007 - 20</t>
  </si>
  <si>
    <t>Recurso Ordinario</t>
  </si>
  <si>
    <t>Secretaría Administrativa-Dirección Fondo Territorial de Pensiones</t>
  </si>
  <si>
    <t>Depurar los expedientes administrativos que reposan  en el Fondo Territorial de Pensiones.</t>
  </si>
  <si>
    <t>Adelantar acciones para determinar qué cuotas partes están a favor o cargo del Ente Territorial.</t>
  </si>
  <si>
    <t>Fortalecimiento Del Buen Gobierno Para El Respeto Y La Garantía De Los Derechos Humanos. "Quindío Integrado Y Participativo"</t>
  </si>
  <si>
    <t>Implementación del Plan de Acción del Sistema Departamental de Servicio a la Ciudadanía SDSC</t>
  </si>
  <si>
    <t>Servicio de integración de la oferta pública</t>
  </si>
  <si>
    <t xml:space="preserve">Plan de Acción del Sistema Departamental de Servicio a la Ciudadanía SDSC implementado. </t>
  </si>
  <si>
    <t xml:space="preserve">Espacios de integración de oferta pública generados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</si>
  <si>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</si>
  <si>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</si>
  <si>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</si>
  <si>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</si>
  <si>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0304-2.3.2.02.02.009.00.00.00.4502033.005 - 20</t>
  </si>
  <si>
    <t>JOHAN SEBASTIAN CAÑON SOSA</t>
  </si>
  <si>
    <t>SECRETARIO DE DESPACHO</t>
  </si>
  <si>
    <t>Elaborado por:</t>
  </si>
  <si>
    <t>Revisado por:</t>
  </si>
  <si>
    <t>Aprobado por:</t>
  </si>
  <si>
    <t>Norma Consuelo Mantilla Quintero</t>
  </si>
  <si>
    <t>Martha Elena Giraldo Ramírez</t>
  </si>
  <si>
    <t>Luis Alberto Rincon Quintero</t>
  </si>
  <si>
    <t>Cargo: Profesional Universitario</t>
  </si>
  <si>
    <t>Cargo: Directora Técnica</t>
  </si>
  <si>
    <t>Cargo: Secretario de Despacho</t>
  </si>
  <si>
    <t>PROGRAMACIÓN PLAN DE ACCIÓN 
SECRETARÍA  DE PLANEACIÓN DEPARTAMENTAL -  AÑO:  2024</t>
  </si>
  <si>
    <t>PLAN DE DESARROLLO DEPARTAMENTAL:  "TU Y YO SOMOS QUINDÍO”</t>
  </si>
  <si>
    <t>Liderazgo, Gobernabilidad y Transparecia</t>
  </si>
  <si>
    <t>Participación ciudadana y política y respeto por los derechos humanos y diversidad de creencias. "Quindío integrado y participativo"</t>
  </si>
  <si>
    <t xml:space="preserve">
Servicio de Implementación Sistemas de Gestión</t>
  </si>
  <si>
    <t>Implementación  del Modelo Integrado de Planeación y de Gestión MIPG en la Administración Departamental del   Quindío</t>
  </si>
  <si>
    <t xml:space="preserve">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</si>
  <si>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</si>
  <si>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</si>
  <si>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0305 - 2.3.2.02.02.009.00.00.00.4599023.008 - 20</t>
  </si>
  <si>
    <t>RECURSO ORDINARIO</t>
  </si>
  <si>
    <t>Secretario de Planeación Departamental</t>
  </si>
  <si>
    <t>2. dimension direccionamiento estratégico</t>
  </si>
  <si>
    <t>3. dimension gestión para resultados con valores</t>
  </si>
  <si>
    <t>305 - 2.3.2.02.02.009.00.00.00.4599023.008 - 20</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</si>
  <si>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</si>
  <si>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</si>
  <si>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</si>
  <si>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</si>
  <si>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</si>
  <si>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</si>
  <si>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</si>
  <si>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política gestiónpresupuestaly eficiencia del gasto público</t>
  </si>
  <si>
    <t xml:space="preserve">3.1  politica fortalecimiento organizacional y simplificacion de procesos </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</si>
  <si>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</si>
  <si>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</si>
  <si>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</si>
  <si>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</si>
  <si>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</si>
  <si>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</si>
  <si>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</si>
  <si>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</si>
  <si>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</si>
  <si>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</si>
  <si>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</si>
  <si>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</si>
  <si>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</si>
  <si>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Dimensiones y Politicas  del  MIPG</t>
  </si>
  <si>
    <t>Realización procesos de autoevaluación MIPG</t>
  </si>
  <si>
    <t>Fortalecimiento técnico y logístico del  Consejo Territorial de Planeación Departamental, como representantes de la sociedad civil en la planeación  del desarrollo integral  de la entidad territorial</t>
  </si>
  <si>
    <t>Servicio de promoción a la participación ciudadana</t>
  </si>
  <si>
    <t xml:space="preserve">Consejo Territorial de Planeación Departamental fortalecido.   </t>
  </si>
  <si>
    <t>Espacios de participación promovidos</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</si>
  <si>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</si>
  <si>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</si>
  <si>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</si>
  <si>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t>
  </si>
  <si>
    <t>305 - 2.3.2.02.02.006.00.00.00.4502001.042 - 20</t>
  </si>
  <si>
    <t>Servicios de alojamiento en hoteles para los consejeros durante los foros regionales de participacion ciudadana</t>
  </si>
  <si>
    <t>Servicios de transporte terrestre local no regular de pasajeros,  para el desplazamiento a los diferentes eventos de los Consejeros Territoriales de Planeacion</t>
  </si>
  <si>
    <t xml:space="preserve">Recurso ordinario </t>
  </si>
  <si>
    <t>Servicios de transporte aéreo de pasajeros, para el desplazamiento a los diferentes eventos de los Consejos Territoriales de Planeación</t>
  </si>
  <si>
    <t>Comunicaciones externas de interes público a traves de medios radiales, prensa y televisivos.</t>
  </si>
  <si>
    <t>305 - 2.3.2.02.02.009.00.00.00.4502001.042 - 20</t>
  </si>
  <si>
    <t xml:space="preserve">Suministro de material litografico, papeleria, impresos y publicaciones, entre otros. </t>
  </si>
  <si>
    <t>305 - 2.3.2.02.01.003.00.00.00.4502001.042 - 20</t>
  </si>
  <si>
    <t>Fortalecimiento a la gestión y dirección de la administración pública territorial "Quindío con una administración al servicio de la ciudadanía "</t>
  </si>
  <si>
    <t>Instrumentos de planificación para el ordenamiento y la gestión territorial departamental (Plan de Desarrollo Departamental PDD, Ordenamiento Territorial, Sistema de Información Geográfica, Mecanismos de Integración, Catastro multipropósito etc.).</t>
  </si>
  <si>
    <t>Documentos de lineamientos técnicos</t>
  </si>
  <si>
    <t xml:space="preserve">Instrumentos de planificación de ordenamiento y gestión territorial departamental implementados. </t>
  </si>
  <si>
    <t>Documentos de lineamientos técnicos realizados</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</si>
  <si>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</si>
  <si>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</si>
  <si>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</si>
  <si>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Elaboración e implementación de instrumentos de planificación para el Ordenamiento y la Gestión Territorial Departamental en el área de Catastro Multipropósito y Ordenamiento Territorial. </t>
  </si>
  <si>
    <t>305 - 2.3.2.02.02.009.00.00.00.4599018.044 - 20</t>
  </si>
  <si>
    <t>1.2. Elaboración e implementación de   instrumentos de planificación para el Ordenamiento y la Gestión Territorial Departamental en el área directrices del Ordenamiento Territorial Departamental.</t>
  </si>
  <si>
    <t xml:space="preserve">1.3. Elaboración de   instrumentos de planificación para el Ordenamiento y la Gestión Territorial Departamental para la implementación de Mecanismos de Integración. </t>
  </si>
  <si>
    <t>1.4. Fortalecimiento de la plataforma SIG Institucional. (Licencia software).</t>
  </si>
  <si>
    <t>305 - 2.3.2.01.01.005.02.03.01.00.00.00.4599018.044 - 20</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</si>
  <si>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</si>
  <si>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</si>
  <si>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</si>
  <si>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</si>
  <si>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</si>
  <si>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</si>
  <si>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</si>
  <si>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</si>
  <si>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</si>
  <si>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Recolección y análisis de la información para la actualización, generación de los boletines trimestrales (1), el informe anual del Departamento (1) y los demás análisis requeridos correspondientes a la vigencia 2023 (Informe de mercado laboral 2022 (1), infografías y notas informativas (1), actualización y seguimiento indicadores de Desarrollo sostenible 2023 (1).</t>
  </si>
  <si>
    <t>305 - 2.3.2.02.02.009.00.00.00.4599025.045 - 20</t>
  </si>
  <si>
    <t>Recurso ordinario</t>
  </si>
  <si>
    <t>1.2. Apoyar la implementación del Observatorio Económico del Departamento: En la organización, actualización, operatividad de la información además de su publicación, difusión y asistencia técnica.</t>
  </si>
  <si>
    <t>1.3.  Actualización de los instrumentos (Anuario estadístico, carta estadística e indicadores) de identificación, validación y cálculo de indicadores del observatorio departamental contenidos en las dos áreas temáticas abordadas (social y económica) para la vigencia 2023.</t>
  </si>
  <si>
    <t>Banco de Programas y Proyectos del Departamento con procesos de fortalecimiento.</t>
  </si>
  <si>
    <t xml:space="preserve">
Servicios de información implementados</t>
  </si>
  <si>
    <t>Banco de Programas y Proyectos del Departamento fortalecido</t>
  </si>
  <si>
    <t>Fortalecimiento del Banco de Programas y Proyectos de la administración departamental  "TÚ Y YO SOMOS QUINDIO"</t>
  </si>
  <si>
    <t xml:space="preserve">
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</si>
  <si>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 xml:space="preserve">
Fortalecer la asistencia a los entes territoriales para garantizar la presentación de proyectos</t>
  </si>
  <si>
    <t>1.1 Acompañamiento en la estructuración y formulación de proyectos para ser financiados con recursos del Sistema General de Regalias SGR (Documento tecnico de soporte, presupuesto, metodología General Ajustada y requisitos generales para la viabilización de proyectos)</t>
  </si>
  <si>
    <t>0305 - 2.3.2.02.02.009.00.00.00.4599025.046 - 20</t>
  </si>
  <si>
    <t>1.2 Apoyo para la revision tecnica (Presupuestos, estudios y diseños, diagnosticos, especificaciones técnicas y demas documentos soportes), viabilidad, priorizacion y aprobacion de proyectos nuevos y ajustes suceptibles de ser financiados con recursos del Sistema General de Regalias y acompañamiento en el cumplimiento de requisitos legales previos al inicio de la ejecucion de los proyectos SGR.</t>
  </si>
  <si>
    <t xml:space="preserve">1.3   Apoyo en la gestion tecnica, registro y seguimiento en las plataformas del sistema General de Regalias (SUIFP-SGR, GESPROY y SPGR) e informes requeridos por las instancias de seguimiento y control, acompñamiento a los ejercicios de planeacion conforme a la normatividad vigente.  </t>
  </si>
  <si>
    <t>1.4. Apoyo técnico para la formulación, estructuración de los proyectos de inversión  del orden departamental, de acuerdo al Plan de Desarrollo 2024-2027, la incorporación y diligenciamiento de la informacióna través de las plataformas de la Metodología General Ajustada —MGA WEB, SUIFP-TERRITORIO, de acuerdo a la normatividad vigente y las directrices establecidas por el Departamento Nacional de Planeación –DNP-, realizando talleres y mesas de trabajo con las unidades ejecutoras, para la construccion de los documentos y anexos requeridos, la verifcacion de requisitos de los proyectos y la socializacion de los proyectos formulados .</t>
  </si>
  <si>
    <t>1.5.  Apoyo y asistencia técnica a las  unidades ejecutoras para la realización de modificaciones y/o  ajustes a los proyectos de Inversión registrados y viabilizados para la vigencia  2024, de acuerdo a los formatos y directrices del Manual Operativo del Banco de Programas y Proyectos del Departamento y su actualización en las  plataformas  SUIFP-TERRITORIO y demas dispuestas por el DNP.</t>
  </si>
  <si>
    <t>1.6.  Apoyo técnico  y acompañamiento a las unidades ejecutoras para el Seguimiento a los Proyectos de Inversión del Banco de Proyectos nivel departamental en el  SISTEMA DE SEGUIMIENTO A PROYECTOS DE INVERSIÓN -SPI-, teniendo en cuenta la Ejecución de metas físicas y financieras, gestión y los anexos.</t>
  </si>
  <si>
    <t>1,7. Apoyo en el seguimiento, generacion de informes  y actualizacion  de los instrumentos de planificacion conforme al  avance y/o modificaciones prespuestales que   generen cambios en los proyectos de inversion.</t>
  </si>
  <si>
    <t>1.8.  Apoyo y asistencia técnica para la realización de modificaciones y/o ajustes a los proyectos de Inversión de la Secretaria de Planeacíon Departamental, de acuerdo al Plan de Desarrollo, actualizando las plataformas, MGA, SUIFP  TERRITORIO y realizando la actualización de control y seguimiento en el  aplicativo SPI.</t>
  </si>
  <si>
    <t>1,9 Apoyo a los procesos de revision, verificación de cumplimiento de requisitos generales y acompañamiento a los proyectos presentados por formuladores ciudadanos u oficiales, presentando los respectivos informes y actualización de la caracterización de los proyectos e iniciativas estratégicas del departamento y sus municipios, susceptibles de ser financiados con recursos del orden departamental, regional, nacional e internacional.</t>
  </si>
  <si>
    <t>1.10. Capacitación y asistencia técnica a las unidades ejecutoras de la administración departamental, en normatividad, formulación,  estructuración metodológica, ajustes, teoría de proyectos, gestión presupuestal de la inversión pública  y herramientas informáticas que soportan el ciclo de la inversión: MGA, SUIFP Y SPI.</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</si>
  <si>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</si>
  <si>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</si>
  <si>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</si>
  <si>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Entidades territoriales asistidas técnicamente</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</si>
  <si>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</si>
  <si>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</si>
  <si>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</si>
  <si>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1,1, Capacitación asistencia técnica seguimiento y/o evaluación actualización Planes Planes Básicos y Esquemas de Ordenamiento territorial en concordancia a lo dispuesto en el Decreto 1232 del 2020, </t>
  </si>
  <si>
    <t>305 - 2.3.2.02.02.009.00.00.00.4599031.047 - 20</t>
  </si>
  <si>
    <t>Entes territoriales con servicio de asistencia  técnica del Modelo Integrado de Planeación y de Gestión MIPG</t>
  </si>
  <si>
    <t>Entes Territoriales con procesos de asistencia técnica realizadas,</t>
  </si>
  <si>
    <t xml:space="preserve">1,2, Capacitación diagnóstico y asistencias técnicas dimensiones MIPG: Talento Humano Direccionamiento Estratégico y Planeación Gestión para Resultados con Valores Evaluación de Resultados Información y Comunicación Gestión del Conocimiento y Control Interno, </t>
  </si>
  <si>
    <t>Entes territoriales  con servicio de asistencia técnica en la Medición del Desempeño Municipal,</t>
  </si>
  <si>
    <t>1,3, Asistencia técnica seguimiento y/o evaluación Ranking Integral de Desempeño identificación de inconsistencias del FUT Evaluación de requisitos legales viabilidad fiscal,</t>
  </si>
  <si>
    <t xml:space="preserve">Entes territoriales  con servicio de asistencia técnica en el Sistema de Identificación de Potenciales Beneficiarios de Programas Sociales (SISBEN), </t>
  </si>
  <si>
    <t>1,4, 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</si>
  <si>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</si>
  <si>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1,5, a) Procesos de socialización a los Entes Territoriales Municipales: -Políticas Públicas Planes y Programas departamentales,   -Acto Administrativo por medio del cual se reglamenta el seguimiento y evaluación de las Políticas Públicas Departamentales,  -Guía para la Gestión de Políticas Públicas en el Departamento Quindío,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</si>
  <si>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</si>
  <si>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1,6, Capacitación asistencia técnica seguimiento y/o evaluación al banco de programas y proyectos de los entes territoriales,</t>
  </si>
  <si>
    <t>Documentos de lineamientos técnicos (Producto principal del proyecto)</t>
  </si>
  <si>
    <t xml:space="preserve">Documentos de lineamientos técnicos realizados  </t>
  </si>
  <si>
    <t>N/A</t>
  </si>
  <si>
    <t>Formulación  Plan de Desarrollo Departamental 2024-2027</t>
  </si>
  <si>
    <t>Fortalecer el desarrollo económico y social del Departamento del Quindío a través de la formulación integral del Plan de Desarrollo 2024 - 2027</t>
  </si>
  <si>
    <t>Identificar estrategias concretas en áreas prioritarias, enfocadas en el plan de gobierno presentado por el mandatario electo siguiendo los lineamientos estratégicos del Kit Territorial del Departamento de Planeación Nacional.</t>
  </si>
  <si>
    <t>1.1 Captura de Información situación actual de la entidad territorial y su entorno - Identificación y analisis de indicadores:económicos, sociales, financieros e institucionales</t>
  </si>
  <si>
    <t>0305 - 2.3.2.02.02.009.00.00.00.4599018.007 - 20</t>
  </si>
  <si>
    <t>1.2 Realización mesas participativas construcción componente diagnóstico PDD (Identificacación de problemas, causas y consecuencias)</t>
  </si>
  <si>
    <t xml:space="preserve">1.3 Estructuración componente Diagnóstico por sectores </t>
  </si>
  <si>
    <t>2.1 Construcción participativa visión PDD</t>
  </si>
  <si>
    <t xml:space="preserve">2.2 Mesas participativas formulación Plan de Desarrollo </t>
  </si>
  <si>
    <t>2.3 Estructuración componente estratégico Plan de Desarrollo</t>
  </si>
  <si>
    <t>2.4 Estructuración componente financiero Plan de Desarrollo (Marco Fiscal a mediano plazo, Plan Financiero y matriz Plurianual)</t>
  </si>
  <si>
    <t>2.5 Socialización propuesta en los diferentes sectores e instancias de participación  ciudadana y ajuste anteproecto Plan de Desarrollo de conformidad con las recomendaciones</t>
  </si>
  <si>
    <t xml:space="preserve">2.6 Asistencia técnica entes territoriales Municipales </t>
  </si>
  <si>
    <t>3.1 Formulación componente de seguimiento y evaluación del Plan de Desarrollo Departamental</t>
  </si>
  <si>
    <t>4.1 Socialización Plan de Desarrollo del Quindio entes territoriales, institucionalidad, academia y demás instancias.</t>
  </si>
  <si>
    <t>4.2 Edición Plan de Desarrollo</t>
  </si>
  <si>
    <t>4.3 Refrigerios Mesas</t>
  </si>
  <si>
    <t>0305 - 2.3.2.02.01.002.00.00.00.4599018.007 - 20</t>
  </si>
  <si>
    <t>4.4 Fotocopias</t>
  </si>
  <si>
    <t>0305 - 2.3.2.02.01.003.00.00.00.4599018.007 - 20</t>
  </si>
  <si>
    <t xml:space="preserve">1.1.  COMPONENTE  DIAGNÓSTICO PLAN DE DESARROLLO 2024-2027 - Análisis de la situación demográfica del Departamento, estructuración del  Informe  componente Diagnóstico por sectores,   realización   de las  Mesas de Participación en coordinación con las Scretarias Sectoriales competentes </t>
  </si>
  <si>
    <t xml:space="preserve">2.1. COMPONENTE ESTRATÉGICO PLAN DE DESARROLLO 2024-2027-  Construcción Visión Plan de Desarrollo, Líneas  Estratégicas  de manera participativa,   Matriz Estratégica, Matriz de Trazabilidad  de acuerdo al  Plan de Desarrollo Nacional , Programa de Gobierno, ODS, Ordenanzas, Directivas Procuraduría </t>
  </si>
  <si>
    <t>3.1. COMPONENTE FINANCIERO PLAN DE DESARROLLO 2024-2027 - Estruturación  COMPONENTE FINANCIERO, en coordinación con las secretarias de Hacienda y Planeación, estructuración Capitulo Independiente del Sistema General de Regalias  en coordinacion con las Secretarias y Entes Descentralizados competentes, elaboración Fichas Técnicas  de Proyectos SGR, elaboración  Matriz  de  Inversiones S. G.R.</t>
  </si>
  <si>
    <t xml:space="preserve">4.1.  COMPONENTE DE SEGUIMIENTO  Y EVALUACION PLAN DE DESARROLLO 2024-2027 - Estructuración del Componente  de Seguimiento y Evaluación, estructuración Acto administrativo reglamento,  Seguimiento y Evaluación </t>
  </si>
  <si>
    <t>5.1. ARMONIZACIÓN PLAN DE DESARROLLO 2024-2027 -   Armonización Presupuestal Plan de Desarrollo 2020-2023  vs  Plan de Desarrollo 2024-2027, Armonizacion presupuestal SGR bienio 2023-2024 -  Capitulo Independiente 2024-2027</t>
  </si>
  <si>
    <t xml:space="preserve">6. 1. SOCIALIZACIÓN PLAN DE DESARROLLO 2024-2027 -  Socialización del Plan de Desarrollo a la sociedad civil y/o organizada, en coordinación con las Secretarias y Entes Descentralizados  </t>
  </si>
  <si>
    <t>7.1 logistica (papel bonn periódico, Cartulina cortadas, Cajas de lapiceros, Marcadores)</t>
  </si>
  <si>
    <t xml:space="preserve">LUIS ALBERTO RINCÓN QUINTERO
SECRETARIO DE PLANEACIÓN DEPARTAMENTAL </t>
  </si>
  <si>
    <t>PROGRAMACIÓN PLAN DE ACCIÓN 
SECRETARÍA  DE :   HACIENDA                                      AÑO:  2024</t>
  </si>
  <si>
    <t>PLAN DE DESARROLLO DEPARTAMENTAL:   TÚ Y YO SOMOS QUINDÍO</t>
  </si>
  <si>
    <t xml:space="preserve">Fortalecimiento a la gestión y dirección de la administración pública territorial </t>
  </si>
  <si>
    <t>Estrategia para el mejoramiento del Índice de Desempeño Fiscal en la Administración Departamental.</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</si>
  <si>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</si>
  <si>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</si>
  <si>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</si>
  <si>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</si>
  <si>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administracion departamental ,</t>
  </si>
  <si>
    <t>Realizar procesos de fiscalización de las rentas del departamento, procedimiento Administrativo de Cobro Coactivo sobre la cartera morosa de las rentas Departamentales y programa Anticontrabando de Licores, Cervezas y Cigarrillos</t>
  </si>
  <si>
    <t>307 - 2.3.2.02.01.003.00.00.00.4599002.048. - 20</t>
  </si>
  <si>
    <t> </t>
  </si>
  <si>
    <t xml:space="preserve">Secretaria de Hacienda </t>
  </si>
  <si>
    <t>307 - 2.3.2.02.01.003.00.00.00.4599002.048. - 56</t>
  </si>
  <si>
    <t xml:space="preserve">COFINANCIACION CONVENIOS INTERADMINISTRATIVOS </t>
  </si>
  <si>
    <t>307 - 2.3.2.02.02.006.00.00.00.4599002.048. - 20</t>
  </si>
  <si>
    <t>307 - 2.3.2.02.02.006.00.00.00.4599002.048. - 56</t>
  </si>
  <si>
    <t>307 - 2.3.2.02.02.008.00.00.00.4599002.048. - 20</t>
  </si>
  <si>
    <t>308 - 2.3.2.02.02.008.00.00.00.4599002.048. - 56</t>
  </si>
  <si>
    <t>307 - 2.3.2.02.02.009.00.00.00.4599002.048. - 20</t>
  </si>
  <si>
    <t>307 - 2.3.2.02.02.009.00.00.00.4599002.048. - 56</t>
  </si>
  <si>
    <t>Adquisición de elementos de papelería, artículos de oficina y otros, para el fortalecimiento en los procesos de fiscalización de las rentas del departamento, procedimiento Administrativo de Cobro Coactivo sobre la cartera morosa de las rentas Departamentales y programa Anticontrabando de Licores, Cervezas y Cigarrillos</t>
  </si>
  <si>
    <t>307 - 2.3.2.02.01.004.00.00.00.4599002.048. - 20</t>
  </si>
  <si>
    <t>307 - 2.3.2.02.01.004.00.00.00.4599002.048. - 56</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</si>
  <si>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</si>
  <si>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</si>
  <si>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</si>
  <si>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Programa de saneamiento fiscal y financiero ejecutado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</si>
  <si>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</si>
  <si>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</si>
  <si>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</si>
  <si>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</si>
  <si>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307 - 2.3.2.02.02.009.00.00.00.4599002.049. - 20</t>
  </si>
  <si>
    <t>BEATRIZ EUGENIA LONDOÑO GIRALDO</t>
  </si>
  <si>
    <t>SECRETARIO DE DESPACHO
/ DIRECTOR O GERENTE (ENTE DESCENTRALIZADO)</t>
  </si>
  <si>
    <t>Proyectó/elaboró: OSCAR EDUARDO RODRIGUEZ VALLEJO- CONTRATISTA S. HACIENDA</t>
  </si>
  <si>
    <t>Secretaria de Hacienda Departamental</t>
  </si>
  <si>
    <t>Revisó (Director o Jefe de Oficina): ELEANA ANDREA CAICEDO ARIAS- DIRECTORA FINANCIERA</t>
  </si>
  <si>
    <t>Gobernación del Quindío</t>
  </si>
  <si>
    <t>PROGRAMACIÓN PLAN DE ACCIÓN 
SECRETARÍA  DE :   AGUS E EINFRAESTRUCTURA                                       AÑO:  2024</t>
  </si>
  <si>
    <t>AJUSTES PENDIENTES A RELIZAR</t>
  </si>
  <si>
    <t>Inclusión Social y Equidad</t>
  </si>
  <si>
    <t>Justicia y del derecho</t>
  </si>
  <si>
    <t>Promoción al acceso a la justicia. "Tú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</si>
  <si>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</si>
  <si>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</si>
  <si>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</si>
  <si>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</si>
  <si>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</si>
  <si>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</si>
  <si>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</si>
  <si>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Mantener y/o mejorar  las Instituciones de seguridad y  justicia  del Estado en el departamento del Quindío</t>
  </si>
  <si>
    <t xml:space="preserve"> 0308-2.3.2.02.02.005.00.00.00.1202019.017 - 20 </t>
  </si>
  <si>
    <t>RECURSOS ORDINARIOS</t>
  </si>
  <si>
    <t>Secretario de Aguas e Infraestructura</t>
  </si>
  <si>
    <t>Suministro  de materiales, elementos y equipos necesarios para la ejecución del  proyecto</t>
  </si>
  <si>
    <t>0308-2.3.2.02.01.004.00.00.00.1202019.017 - 20</t>
  </si>
  <si>
    <t>0308-2.3.2.02.01.003.00.00.00.1202019.017 - 20</t>
  </si>
  <si>
    <t>0308-2.3.2.02.01.001.00.00.00.1202019.017 - 20</t>
  </si>
  <si>
    <t>Acompañamiento Operativo,técnico, jurídico administrativo y financiero; profesional y de apoyo a la gestión en cumplimiento del  proyecto.</t>
  </si>
  <si>
    <t xml:space="preserve">0308-2.3.2.02.02.009.00.00.00.1202019.017- 20 </t>
  </si>
  <si>
    <t>Educación</t>
  </si>
  <si>
    <t>Calidad, cobertura y fortalecimiento de la educación inicial, prescolar, básica y media." Tú y yo con educación y  calidad"</t>
  </si>
  <si>
    <t>Infraestructura de Instituciones Educativas con procesos constructivos, mejorados, ampliados, mantenidos y/o reforzados.</t>
  </si>
  <si>
    <t>Infraestructura educativa mantenida</t>
  </si>
  <si>
    <t>Infraestructura de Instituciones Educativas construida, mejorada, ampliada, mantenida, y/o reforzada.</t>
  </si>
  <si>
    <t>Sedes mantenidas</t>
  </si>
  <si>
    <t xml:space="preserve">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</si>
  <si>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</si>
  <si>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formacion integral </t>
  </si>
  <si>
    <t>Mantenimiento y/o mejoramiento de la  infraestructura educativa.</t>
  </si>
  <si>
    <t>0308-2.3.2.02.02.005.00.00.00.2201062.050- 04</t>
  </si>
  <si>
    <t>04</t>
  </si>
  <si>
    <t>ESTAMPILLA PRODESARROLLO</t>
  </si>
  <si>
    <t>Interventoría integral para los contratos que se adelanten.</t>
  </si>
  <si>
    <t>0308-2.3.2.02.02.009.00.00.00.2201062.050 - 04</t>
  </si>
  <si>
    <t>0308-2.3.2.02.01.004.00.00.00.2201062.050 - 04</t>
  </si>
  <si>
    <t>Suministro  de materiales, elementos y equipos necesarios para la ejecución del  proyect</t>
  </si>
  <si>
    <t>0308-2.3.2.02.01.003.00.00.00.2201062.050 - 04</t>
  </si>
  <si>
    <t>0308-2.3.2.02.01.001.00.00.00.2201062.050 - 04</t>
  </si>
  <si>
    <t>Servicio de transporte para el desplazamiento del personal y materiales a las obras físicas.</t>
  </si>
  <si>
    <t>0308-2.3.2.02.02.006.00.00.00.2201062.050 - 04</t>
  </si>
  <si>
    <t>Acompañamiento Operativo,técnico, jurídico administrativo y financiero; profesional y de apoyo a la gestión en cumplimiento del  proyecto</t>
  </si>
  <si>
    <t>Cultura</t>
  </si>
  <si>
    <t>Promoción y acceso efectivo a procesos culturales y artísticos. "Tú y yo somos cultura Quindiana"</t>
  </si>
  <si>
    <t>3301068</t>
  </si>
  <si>
    <t>Servicio de mantenimiento de infraestructura cultural</t>
  </si>
  <si>
    <t>330106800</t>
  </si>
  <si>
    <t>Infraestructura cultural intervenida</t>
  </si>
  <si>
    <t xml:space="preserve">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</si>
  <si>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</si>
  <si>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</si>
  <si>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</si>
  <si>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0308-2.3.2.02.02.005.00.00.00.3301068.001- 20</t>
  </si>
  <si>
    <t>Suministro  de materiales, elementos y equipos necesarios para la ejecución del proyecto</t>
  </si>
  <si>
    <t>0308-2.3.2.02.01.004.00.00.00.3301068.001- 20</t>
  </si>
  <si>
    <t>0308-2.3.2.02.01.003.00.00.00.3301068.001 - 20</t>
  </si>
  <si>
    <t>0308-2.3.2.02.01.001.00.00.00.3301068.001 - 20</t>
  </si>
  <si>
    <t>0308-2.3.2.02.02.009.00.00.00.3301068.001 - 20</t>
  </si>
  <si>
    <t>Inclusión social y reconciliación</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</si>
  <si>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</si>
  <si>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</si>
  <si>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</si>
  <si>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Centros de atención integral para personas con Discapacidad construidos y dotados</t>
  </si>
  <si>
    <t xml:space="preserve">Centros de atención integral para personas con discapacidad construidos y dotados </t>
  </si>
  <si>
    <t>Construcción y dotación de un centro de atención integral para personas con discapacidad en el departamento del Quindio</t>
  </si>
  <si>
    <t>Fortalecer infraestructura para la atención integral a personas con discapacidad en el departamento</t>
  </si>
  <si>
    <t>Realizar la construcción y dotación de espacios para la atención integral a personas con discapacidad</t>
  </si>
  <si>
    <t>Construccion y/o dotacion del centro de atencion para personas con discapacidad</t>
  </si>
  <si>
    <t>0308-2.3.2.02.02.005.00.00.00.4104036.007 - 20</t>
  </si>
  <si>
    <t>0308-2.3.2.02.02.009.00.00.00.4104036.007 - 20</t>
  </si>
  <si>
    <t>Deporte y recreación</t>
  </si>
  <si>
    <t>Fomento a la recreación, la actividad física y el deporte  "Tú y yo en la recreación y el deporte"</t>
  </si>
  <si>
    <t xml:space="preserve">Infraestructura  deportiva y/o recreativa con procesos   constructivos,  mejorados,  ampliados,  mantenidos y/o  reforzados </t>
  </si>
  <si>
    <t>Servicio de mantenimiento a la infraestructura deportiva</t>
  </si>
  <si>
    <t xml:space="preserve">Infraestructura  deportiva y/o recreativa con procesos   constructivos,  mejorados,  ampliados,  mantenidos y/o   reforzados </t>
  </si>
  <si>
    <t>Intervenciones realizadas a infraestructura deportiva</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</si>
  <si>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</si>
  <si>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</si>
  <si>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</si>
  <si>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Mantenimiento y/o mejoramiento de la  infraestructura deportiva y recreativa.</t>
  </si>
  <si>
    <t>0308-2.3.2.02.02.005.00.00.00.4301004.052 - 04</t>
  </si>
  <si>
    <t>0308-2.3.2.02.02.009.00.00.00.4301004.052- 04</t>
  </si>
  <si>
    <t>Suministro  de materiales, elementos y equipos necesarios para la ejecución del proyecto.</t>
  </si>
  <si>
    <t>0308-2.3.2.02.01.004.00.00.00.4301004.052 - 04</t>
  </si>
  <si>
    <t>0308-2.3.2.02.01.003.00.00.00.4301004.052 - 04</t>
  </si>
  <si>
    <t>0308-2.3.2.02.01.001.00.00.00.4301004.052 - 04</t>
  </si>
  <si>
    <t>0308-2.3.2.02.02.006.00.00.00.4301004.052 - 04</t>
  </si>
  <si>
    <t>0308-2.3.2.02.02.009.00.00.00.4301004.052 - 04</t>
  </si>
  <si>
    <t>Territorio, Ambiente y Desarrollo Sostenible</t>
  </si>
  <si>
    <t>Transporte</t>
  </si>
  <si>
    <t>Infraestructura red vial regional. "Tú y yo con movilidad vial"</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</si>
  <si>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</si>
  <si>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</si>
  <si>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</si>
  <si>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</si>
  <si>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</si>
  <si>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</si>
  <si>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</si>
  <si>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mejoramiento y/o rehabilitacion de la de las vias.</t>
  </si>
  <si>
    <t>0308-2.3.2.02.02.005.00.00.00.2402041.053 - 23</t>
  </si>
  <si>
    <t>SOBRETASA AL ACPM</t>
  </si>
  <si>
    <t xml:space="preserve">Suministro  de materiales, elementos y equipos necesarios para la ejecución del proyectos </t>
  </si>
  <si>
    <t>0308-2.3.2.02.01.004.00.00.00.2402041.053 - 23</t>
  </si>
  <si>
    <t>0308-2.3.2.02.01.003.00.00.00.2402041.053 - 23</t>
  </si>
  <si>
    <t>0308-2.3.2.02.01.001.00.00.00.2402041.053- 23</t>
  </si>
  <si>
    <t>Suministro de combustible para la maquinaria pesada, vehiculos y equipos menores.</t>
  </si>
  <si>
    <t>0308-2.3.2.02.01.003.00.00.00.2402041.053 - 20</t>
  </si>
  <si>
    <t>Servicio de Vigilancia en puntos aleatorios para el  funcionamiento  de la maquinaria amarilla y equipos del departamento</t>
  </si>
  <si>
    <t>0308-2.3.2.02.02.008.00.00.00.2402041.053 - 20</t>
  </si>
  <si>
    <t>Mantenimiento preventivo y correctivo,incluyendo repuestos e instalacion para la maquinaria pesada del departamento</t>
  </si>
  <si>
    <t>Servicio de revisión técnico mecánica y de gases para la maquinaria pesada</t>
  </si>
  <si>
    <t xml:space="preserve">0308-2.3.2.02.02.008.00.00.00.2402041.053 - 20 </t>
  </si>
  <si>
    <t>Acompañamiento Operativo, técnico, jurídico administrativo y financiero; profesional y de apoyo a la gestión en cumplimiento del  proyecto.</t>
  </si>
  <si>
    <t>0308-2.3.2.02.02.009.00.00.00.2402041.053 - 20</t>
  </si>
  <si>
    <t>Servicio de transportepara la maquinaria pesado del departamento</t>
  </si>
  <si>
    <t>0308-2.3.2.02.02.006.00.00.00.2402041.053- 20</t>
  </si>
  <si>
    <t>Ambiente y desarrollo sostenible</t>
  </si>
  <si>
    <t>Ordenamiento Ambiental Territorial. "Tú y yo planificamos con sentido ambiental"</t>
  </si>
  <si>
    <t>Obras para estabilización de taludes</t>
  </si>
  <si>
    <t>320501000</t>
  </si>
  <si>
    <t>Obras para estabilización de taludes realizadas</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</si>
  <si>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</si>
  <si>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</si>
  <si>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mitigacion y atenciòn de desastres viales </t>
  </si>
  <si>
    <t>Construccion, Mantenimiento y/o mejoramiento de taludes de infraestructura vial.</t>
  </si>
  <si>
    <t>0308-2.3.2.02.02.005.00.00.00.3205010.004- 23</t>
  </si>
  <si>
    <t>0308-2.3.2.02.02.005.00.00.00.3205010.004 - 20</t>
  </si>
  <si>
    <t>0308-2.3.2.02.02.009.00.00.00.3205010.004- 20</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</si>
  <si>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</si>
  <si>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</si>
  <si>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</si>
  <si>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</si>
  <si>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Mantenimiento y/o mejoramiento de obras para la mitigacion y atencion de desastres en infraestructura vial.</t>
  </si>
  <si>
    <t>0308-2.3.2.02.02.005.00.00.00.3205021.002 - 23</t>
  </si>
  <si>
    <t>0308-2.3.2.02.02.005.00.00.00.3205021.002- 20</t>
  </si>
  <si>
    <t>0308-2.3.2.02.02.009.00.00.00.3205021.002 - 20</t>
  </si>
  <si>
    <t>Vivienda, ciudad y territorio</t>
  </si>
  <si>
    <t>Acceso a soluciones de vivienda. "Tú y yo con vivienda digna"</t>
  </si>
  <si>
    <t>Viviendas de interés social urbanas mejoradas</t>
  </si>
  <si>
    <t>400101500</t>
  </si>
  <si>
    <t>Viviendas de Interés Social urbanas mejoradas</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</si>
  <si>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</si>
  <si>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</si>
  <si>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</si>
  <si>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Mejoramientos de vivienda</t>
  </si>
  <si>
    <t>0308-2.3.2.02.02.005.00.00.00.4001015.057 - 20</t>
  </si>
  <si>
    <t>0308-2.3.2.02.02.005.00.00.00.4001015.057 - 04</t>
  </si>
  <si>
    <t>Vivienda, Ciudad y Territorio</t>
  </si>
  <si>
    <t>Acceso de la población a los servicios de agua potable y saneamiento básico. "Tú y yo con calidad del agua"</t>
  </si>
  <si>
    <t>4003018</t>
  </si>
  <si>
    <t>Alcantarillados construidos</t>
  </si>
  <si>
    <t>Plantas de tratamiento de aguas residuales  construidas</t>
  </si>
  <si>
    <t xml:space="preserve">Implementación del plan departamental para el manejo empresarial de los servicios de agua y saneamiento básico en el Departamento del Quindío  </t>
  </si>
  <si>
    <t>Implementar estrategias de planeacion y coordinacion interinstitucional para el manejo de los esquemas de abastecimiento y prestación de los servicos de agua y sanemiento urbanos y rurales</t>
  </si>
  <si>
    <t>Articular recursos, planificación e inversión en agua y saneamiento básico.</t>
  </si>
  <si>
    <t>0308 - 2.3.2.02.02.005.00.00.00.4003018.014- 27</t>
  </si>
  <si>
    <t>SGP Agua Potable Saneamiento Básico</t>
  </si>
  <si>
    <t>4003025</t>
  </si>
  <si>
    <t>Servicios de apoyo financiero para la ejecución de proyectos de acueductos y alcantarillado</t>
  </si>
  <si>
    <t>Proyectos de acueducto y alcantarillado en área urbana financiados</t>
  </si>
  <si>
    <t>0308 - 2.3.2.02.02.005.00.00.00.4003025.014- 27</t>
  </si>
  <si>
    <t>0308 - 2.3.2.02.02.005.00.00.00.4003025.014- 04</t>
  </si>
  <si>
    <t>RENDIMIENTOS SGP Agua Potable Saneamiento Básico</t>
  </si>
  <si>
    <t>4003026</t>
  </si>
  <si>
    <t>Servicios de apoyo financiero para la ejecución de proyectos de acueductos y de manejo de aguas residuales</t>
  </si>
  <si>
    <t>Proyectos de acueducto y de manejo de aguas residuales en área rural financiados</t>
  </si>
  <si>
    <t>0308 - 2.3.2.02.02.005.00.00.00.4003026.014- 27</t>
  </si>
  <si>
    <t>4003028</t>
  </si>
  <si>
    <t>Servicios de educación informal en agua potable y saneamiento básico</t>
  </si>
  <si>
    <t>Eventos de educación informal en agua y saneamiento básico realizados</t>
  </si>
  <si>
    <t>0308 - 2.3.2.02.02.009.00.00.00.4003028.014- 27</t>
  </si>
  <si>
    <t>Estudios de pre inversión e inversión</t>
  </si>
  <si>
    <t xml:space="preserve">Estudios o diseños realizados </t>
  </si>
  <si>
    <t>0308 -  2.3.2.02.02.005.00.00.00.4003042.014 - 27</t>
  </si>
  <si>
    <t xml:space="preserve">Adoptar e implementar la Política Publica de Producción Consumo Sostenible y Gestión Integral de Aseo  </t>
  </si>
  <si>
    <t>Documentos de planeación</t>
  </si>
  <si>
    <t>Política Pública de Producción Consumo Sostenible y Gestión Integral de Aseo  adoptada e implementada.</t>
  </si>
  <si>
    <t>Documentos de planeación elaborados</t>
  </si>
  <si>
    <t>0308 -  2.3.2.02.02.009.00.00.00.4003006.014 - 27</t>
  </si>
  <si>
    <t>Fortalecimiento de la gestión y desempeño institucional. “Quindío con una administración al servicio de la ciudadanía"</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</si>
  <si>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</si>
  <si>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</si>
  <si>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</si>
  <si>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Mantenimiento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</si>
  <si>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</si>
  <si>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</si>
  <si>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Suministro  de materiales, elementos y equipos para adecuar la infraestructura.</t>
  </si>
  <si>
    <t>0308-2.3.2.02.01.004.00.00.00.4599016.003- 20</t>
  </si>
  <si>
    <t>0308-2.3.2.02.01.003.00.00.00.4599016.003 - 20</t>
  </si>
  <si>
    <t>0308-2.3.2.02.01.001.00.00.00.4599016.003- 20</t>
  </si>
  <si>
    <t>Auditoria energetica</t>
  </si>
  <si>
    <t>0308-2.3.2.02.02.008.00.00.00.4599016.003- 20</t>
  </si>
  <si>
    <t>0308-2.3.2.02.02.009.00.00.00.4599016.003 - 20</t>
  </si>
  <si>
    <t>Salones comunales adecuados</t>
  </si>
  <si>
    <t xml:space="preserve">Salón comunal adecuado </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</si>
  <si>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</si>
  <si>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</si>
  <si>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equipamentos colectivos para el desarrollo comunitario, culturar en el Departamento del Quindío</t>
  </si>
  <si>
    <t>0308-2.3.2.02.01.004.00.00.00.4502003.006 - 20</t>
  </si>
  <si>
    <t>0308-2.3.2.02.01.003.00.00.00.4502003.006 - 20</t>
  </si>
  <si>
    <t>0308-2.3.2.02.01.001.00.00.00.4502003.006- 20</t>
  </si>
  <si>
    <t>0308-2.3.2.02.02.009.00.00.00.4502003.006 - 20</t>
  </si>
  <si>
    <t>Salud y protección social</t>
  </si>
  <si>
    <t xml:space="preserve">Inspección, vigilancia y control. "Tú y yo con salud certificada" </t>
  </si>
  <si>
    <t>Infraestructura de laboratorios costruida y dotada</t>
  </si>
  <si>
    <t xml:space="preserve">laboratorios construidos </t>
  </si>
  <si>
    <t>Modernización del laboratorio de salud pública departamental</t>
  </si>
  <si>
    <t>Mejorar la capacidad instalada del laboratorio de salud publica en la realización de las actividades de inspección, vigilancia y control IVC</t>
  </si>
  <si>
    <t xml:space="preserve">Disminuir la vulnerabilidad de la infraestructura fisica </t>
  </si>
  <si>
    <t xml:space="preserve"> Construcción obra fisica laboratorio de salud pública </t>
  </si>
  <si>
    <t>0308-2.3.2.02.02.005.00.00.00.4599016.002 - 20</t>
  </si>
  <si>
    <t>TOTAL:</t>
  </si>
  <si>
    <t>HECTOR DAVID GUZMAN WALTEROS</t>
  </si>
  <si>
    <t>PROGRAMACIÓN PLAN DE ACCIÓN 
SECRETARÍA  DE :          CULTURA                               AÑO:  2024</t>
  </si>
  <si>
    <t>Servicio de educación informal en áreas artísticas y culturales</t>
  </si>
  <si>
    <t>Personas capacitadas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</si>
  <si>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</si>
  <si>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</si>
  <si>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</si>
  <si>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</si>
  <si>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0310 - 2.3.2.02.02.009.00.00.00.3301087.021 - 20</t>
  </si>
  <si>
    <t>SECRETARIA DE CULTURA</t>
  </si>
  <si>
    <t>0310 - 2.3.2.02.01.003.00.00.00.3301087.021 - 20</t>
  </si>
  <si>
    <t>01/012024</t>
  </si>
  <si>
    <t>0310 - 2.3.2.02.02.009.00.00.00.3301073.021 - 20</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</si>
  <si>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</si>
  <si>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</si>
  <si>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</si>
  <si>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</si>
  <si>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01/012025</t>
  </si>
  <si>
    <t>0310 - 2.3.2.02.02.009.00.00.00.3301073.021.39</t>
  </si>
  <si>
    <t>ESTAMPILLA PRO-CULTURA 50% CONCERTACION</t>
  </si>
  <si>
    <t>01/012027</t>
  </si>
  <si>
    <t>Fortalecer la institucionalidad cultural con asistencia técnica para el mejoramientos de los espacios de participación artística y cultural</t>
  </si>
  <si>
    <t>01/012028</t>
  </si>
  <si>
    <t xml:space="preserve">Garantizar las condiciones técnicas y logísticas para el alistamiento, seguimiento, evaluación y ejecución de los proyectos artísticos y culturales de la secretaria de cultura </t>
  </si>
  <si>
    <t>0310- 2.3.2.02.02.009.00.00.00.3301073.021 - 20</t>
  </si>
  <si>
    <t>0310 - 2.3.2.02.02.009.00.00.00.3301073.021 - 39</t>
  </si>
  <si>
    <t>01/012029</t>
  </si>
  <si>
    <t>0310 - 2.3.2.02.02.009.00.00.00.3301073.021 - 41</t>
  </si>
  <si>
    <t>ESTAMPILLA PRO-CULTRA 10% ESTIMULOS</t>
  </si>
  <si>
    <t>0310 - 2.3.2.02.01.003.00.00.00.3301073.021 - 20</t>
  </si>
  <si>
    <t>01/012030</t>
  </si>
  <si>
    <t>0310 - 2.3.2.02.02.006.00.00.00.3301073.021 - 20</t>
  </si>
  <si>
    <t>01/012031</t>
  </si>
  <si>
    <t>0310 - 2.3.2.02.01.004.00.00.00.3301073.021 - 20</t>
  </si>
  <si>
    <t xml:space="preserve">Cofinanciar proyectos de concertación nacional y departametal </t>
  </si>
  <si>
    <t>01/012032</t>
  </si>
  <si>
    <t>Financiar a través de estímulos los procesos, proyectos y actividades culturales de artistas del Departamento del Quindio</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</si>
  <si>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</si>
  <si>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</si>
  <si>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</si>
  <si>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</si>
  <si>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</si>
  <si>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0310 - 2.3.2.02.02.009.00.00.00.3301070.021 - 20</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</si>
  <si>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</si>
  <si>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</si>
  <si>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</si>
  <si>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</si>
  <si>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0310 - 2.3.2.02.02.009.00.00.00.3301099.021 - 20</t>
  </si>
  <si>
    <t>01/012034</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</si>
  <si>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</si>
  <si>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</si>
  <si>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</si>
  <si>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</si>
  <si>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0310 - 2.3.2.02.01.003.00.00.00.3301052.021 - 20</t>
  </si>
  <si>
    <t>0310 - 2.3.2.02.01.002.00.00.00.3301052.021 - 20</t>
  </si>
  <si>
    <t>01/012035</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</si>
  <si>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</si>
  <si>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</si>
  <si>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</si>
  <si>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</si>
  <si>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</si>
  <si>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</si>
  <si>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0310 - 2.3.2.02.02.006.00.00.00.3301085.020 - 20</t>
  </si>
  <si>
    <t>01/012036</t>
  </si>
  <si>
    <t>0310 - 2.3.2.02.01.003.00.00.00.3301085.020 - 20</t>
  </si>
  <si>
    <t>0310 - 2.3.2.02.01.003.00.00.00.3301085.020 - 34</t>
  </si>
  <si>
    <t>ESTAMPILLA PRO-CULTURA 10% BIBLIOTECAS</t>
  </si>
  <si>
    <t>01/012037</t>
  </si>
  <si>
    <t>0310 - 2.3.2.02.02.009.00.00.00.3301085.020 - 20</t>
  </si>
  <si>
    <t>0310 - 2.3.2.02.02.009.00.00.00.3301085.020 - 34</t>
  </si>
  <si>
    <t>01/012038</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</si>
  <si>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</si>
  <si>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</si>
  <si>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</si>
  <si>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</si>
  <si>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</si>
  <si>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0310 - 2.3.2.02.01.003.00.00.00.3301100.020 - 34</t>
  </si>
  <si>
    <t>01/012039</t>
  </si>
  <si>
    <t>Fortalecer los procesos de publicación, divulgación y cirulación de obras literarias de autores locales y el plan de medios para la circulación y difusión</t>
  </si>
  <si>
    <t>0310 - 2.3.2.02.02.009.00.00.00.3301100.020 - 20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</si>
  <si>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</si>
  <si>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</si>
  <si>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</si>
  <si>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</si>
  <si>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</si>
  <si>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Garantizar las condiciones técnicas y logísticas para el alistamiento y ejecución de los giros anuales</t>
  </si>
  <si>
    <t>0310 - 2.3.2.02.02.009.00.00.00.3301095.072 - 20</t>
  </si>
  <si>
    <t>01/012040</t>
  </si>
  <si>
    <t>Giros anuales al fondo de pensiones colpensiones de acuerdo al recaudo y comportamiento de la estampilla procultura</t>
  </si>
  <si>
    <t>0310 - 2.3.2.02.02.009.00.00.00.3301095.072 - 33</t>
  </si>
  <si>
    <t>ESTAMPILLA PRO-CULTURA 10% SEGURIDAD SOCIAL</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</si>
  <si>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</si>
  <si>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</si>
  <si>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</si>
  <si>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</si>
  <si>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</si>
  <si>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</si>
  <si>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</si>
  <si>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0310 - 2.3.2.02.02.009.00.00.00.3302042.073 - 20</t>
  </si>
  <si>
    <t>01/012041</t>
  </si>
  <si>
    <t>Investigación, divulgacion y publicación del patrimonio cultural</t>
  </si>
  <si>
    <t>Servicio de divulgación y publicación del Patrimonio cultural</t>
  </si>
  <si>
    <t>330207000</t>
  </si>
  <si>
    <t>Suficientes declaratorias de bienes de interés patrimonial material e inmaterial.</t>
  </si>
  <si>
    <t>0310 - 2.3.2.02.02.009.00.00.00.3302070.073 - 20</t>
  </si>
  <si>
    <t>0310 - 2.3.2.02.02.006.00.00.00.3302070.073 - 20</t>
  </si>
  <si>
    <t>01/012042</t>
  </si>
  <si>
    <t>0310 - 2.3.2.02.01.003.00.00.00.3302070.073 - 20</t>
  </si>
  <si>
    <t>0310 - 2.3.2.02.02.009.00.00.00.3302070.073 - 47</t>
  </si>
  <si>
    <t>IVA TELEFONIA MOVIL</t>
  </si>
  <si>
    <t>01/012043</t>
  </si>
  <si>
    <t xml:space="preserve">SECRETARIO DE DESPACHO
</t>
  </si>
  <si>
    <t>PROGRAMACIÓN PLAN DE ACCIÓN 
SECRETARÍA  DE :     INTERIOR                                    AÑO:   2024</t>
  </si>
  <si>
    <t>VALOR ACTIVIDAD
(EN PESOS)</t>
  </si>
  <si>
    <t>Servicio de asistencia técnica para la articulación de los operadores de los servicio de justicia</t>
  </si>
  <si>
    <t>2020003630060</t>
  </si>
  <si>
    <t>Implementación  de acciones con los Entes Municipales, para la reducción de los delitos en el Departamento del Quindío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</si>
  <si>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</si>
  <si>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</si>
  <si>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</si>
  <si>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0309 - 2.3.2.02.02.009.00.00.00.1202004.060 - 20</t>
  </si>
  <si>
    <t xml:space="preserve">Secretario del Interior </t>
  </si>
  <si>
    <t xml:space="preserve">Intervenciones Psicosociales y/o de formación productiva integrales en los cinco municipios focalizados </t>
  </si>
  <si>
    <t>Apoyo juridico  para intervenciones focalizadas en poblacion vulnerable</t>
  </si>
  <si>
    <t>Logistica operativa (alimentación, transporte, sonido, etc)</t>
  </si>
  <si>
    <t>0309 - 2.3.2.02.02.006.00.00.00.1202004.060 - 20</t>
  </si>
  <si>
    <t>Servicios de material impresos, publicaciones y/o   comunicaciones de los programas de lasentidades estatales</t>
  </si>
  <si>
    <t>0309 - 2.3.2.02.01.003.00.00.00.1202004.060 - 20</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</si>
  <si>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</si>
  <si>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</si>
  <si>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</si>
  <si>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</si>
  <si>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</si>
  <si>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2020003630061</t>
  </si>
  <si>
    <t xml:space="preserve">Implementación de  métodos  para la resolución de conflictos y el  fortalecimiento de la seguridad de los ciudadanos 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</si>
  <si>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</si>
  <si>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</si>
  <si>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</si>
  <si>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0309 - 2.3.2.02.02.009.00.00.00.1203002.061 - 20</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</si>
  <si>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</si>
  <si>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</si>
  <si>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</si>
  <si>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</si>
  <si>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2020003630062</t>
  </si>
  <si>
    <t xml:space="preserve">Implementación de  acciones de apoyo para  la  resocialización de las personas privadas de la libertad  en las Instituciones Penitenciarias  del Departamento  del Quindío. </t>
  </si>
  <si>
    <t xml:space="preserve"> 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</si>
  <si>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</si>
  <si>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</si>
  <si>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0309 - 2.3.2.02.02.009.00.00.00.1206005.062 - 20</t>
  </si>
  <si>
    <t>Programas de fortalecimiento del Sistema de Responsabilidad Penal para adolescentes</t>
  </si>
  <si>
    <t>Logistica operativa y/o  refrigerios</t>
  </si>
  <si>
    <t>0309 - 2.3.2.02.02.006.00.00.00.1206005.062 - 20</t>
  </si>
  <si>
    <t>Calidad, cobertura y fortalecimiento de la educación inicial, prescolar, básica y media." Tú y yo con educación y de calidad"</t>
  </si>
  <si>
    <t>Servicio de gestión de riesgos y desastres en establecimientos educativos</t>
  </si>
  <si>
    <t>Establecimientos educativos con acciones de gestión del riesgo implementadas</t>
  </si>
  <si>
    <t>2020003630063</t>
  </si>
  <si>
    <t xml:space="preserve">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</si>
  <si>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</si>
  <si>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Actualizacion de los planes escolares de gestion del riesgo</t>
  </si>
  <si>
    <t>0309 - 2.3.2.02.02.009.00.00.00.2201068.063 - 20</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</si>
  <si>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</si>
  <si>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</si>
  <si>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</si>
  <si>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</si>
  <si>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</si>
  <si>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</si>
  <si>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2020003630064</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</si>
  <si>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</si>
  <si>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</si>
  <si>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</si>
  <si>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</si>
  <si>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0309 - 2.3.2.02.02.009.00.00.00.4101023.064 - 20</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</si>
  <si>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</si>
  <si>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</si>
  <si>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</si>
  <si>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</si>
  <si>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</si>
  <si>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</si>
  <si>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</si>
  <si>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</si>
  <si>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</si>
  <si>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</si>
  <si>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</si>
  <si>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0309 - 2.3.2.02.02.009.00.00.00.4101025.064 - 20</t>
  </si>
  <si>
    <t xml:space="preserve">Apoyar los procesos de retorno y reubicación de las victimas del conflicto armado, en caso de ser requerido </t>
  </si>
  <si>
    <t>Logística y/o refrigerios</t>
  </si>
  <si>
    <t>0309 - 2.3.2.02.02.006.00.00.00.4101025.064 - 20</t>
  </si>
  <si>
    <t>Servicio de asistencia técnica para la participación de las víctimas</t>
  </si>
  <si>
    <t>Eventos de participación realizados</t>
  </si>
  <si>
    <t xml:space="preserve">Adecuada programación de las entregas </t>
  </si>
  <si>
    <t>Garantias para Sesiones comité ejecutivo y ética mesa de victimas.</t>
  </si>
  <si>
    <t>0309 - 2.3.2.02.02.009.00.00.00.4101038.064 - 20</t>
  </si>
  <si>
    <t>Garantias para Sesiones plenario mesa departamental de  victimas</t>
  </si>
  <si>
    <t>Papeleria impresa</t>
  </si>
  <si>
    <t>0309 - 2.3.2.02.01.003.00.00.00.4101038.064 - 20</t>
  </si>
  <si>
    <t xml:space="preserve">Apoyo al Plan de Trabajo de la mesa Departamental de Victimas </t>
  </si>
  <si>
    <t>0309 - 2.3.2.02.02.006.00.00.00.4101038.064 - 20</t>
  </si>
  <si>
    <t xml:space="preserve">Procesos de articulación asistencia y atención a los municipios y su población víctima Sesiones de Comites y Subcomites </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</si>
  <si>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</si>
  <si>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</si>
  <si>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</si>
  <si>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</si>
  <si>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</si>
  <si>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0309 - 2.3.2.02.02.009.00.00.00.4101073.064 - 20</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</si>
  <si>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</si>
  <si>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</si>
  <si>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</si>
  <si>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</si>
  <si>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0309 - 2.3.2.02.02.009.00.00.00.4101011.064 - 20</t>
  </si>
  <si>
    <t>0309 - 2.3.2.02.02.006.00.00.00.4101011.064 - 20</t>
  </si>
  <si>
    <t>Apoyo a municipios priorizados para reparacion colectiva.</t>
  </si>
  <si>
    <t xml:space="preserve">Apoyo a iniciativas que aportan a la memoria historica del departamento </t>
  </si>
  <si>
    <t>Inclusión social y productiva para la población en situación de vulnerabilidad. "Tú y yo, población vulnerable incluida"</t>
  </si>
  <si>
    <t>Servicio de atención y asistencia para la población excombatiente del Departamento del Quindío</t>
  </si>
  <si>
    <t>Servicio de gestión de oferta social para la población vulnerable</t>
  </si>
  <si>
    <t>Población excombatiente beneficiada</t>
  </si>
  <si>
    <t>Beneficiarios de la oferta social atendidos</t>
  </si>
  <si>
    <t>2020003630065</t>
  </si>
  <si>
    <t xml:space="preserve">Asistencia, atención y capacitación  a la población  excombatiente en el  Departamento del Quindío. </t>
  </si>
  <si>
    <t xml:space="preserve"> Aumentar la cobertura de la población excombatiente atendida con procesos de atención y asistencia en el departamento del Quindío. </t>
  </si>
  <si>
    <t>1.Brindar atención a excombatientes del Departamento del Quindío
2.Brindar capacitación a los excombatientes del
Departamento del Quindío</t>
  </si>
  <si>
    <t>Atención y asistencia a la poblacion excombatiente del depto</t>
  </si>
  <si>
    <t>0309 - 2.3.2.02.02.009.00.00.00.4103052.065 - 20</t>
  </si>
  <si>
    <t>Apoyo a la productividad de la poblacion excombatiente</t>
  </si>
  <si>
    <t>Jornadas de reconciliacion de la poblacion excombatiente de la sociedad del depto</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</si>
  <si>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</si>
  <si>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</si>
  <si>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</si>
  <si>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</si>
  <si>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Proyectos de convivencia y seguridad ciudadana apoyados financieramente</t>
  </si>
  <si>
    <t>2020003630066</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</si>
  <si>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</si>
  <si>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</si>
  <si>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</si>
  <si>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</si>
  <si>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0309 - 2.3.2.01.01.003.07.01.00.4501029.066 - 42</t>
  </si>
  <si>
    <t>FONDO DE SEGURIDAD</t>
  </si>
  <si>
    <t>Suministro de combustible</t>
  </si>
  <si>
    <t>0309 - 2.3.2.02.01.003.00.00.00.4501029.066 - 42</t>
  </si>
  <si>
    <t>Servicios de apoyo en procesos tecnológicos de seguridad en el departamento</t>
  </si>
  <si>
    <t xml:space="preserve">0309 - 2.3.2.02.02.009.00.00.00.4501029.066 - 42 </t>
  </si>
  <si>
    <t>Servicios de apoyo para los procesos de adquisición de bienes y servicios con cargo a los organismos de seguridad del departamento</t>
  </si>
  <si>
    <t>Servicios de orden social,  Control y Fiscalización de Sustancias Químicas y Estupefacientes en el departamento</t>
  </si>
  <si>
    <t>0309 - 2.3.2.02.02.009.00.00.00.4501029.066 - 42</t>
  </si>
  <si>
    <t>Pago fuentes humanas</t>
  </si>
  <si>
    <t>Adquisición de bienes y suministro, para material de intendencia y logística</t>
  </si>
  <si>
    <t xml:space="preserve">Suministro de alimentación </t>
  </si>
  <si>
    <t xml:space="preserve">0309 - 2.3.2.02.02.006.00.00.00.4501029.066 - 42 </t>
  </si>
  <si>
    <t xml:space="preserve">Construcción, refacción y/o adecuación de guerniciones militares, estaciones de policía, centros carcelarios y/o centros transitorios de reclusión </t>
  </si>
  <si>
    <t>Financiación del proyecto de tecnología en seguridad</t>
  </si>
  <si>
    <t>Instancias territoriales asistidas técnicamente</t>
  </si>
  <si>
    <t>2020003630068</t>
  </si>
  <si>
    <t xml:space="preserve">Fortalecimiento institucional de la entidades municipales para la consolidación de la convivencia, el orden público  y la seguridad ciudadana  en el departamento del Quindío  </t>
  </si>
  <si>
    <t xml:space="preserve"> Disminuir los índices de violencia intrafamiliar   a través de la implementación de acciones y gestiones para impulsar y adoptar políticas y planes qué promuevan la paz, la reconciliación, la legalidad y la convivencia en el territorio.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</si>
  <si>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</si>
  <si>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</si>
  <si>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0309 - 2.3.2.02.02.009.00.00.00.4501001.068 - 20</t>
  </si>
  <si>
    <t>Servicios promocionales y publicitarios de promocion de la convivencia y seguridad ciudadana</t>
  </si>
  <si>
    <t>0309 - 2.3.2.02.01.003.00.00.00.4501001.068 - 20</t>
  </si>
  <si>
    <t>Documentos de estudios técnicos para el ordenamiento ambiental territorial</t>
  </si>
  <si>
    <t>Documentos de estudios técnicos para el conocimiento y reducción del riesgo de desastres elaborados</t>
  </si>
  <si>
    <t>2020003630069</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</si>
  <si>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</si>
  <si>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</si>
  <si>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</si>
  <si>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</si>
  <si>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 xml:space="preserve">0309 -  2.3.2.02.02.009.00.00.00.3205002.069 - 20 </t>
  </si>
  <si>
    <t>Elaboracion de informe que recopile  las areas vulnerables  identificadas en las visitas tecnicas realizadas</t>
  </si>
  <si>
    <t>Prevención y atención de desastres y emergencias. "Tú y yo preparados en gestión del riesgo"</t>
  </si>
  <si>
    <t>Servicio de educación informal</t>
  </si>
  <si>
    <t>2020003630070</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</si>
  <si>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</si>
  <si>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</si>
  <si>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</si>
  <si>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</si>
  <si>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0309 - 2.3.2.02.02.009.00.00.00.4503002.070 - 20</t>
  </si>
  <si>
    <t>Impresos y material didactico</t>
  </si>
  <si>
    <t>0309 - 2.3.2.02.01.003.00.00.00.4503002.070 - 20</t>
  </si>
  <si>
    <t>Logistica y refrigerios para la organización de foros, talleres, eventos y/o actividades</t>
  </si>
  <si>
    <t>0309 - 2.3.2.02.02.006.00.00.00.4503002.070 - 20</t>
  </si>
  <si>
    <t>Instancias territoriales asistidas</t>
  </si>
  <si>
    <t>Fortalecer la capacidad institucional del sistema departamental de gestión del riesgo de desastes del Departamento del Quindío</t>
  </si>
  <si>
    <t>Fortalecimiento de la red de comunicaciones de emergencias del departamento</t>
  </si>
  <si>
    <t>0309 - 2.3.2.02.02.007.00.00.00.4503003.070 - 20</t>
  </si>
  <si>
    <t>Servicios para la atención y el desarrollo de actividades y procesos de gestión del riesgo</t>
  </si>
  <si>
    <t>0309 - 2.3.2.02.02.009.00.00.00.4503003.070.91119 - 20</t>
  </si>
  <si>
    <t>Formacion y capacitacion en Gestión del Riesgo de Desastres al Sistema Departamental de Gestion del Riesgo de Desastres</t>
  </si>
  <si>
    <t>0309 - 2.3.2.02.02.009.00.00.00.4503003.070 - 20</t>
  </si>
  <si>
    <t>Apoyo y fortalecimiento a los Consejos Municipales de Gestión del Riesgo</t>
  </si>
  <si>
    <t>Servicio de Transporte Terrestre</t>
  </si>
  <si>
    <t>0309 - 2.3.2.02.02.006.00.00.00.4503003.070 - 20</t>
  </si>
  <si>
    <t>Apoyo y Fortalecimiento a las instituciones de socorro</t>
  </si>
  <si>
    <t>Apoyo con servicios de publicación y campañas de promocion para la difusion de los procesos de gestion del riesgo</t>
  </si>
  <si>
    <t>Apoyo y fortalecimiento al sistema de alertas tempranas en el departamento del Quindío</t>
  </si>
  <si>
    <t>0309 - 2.3.2.02.02.008.00.00.00.4503003.070 - 20</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</si>
  <si>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</si>
  <si>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</si>
  <si>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</si>
  <si>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</si>
  <si>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</si>
  <si>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Suministro de Ayuda Humanitaria</t>
  </si>
  <si>
    <t>0309 - 2.3.2.02.01.004.00.00.00.4503016.070 - 20</t>
  </si>
  <si>
    <t>Servicio de apoyo para la implementación de medidas en derechos humanos y derecho internacional humanitario</t>
  </si>
  <si>
    <t>Medidas implementadas en cumplimiento de las obligaciones internacionales en materia de Derechos Humanos y Derecho Internacional Humanitario</t>
  </si>
  <si>
    <t>2020003630067</t>
  </si>
  <si>
    <t xml:space="preserve">Implementación del Plan Integral de prevención de vulneraciones de los Derechos Humanos DDHH e infracciones  al Derecho Internacional Humanitario DIH en el Departamento del Quindío </t>
  </si>
  <si>
    <t>Aumentar la cobertura de asistencia a los municipios del departamento del Quindío en los procesos de la garantía y prevención de derechos humanos a través de la actualización, implementación y socialización en Plan Integral para la prevención a la vulneración de los DDHH.</t>
  </si>
  <si>
    <t>Promocionar y orientar a las personas del departamento en la apropiación de la paz en el territorio.</t>
  </si>
  <si>
    <t>0309 - 2.3.2.02.01.003.00.00.00.4502024.067 - 20</t>
  </si>
  <si>
    <t>logistica y refrigerios</t>
  </si>
  <si>
    <t>0309 - 2.3.2.02.02.006.00.00.00.4502024.067 - 20</t>
  </si>
  <si>
    <t>Actualización e implementación del plan integral de prevención de vulneración de DDHH</t>
  </si>
  <si>
    <t>0309 - 2.3.2.02.02.009.00.00.00.4502024.067 - 20</t>
  </si>
  <si>
    <t>Realizar jornadas de socialización en rutas de protección en los 12 municipios del Departamento</t>
  </si>
  <si>
    <t>Foros, Actos Culturales, Actos Simbólicos Y Espacios Que Promuevan La Paz</t>
  </si>
  <si>
    <t>Realizar jornadas de la prevencion y sensibilizacion de los Derechos Humanos en los 12 municipios del Departamento</t>
  </si>
  <si>
    <t>Jornadas de prevención del delito de trata de personas en los 12 municipios del Departamento</t>
  </si>
  <si>
    <t>Ayuda Humanitaria para victimas de trata de personas</t>
  </si>
  <si>
    <t>Iniciativas para la promoción de la participación ciudadana implementada.</t>
  </si>
  <si>
    <t>2020003630071</t>
  </si>
  <si>
    <t xml:space="preserve">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</si>
  <si>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</si>
  <si>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</si>
  <si>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</si>
  <si>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0309 - 2.3.2.02.02.009.00.00.00.4502001.071 - 20</t>
  </si>
  <si>
    <t>Celebración semana de participación</t>
  </si>
  <si>
    <t>Apoyo en la realización de eventos para el fortalecimiento a la participación ciudadana y control social</t>
  </si>
  <si>
    <t>Apoyar las Iniciativas para la promoción de la participación femenina en escenarios sociales y políticos implementada.</t>
  </si>
  <si>
    <t>Papeleria impresa, material publicitario y elementos relacionados</t>
  </si>
  <si>
    <t>0309 - 2.3.2.02.01.003.00.00.00.4502001.071 - 20</t>
  </si>
  <si>
    <t>Logistica y/o refrigerios</t>
  </si>
  <si>
    <t>0309 - 2.3.2.02.02.006.00.00.00.4502001.071 - 20</t>
  </si>
  <si>
    <t>Servicios de Apoyo para eventos de formación y capacitación</t>
  </si>
  <si>
    <t>Apoyo a estrategías y/o programas de promoción y fortalecimiento de la participación ciudadana</t>
  </si>
  <si>
    <t>Servicios de comunicación, publicación y difusion de los mecanismos de participacion</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</si>
  <si>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</si>
  <si>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</si>
  <si>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</si>
  <si>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</si>
  <si>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</si>
  <si>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</si>
  <si>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Logistica y/o regrigerios</t>
  </si>
  <si>
    <t>Fortalecimiento de los organismos  de acción comunal (OAC)  de los doce municipios del Departamento en lo relacionado a sus procesos formativos, participativos, de organización y  gestión.</t>
  </si>
  <si>
    <t>Municipios con organismos de Acción Comunal fortalecidos.</t>
  </si>
  <si>
    <t xml:space="preserve">Iniciativas organizativas de participación ciudadana promovidas </t>
  </si>
  <si>
    <t>Servicios como apoyo al fortalecimiento de los organismos comunales</t>
  </si>
  <si>
    <t>Apoyo a eventos de carácter municipal, departamental nacional y Celebración día comunal</t>
  </si>
  <si>
    <t>Desarrollo de actividades de formación y capacitación</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</si>
  <si>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</si>
  <si>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</si>
  <si>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</si>
  <si>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</si>
  <si>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</si>
  <si>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</si>
  <si>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Apoyo en la formulación de la Política Pública Departamental para la Acción Comunal</t>
  </si>
  <si>
    <t>0309 - 2.3.2.02.02.009.00.00.00.4502035.071 - 20</t>
  </si>
  <si>
    <t>0309 - 2.3.2.02.01.003.00.00.00.4502035.071 - 20</t>
  </si>
  <si>
    <t xml:space="preserve">Servicios de Apoyo para eventos de formación, capacitación, formulación y/o implementación de la política publica </t>
  </si>
  <si>
    <t>JUANA CAMILA GOMEZ ZAMORANO</t>
  </si>
  <si>
    <t>Secretaria del Interior</t>
  </si>
  <si>
    <t>PROGRAMACIÓN PLAN DE ACCIÓN 
SECRETARÍA  DE TURISMO,INDUSTRIA Y COMERCIO                                      AÑO:  2024</t>
  </si>
  <si>
    <t>PLAN DE DESARROLLO DEPARTAMENTAL:   TU Y YO SOMOS QUINDÌO</t>
  </si>
  <si>
    <t>Comercio, Industria y Turismo</t>
  </si>
  <si>
    <t xml:space="preserve">Productividad y competitividad de las empresas colombianas. "Tú y yo con empresas competitivas" </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</si>
  <si>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</si>
  <si>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</si>
  <si>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</si>
  <si>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</si>
  <si>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</si>
  <si>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</si>
  <si>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</si>
  <si>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0311 - 2.3.2.02.02.009.00.00.003502006.074.-20</t>
  </si>
  <si>
    <t xml:space="preserve">Recurso Ordinario </t>
  </si>
  <si>
    <t xml:space="preserve">Director administrativo de indsutria y comercio </t>
  </si>
  <si>
    <t>Servicio de asistencia técnica para el desarrollo de iniciativas Clústers</t>
  </si>
  <si>
    <t>350200700</t>
  </si>
  <si>
    <t>Clústeres asistidos en la implementación de los planes de acción</t>
  </si>
  <si>
    <t xml:space="preserve">Aunar esfuerzos para desarrollar proyectos que incrementen la competitividad, la innovación y la productividad de los sectores en el Departamento del Quindìo. </t>
  </si>
  <si>
    <t>0311 -2.3.2.02.02.009.00.00.00.3502007.074. - 20</t>
  </si>
  <si>
    <t>Servicio de asistencia técnica a los entes territoriales para el desarrollo turístico</t>
  </si>
  <si>
    <t>350203900</t>
  </si>
  <si>
    <t>Mejoramiento de la competitividad del  departamento como destino turístico  sostenible y de calidad .</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</si>
  <si>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</si>
  <si>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Fortalecer la coordinación interinstitucional</t>
  </si>
  <si>
    <t>Apoyo complementario y subsidiario en asistencia técnica para el sector turismo dirigido a los entes territoriales del departamento</t>
  </si>
  <si>
    <t>0311 -2.3.2.02.02.009.00.00.00.3502039.076.- 20</t>
  </si>
  <si>
    <t>Director administrativo de turismo,clùster y asociatividad</t>
  </si>
  <si>
    <t xml:space="preserve">Fortalecimiento emprendimientos recintos gastronómicos  </t>
  </si>
  <si>
    <t>0311 -2.3.2.02.02.009.00.00.00.3502039.076. 20</t>
  </si>
  <si>
    <t>Impresos Digitales gran formato para la campaña de sensibilizacion y promocion</t>
  </si>
  <si>
    <t>0311 -2.3.2.02.01.003.00.00.00.3502039.076. 20</t>
  </si>
  <si>
    <t>Apoyo y fortalecimiento competitivo dirigido a los  diferentes productos y servicios empresariales del sector turismo en los municipios del departamento.</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</si>
  <si>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</si>
  <si>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</si>
  <si>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</si>
  <si>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</si>
  <si>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</si>
  <si>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Promoción nacional e internacional del departamento del Quindío como destino turístico y la marca Quindío Corazón de Colombia</t>
  </si>
  <si>
    <t>0311 -2.3.2.02.02.009.00.00.00.3502046.077.- 52</t>
  </si>
  <si>
    <t xml:space="preserve">Turismo y Cultura 4% </t>
  </si>
  <si>
    <t>Jefe de oficina de promociòn y calidad turìstica</t>
  </si>
  <si>
    <t>Apoyo a la gestión de la promoción del turismo nacional e internacional</t>
  </si>
  <si>
    <t>0311 -2.3.2.02.02.009.00.00.00.3502046.077-52</t>
  </si>
  <si>
    <t>Apoyo al fortalecimiento corporativo al sector turismo con las actividades  de promoción nacional y/o internacional del destino Quindío.</t>
  </si>
  <si>
    <t>0311 -2.3.2.02.02.009.00.00.00.3502046.077- 52</t>
  </si>
  <si>
    <t>Servicios de catering para cubrir los diferentes eventos y actividades</t>
  </si>
  <si>
    <t xml:space="preserve"> 0311 -2.3.2.02.02.006.00.00.00.3502046.077 - 52</t>
  </si>
  <si>
    <t>Impresos Digitales gran formato</t>
  </si>
  <si>
    <t>0311 -2.3.2.02.02.009.00.00.00.3502046.077 - 52</t>
  </si>
  <si>
    <t>Trabajo</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</si>
  <si>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</si>
  <si>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</si>
  <si>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</si>
  <si>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</si>
  <si>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</si>
  <si>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</si>
  <si>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</si>
  <si>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 xml:space="preserve">Aunar esfuerzos para desarrollar proyectos direccionados al financiamiento de planes de negocio en el marco del Fondo Departamental de Emprendimiento. </t>
  </si>
  <si>
    <t>0311 - 2.3.2.02.02.007.00.00.00.3602018.078 - 20</t>
  </si>
  <si>
    <t>Jefe de oficina de promocicòn empleo,competitividad  e innovaciòn</t>
  </si>
  <si>
    <t>Servicio de asesoría técnica para el emprendimiento.</t>
  </si>
  <si>
    <t>360203201</t>
  </si>
  <si>
    <t>Emprendimientos fortalecidos</t>
  </si>
  <si>
    <t>Apoyo a procesos y actividades direccionadas a fortalecer las capacidades de los emprendedores y empresarios  del departamento.</t>
  </si>
  <si>
    <t>0311 - 2.3.2.02.02.009.00.00.00.3602032.078- 20</t>
  </si>
  <si>
    <t>Servicio de asistencia técnica para la generación y formalización del empleo</t>
  </si>
  <si>
    <t>Servicio de información y monitoreo del mercado de trabajo</t>
  </si>
  <si>
    <t>Talleres de oferta institucional realizados</t>
  </si>
  <si>
    <t>Servicios de catering para cubrir los diferentes eventos y actividades institucionales.</t>
  </si>
  <si>
    <t>0311 - 2.3.2.02.02.009.00.00.00.3602029.078- 20</t>
  </si>
  <si>
    <t>Apoyo a procesos  direccionados a desarrollar talleres y actividades  de oferta institucional del sector trabajo.</t>
  </si>
  <si>
    <t xml:space="preserve">Reportes realizados </t>
  </si>
  <si>
    <t>Impresos Digitales gran formato.</t>
  </si>
  <si>
    <t>0311 - 2.3.2.02.02.009.00.00.00.3602030.078 - 20</t>
  </si>
  <si>
    <t xml:space="preserve"> Apoyo a procesos y actividades direccionadas a fortalecer el observatorio regional del mercado de trabajo ORMET </t>
  </si>
  <si>
    <t>MAGDA INÈS MONTOYA NARANJO</t>
  </si>
  <si>
    <t xml:space="preserve">Secretaria de Turismo, Industria y Comercio
</t>
  </si>
  <si>
    <t xml:space="preserve">SECRETARIA DE TURISMO,INDUSTRIA Y COMERCIO
</t>
  </si>
  <si>
    <t>ELABORÒ: JOHAN GUEVARA (PU)</t>
  </si>
  <si>
    <t>PROGRAMACIÓN PLAN DE ACCIÓN 
SECRETARÍA:     PRIVADA                                  AÑO:  2024</t>
  </si>
  <si>
    <t>PLAN DE DESARROLLO DEPARTAMENTAL:  TÚ  Y YO SOMOS QUINDÍO</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</si>
  <si>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</si>
  <si>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</si>
  <si>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Servicio de Implementación Sistemas de Gestión</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</si>
  <si>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</si>
  <si>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</si>
  <si>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</si>
  <si>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</si>
  <si>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</si>
  <si>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</si>
  <si>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313-2.3.2.02.02.009.00.00.00.4599023.005-20</t>
  </si>
  <si>
    <t>Recurso  Ordinario</t>
  </si>
  <si>
    <t xml:space="preserve">Director Gestión Estratégica </t>
  </si>
  <si>
    <t>0313 - 2.3.2.02.02.006.00.00.00.4599023.005-20</t>
  </si>
  <si>
    <t xml:space="preserve">Liderazgo, Gobernabilidad y Transparencia  </t>
  </si>
  <si>
    <t>Desarrollo e implementación de la estrategia de comunicaciones para la Administración Departamental</t>
  </si>
  <si>
    <t>Estrategia de comunicaciones desarrollada e implementada</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</si>
  <si>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</si>
  <si>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</si>
  <si>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</si>
  <si>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t>
  </si>
  <si>
    <t>313-2.3.2.02.02.009.00.00.00.4599029.090-20</t>
  </si>
  <si>
    <t>Director de comunicaciones</t>
  </si>
  <si>
    <t>Ejecución plan de medios (radio, prensa, revistas, televisión, portal web, redes sociales, OOH) revisión y desarrollo de la estrategia de comunicaciones.</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</si>
  <si>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</si>
  <si>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</si>
  <si>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</si>
  <si>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</si>
  <si>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</si>
  <si>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Quindío.</t>
  </si>
  <si>
    <t>313-2.3.2.02.02.009.00.00.00.4502001.031-20</t>
  </si>
  <si>
    <t>Director de emprendimiento y competitividad</t>
  </si>
  <si>
    <t>JORGE HERNÁN ZAPATA BOTERO</t>
  </si>
  <si>
    <t>SECRETARIO PRIVADO</t>
  </si>
  <si>
    <t xml:space="preserve">PROGRAMACIÓN PLAN DE ACCIÓN 
SECRETARÍA  DE : EDUCACIÓN AÑO: 2024 </t>
  </si>
  <si>
    <t>EDUCACIÓN</t>
  </si>
  <si>
    <t>Calidad, cobertura y fortalecimiento de la educación inicial, preescolar, básica y media.</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</si>
  <si>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</si>
  <si>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</si>
  <si>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</si>
  <si>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</si>
  <si>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</si>
  <si>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</si>
  <si>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0314 - 2.3.2.02.02.009.00.00.00.2201006.016. - 20</t>
  </si>
  <si>
    <t>Dirección Administrativa - Secretaría de Educación Departamental</t>
  </si>
  <si>
    <t>Servicio educativo</t>
  </si>
  <si>
    <t>Establecimientos educativos en operación</t>
  </si>
  <si>
    <t xml:space="preserve">Implementar un plan colectivo de asistencia técnica a los funcionarios docentes, directivos docentes y administrativos de la Secretaría de Educación Departamental, con el fin de fortalecer sus capacidades estratégicas, técnicas y personales </t>
  </si>
  <si>
    <t>Prestación del Servicio de Aseo y Vigilancia para las Establecimientos Educativos Oficiales del Departamento del Quindío.</t>
  </si>
  <si>
    <t>0314 - 2.3.2.02.02.008.00.00.00.2201071.016. - 35</t>
  </si>
  <si>
    <t>Recurso Monopolio</t>
  </si>
  <si>
    <t>0314 - 2.3.2.02.02.008.00.00.00.2201071.016. - 20</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</si>
  <si>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</si>
  <si>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1400 - 2.3.1.01.01.001.01.00.00.2201071.016. - 25</t>
  </si>
  <si>
    <t>Sistema General de Participaciones SGP EDUCACIÓN</t>
  </si>
  <si>
    <t>Realizar el pago oportuno de los gastos de personal, transferencias y todos aquellos afines a la operación de la prestación del servicio educativo , personal administrativo, docentes y directivos docentes de las Instituciones Educativas oficiales adscritas al Departamento del Quindío.</t>
  </si>
  <si>
    <t>1401 - 2.3.1.01.01.001.01.00.00.2201071.016. - 25</t>
  </si>
  <si>
    <t>1402 - 2.3.1.01.01.001.01.00.00.2201071.016. - 25</t>
  </si>
  <si>
    <t>Realizar el pago oportuno de los gastos de personal, transferencias y todos aquellos afines a la operación de la prestación del servicio educativo , personal administrativo, docentes y directivos docentes de las Instituciones Educativas oficiales adscritas al Departamento del Quindío</t>
  </si>
  <si>
    <t>1403 - 2.3.1.01.01.001.01.00.00.2201071.016. - 25</t>
  </si>
  <si>
    <t>1402 - 2.3.1.01.01.001.01.00.00.2201071.016. - 26</t>
  </si>
  <si>
    <t>Sistema General de Participación SGP EDUCACIÓN</t>
  </si>
  <si>
    <t>1403 - 2.3.1.01.01.001.01.00.00.2201071.016. - 26</t>
  </si>
  <si>
    <t>1401 - 2.3.1.01.01.001.02.00.00.2201071.016. - 25</t>
  </si>
  <si>
    <t>1402 - 2.3.1.01.01.001.02.00.00.2201071.016. - 25</t>
  </si>
  <si>
    <t>1403 - 2.3.1.01.01.001.02.00.00.2201071.016. - 25</t>
  </si>
  <si>
    <t>1402 - 2.3.1.01.01.001.04.00.00.2201071.016. - 25</t>
  </si>
  <si>
    <t>1403 - 2.3.1.01.01.001.04.00.00.2201071.016. - 25</t>
  </si>
  <si>
    <t>1402 - 2.3.1.01.01.001.05.00.00.2201071.016. - 25</t>
  </si>
  <si>
    <t>1400 - 2.3.1.01.01.001.06.00.00.2201071.016. - 25</t>
  </si>
  <si>
    <t>1401 - 2.3.1.01.01.001.06.00.00.2201071.016. - 25</t>
  </si>
  <si>
    <t>1402 - 2.3.1.01.01.001.06.00.00.2201071.016. - 25</t>
  </si>
  <si>
    <t>1403 - 2.3.1.01.01.001.06.00.00.2201071.016. - 25</t>
  </si>
  <si>
    <t>1400 - 2.3.1.01.01.001.07.00.00.2201071.016. - 25</t>
  </si>
  <si>
    <t>1401 - 2.3.1.01.01.001.07.00.00.2201071.016. - 25</t>
  </si>
  <si>
    <t>1400 - 2.3.1.01.01.001.08.01.00.2201071.016. - 25</t>
  </si>
  <si>
    <t>1401 - 2.3.1.01.01.001.08.01.00.2201071.016. - 25</t>
  </si>
  <si>
    <t>1402 - 2.3.1.01.01.001.08.01.00.2201071.016. - 25</t>
  </si>
  <si>
    <t>1403 - 2.3.1.01.01.001.08.01.00.2201071.016. - 25</t>
  </si>
  <si>
    <t>1400 - 2.3.1.01.01.001.08.02.00.2201071.016. - 25</t>
  </si>
  <si>
    <t>1401 - 2.3.1.01.01.001.08.02.00.2201071.016. - 25</t>
  </si>
  <si>
    <t>1402 - 2.3.1.01.01.001.08.02.00.2201071.016. - 25</t>
  </si>
  <si>
    <t>1403 - 2.3.1.01.01.001.08.02.00.2201071.016. - 25</t>
  </si>
  <si>
    <t>1401 - 2.3.1.01.01.001.10.00.00.2201071.016. - 25</t>
  </si>
  <si>
    <t>1402 - 2.3.1.01.01.001.10.00.00.2201071.016. - 25</t>
  </si>
  <si>
    <t>1403 - 2.3.1.01.01.001.10.00.00.2201071.016. - 25</t>
  </si>
  <si>
    <t>1402 - 2.3.1.01.01.002.31.00.00.2201071.016. - 25</t>
  </si>
  <si>
    <t>1403 - 2.3.1.01.01.002.31.00.00.2201071.016. - 25</t>
  </si>
  <si>
    <t>1402 - 2.3.1.01.01.002.32.00.00.2201071.016. - 25</t>
  </si>
  <si>
    <t>1403 - 2.3.1.01.01.002.32.00.00.2201071.016. - 25</t>
  </si>
  <si>
    <t>1400 - 2.3.1.01.02.001.00.00.00.2201071.016. - 25</t>
  </si>
  <si>
    <t>1401 - 2.3.1.01.02.001.00.00.00.2201071.016. - 25</t>
  </si>
  <si>
    <t>1402 - 2.3.1.01.02.001.00.00.00.2201071.016. - 26</t>
  </si>
  <si>
    <t>1403 - 2.3.1.01.02.001.00.00.00.2201071.016. - 26</t>
  </si>
  <si>
    <t>1400 - 2.3.1.01.02.002.00.00.00.2201071.016. - 25</t>
  </si>
  <si>
    <t>1401 - 2.3.1.01.02.002.00.00.00.2201071.016. - 25</t>
  </si>
  <si>
    <t>1402 - 2.3.1.01.02.002.00.00.00.2201071.016. - 26</t>
  </si>
  <si>
    <t>1403 - 2.3.1.01.02.002.00.00.00.2201071.016. - 26</t>
  </si>
  <si>
    <t>1400 - 2.3.1.01.02.003.00.00.00.2201071.016. - 25</t>
  </si>
  <si>
    <t>1402 - 2.3.1.01.02.003.00.00.00.2201071.016. - 26</t>
  </si>
  <si>
    <t>1403 - 2.3.1.01.02.003.00.00.00.2201071.016. - 26</t>
  </si>
  <si>
    <t>1401 - 2.3.1.01.02.003.00.00.00.2201071.016. - 25</t>
  </si>
  <si>
    <t>1400 - 2.3.1.01.02.004.00.00.00.2201071.016. - 25</t>
  </si>
  <si>
    <t>1401 - 2.3.1.01.02.004.00.00.00.2201071.016. - 25</t>
  </si>
  <si>
    <t>1402 - 2.3.1.01.02.004.00.00.00.2201071.016. - 25</t>
  </si>
  <si>
    <t>1403 - 2.3.1.01.02.004.00.00.00.2201071.016. - 25</t>
  </si>
  <si>
    <t>1400 - 2.3.1.01.02.005.00.00.00.2201071.016. - 25</t>
  </si>
  <si>
    <t>1401 - 2.3.1.01.02.005.00.00.00.2201071.016. - 25</t>
  </si>
  <si>
    <t>1400 - 2.3.1.01.02.006.00.00.00.2201071.016. - 25</t>
  </si>
  <si>
    <t>1401 - 2.3.1.01.02.006.00.00.00.2201071.016. - 25</t>
  </si>
  <si>
    <t>1402 - 2.3.1.01.02.006.00.00.00.2201071.016. - 25</t>
  </si>
  <si>
    <t>1403 - 2.3.1.01.02.006.00.00.00.2201071.016. - 25</t>
  </si>
  <si>
    <t>1400 - 2.3.1.01.02.007.00.00.00.2201071.016. - 25</t>
  </si>
  <si>
    <t>1401 - 2.3.1.01.02.007.00.00.00.2201071.016. - 25</t>
  </si>
  <si>
    <t>1402 - 2.3.1.01.02.007.00.00.00.2201071.016. - 25</t>
  </si>
  <si>
    <t>1403 - 2.3.1.01.02.007.00.00.00.2201071.016. - 25</t>
  </si>
  <si>
    <t>1400 - 2.3.1.01.02.008.00.00.00.2201071.016. - 25</t>
  </si>
  <si>
    <t>1401 - 2.3.1.01.02.008.00.00.00.2201071.016. - 25</t>
  </si>
  <si>
    <t>1402 - 2.3.1.01.02.008.00.00.00.2201071.016. - 25</t>
  </si>
  <si>
    <t>1403 - 2.3.1.01.02.008.00.00.00.2201071.016. - 25</t>
  </si>
  <si>
    <t>1400 - 2.3.1.01.02.009.00.00.00.2201071.016. - 25</t>
  </si>
  <si>
    <t>1401 - 2.3.1.01.02.009.00.00.00.2201071.016. - 25</t>
  </si>
  <si>
    <t>1402 - 2.3.1.01.02.009.00.00.00.2201071.016. - 25</t>
  </si>
  <si>
    <t>1403 - 2.3.1.01.02.009.00.00.00.2201071.016. - 25</t>
  </si>
  <si>
    <t>1400 - 2.3.1.01.03.001.02.00.00.2201071.016. - 25</t>
  </si>
  <si>
    <t>1401 - 2.3.1.01.03.001.02.00.00.2201071.016. - 25</t>
  </si>
  <si>
    <t>1400 - 2.3.1.01.03.001.03.00.00.2201071.016. - 25</t>
  </si>
  <si>
    <t>1401 - 2.3.1.01.03.001.03.00.00.2201071.016. - 25</t>
  </si>
  <si>
    <t>1400 - 2.3.1.01.03.009.00.00.00.2201071.016. - 25</t>
  </si>
  <si>
    <t>1401 - 2.3.1.01.03.009.00.00.00.2201071.016. - 25</t>
  </si>
  <si>
    <t>1402 - 2.3.1.01.03.101.00.00.00.2201071.016. - 25</t>
  </si>
  <si>
    <t>1403 - 2.3.1.01.03.101.00.00.00.2201071.016. - 25</t>
  </si>
  <si>
    <t>1402 - 2.3.1.01.03.102.00.00.00.2201071.016. - 25</t>
  </si>
  <si>
    <t>1403 - 2.3.1.01.03.102.00.00.00.2201071.016. - 25</t>
  </si>
  <si>
    <t>1403 - 2.3.1.01.03.103.00.00.00.2201071.016. - 25</t>
  </si>
  <si>
    <t>1401 - 2.3.2.02.02.009.00.00.00.2201071.016. - 25</t>
  </si>
  <si>
    <t>1402 - 2.3.2.02.02.009.00.00.00.2201071.016. - 25</t>
  </si>
  <si>
    <t>1403 - 2.3.2.02.02.009.00.00.00.2201071.016. - 25</t>
  </si>
  <si>
    <t>1401 - 2.3.2.02.02.007.00.00.00.2201071.016. - 25</t>
  </si>
  <si>
    <t>1402 - 2.3.2.02.01.002.00.00.00.2201071.016. - 25</t>
  </si>
  <si>
    <t>1402 - 2.3.2.02.02.006.00.00.00.2201071.016. - 25</t>
  </si>
  <si>
    <t>1403 - 2.3.2.02.02.006.00.00.00.2201071.016. - 25</t>
  </si>
  <si>
    <t>1402 - 2.3.2.02.02.007.00.00.00.2201071.016. - 25</t>
  </si>
  <si>
    <t>1402 - 2.3.3.13.01.001.00.00.00.2201071.016. - 204</t>
  </si>
  <si>
    <t xml:space="preserve">Reintegros SGP Educación </t>
  </si>
  <si>
    <t>1402 - 2.3.1.01.01.001.01.00.00.2201071.016 - 09</t>
  </si>
  <si>
    <t>Superávit SGP educación</t>
  </si>
  <si>
    <t>1402 - 2.3.3.13.01.001.00.00.00.2201071.016 - 09</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</si>
  <si>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</si>
  <si>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</si>
  <si>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</si>
  <si>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</si>
  <si>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 xml:space="preserve">Brindar un acompañamiento a los Establecimientos Educativos Oficiales urbanos o rurales para el fortalecimiento de las Escuelas de Padres 
</t>
  </si>
  <si>
    <t>Fortalecer los modelos educativos flexibles en el proceso de atención a población diversa o en condición de vulnerabilidad con discapacidad, capacidades y/o talentos excepcionales.</t>
  </si>
  <si>
    <t>1404 - 2.3.2.02.02.009.00.00.00.2201030.091. - 25</t>
  </si>
  <si>
    <t>Dirección de Cobertura Educativa - Secretaría de Educación Departamental</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</si>
  <si>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</si>
  <si>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</si>
  <si>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 xml:space="preserve">Brindar un acompañamiento a los Establecimientos Educativos Oficiales urbanos o rurales para el fortalecimiento de las Escuelas de Padres </t>
  </si>
  <si>
    <t xml:space="preserve">Fortalecer, los estándares mínimos de atención en el servicio educativo a la población en condición SRPA. </t>
  </si>
  <si>
    <t>1404 - 2.3.2.01.01.003.03.02.00.2201055.091. - 25</t>
  </si>
  <si>
    <t>1404 - 2.3.2.01.01.004.01.01.04.2201055.091. - 25</t>
  </si>
  <si>
    <t>1404 - 2.3.2.02.01.003.00.00.00.2201055.091. - 25</t>
  </si>
  <si>
    <t>Servicio de apoyo para el fortalecimiento de escuelas de padres</t>
  </si>
  <si>
    <t>Escuelas de padres apoyadas</t>
  </si>
  <si>
    <t xml:space="preserve"> Fortalecer la conformación y la participación activa de las escuelas de padres en los Establecimientos Educativos Oficiales urbanos o rurales del Departamento del Quindío.</t>
  </si>
  <si>
    <t>0314 - 2.3.2.02.02.009.00.00.00.2201067.091. - 20</t>
  </si>
  <si>
    <t>Servicio de apoyo a la permanencia con alimentación escolar</t>
  </si>
  <si>
    <t>Beneficiarios de la alimentación escolar</t>
  </si>
  <si>
    <t xml:space="preserve"> Garantizar a los estudiantes las estrategias de transporte y alimentación escolar </t>
  </si>
  <si>
    <t xml:space="preserve"> Fortalecer el Programa de Alimentación Escolar (PAE), para los niños, niñas, adolescentes y jóvenes matriculados  en los Establecimientos Educativos Oficiales urbanos o rurales del Departamento del Quindío (ETC Quindío), dentro de las jornadas regular y única. </t>
  </si>
  <si>
    <t>1404 - 2.3.2.02.02.006.00.00.00.2201028.091. - 81</t>
  </si>
  <si>
    <t>Transferencia de la nación por alimentación PAE</t>
  </si>
  <si>
    <t>1404 - 2.3.2.02.02.009.00.00.00.2201028.091. - 81</t>
  </si>
  <si>
    <t>0314 - 2.3.2.02.02.006.00.00.00.2201028.091. - 91</t>
  </si>
  <si>
    <t>Superávit Recurso destinado del Monopolio</t>
  </si>
  <si>
    <t>0314 - 2.3.2.02.02.009.00.00.00.2201028.091. - 20</t>
  </si>
  <si>
    <t>1404 - 2.3.2.02.02.006.00.00.00.2201028.091 - 137</t>
  </si>
  <si>
    <t>Superávit PAE Educación</t>
  </si>
  <si>
    <t>1404 - 2.3.2.02.02.009.00.00.00.2201028.091 - 137</t>
  </si>
  <si>
    <t>Servicio de apoyo a la permanencia con transporte escolar</t>
  </si>
  <si>
    <t>Beneficiarios de transporte escolar</t>
  </si>
  <si>
    <t xml:space="preserve"> 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</si>
  <si>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0314 - 2.3.2.02.02.006.00.00.00.2201029.091.233 - 20</t>
  </si>
  <si>
    <t xml:space="preserve"> 63111 - Buenavista </t>
  </si>
  <si>
    <t>0314 - 2.3.2.02.02.006.00.00.00.2201029.091.284 - 20</t>
  </si>
  <si>
    <t xml:space="preserve"> 63130 - Calarcá </t>
  </si>
  <si>
    <t>0314 - 2.3.2.02.02.006.00.00.00.2201029.091.412 - 20</t>
  </si>
  <si>
    <t xml:space="preserve"> 63190 - Circasia </t>
  </si>
  <si>
    <t>0314 - 2.3.2.02.02.006.00.00.00.2201029.091.470 - 20</t>
  </si>
  <si>
    <t xml:space="preserve"> 63212 - Córdoba </t>
  </si>
  <si>
    <t>0314 - 2.3.2.02.02.006.00.00.00.2201029.091.226 - 20</t>
  </si>
  <si>
    <t xml:space="preserve"> 63272 - Filandia </t>
  </si>
  <si>
    <t>0314 - 2.3.2.02.02.006.00.00.00.2201029.091.372 - 20</t>
  </si>
  <si>
    <t xml:space="preserve"> 63302 - Génova </t>
  </si>
  <si>
    <t>0314 - 2.3.2.02.02.006.00.00.00.2201029.091.882 - 20</t>
  </si>
  <si>
    <t xml:space="preserve"> 63401 - La Tebaida </t>
  </si>
  <si>
    <t>0314 - 2.3.2.02.02.006.00.00.00.2201029.091.013 - 20</t>
  </si>
  <si>
    <t xml:space="preserve"> 63470 - Montenegro </t>
  </si>
  <si>
    <t>0314 - 2.3.2.02.02.006.00.00.00.2201029.091.167 - 20</t>
  </si>
  <si>
    <t xml:space="preserve"> 63548 - Pijao </t>
  </si>
  <si>
    <t>0314 - 2.3.2.02.02.006.00.00.00.2201029.091.244 - 20</t>
  </si>
  <si>
    <t xml:space="preserve"> 63594 - Quimbaya </t>
  </si>
  <si>
    <t>0314 - 2.3.2.02.02.006.00.00.00.2201029.091.303 - 20</t>
  </si>
  <si>
    <t xml:space="preserve"> 63690 - Salento </t>
  </si>
  <si>
    <t>Infraestructura educativa dotada</t>
  </si>
  <si>
    <t>Sedes dotadas</t>
  </si>
  <si>
    <t>Gestionar interinstitucionalmente la generación de ambientes de aprendizaje adecuados, a través de los procesos de focalización y coordinación para dar solución a las necesidades en infraestructura educativa</t>
  </si>
  <si>
    <t xml:space="preserve"> Adquirir y dotar de Mobiliario Escolar los diferentes ambientes escolares de los Establecimientos Educativos Oficiales urbanos o rurales del Departamento del Quindío.</t>
  </si>
  <si>
    <t>1404 - 2.3.2.01.01.004.01.01.04.2201069.091. - 21</t>
  </si>
  <si>
    <t>Rendimientos financieros SGP-Educación</t>
  </si>
  <si>
    <t>1404 - 2.3.2.01.01.004.01.01.04.2201069.091. - 25</t>
  </si>
  <si>
    <t>1404 - 2.3.2.01.01.004.01.01.04.2201069.091 - 189</t>
  </si>
  <si>
    <t>SUPERÁVIT RENDIMIENTOS FINANCIEROS SGP EDUCACIÓN</t>
  </si>
  <si>
    <t>Servicio de atención integral para la primera infancia</t>
  </si>
  <si>
    <t>Instituciones educativas oficiales que implementan en nivel preescolar en el marco de la atención integral</t>
  </si>
  <si>
    <t>Fortalecimiento para la gestión de la educación inicial y preescolar en el marco de la atención integral a la primera infancia en el Departamento del Quindío.</t>
  </si>
  <si>
    <t xml:space="preserve">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 
</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</si>
  <si>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</si>
  <si>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</si>
  <si>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 - 20</t>
  </si>
  <si>
    <t>Dirección de Calidad Educativa - Secretaría de Educación Departamental</t>
  </si>
  <si>
    <t>0314 - 2.3.2.02.01.003.00.00.00.2201037.092. - 20</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</si>
  <si>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</si>
  <si>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</si>
  <si>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</si>
  <si>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</si>
  <si>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</si>
  <si>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</si>
  <si>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0314 - 2.3.2.02.02.009.00.00.00.2201073.093. - 20</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</si>
  <si>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</si>
  <si>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 - 20</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</si>
  <si>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</si>
  <si>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</si>
  <si>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</si>
  <si>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1404 - 2.3.2.02.01.003.00.00.00.2201026.093. - 21</t>
  </si>
  <si>
    <t>1404 - 2.3.2.01.01.003.03.02.00.2201026.093. - 21</t>
  </si>
  <si>
    <t>Servicio de accesibilidad a contenidos web para fines pedagógicos</t>
  </si>
  <si>
    <t>Establecimientos educativos conectados a internet</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</si>
  <si>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</si>
  <si>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</si>
  <si>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</si>
  <si>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Fortalecimiento de los servicios de conectividad de los Establecimientos Educativos Oficiales urbanos o rurales adscritos a la Secretaría de Educación Departamental.</t>
  </si>
  <si>
    <t>1404 - 2.3.2.02.02.008.00.00.00.2201050.094. - 25</t>
  </si>
  <si>
    <t>Servicios de información en materia educativa</t>
  </si>
  <si>
    <t>Observatorio implementado</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</si>
  <si>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</si>
  <si>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</si>
  <si>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</si>
  <si>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</si>
  <si>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 - 20</t>
  </si>
  <si>
    <t>Dirección de Planeamiento Educativo - Secretaría de Educación Departamental</t>
  </si>
  <si>
    <t>Fortalecimiento de la educación media para la articulación con la educación superior o terciaria</t>
  </si>
  <si>
    <t>Servicio de apoyo para el acceso y la permanencia a la educación superior o terciaria</t>
  </si>
  <si>
    <t>Estrategias o programas de  fomento para  acceso y  permanencia a la educación superior o terciaria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</si>
  <si>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</si>
  <si>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</si>
  <si>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</si>
  <si>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 xml:space="preserve">Fortalecimiento de estrategias que permitan el acceso y permanencia a la educación técnica, tecnológica o profesional de los estudiantes de los Establecimientos Educativos Oficiales urbanos o rurales adscritos a la Secretaría de Educación Departamental. </t>
  </si>
  <si>
    <t>0314 - 2.3.2.02.02.009.00.00.00.2202006.096. - 20</t>
  </si>
  <si>
    <t>TOTAL EDUCACIÓN:</t>
  </si>
  <si>
    <t>ANA MARIA GIRALDO MARTINEZ</t>
  </si>
  <si>
    <t>Secretaria de Educación Departamental</t>
  </si>
  <si>
    <t>PROGRAMACIÓN PLAN DE ACCIÓN  VIGENCIA  2024
  SECRETARÍA DE AGRICULTURA, DESARROLLO RURAL Y MEDIO AMBIENTE</t>
  </si>
  <si>
    <t>PLAN DE DESARROLLO DEPARTAMENTAL: Tú y Yo somos Quindío</t>
  </si>
  <si>
    <t>ESTRATEGIA</t>
  </si>
  <si>
    <t>META FISICA</t>
  </si>
  <si>
    <t>PROYECTOS</t>
  </si>
  <si>
    <t>CÓDIGO CATALOGO DE INDICADORES MGA</t>
  </si>
  <si>
    <t>VALOR  ACTIVIDAD
(EN PESOS )</t>
  </si>
  <si>
    <t>NOMBRE RUBRO (CPC)</t>
  </si>
  <si>
    <t xml:space="preserve">CODIGO </t>
  </si>
  <si>
    <t>Edad Económicamente Activa      (20-59 años)</t>
  </si>
  <si>
    <t>Agricultura y desarrollo rural</t>
  </si>
  <si>
    <t>Inclusión productiva de pequeños productores rurales. "Tú y yo con oportunidades para el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</si>
  <si>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</si>
  <si>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</si>
  <si>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</si>
  <si>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</si>
  <si>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</si>
  <si>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</si>
  <si>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312-2.3.2.02.02.009.00.00.00.1702011.079.20</t>
  </si>
  <si>
    <t xml:space="preserve">Secretario de Agricultura, Desarrollo Rural y Medio Ambiente </t>
  </si>
  <si>
    <t>Servicio de apoyo financiero para proyectos productivos</t>
  </si>
  <si>
    <t>Proyectos productivos cofinanciados</t>
  </si>
  <si>
    <t>Realizar proceso de acompañamiento en la cofinanciación de proyectos productivos</t>
  </si>
  <si>
    <t>convenios alianzas proyectos productivos</t>
  </si>
  <si>
    <t>312-2.3.2.02.02.009.00.00.00.1702007.079.20</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</si>
  <si>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</si>
  <si>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</si>
  <si>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</si>
  <si>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 xml:space="preserve"> convenios alianzas de apoyo financiero para el acceso a activos productivos y de comercialización</t>
  </si>
  <si>
    <t>312-2.3.2.02.02.009.00.00.00.1702009.079.20</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</si>
  <si>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</si>
  <si>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</si>
  <si>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</si>
  <si>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</si>
  <si>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</si>
  <si>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</si>
  <si>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basicas, insumos y semillas para el fomento organizativo de la Agricultura campesina, familiar y comunitaria</t>
  </si>
  <si>
    <t>312-2.3.2.02.02.009.00.00.00.1702017.023.20</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</si>
  <si>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</si>
  <si>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</si>
  <si>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</si>
  <si>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</si>
  <si>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equios</t>
  </si>
  <si>
    <t>312-2.3.2.02.02.009.00.00.00.1702014.023.20</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</si>
  <si>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</si>
  <si>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</si>
  <si>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</si>
  <si>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</si>
  <si>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</si>
  <si>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312-2.3.2.02.02.009.00.00.00.1702011.023.20</t>
  </si>
  <si>
    <t>Servicio de apoyo a la comercialización</t>
  </si>
  <si>
    <t>170203800</t>
  </si>
  <si>
    <t>Organizaciones de productores formales apoyadas</t>
  </si>
  <si>
    <t xml:space="preserve"> 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</si>
  <si>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</si>
  <si>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</si>
  <si>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</si>
  <si>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312-2.3.2.02.02.009.00.00.00.1702038.080.20</t>
  </si>
  <si>
    <t>Productores apoyados para la participación en mercados campesinos</t>
  </si>
  <si>
    <t>Apoyo institucional a productores en la participación en mercados
campesinos-Compra y/o adquisición de suministros</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</si>
  <si>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</si>
  <si>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</si>
  <si>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</si>
  <si>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</si>
  <si>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Aumentar en crecimiento económico del sector agropecuario (PIB),  a través del desarrollo de  lineamientos para el fortalecimiento de habilidades, competencias técnicas, humanas,  financieras y estratégicas de los productores, para fortalecer la competitividad y sostenibilidad territorial del sector agropecuario.</t>
  </si>
  <si>
    <t>Formular e Implementar el Plan Departamental de Extensión Agropecuaria PDEA del departamento del Quindío&amp;nbsp;</t>
  </si>
  <si>
    <t>Implementar el Plan Departamental de Extensión Agropecuaria PDEA del departamento del
Quindío</t>
  </si>
  <si>
    <t>312-2.3.2.02.02.009.00.00.00.1702023.022.20</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</si>
  <si>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</si>
  <si>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</si>
  <si>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</si>
  <si>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</si>
  <si>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312-2.3.2.02.02.009.00.00.00.1702024.022.20</t>
  </si>
  <si>
    <t>Servicio de apoyo en la formulación y estructuración de proyectos</t>
  </si>
  <si>
    <t>170202500</t>
  </si>
  <si>
    <t>Proyectos estructurados</t>
  </si>
  <si>
    <t xml:space="preserve"> 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</si>
  <si>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</si>
  <si>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Aplicacar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</si>
  <si>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</si>
  <si>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312-2.3.2.02.02.009.00.00.00.1702025.081.20</t>
  </si>
  <si>
    <t>Secretario de Agricultura, Desarrollo Rural y Medio Ambiente</t>
  </si>
  <si>
    <t>Servicios financieros y gestión del riesgo para las actividades agropecuarias y rurales. "Tú y yo con un campo protegido"</t>
  </si>
  <si>
    <t>Servicio de apoyo a la implementación de mecanismos y herramientas para el conocimiento, reducción y manejo de riesgos agropecuarios</t>
  </si>
  <si>
    <t>170301300</t>
  </si>
  <si>
    <t>Personas beneficiadas</t>
  </si>
  <si>
    <t xml:space="preserve"> 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</si>
  <si>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</si>
  <si>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</si>
  <si>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</si>
  <si>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312-2.3.2.02.02.009.00.00.00.1703013.082.20</t>
  </si>
  <si>
    <t>Ordenamiento social y uso productivo del territorio rural. "Tú y yo con un campo planificado"</t>
  </si>
  <si>
    <t>170400203</t>
  </si>
  <si>
    <t>Documentos de lineamientos para el ordenamiento social y productivo elaborados</t>
  </si>
  <si>
    <t>Implementación de procesos de ordenamiento productivo y social territorial en el Departamento del Quindío</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</si>
  <si>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</si>
  <si>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</si>
  <si>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</si>
  <si>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312-2.3.2.02.02.009.00.00.00.1704002.025.20</t>
  </si>
  <si>
    <t>Servicio de apoyo para el fomento de la formalidad</t>
  </si>
  <si>
    <t xml:space="preserve">Personas sensibilizadas en la formalización </t>
  </si>
  <si>
    <t>170401700</t>
  </si>
  <si>
    <t>Formular e implementar programas y proyectos agropecuarios integrales, sostenibles, de reconversión
productiva</t>
  </si>
  <si>
    <t>Acompañamiento en el proceso de formalización de la propiedad rural</t>
  </si>
  <si>
    <t>312-2.3.2.02.02.009.00.00.00.1704017.025.20</t>
  </si>
  <si>
    <t>Aprovechamiento de mercados externos. "Tú y yo a los mercados internacionales"</t>
  </si>
  <si>
    <t>Servicio de apoyo financiero para la participación en ferias nacionales e internacionales</t>
  </si>
  <si>
    <t>Participaciones en ferias nacionales e internacionales</t>
  </si>
  <si>
    <t>170600400</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</si>
  <si>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</si>
  <si>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</si>
  <si>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</si>
  <si>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ferias y eventos nacionales e internacionles</t>
  </si>
  <si>
    <t>312-2.3.2.02.02.009.00.00.00.1706004.083.20</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</si>
  <si>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</si>
  <si>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</si>
  <si>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</si>
  <si>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</si>
  <si>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</si>
  <si>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</si>
  <si>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</si>
  <si>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</si>
  <si>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312-2.3.2.02.02.009.00.00.00.1707069.084.20</t>
  </si>
  <si>
    <t>Ciencia, tecnología e innovación agropecuaria. "Tú y yo con un agro interconectado"</t>
  </si>
  <si>
    <t>170801600</t>
  </si>
  <si>
    <t>Documentos de lineamientos técnicos elaborados</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</si>
  <si>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</si>
  <si>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</si>
  <si>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agropecurios y agroindustriales y
de desarrollo rural integral</t>
  </si>
  <si>
    <t>Apoyo coordinación puesta en marcha de proyectos de CTI</t>
  </si>
  <si>
    <t>312-2.3.2.02.02.009.00.00.00.1708016.026.20</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</si>
  <si>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</si>
  <si>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</si>
  <si>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</si>
  <si>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</si>
  <si>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</si>
  <si>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312-2.3.2.02.02.009.00.00.00.1708051.026.20</t>
  </si>
  <si>
    <t>Infraestructura productiva y comercialización. "Tú y yo con agro competitivo"</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</si>
  <si>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</si>
  <si>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</si>
  <si>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</si>
  <si>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</si>
  <si>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</si>
  <si>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Realización de acciones de mejoramiento y/o adecuaciones de instalaciones fisicas locativas</t>
  </si>
  <si>
    <t>312-2.3.2.02.02.009.00.00.00.1709019.024.20</t>
  </si>
  <si>
    <t>Infraestructura de pos cosecha adecuada</t>
  </si>
  <si>
    <t>170903400</t>
  </si>
  <si>
    <t>Mejorar la Infraestructura de pos cosecha</t>
  </si>
  <si>
    <t>Realización de acciones de diseño, acompañamiento para adecuación de
infraestructura de pos cosecha</t>
  </si>
  <si>
    <t>312-2.3.2.02.02.009.00.00.00.1709034.024.20</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</si>
  <si>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</si>
  <si>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</si>
  <si>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</si>
  <si>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</si>
  <si>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 y autorizaciones comerciales invima para trapiches paneleros.</t>
  </si>
  <si>
    <t>312-2.3.2.02.02.009.00.00.00.1709093.024.20</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</si>
  <si>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</si>
  <si>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</si>
  <si>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</si>
  <si>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</si>
  <si>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</si>
  <si>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</si>
  <si>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</si>
  <si>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312-2.3.2.02.02.009.00.00.00.3502017.085.20</t>
  </si>
  <si>
    <t>Servicio de asistencia técnica para el desarrollo de iniciativas clústeres</t>
  </si>
  <si>
    <t>Desarrollo de acciones de capacitación, acompañamiento, asesoría, y
seguimiento en competencias administrativas, organizacionales, mercados,
extensión, planes de negocio</t>
  </si>
  <si>
    <t>312-2.3.2.02.02.009.00.00.00.3502007.085.20</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</si>
  <si>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</si>
  <si>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</si>
  <si>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</si>
  <si>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</si>
  <si>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</si>
  <si>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</si>
  <si>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</si>
  <si>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312-2.3.2.02.02.009.00.00.00.3201013.027.20</t>
  </si>
  <si>
    <t>Servicio de vigilancia de la calidad del aire</t>
  </si>
  <si>
    <t>Campaña de monitoreo de calidad del aire realizadas</t>
  </si>
  <si>
    <t>Realización de Campaña de monitoreo de calidad del aire realizadas</t>
  </si>
  <si>
    <t>312-2.3.2.02.02.009.00.00.00.3201008.027.20</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</si>
  <si>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</si>
  <si>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</si>
  <si>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</si>
  <si>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</si>
  <si>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</si>
  <si>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</si>
  <si>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</si>
  <si>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</si>
  <si>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312-2.3.2.02.02.009.00.00.00.3202037.086.20</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</si>
  <si>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</si>
  <si>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</si>
  <si>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</si>
  <si>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</si>
  <si>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Servicio apoyo financiero para la implementación de esquemas de pago por servicio ambientales</t>
  </si>
  <si>
    <t xml:space="preserve">Esquemas de Pago por Servicio ambientales implementados </t>
  </si>
  <si>
    <t xml:space="preserve">Áreas con esquemas de pago por Servicios Ambientales implementados </t>
  </si>
  <si>
    <t>esquemas de Pago por Servicio ambientales</t>
  </si>
  <si>
    <t>312-2.3.2.02.02.009.00.00.00.3202017.086.20</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</si>
  <si>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</si>
  <si>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</si>
  <si>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</si>
  <si>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</si>
  <si>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</si>
  <si>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</si>
  <si>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</si>
  <si>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asesoria y asistencia técnica en la formulación, estructuración e
implementación de Estrategia para la protección y bienestar de los animales
domésticos y silvestres adoptada</t>
  </si>
  <si>
    <t>312-2.3.2.02.02.009.00.00.00.3202014.028.20</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</si>
  <si>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</si>
  <si>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</si>
  <si>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</si>
  <si>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</si>
  <si>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</si>
  <si>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</si>
  <si>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312-2.3.2.02.02.009.00.00.00.3202014.087.20</t>
  </si>
  <si>
    <t>Gestión de la información y en conocimiento ambiental. "Tú y yo conscientes con la naturaleza"</t>
  </si>
  <si>
    <t>Servicio de apoyo financiero a emprendimientos</t>
  </si>
  <si>
    <t xml:space="preserve">Emprendimientos apoyados </t>
  </si>
  <si>
    <t>320401200</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</si>
  <si>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</si>
  <si>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</si>
  <si>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</si>
  <si>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Apoyo a la implementación de proyectos de empredimientos verdes y suministro de bienes y servicios  de Emprendimiento verdes.</t>
  </si>
  <si>
    <t>312-2.3.2.02.02.009.00.00.00.3204012.029.20</t>
  </si>
  <si>
    <t>Barreras rompe vientos recuperadas</t>
  </si>
  <si>
    <t>3205009</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</si>
  <si>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</si>
  <si>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</si>
  <si>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</si>
  <si>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</si>
  <si>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</si>
  <si>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</si>
  <si>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312-2.3.2.02.02.009.00.00.00.3205009.030.20</t>
  </si>
  <si>
    <t>Obras para el control de erosión</t>
  </si>
  <si>
    <t>3205014</t>
  </si>
  <si>
    <t xml:space="preserve">Área reforestada </t>
  </si>
  <si>
    <t>320501400</t>
  </si>
  <si>
    <t>Desarrollar eficientemente obras para el control de erosión</t>
  </si>
  <si>
    <t>Desarrollar acciones de siembra de arboles donde hay erosión</t>
  </si>
  <si>
    <t>312-2.3.2.02.02.009.00.00.00.3205014.030.20</t>
  </si>
  <si>
    <t>Desarrollar eficientemente obras para estabilización de taludes</t>
  </si>
  <si>
    <t>Diseño de trinchos</t>
  </si>
  <si>
    <t>312-2.3.2.02.02.009.00.00.00.3205010.030.20</t>
  </si>
  <si>
    <t>Gestión del cambio climático para un desarrollo bajo en carbono y resiliente al clima. "Tú y yo preparados para en cambio climático"</t>
  </si>
  <si>
    <t>Servicio de divulgación de la información en gestión del cambio climático para un desarrollo bajo en carbono y resiliente al clima</t>
  </si>
  <si>
    <t>3206005</t>
  </si>
  <si>
    <t xml:space="preserve">Campañas de información en gestión de cambio climático realizadas </t>
  </si>
  <si>
    <t>320600500</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</si>
  <si>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</si>
  <si>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</si>
  <si>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</si>
  <si>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</si>
  <si>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312-2.3.2.02.02.009.00.00.00.3206005.088.20</t>
  </si>
  <si>
    <t>Servicio de producción de plántulas en viveros</t>
  </si>
  <si>
    <t>320601400</t>
  </si>
  <si>
    <t>Plántulas producidas</t>
  </si>
  <si>
    <t>Apoyo a la producción de plántulas</t>
  </si>
  <si>
    <t>312-2.3.2.02.02.009.00.00.00.3206014.088.20</t>
  </si>
  <si>
    <t>Estufas ecoeficientes</t>
  </si>
  <si>
    <t>3206015</t>
  </si>
  <si>
    <t>320601500</t>
  </si>
  <si>
    <t>Estufas ecoeficientes instaladas y en operación</t>
  </si>
  <si>
    <t>Operatividad de la estufas ecoeficientes</t>
  </si>
  <si>
    <t>312-2.3.2.02.02.009.00.00.00.3206015.088.20</t>
  </si>
  <si>
    <t>JULIO CESAR CORTÉS PULIDO</t>
  </si>
  <si>
    <t>SECRETARIO DE AGRICULTURA DESARROLLO RURAL Y MEDIO AMBIENTE</t>
  </si>
  <si>
    <t>PROGRAMACIÓN PLAN DE ACCIÓN SECRETARIA DE FAMILIA      AÑO:  2023</t>
  </si>
  <si>
    <t>PLAN DE DESARROLLO DEPARTAMENTAL:   "TÚ Y YO SOMOS QUINDÍO"</t>
  </si>
  <si>
    <t xml:space="preserve">                                                                   PROGRAMACIÓN PLAN DE ACCIÓN 
                                                                   SECRETARÍA  DE :     FAMILIA             AÑO:  2024</t>
  </si>
  <si>
    <t>LINEA ESTRATEGICA</t>
  </si>
  <si>
    <t>Salud Pública "Tú y yo con salud de calidad"</t>
  </si>
  <si>
    <t xml:space="preserve">Servicio de gestión del riesgo en temas de salud sexual y reproductiva </t>
  </si>
  <si>
    <t>Campañas de gestión del riesgo en temas de salud sexual y reproductiva implementadas,</t>
  </si>
  <si>
    <t xml:space="preserve">Diseño e implementación de campañas para la promoción de la vida y prevención del consumo de sustancias psicoactivas en el Departamento del Quindío, "TU Y YO UNIDOS POR LA VIDA",  </t>
  </si>
  <si>
    <t xml:space="preserve">Disminuir las tasas  de mortalidad materna embarazos violencia y suicidios en el Departamento del Quindío a través del fomento de  hábitos de vida saludables y derechos sexuales y reproductivos, </t>
  </si>
  <si>
    <t>*Campañas de prevención y promoción orientadas a la salud sexual y reproductiva y la salud mental
*Fomento de estrategias de prevención y mitigación del consumo de SPA</t>
  </si>
  <si>
    <t xml:space="preserve">Diseñar, implementar y hacer seguimiento a una estrategia de prevención del riesgo y promoción de la salud sexual y reproductiva con enfoque diferencial </t>
  </si>
  <si>
    <t>0316 - 2.3.2.02.02.009.00.00.00.1905021.011. - 20</t>
  </si>
  <si>
    <t xml:space="preserve">   </t>
  </si>
  <si>
    <t>SECRETARIA DE FAMILIA</t>
  </si>
  <si>
    <t>Alianzas intersectoriales para la prevención y promoción de la salud sexual y reproductiva</t>
  </si>
  <si>
    <t>Diseño, implementación y seguimiento de una estrategia de prevencion y mitigación del consumo de SPA en el departamento del Quindío</t>
  </si>
  <si>
    <t>0316 - 2.3.2.02.02.009.00.00.00.1905022.011. - 20</t>
  </si>
  <si>
    <t xml:space="preserve">Servicio de gestión del riesgo en temas de trastornos mentales </t>
  </si>
  <si>
    <t>Campañas de gestión del riesgo en temas de trastornos mentales implementadas</t>
  </si>
  <si>
    <t>Consolidación de redes de apoyo para la prevención y/o mitigación de consumo de SPA</t>
  </si>
  <si>
    <t>Diseñar e implementar campañas de promoción de la salud mental y arraigo por la vida</t>
  </si>
  <si>
    <t>Suministro de refrigerios y almuerzo</t>
  </si>
  <si>
    <t>0316 - 2.3.2.02.02.006.00.00.00.1905022.011. - 20</t>
  </si>
  <si>
    <t>Promoción y acceso efectivo a procesos culturales y artísticos, "Tú y yo somos cultura Quindiana"</t>
  </si>
  <si>
    <t>Servicio de educación informal al sector artístico y cultural</t>
  </si>
  <si>
    <t>Capacitaciones de educación informal realizadas</t>
  </si>
  <si>
    <t xml:space="preserve"> Implementación acciones de fortalecimiento  de los entornos protectores de los jóvenes en barrios vulnerables de los municipios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</si>
  <si>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</si>
  <si>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Alta articulación entre los entes gubernamentales y privados para realizar el seguimiento de la matriz de planificación de la política pública de juventud del depto,</t>
  </si>
  <si>
    <t>Desarrollo de actividades orientadas al aprovechamiento del tiempo libre fortaleciendo entornos protectores ( arte, cultura, deporte y recreación) como instrumentos de promoción y prevención en Barrios vulnerables en el Departamento del Quindío.</t>
  </si>
  <si>
    <t>0316 - 2.3.2.02.02.009.00.00.00.3301051.098. - 20</t>
  </si>
  <si>
    <t>Inclusión social y Reconciliación</t>
  </si>
  <si>
    <t>Desarrollo Integral de Niños Niñas Adolescentes y sus Familias, "Tú y yo niños niñas y adolescentes con desarrollo integral"</t>
  </si>
  <si>
    <t xml:space="preserve">Diseñar e implementar un modelo de atención integral en entornos protectores para la primera infancia </t>
  </si>
  <si>
    <t>Modelo de atención integral de entornos protectores implementado</t>
  </si>
  <si>
    <t>Diseño e implementación de un  Modelo de  atención integral a la primera infancia  a través de las Rutas Integrales de Atención  RIA en el Departamento del  Quindio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</si>
  <si>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</si>
  <si>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t>
  </si>
  <si>
    <t>Adopción de Modelo de Atención a Madres Gestantes y Desarrollo Infantil en ambientes familiares y grupales</t>
  </si>
  <si>
    <t>0316 - 2.3.2.02.02.009.00.00.00.4102035.099. - 20</t>
  </si>
  <si>
    <t xml:space="preserve">Implementar y realizar seguimiento a las rutas integrales de atención </t>
  </si>
  <si>
    <t xml:space="preserve">Servicio de atención integral a la primera infancia </t>
  </si>
  <si>
    <t xml:space="preserve">Numero de rutas integrales de atención  a la  primera infancia implementadas y con seguimiento </t>
  </si>
  <si>
    <t>Niños y niñas atendidos en Servicio integrales</t>
  </si>
  <si>
    <t>Prestar asistencia técnica a las Rutas Implementadas en los Municipios, para la adecuada implementación de la RIA.</t>
  </si>
  <si>
    <t>0316 - 2.3.2.02.02.009.00.00.00.4102001.099. - 20</t>
  </si>
  <si>
    <t xml:space="preserve">Apoyar la socialización de las rutas integrales de atención, en marco de los comites y consejos que así lo requieran, del orden Departamental y municipal. </t>
  </si>
  <si>
    <t>Apoyo en la Implementación y seguimiento de la ruta integral de  atención departamental.</t>
  </si>
  <si>
    <t xml:space="preserve">Implementar la  política pública para la protección en fortalecimiento y en desarrollo integral de la familia Quindiana </t>
  </si>
  <si>
    <t xml:space="preserve">Servicio de promoción de temas de dinámica relacional y desarrollo autónomo </t>
  </si>
  <si>
    <t>Política Pública de Familia  implementada</t>
  </si>
  <si>
    <t>Familias atendidas</t>
  </si>
  <si>
    <t xml:space="preserve">Implementación de la política pública de Familia para la promoción del desarrollo integral de la población del Departamento del Quindío, </t>
  </si>
  <si>
    <t>Implementar la política pública que garantice los derechos de las familias del departamento del Quindío,</t>
  </si>
  <si>
    <t>Aumentar espacios de atención formación y reflexión orientados al fortalecimiento de los entornos familiares sociales y educativos,</t>
  </si>
  <si>
    <t>Apoyar con el seguimiento,  monitoreo y evaluación de la política publica de familia</t>
  </si>
  <si>
    <t>0316 - 2.3.2.02.02.009.00.00.00.4102043.100. - 20</t>
  </si>
  <si>
    <t xml:space="preserve">Diseñar y desarrollar estrategias, programas y/o proyectos para la protección y fortalecimiento de las familias del departamento </t>
  </si>
  <si>
    <t>0316 - 2.3.2.02.02.006.00.00.00.4102043.100. - 20</t>
  </si>
  <si>
    <t>Implementar  la política pública de primera infancia infancia y adolescencia</t>
  </si>
  <si>
    <t>Servicio de promoción de temas de dinámica relacional y desarrollo autónomo</t>
  </si>
  <si>
    <t xml:space="preserve">Política Pública de Primera Infancia Infancia y Adolescencia implementada, </t>
  </si>
  <si>
    <t>Niños niñas y adolescentes atendidos</t>
  </si>
  <si>
    <t xml:space="preserve"> Revisión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</si>
  <si>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</si>
  <si>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Eficiencia en la articulación Interinstitucional que garantice un seguimiento efectivo del cumplimiento del plan de acción de la política publica de infancia y adolescencia</t>
  </si>
  <si>
    <t>Apoyar con el seguimiento al Plan de Acción de la Politica Publica  de primera infancia, infancia y adolescencia del departamento</t>
  </si>
  <si>
    <t>0316 - 2.3.2.02.02.009.00.00.00.4102043.101. - 20</t>
  </si>
  <si>
    <t>Apoyo en los espacios de participación tales como: Consejo de Politica Social, Comite Departamental e Interinstitucional  para la Primera Infancia, Infancia y Adolescencia y Familia, CIETI, Mesa de Paticipación de NiÑos, Niñas y Adolescentes</t>
  </si>
  <si>
    <t>Apoyo a programas que conlleven a la  implementación de la Politica publica de primera infancia, infancia y adolescencia en el Departamento del Quindio</t>
  </si>
  <si>
    <t>Brindar asistencia tecnica a los municipios del departamento, que así lo requieran en temas relacionados con el seguimiento e implementación de la politica publica de primera infancia, infancia y adolescencia del departamento</t>
  </si>
  <si>
    <t>Ejecución Plan de Medios (Radio, Prensa, Revistas, Televisión, Portal Web, Redes Sociales, ooh)</t>
  </si>
  <si>
    <t>Apoyar las actividades  del proyecto a través de refrigerios y almuerzos</t>
  </si>
  <si>
    <t>0316 - 2.3.2.02.02.006.00.00.00.4102043.101. - 20</t>
  </si>
  <si>
    <t>Servicios de papelerias e impresos (volantes, afiches, plagables, entre otros)</t>
  </si>
  <si>
    <t>0316 - 2.3.2.02.01.003.00.00.00.4102043.101. - 20</t>
  </si>
  <si>
    <t xml:space="preserve">Implementar  la política pública de juventud </t>
  </si>
  <si>
    <t>Servicio dirigidos a la atención de niños niñas adolescentes y jóvenes con enfoque pedagógico y restaurativo encaminados a la inclusión social</t>
  </si>
  <si>
    <t>Política Pública de Juventud implementada</t>
  </si>
  <si>
    <t>Niños niñas adolescentes y jóvenes atendidios en los servicios de restablecimiento en la administración de justicia</t>
  </si>
  <si>
    <t xml:space="preserve">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</si>
  <si>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</si>
  <si>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Revisión, ajuste e implementación de la Política Pública de Juventud</t>
  </si>
  <si>
    <t>0316 - 2.3.2.02.02.009.00.00.00.4102038.102. - 20</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</si>
  <si>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</si>
  <si>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</si>
  <si>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</si>
  <si>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0316 - 2.3.2.02.02.006.00.00.00.4102038.102. - 20</t>
  </si>
  <si>
    <t>Apoyar  la Implementacion de la Policita Publica a través de elementos de Ferreteria, peleteria e insumos entre otros</t>
  </si>
  <si>
    <t>0316 - 2.3.2.02.01.004.00.00.00.4102038.102. - 20</t>
  </si>
  <si>
    <t>0316 - 2.3.2.02.01.003.00.00.00.4102038.102. - 20</t>
  </si>
  <si>
    <t>Rutas integrales de atención en violencia intrafamiliar y  violencia de género</t>
  </si>
  <si>
    <t>Servicio de asistencia técnica a comunidades en temas de fortalecimiento del tejido social y construcción de escenarios comunitarios protectores de derechos</t>
  </si>
  <si>
    <t>Capacitación en activación de las Rutas Integrales de Atención en Violencia Intrafamiliar y de Género a trabajadores de Supermercados y Tenderos de los Municipios realizadas</t>
  </si>
  <si>
    <t>Acciones ejecutadas con las comunidades</t>
  </si>
  <si>
    <t xml:space="preserve"> Diseño e implementación de programa de acompañamiento familiar y comunitario con enfoque preventivo en los tipos de violencia en el Departamento del Quindío "TU Y YO COMPROMETIDOS CON LA FAMILIA" </t>
  </si>
  <si>
    <t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t>
  </si>
  <si>
    <t>*Socialización promoción e implementación de las rutas integrales de atención en violencia intrafamiliar y de género en el departamento del quindío
*Implementación de un programa de acompañamiento familiar para fortalecer vinculos familiares</t>
  </si>
  <si>
    <t>Articulación con Gremios (comerciantes, taxistas, Supermercados y Tenderos ) para la socialización, promoción e implementación de las Rutas Integrales de Atención en Violencia Intrafamilair y de Género</t>
  </si>
  <si>
    <t>0316 - 2.3.2.02.02.009.00.00.00.4102042.010. - 20</t>
  </si>
  <si>
    <t xml:space="preserve">Socialización y promoción de Rutas Integrales de Atención en Violencia Intrafamiliar y de Género </t>
  </si>
  <si>
    <t xml:space="preserve">Atención integral a niños y niñas en primera infancia en espacios socialmente no convencionales: tiempos no convencionales </t>
  </si>
  <si>
    <t>Servicio de atención integral a la primera infancia</t>
  </si>
  <si>
    <t xml:space="preserve">Atención integral a niños y niñas en primera infancia en espacios socialmente no convencionales implementados </t>
  </si>
  <si>
    <t xml:space="preserve"> Diseño e implementación de programa comunitario para la prevención de los derechos de niños niñas y adolescentes y su desarrollo integral, "TU Y YO COMPROMETIDOS CON LOS SUEÑOS", </t>
  </si>
  <si>
    <t>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t>
  </si>
  <si>
    <t>*Fomento de estrategias y acciones de  promoción y prevención
*Desarrollo de programas para la garantía de derechos de los nna
*Estrategias de protección para  los NN implementadas</t>
  </si>
  <si>
    <t>Articulación interinstitucional para la promoción, prevención y garantía de Derechos de NNA.</t>
  </si>
  <si>
    <t>0316 - 2.3.2.02.02.009.00.00.00.4102001.033. - 20</t>
  </si>
  <si>
    <t>Servicio de divulgación para la promoción y prevención de los derechos de los niños niñas y adolescentes</t>
  </si>
  <si>
    <t xml:space="preserve">Servicios de promoción de los derechos de los niños niñas adolescentes y jóvenes </t>
  </si>
  <si>
    <t xml:space="preserve">Eventos de divulgación realizados </t>
  </si>
  <si>
    <t xml:space="preserve">Campañas de promoción realizadas </t>
  </si>
  <si>
    <t>Articulación interinstitucional para el desarrollo de la estrategia para la protección de los NN</t>
  </si>
  <si>
    <t xml:space="preserve">Implementación de estrategia de protección para los NN </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</si>
  <si>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</si>
  <si>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</si>
  <si>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</si>
  <si>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</si>
  <si>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*Estrategias para la prevención del delito adolescente,
*Acciones orientadas a la promoción de egresos exitosos e inclusión de  jóvenes del SRPA
*Procesos post egreso enfocados en la prevención de la reincidencia </t>
  </si>
  <si>
    <t>Realizar actividades de prevención para adolescentes y jóvenes en riesgo social y/o vinculados a la Ley de responsabilidad  penal</t>
  </si>
  <si>
    <t>0316 - 2.3.2.02.02.009.00.00.00.4102038.034. - 20</t>
  </si>
  <si>
    <t>Desarrollo de actividades pedagógicas en la preparación para las familias de jóvenes vinculados y/o egresados en SRPA, con el propósito de fortalecer habilidades para la vida.</t>
  </si>
  <si>
    <t>Canalizar oferta público-privada para la inclusión de adolescentes egresados del SRPA</t>
  </si>
  <si>
    <t>Fomento, seguimiento y evaluación de estrategias para la prevención de la reincidencia al SRPA</t>
  </si>
  <si>
    <t>Inclusión social y productiva para la población en situación de vulnerabilidad, "Tú y yo población vulnerable incluida"</t>
  </si>
  <si>
    <t>Servicio de asistencia técnica para fortalecimiento de unidades productivas colectivas para la generación de ingresos</t>
  </si>
  <si>
    <t>Unidades productivas colectivas con asistencia técnica</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</si>
  <si>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</si>
  <si>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</si>
  <si>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 xml:space="preserve">Diseño e implementación, seguimiento y evaluación de estrategias para el fomento y fortalecimiento del emprendimiento y empleo juvenil </t>
  </si>
  <si>
    <t>0316 - 2.3.2.02.02.009.00.00.00.4103059.103. - 20</t>
  </si>
  <si>
    <t xml:space="preserve">Mecanismos de articulación implementados para la gestión de oferta social </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</si>
  <si>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</si>
  <si>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</si>
  <si>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Existencia de planes de acompañamiento al ciudadano migrante del depto, del Quindío</t>
  </si>
  <si>
    <t>Formular e Implementar el Plan de Acompañamiento al Ciudadano Migrante en el Departamento del Quindío</t>
  </si>
  <si>
    <t>00316 - 2.3.2.02.02.009.00.00.00.4103052.104. - 20</t>
  </si>
  <si>
    <t>0316 - 2.3.2.02.01.006.00.00.00.4103052.104. - 20</t>
  </si>
  <si>
    <t>Servicio de acompañamiento familiar y comunitario para la superación de la pobreza</t>
  </si>
  <si>
    <t>Comunidades con acompañamiento familiar,</t>
  </si>
  <si>
    <t xml:space="preserve">   Desarrollo de un  programa  de acompañamiento  familiar y comunitario  en procesos de Inclusión social y productivos para el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</si>
  <si>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</si>
  <si>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Focalización y fortalecimiento de proyectos productivos con enfoque familiar y/o  comunitario en el Departamento del Quindío </t>
  </si>
  <si>
    <t>0316 - 2.3.2.02.02.009.00.00.00.4103050.105. - 20</t>
  </si>
  <si>
    <t>Acompañamiento técnico a los proyectos productivos focalizados y fortalecidos en el Departamento del Quindío</t>
  </si>
  <si>
    <t>Servicio de apoyo para el fortalecimiento de unidades productivas colectivas para la generación de ingresos</t>
  </si>
  <si>
    <t>Unidades productivas colectivas fortalecidas</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</si>
  <si>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</si>
  <si>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</si>
  <si>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Fomentar y fortalecer la inclusión laboral y productiva de cuidadores, cuidadoras, PCD y sus Familias</t>
  </si>
  <si>
    <t>0316 - 2.3.2.02.02.009.00.00.00.4103058.106. - 20</t>
  </si>
  <si>
    <t>Fomentar el emprendimiento y el empleo para cuidadores y PCD en el Departamento</t>
  </si>
  <si>
    <t>Apoyar  la Implementacion de  proyectos productivos a través de elementos de Ferreteria, peleteria e insumos entre otros</t>
  </si>
  <si>
    <t>0316 - 2.3.2.02.01.004.00.00.00.4103058.106. - 20</t>
  </si>
  <si>
    <t xml:space="preserve">Apoyar la construcción e Implementación de los  Planes de vida de los cabildos Indígenas asentados en el Departamento del Quindío </t>
  </si>
  <si>
    <t>Documento de lineamientos técnicos</t>
  </si>
  <si>
    <t xml:space="preserve">Planes de vida de los cabildos indígenas  construidos  e implementados </t>
  </si>
  <si>
    <t xml:space="preserve">Documentos de lineamientos técnicos elaborados </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</si>
  <si>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</si>
  <si>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</si>
  <si>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*Formular e implementar los planes de vida de los cabildos indígenas del departamento del Quindío</t>
  </si>
  <si>
    <t>Alianzas sociales y/o comunitarias con enfoque diferencial en los Cabildos  indígenas</t>
  </si>
  <si>
    <t>0316 - 2.3.2.02.02.009.00.00.00.4103060.036. - 20</t>
  </si>
  <si>
    <t>Formulación e Implementación de los Planes de Vida de los Cabildos Indígenas</t>
  </si>
  <si>
    <t>0316 - 2.3.2.02.02.006.00.00.00.4103060.036. - 20</t>
  </si>
  <si>
    <t>Atención integral de población en situación permanente de desprotección social y/o familiar "Tú y yo con atención integral"</t>
  </si>
  <si>
    <t xml:space="preserve">Apoyar la construcción e Implementación de los  Planes de vida de los resguardos indígenas  asentados en el Departamento del Quindío </t>
  </si>
  <si>
    <t xml:space="preserve">Planes de vida de los resguardos indígenas  construidos  e implementados </t>
  </si>
  <si>
    <t xml:space="preserve">Formular e implementar los planes de vida de los resguardos indígenas del departamento del Quindío </t>
  </si>
  <si>
    <t>Alianzas sociales y/o comunitarias con enfoque diferencial en los Resguardos indígenas</t>
  </si>
  <si>
    <t>Formulación e Implementación de los Planes de Vida de los Resguardos Indígenas</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</si>
  <si>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</si>
  <si>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</si>
  <si>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</si>
  <si>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</si>
  <si>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*Formulación implementación seguimiento y evaluación de la Política Pública NARP
*Implementar alianzas interinstitucionales para la atención integral con enfoque diferencial a la población afro descendiente del Departamento del</t>
  </si>
  <si>
    <t>Formulacion e  Implementación de la Política Pública NARP en el Departamento del Quindío</t>
  </si>
  <si>
    <t>0316 - 2.3.2.02.02.009.00.00.00.4103052.037. - 20</t>
  </si>
  <si>
    <t>0316 - 2.3.2.02.01.003.00.00.00.4103052.037. - 20</t>
  </si>
  <si>
    <t>0316 - 2.3.2.02.02.006.00.00.00.4103052.037. - 20</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</si>
  <si>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</si>
  <si>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</si>
  <si>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</si>
  <si>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</si>
  <si>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</si>
  <si>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*Articulación para  la optimización de recursos orientados a brindar servicios de atención integral a población con de discapacidad</t>
  </si>
  <si>
    <t>Fomentar y fortalecer un banco de ayudas Técnicas No Pos para personas con Discapacidad en el departamento del Quindío</t>
  </si>
  <si>
    <t>0316 - 2.3.2.02.02.009.00.00.00.4104035.035. - 20</t>
  </si>
  <si>
    <t xml:space="preserve">*Aumento de la cobertura de la estrategia de rehabilitación basada en la comunidad  en los municipios ,  *Fomento de procesos de empleabilidad o emprendimiento para PcD y/o cuidadores             </t>
  </si>
  <si>
    <t>Seguimiento e Implementación de la Política Publica de Discapacidad "Capacidad sin límites" del Departamento del Quindío.</t>
  </si>
  <si>
    <t>0316 - 2.3.2.02.02.009.00.00.00.4104020.035. - 20</t>
  </si>
  <si>
    <t>Acompañamiento a  las personas con discapacidad,  familias y comunidad en la implementación del programa RBC</t>
  </si>
  <si>
    <t xml:space="preserve">Estrategia de rehabilitación basada en la comunidad implementada en los municipios  </t>
  </si>
  <si>
    <t>Realizar  capacitaciones en agentes comunitarios en RBC</t>
  </si>
  <si>
    <t>Celebraciones y eventos para la conmemoracion del dia de la discapacidad</t>
  </si>
  <si>
    <t>Conformación y fortalecimiento a las redes de apoyo de la estrategia RBC</t>
  </si>
  <si>
    <t>Desarrollar las acciones pertinentes para dar cumplimiento en lo que corresponda a la Ley 1996 de 2019, con la Valoración de Apoyo a personas con discapacidad en el Departamento el Quindío.</t>
  </si>
  <si>
    <t>Servicio de articulación de oferta social para la población habitante de calle</t>
  </si>
  <si>
    <t xml:space="preserve">Servicio de atención integral al habitante de la calle </t>
  </si>
  <si>
    <t xml:space="preserve">Servicio de articulación habitante de calle implementado en los municipios </t>
  </si>
  <si>
    <t>Personas atendidas con servicios integrales</t>
  </si>
  <si>
    <t xml:space="preserve">Apoyo en  la articulación de la  oferta social para la población habitante de calle del departamento del Quindío  </t>
  </si>
  <si>
    <t>Articulación de oferta social para la población en situación de calle del departamento del Quindío</t>
  </si>
  <si>
    <t>Implementar alianzas interinstitucionales entre administrativas para la atención y el acompañamiento a la persona en situacion de calle</t>
  </si>
  <si>
    <t>Articulación con entes territoriales e interinstitucionales para la oferta, atención y acompañamiento al habitante de calle</t>
  </si>
  <si>
    <t>0316 - 2.3.2.02.02.009.00.00.00.4104027.012. - 20</t>
  </si>
  <si>
    <t>0316 - 2.3.2.02.02.006.00.00.00.4104027.012. - 20</t>
  </si>
  <si>
    <t>Servicios de atención y protección integral al adulto mayor</t>
  </si>
  <si>
    <t>Centros de protección social de día para el adulto mayor construidos y dotados</t>
  </si>
  <si>
    <t xml:space="preserve">Adultos mayores atendidos con servicios integrales </t>
  </si>
  <si>
    <t>Centros de día para el adulto mayor construidos y dotados</t>
  </si>
  <si>
    <t xml:space="preserve"> Servicio  de atención integral e inclusión para el bienestar de los adultos mayores del departamento del Quindío </t>
  </si>
  <si>
    <t>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</si>
  <si>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Apoyar acciones que conlleven al conocimiento de la Ley 1276 del 2009: Nuevos Criterios de Atención Integral del Adulto  Mayor en los Centros Vida</t>
  </si>
  <si>
    <t>Implementación y seguimiento a la politica pública de Envejecimiento y Vejez,</t>
  </si>
  <si>
    <t>0316 - 2.3.2.02.02.009.00.00.00.4104015.109. - 20</t>
  </si>
  <si>
    <t>Dinamización del Cabildo Departamental de Sabios del Quindío y asistencia técnica cabildos Municiaples</t>
  </si>
  <si>
    <t>Dinamización  del Consejo Departamental del  adulto mayor</t>
  </si>
  <si>
    <t xml:space="preserve">Realizar acompañamiento a los grupos de adultos mayores del depto,a través de deporte, cultura, recreación y motivación </t>
  </si>
  <si>
    <t>Celebraciones y eventos donde se resalte la importancia del rol del adulto mayor y su trayectoria de vida en la familia y la sociedad</t>
  </si>
  <si>
    <t xml:space="preserve">Fortalecimiento a los CPSAM y CV del Departamento del Quindío </t>
  </si>
  <si>
    <t xml:space="preserve">Apoyar el seguimiento a la ejecución del recurso estampilla pro adulto mayor a los Centros Vida  y a los CBA    </t>
  </si>
  <si>
    <t>0316 - 2.3.2.02.01.003.00.00.00.4104015.109. - 20</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</si>
  <si>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</si>
  <si>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</si>
  <si>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</si>
  <si>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</si>
  <si>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Apoyar a los centros de Bienestar del Adulto Mayor (CBA)</t>
  </si>
  <si>
    <t>0316 - 2.3.2.02.02.009.00.00.00.4104008.109.00096 - 06</t>
  </si>
  <si>
    <t>06</t>
  </si>
  <si>
    <t xml:space="preserve"> ESTAMPILLA PROADULTO MAYOR </t>
  </si>
  <si>
    <t>0316 - 2.3.2.02.02.009.00.00.00.4104008.109.00233 - 06</t>
  </si>
  <si>
    <t>0316 - 2.3.2.02.02.009.00.00.00.4104008.109.00284 - 06</t>
  </si>
  <si>
    <t>0316 - 2.3.2.02.02.009.00.00.00.4104008.109.00412 - 06</t>
  </si>
  <si>
    <t>0316 - 2.3.2.02.02.009.00.00.00.4104008.109.00470 - 06</t>
  </si>
  <si>
    <t>0316 - 2.3.2.02.02.009.00.00.00.4104008.109.02226 - 06</t>
  </si>
  <si>
    <t>0316 - 2.3.2.02.02.009.00.00.00.4104008.109.02372 - 06</t>
  </si>
  <si>
    <t>0316 - 2.3.2.02.02.009.00.00.00.4104008.109.02882 - 06</t>
  </si>
  <si>
    <t>0316 - 2.3.2.02.02.009.00.00.00.4104008.109.03013 - 06</t>
  </si>
  <si>
    <t>0316 - 2.3.2.02.02.009.00.00.00.4104008.109.03167 - 06</t>
  </si>
  <si>
    <t>0316 - 2.3.2.02.02.009.00.00.00.4104008.109.03244 - 06</t>
  </si>
  <si>
    <t>0316 - 2.3.2.02.02.009.00.00.00.4104008.109.03303 - 06</t>
  </si>
  <si>
    <t>Apoyar a los CENTROS VIDA (DV)</t>
  </si>
  <si>
    <t>Inclusión productiva de pequeños productores rurales, "Tú y yo con oportunidades para el pequeño campesino"</t>
  </si>
  <si>
    <t>Servicio de asesoría para el fortalecimiento de la Asociatividad</t>
  </si>
  <si>
    <t>Asociaciones de mujeres fortalecidas</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</si>
  <si>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</si>
  <si>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</si>
  <si>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*Articulación interinstitucional para la promoción el empoderamiento y el fomento de organizaciones orientadas a la mujer,
*Fortalecer la articulación de organizaciones y procesos orientados al empoderamiento y la promoción de la mujer,</t>
  </si>
  <si>
    <t>Fomentar y realizar seguimiento a nuevas organizaciones con enfoque de Derechos para la mujer.</t>
  </si>
  <si>
    <t>0316 - 2.3.2.02.02.009.00.00.00.1702011.113. - 20</t>
  </si>
  <si>
    <t>Articular y realizar seguimiento a las organizaciones existentes para fortalecer el empoderamiento de la Mujer.</t>
  </si>
  <si>
    <t>erechos fundamentales del trabajo y fortalecimiento del diálogo social, "Tú y yo con una niñez protegida"</t>
  </si>
  <si>
    <t>Servicio de educación informal para la prevención integral del trabajo infantil</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</si>
  <si>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</si>
  <si>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</si>
  <si>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Diseño e implementación, seguimiento y evaluación de una estrategia para la prevención de trabajo infantil</t>
  </si>
  <si>
    <t>0316 - 2.3.2.02.02.009.00.00.00.3604006.114. - 20</t>
  </si>
  <si>
    <t>Apoyar la implementación de la línea Nacional de Política Pública para la prevención y erradicación del trabajo infantil y la protección integral al adolescente trabajador y apoyar al CIETI.</t>
  </si>
  <si>
    <t>Gobierno Territorial</t>
  </si>
  <si>
    <t>Fortalecimiento del buen gobierno para el respeto y garantía de los derechos humanos, "Quindío integrado y participativo"</t>
  </si>
  <si>
    <t>Iniciativas para la promoción de la participación femenina en escenarios sociales y políticos implementada,</t>
  </si>
  <si>
    <t>Estrategias para el fomento de a la participación de las mujeres en los espacios de participación política y de toma de decisión implementadas</t>
  </si>
  <si>
    <t>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</si>
  <si>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con el propósito de incrementar la participación femenina en escenarios sociales y políticas </t>
  </si>
  <si>
    <t xml:space="preserve">Desarrollar estrategias de liderazgo para la Promoción de la participación de la Mujer en escenarios sociales y políticos </t>
  </si>
  <si>
    <t>0316 - 2.3.2.02.02.009.00.00.00.4502001.115. - 20</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</si>
  <si>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</si>
  <si>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</si>
  <si>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</si>
  <si>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</si>
  <si>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</si>
  <si>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</si>
  <si>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Apropiación jurídica  por parte de la población e institucionalidad sobre las rutas de atención existentes,</t>
  </si>
  <si>
    <t>Implementación de la  Política Publica de Equidad de Género para la Mujer</t>
  </si>
  <si>
    <t>0316 - 2.3.2.02.02.009.00.00.00.4502038.008. - 20</t>
  </si>
  <si>
    <t xml:space="preserve">Seguimiento al cumplimiento de los planes de acción de la Politica Publica de  Equidad de Género para la mujer
</t>
  </si>
  <si>
    <t>Apoyar las actividades del proyecto a traves de elementos de Papeleria e impresos</t>
  </si>
  <si>
    <t>0316 - 2.3.2.02.01.003.00.00.00.4502038.008. - 20</t>
  </si>
  <si>
    <t>Desarrollo de actividades de impacto para la promoción de derechos y movilización social</t>
  </si>
  <si>
    <t>0316 - 2.3.2.02.02.006.00.00.00.4502038.008. - 20</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</si>
  <si>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</si>
  <si>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</si>
  <si>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</si>
  <si>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</si>
  <si>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</si>
  <si>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</si>
  <si>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Implementacion y seguimiento al cumplimiento del plan de accion  de la politica publica de diversidad sexual e identidad de genero</t>
  </si>
  <si>
    <t>0316 - 2.3.2.02.02.009.00.00.00.4502038.007. - 20</t>
  </si>
  <si>
    <t>Desarrollar estrategias, programas y/o proyectos que promuevan la garantía de derechos a la poblacion sexualmente diversa</t>
  </si>
  <si>
    <t>Desarrollo programas, campañas, talleres relacionados con la promocion de derechos de poblacion LGTBI</t>
  </si>
  <si>
    <t>Estrategias de Capacitación, fomento y sensibilización a personal de entidades públicos y privadas en la atención con enfoque diferencial y subdiferencial OSIGD/LGBTI para la inclusión, protección y promoción de las personas de estos sectores</t>
  </si>
  <si>
    <t>0316 - 2.3.2.02.01.003.00.00.00.4502038.007. - 20</t>
  </si>
  <si>
    <t>0316 - 2.3.2.02.02.006.00.00.00.4502038.007. - 20</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</si>
  <si>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</si>
  <si>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</si>
  <si>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</si>
  <si>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</si>
  <si>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 xml:space="preserve">Realizar articulación interinstitucional para la inclusión y promoción de la mujer en el ámbito económico, social y cultural </t>
  </si>
  <si>
    <t>0316 - 2.3.2.02.02.009.00.00.00.4502024.111. - 20</t>
  </si>
  <si>
    <t xml:space="preserve">Brindar asistencias técnicas a las alianzas público - privadas para la promoción de la mujer en el ámbito económico, social y cultural </t>
  </si>
  <si>
    <t xml:space="preserve">Canalizar la oferta público-privada para la inclusión de la mujer </t>
  </si>
  <si>
    <t>Casa Refugio de la Mujer implementada</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</si>
  <si>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</si>
  <si>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</si>
  <si>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*Articulación interinstitucional para la protección de la mujer,
*Fortalecer la articulación de organizaciones y procesos orientados a la protección de la mujer,</t>
  </si>
  <si>
    <t>Promover acciones que conlleven a contribuir a la protección de la mujer de violencia de género.</t>
  </si>
  <si>
    <t>0316 - 2.3.2.02.02.009.00.00.00.4502024.112. - 20</t>
  </si>
  <si>
    <t>ALEYDA MARÍN BETANCOURT</t>
  </si>
  <si>
    <t>SECRETARÍA DE FAMILIA</t>
  </si>
  <si>
    <t>PROGRAMACIÓN PLAN DE ACCIÓN 
SECRETARÍA  DE :                SALUD                         AÑO:  2024</t>
  </si>
  <si>
    <t>PLAN DE DESARROLLO DEPARTAMENTAL:   TÚ Y YOP SOMOS QUINDÍO</t>
  </si>
  <si>
    <t xml:space="preserve">Inspección vigilancia y control, "Tú y yo con salud certificada" </t>
  </si>
  <si>
    <t xml:space="preserve"> Servicio de concepto sanitario</t>
  </si>
  <si>
    <t>Servicio de registro sanitario</t>
  </si>
  <si>
    <t>Servicio de concepto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</si>
  <si>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</si>
  <si>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</si>
  <si>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</si>
  <si>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</si>
  <si>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</si>
  <si>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1803 - 2.3.2.02.02.009.00.00.00.1903009.116 - 61</t>
  </si>
  <si>
    <t>SGP -SALUD PÚBLICA</t>
  </si>
  <si>
    <t xml:space="preserve">              -</t>
  </si>
  <si>
    <t xml:space="preserve">       -</t>
  </si>
  <si>
    <t>Secretaria de Salud</t>
  </si>
  <si>
    <t>Generar  espacios  intersectoriales  para  la  gestión integral  de la salud ambiental, a través de consejo territorial de salud ambiental COTSA y sus mesas técnicas</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</si>
  <si>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</si>
  <si>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Servicio de información de vigilancia epidemiológica</t>
  </si>
  <si>
    <t xml:space="preserve"> Informes de evento generados en la vigencia</t>
  </si>
  <si>
    <t>Informes de evento generados en la vigencia</t>
  </si>
  <si>
    <t>Activar y Mantener 100 COVECOM y consolidar y analizar la notificación comunitaria en 11  municipios del Departamento.</t>
  </si>
  <si>
    <t>1803 - 2.3.2.02.02.009.00.00.00.1903031.116 - 61</t>
  </si>
  <si>
    <t xml:space="preserve"> Servicio de información de vigilancia epidemiológica</t>
  </si>
  <si>
    <t>Apoyar el proceso de sistematización de la estrategia COVECOM, seguimiento de la notificación comunitaria, mejoramiento de la calidad de la información, medición de indicadores, Análisis de la información y generación de planes de mejoramiento.</t>
  </si>
  <si>
    <t>Servicio de asistencia técnica en inspección, vigilancia y control</t>
  </si>
  <si>
    <t>Servicio de asistencia técnica en inspección vigilancia y control</t>
  </si>
  <si>
    <t>Asistencias técnica en Inspección, Vigilancia y Control realizadas</t>
  </si>
  <si>
    <t>Asistencias técnica en Inspección Vigilancia y Control realizadas</t>
  </si>
  <si>
    <t>Visitas de seguimiento y asistencia tecnica a sistemas potabilización de agua y fuentes de abastecimiento</t>
  </si>
  <si>
    <t>1803 - 2.3.2.02.02.009.00.00.00.1903023.116 - 61</t>
  </si>
  <si>
    <t>Realizar análisis de la persistencia y aparición de factores de riesgo en las fuentes abastecedoras y generar  espacios  intersectoriales en la  construcción y actualización de los mapas de riesgo de calidad de agua de consumo humano.</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</si>
  <si>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</si>
  <si>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</si>
  <si>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</si>
  <si>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</si>
  <si>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en la vigilancia epidemiológica de plaguicidas en el marco del programa VEO con la toma de muestras de Acetilcolinesterasa en sangre a los individuos expuestos a plaguicidas  Organofosforados y Carbamatos..</t>
  </si>
  <si>
    <t>1803 - 2.3.2.02.02.009.00.00.00.1903050.116 - 61</t>
  </si>
  <si>
    <t xml:space="preserve"> Municipios con procesos de vigilancia epidemiológica de plaguicidas organofosforados y carbamatos realizados.</t>
  </si>
  <si>
    <t>Asistencia Técnica en el análisis y seguimiento al comportamiento de los eventos por intoxicaciones de sustancias químicas  (metales, plaguicidas, solventes, otras sustancias  y gases) generada por el Sistema de Vigilancia y fuentes externas</t>
  </si>
  <si>
    <t xml:space="preserve"> Implementación del modelo operativo de Inspección, Vigilancia y Control IVC sanitario en los municipios de competencia departamental. </t>
  </si>
  <si>
    <t>Servicio de promoción prevención vigilancia y control de vectores y zoonosis</t>
  </si>
  <si>
    <t xml:space="preserve">  Modelo de IVC sanitario operando </t>
  </si>
  <si>
    <t>Municipios categorías 45 y 6 que formulen y ejecuten real y efectivamente acciones de promoción prevención vigilancia  y control de vectores y zoonosis  realizados</t>
  </si>
  <si>
    <t>Realizar  seguimientos a los objetos de Inspección, Vigilancia y Control para verificar las condiciones ténicas, higiénico sanitarias locativas y de calidad a los establecimientos farmacéuticas en los 12 municipios del departamento del Quindío</t>
  </si>
  <si>
    <t>1803 - 2.3.2.02.02.009.00.00.00.1903038.116 - 63</t>
  </si>
  <si>
    <t>OTROS - FONDO DE ESTUPEFACIENTES</t>
  </si>
  <si>
    <t xml:space="preserve">Implementación del modelo operativo de Inspección, Vigilancia y Control IVC sanitario en los municipios de competencia departamental. </t>
  </si>
  <si>
    <t>Articular los sistemas de vigilancia relacionados al control sanitario</t>
  </si>
  <si>
    <t xml:space="preserve">Desarrollo de acciones de apoyo legal en la aplicación del modelo IVC y PAGO DE REGENTES DE NOMINA  </t>
  </si>
  <si>
    <t>Realizar seguimiento al suministro de medicamentos  de programas de control especial - monopolio del estado a los establecimientos farmacéuticos autorizados o IPS´s  que lo requieran</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</si>
  <si>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</si>
  <si>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</si>
  <si>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Garantizar los servicios prestados bajo el modelo IV  con el Fondo Nacional de Estupefacientes</t>
  </si>
  <si>
    <t xml:space="preserve">Realizar seguimiento a los eventos que se presenten por intoxicaciones por sustancias químicas (medicamentos) de los vasos notificados al Aivgila por las unidades notificadores municipales      </t>
  </si>
  <si>
    <t xml:space="preserve">Modelo de IVC sanitario operando </t>
  </si>
  <si>
    <t xml:space="preserve">Adquirir recetarios para el monopolio del Estado con el Fondo Nacional de Estupefacientes de conformidad  con los índices de consumo  </t>
  </si>
  <si>
    <t>1803 - 2.3.2.02.01.003.00.00.00.1903038.116 - 63</t>
  </si>
  <si>
    <t xml:space="preserve">Compra de medicamentos  para el monopolio del Estado con el Fondo Nacional de Estupefacientes de conformidad  con los índices de consumo  </t>
  </si>
  <si>
    <t>1803 - 2.3.2.02.01.003.00.00.00.1903038.116. - 63</t>
  </si>
  <si>
    <t xml:space="preserve"> Servicio de promoción, prevención, vigilancia y control de vectores y zoonosis </t>
  </si>
  <si>
    <t xml:space="preserve"> Municipios categorías 4, 5 y 6 qué formulen y ejecuten real y efectivamente acciones de promoción, prevención, vigilancia y control de vectores y zoonosis realizados </t>
  </si>
  <si>
    <t>Municipios categorías 4 5 y 6 qué formulen y ejecuten real y efectivamente acciones de promoción prevención vigilancia y control de vectores y zoonosis realizados</t>
  </si>
  <si>
    <t xml:space="preserve">Realizar  acciones de intervención comunitaria  en el marco de la implementación de las estrategias de gestión integral para mitigar las contingencias y daños producidos por enfermedades transmisibles, zoonosis y vectores.
</t>
  </si>
  <si>
    <t>1803 - 2.3.2.02.02.009.00.00.00.1903038.116 - 61</t>
  </si>
  <si>
    <t xml:space="preserve"> Servicio de evaluación, aprobación y seguimiento de planes de gestión integral del riesgo</t>
  </si>
  <si>
    <t>Servicio de evaluación aprobación y seguimiento de planes de gestión integral del riesgo</t>
  </si>
  <si>
    <t xml:space="preserve">  Informes de evaluación, aprobación y seguimiento de Planes de Gestión Integral de Riesgo realizados</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</si>
  <si>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</si>
  <si>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</si>
  <si>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1803 - 2.3.2.02.02.009.00.00.00.1903027.116 - 61</t>
  </si>
  <si>
    <t>Servicio de inspección, vigilancia y control</t>
  </si>
  <si>
    <t>Servicio de inspección vigilancia y control</t>
  </si>
  <si>
    <t>visitas realizadas</t>
  </si>
  <si>
    <t xml:space="preserve">Realizar seguimiento a los objetos de inspección  vigilancia y control  de las  condiciones   higiénico sanitarias , locativas y de  manejo y uso  de los productos químicos peligrosos  en   los establecimientos de alto riesgo ubicados en los 11  municipios  de competencia departamental </t>
  </si>
  <si>
    <t>1803 - 2.3.2.02.02.009.00.00.00.1903011.116 - 61</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</si>
  <si>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</si>
  <si>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</si>
  <si>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</si>
  <si>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</si>
  <si>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</si>
  <si>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1803 - 2.3.2.02.02.009.00.00.00.1903001.117 - 61</t>
  </si>
  <si>
    <t xml:space="preserve">Realizar asistencia técnica en la implementación del protocolo de atención integral en salud con enfoque psicosocial </t>
  </si>
  <si>
    <t xml:space="preserve">  Servicio de adopción y seguimiento de acciones y medidas especiales</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</si>
  <si>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</si>
  <si>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</si>
  <si>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</si>
  <si>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y seguimiento a la estratedia RBC en los 12 municipios del Departamento.</t>
  </si>
  <si>
    <t xml:space="preserve">1803 - 2.3.2.02.02.009.00.00.00.1903015.117 - 61
</t>
  </si>
  <si>
    <t xml:space="preserve">Brindar asitencia técnica y capacitación en certificación de discapacidad y registro de localización y caracterización de personas con discapacidad a las IPS certificadoras  y seguimiento a la política pública de discapacidad "Capacidad sin Limite". </t>
  </si>
  <si>
    <t>Realizar visitas de asistencia, seguimiento y verificación de acceso, accesibilidad, red de servicios contratada, referencia y contrarreferencia en la prestación de servicios de salud a las personas con discapacidad en la EAPB  (exención de copagos y cuotas moderadora atención integral de salud para personas con discapacidad)y Socializacion de la normativa vigente en salud a la población con discapacidad, cuidadores y familias.</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</si>
  <si>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</si>
  <si>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</si>
  <si>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</si>
  <si>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Sensibilización  en promoción y prevención sobre el delito de trata de personas en los  municipios del Departamento del Quindio.</t>
  </si>
  <si>
    <t>Acciones de asistencia técnica en la verificación de la capacidad de atención de personas mayores en los centros de bienestar del anciano CVA y centros vida CD</t>
  </si>
  <si>
    <t xml:space="preserve">1803 - 2.3.2.02.02.009.00.00.00.1903015.117.91122 - 61
</t>
  </si>
  <si>
    <t xml:space="preserve">Realizar acciones de promoción y prevención en salud a la población LGBTI del departamento </t>
  </si>
  <si>
    <t xml:space="preserve">Inspección vigilancia y control "Tú y yo con salud certificada" </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</si>
  <si>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</si>
  <si>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</si>
  <si>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</si>
  <si>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</si>
  <si>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</si>
  <si>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</si>
  <si>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1803 - 2.3.2.02.01.003.00.00.00.1903012.118 - 61</t>
  </si>
  <si>
    <t>Compra de equipos de laboratorio</t>
  </si>
  <si>
    <t>1803 - 2.3.2.02.01.01.003.02.08.00.1903012.118 - 61</t>
  </si>
  <si>
    <t>1803 - 2.3.2.01.01.003.06.01.00.1903012.118 - 61</t>
  </si>
  <si>
    <t xml:space="preserve">Realizar el mantenimiento preventivo y correctivo de los equipos de laboratorio.  </t>
  </si>
  <si>
    <t>1803 - 2.3.2.02.02.008.00.00.00.1903012.118 - 61</t>
  </si>
  <si>
    <t>Realizar la calibración de los equipos del laboratorio</t>
  </si>
  <si>
    <t>1803 - 2.3.2.02.02.009.00.00.00.1903012.118 - 61</t>
  </si>
  <si>
    <t xml:space="preserve">Desarrollo del proceso de traslado y reubicación de los equipos, unidades tecnias y operativas del laboratorio y unidades tecnicas en desarrollo. </t>
  </si>
  <si>
    <t>Realizar análisis de muestras de alimentos, aguas, bebidas alcohólicas  que llegan al laboratorio en cumplimiento de la programación y las muestras para ETAS Y para la vigilancia de enfermedades de interés en salud publica</t>
  </si>
  <si>
    <t xml:space="preserve">1803 - 2.3.2.02.02.009.00.00.00.1903012.118 - 61  </t>
  </si>
  <si>
    <t>0318 - 2.3.2.02.02.009.00.00.00.1903012.118 - 20</t>
  </si>
  <si>
    <t>Realizar evaluación externa indirecta de citologías de cuello uterino a los laboratorios de la red</t>
  </si>
  <si>
    <t>Realizar la vigilancia entomológica en los municipios del departamento del Quindío.</t>
  </si>
  <si>
    <t xml:space="preserve"> Servicio de auditoría y visitas inspectivas</t>
  </si>
  <si>
    <t>Servicio de auditoría y visitas inspectivas</t>
  </si>
  <si>
    <t>Auditorías y visitas inspectivas realizadas</t>
  </si>
  <si>
    <t>Ejecutar el sistema de gestión de calidad y aseguramiento de metrología en el laboratorio de salud publica.</t>
  </si>
  <si>
    <t>1803 - 2.3.2.02.02.009.00.00.00.1903016.118 - 61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</si>
  <si>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</si>
  <si>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</si>
  <si>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</si>
  <si>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1803 - 2.3.2.02.02.009.00.00.00.1903011.118 - 61</t>
  </si>
  <si>
    <t>Asistencias técnicas realizadas</t>
  </si>
  <si>
    <t xml:space="preserve"> Asistencia técnica para el fortalecimiento de la gestión de las entidades territoriales del Departamento del Quindío  </t>
  </si>
  <si>
    <t xml:space="preserve">Fortalecer los procesos de articulación y competencias territoriales en el sistema general de seguridad social en salud </t>
  </si>
  <si>
    <t>Fortalecer los procesos territoriales en afiliación y atención al SGSS</t>
  </si>
  <si>
    <t xml:space="preserve">Verificar el cumplimiento de oportunidad en el reporte de información financiera mediante la circular única </t>
  </si>
  <si>
    <t>0318 - 2.3.2.02.02.009.00.00.00.1903034.119 - 20</t>
  </si>
  <si>
    <t xml:space="preserve"> N/A </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</si>
  <si>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</si>
  <si>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</si>
  <si>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</si>
  <si>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</si>
  <si>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</si>
  <si>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</si>
  <si>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</si>
  <si>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</si>
  <si>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</si>
  <si>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0318 - 2.3.2.02.02.009.00.00.00.1903045.120 - 20</t>
  </si>
  <si>
    <t xml:space="preserve">visitas de ivc por servicios </t>
  </si>
  <si>
    <t>Servicio de gestión de peticiones, quejas, reclamos y denuncias</t>
  </si>
  <si>
    <t>Servicio de gestión de peticiones quejas reclamos y denuncias</t>
  </si>
  <si>
    <t>Preguntas Quejas Reclamos y Denuncias Gestionadas</t>
  </si>
  <si>
    <t xml:space="preserve"> Apoyo operativo a la inversión social en salud en el Departamento del Quindío </t>
  </si>
  <si>
    <t xml:space="preserve">Fortalecer los procesos estratégicos administrativos y misionales del sector salud en el departamento del Quindío  </t>
  </si>
  <si>
    <t>Incrementar la operatividad e integración de los procesosadministrativos misionales y estratégicos de la secretaria de salud</t>
  </si>
  <si>
    <t>Establecer mecanismos eficientes de respuesta al usuario</t>
  </si>
  <si>
    <t>0318 - 2.3.2.02.02.009.00.00.00.1903028.121 - 20</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</si>
  <si>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</si>
  <si>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</si>
  <si>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Departamentall</t>
  </si>
  <si>
    <t>0318 - 2.3.2.02.02.009.00.00.00.1903025.121 - 20</t>
  </si>
  <si>
    <t>Realizar actividades de planeación para la S.D.S aplicando los lineamientos normativos vigentes</t>
  </si>
  <si>
    <t xml:space="preserve">  Servicio de gestión del riesgo para temas de consumo, aprovechamiento biológico, calidad e inocuidad de los alimentos.</t>
  </si>
  <si>
    <t>Servicio de gestión del riesgo para temas de consumo aprovechamiento biológico calidad e inocuidad de los alimentos,</t>
  </si>
  <si>
    <t xml:space="preserve">Campañas de gestión del riesgo para temas de consumo, aprovechamiento biológico, calidad e inocuidad de los alimentos implementadas </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</si>
  <si>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</si>
  <si>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</si>
  <si>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</si>
  <si>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</si>
  <si>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 e implementar sistema de información que permita programar y priorizar las acciones de Inspección, Vigilancia y Control con enfoque de riesgo en alimentos y bebidas.</t>
  </si>
  <si>
    <t>1803 - 2.3.2.02.02.009.00.00.00.1905028.122 - 61</t>
  </si>
  <si>
    <t>Vigilancia sanitaria en establecimientos de alimentos, relacionados con enfermedades transmitidas por alimentos (ETA), en los municipios de competencia del Departamento.</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</si>
  <si>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</si>
  <si>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</si>
  <si>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</si>
  <si>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</si>
  <si>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</si>
  <si>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</si>
  <si>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indicadores antropométricos, y patrones de referencia  (R 2465/2016)  y Manejo integral de la atención a la desnutrición ( R 2350/2020)</t>
  </si>
  <si>
    <t>0318 - 2.3.2.02.02.009.00.00.00.1905031.122 - 20</t>
  </si>
  <si>
    <t>implementacón y aplicación de programas de mejoramiento de la situación alimentaria  y nutricional de la poblacion infantil y adulto mayor</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</si>
  <si>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</si>
  <si>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</si>
  <si>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</si>
  <si>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 xml:space="preserve"> Personas capacitadas</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</si>
  <si>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</si>
  <si>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</si>
  <si>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</si>
  <si>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</si>
  <si>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1803 - 2.3.2.02.02.009.00.00.00.1905019.123 - 61</t>
  </si>
  <si>
    <t xml:space="preserve">Realizar seguimiento y monitoreo a las Entidades Administradoras de Planes Básicos EAPB en la implementación de la Ruta Integral de Atención para la Promoción y Mantenimiento de la Salud y Materno Perinatal en el Departamento  </t>
  </si>
  <si>
    <t>Servicio de promoción de la salud y prevención de riesgos asociados a condiciones no transmisibles (1905031)</t>
  </si>
  <si>
    <t>Entidades Administradoras de Planes Básicos EAPB con Rutas de obligatorio cumplimiento Implementadas</t>
  </si>
  <si>
    <t>Campañas de promoción de la salud  y prevención de riesgos asociados a condiciones no transmisibles implementadas (190503100)</t>
  </si>
  <si>
    <t>Realizar seguimiento semestral  a las coberturas de las actividades de PEDT en el marco de las intervenciones de las RIAS, así como el seguimiento a la gestión del riesgo individual en salud.</t>
  </si>
  <si>
    <t>1803 - 2.3.2.02.02.009.00.00.00.1905031.123 - 61</t>
  </si>
  <si>
    <t>0318 - 2.3.2.02.02.009.00.00.00.1905031.123 - 20</t>
  </si>
  <si>
    <t>Realizar acciones de fortalecimiento en la intervenciones de protección especifica y detección temprana con los diferentes actores del sistema (EAPB,IPS,PLANES LOCALES DE SALUD )</t>
  </si>
  <si>
    <t xml:space="preserve"> Formular en Plan de Fortalecimiento de Capacidades en Salud Ambiental en coordinación con el Consejo Territorial de Salud Ambiental COTSA</t>
  </si>
  <si>
    <t xml:space="preserve">Plan de Fortalecimiento de Capacidades en Salud Ambiental FORMULADO </t>
  </si>
  <si>
    <t>Planes de salud pública elaborados</t>
  </si>
  <si>
    <t>Incrementar una adecuada gestión intersectorial en el cumplimiento de proceso de hábitos saludables</t>
  </si>
  <si>
    <t>Elaborar el plan de fortalecimiento de capacidades en salud ambiental con que involucre  la fase de  diagnostico , implementación , autoevaluación, evaluación  y el seguimiento a la gestión integral de la salud ambiental</t>
  </si>
  <si>
    <t>1803 - 2.3.2.02.02.009.00.00.00.1905015.123 - 61</t>
  </si>
  <si>
    <t>Realizar anualmente  seguimiento  y monitoreo   al plan sectorial  de fortalecimiento de capacidades en salud ambiental.</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</si>
  <si>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</si>
  <si>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</si>
  <si>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</si>
  <si>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</si>
  <si>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y condiciones ambientales</t>
  </si>
  <si>
    <t>1803 - 2.3.2.02.02.009.00.00.00.1905024.123 - 61</t>
  </si>
  <si>
    <t>Consolidar la información de los eventos de interés en salud pública asociada a contaminación atmosférica</t>
  </si>
  <si>
    <t>Realizar análisis de la persistencia y aparición de factores de riesgo en las fuentes abastecedoras con el fin de generar la actualización anual de los mapas de riesgo asociados a las condiciones sanitarias y ambientales</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</si>
  <si>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</si>
  <si>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</si>
  <si>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 xml:space="preserve">Implementación de la estrategia de movilidad saludable, segura y sostenible </t>
  </si>
  <si>
    <t xml:space="preserve">Estrategia de movilidad saludable, segura y sostenible   implementada </t>
  </si>
  <si>
    <t xml:space="preserve"> Campañas de gestión del riesgo en temas de salud sexual y reproductiva implementadas.</t>
  </si>
  <si>
    <t>Campañas de gestión del riesgo en temas de salud sexual y reproductiva implementadas</t>
  </si>
  <si>
    <t>Fortalecimiento de acciones propias a los derechos sexuales y reproductivos en el Departamento del Quindío</t>
  </si>
  <si>
    <t>Disminuir de los eventos de interés en salud pública relacionados con la salud sexual y reproductiva en especial de la mortalidad materna</t>
  </si>
  <si>
    <t>Aumentar la eficiencia en la garantía de atención integral a la población en salud sexual y reproductiva</t>
  </si>
  <si>
    <t>Desarrollar el plan de acción  del Comité Departamental consultivo intersectorial e interinstitucional para el abordaje integral de las violencias de género y violencias sexuales en niños, niñas y adolescentes</t>
  </si>
  <si>
    <t>1803 - 2.3.2.02.02.009.00.00.00.1905021.124 - 61</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</si>
  <si>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</si>
  <si>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</si>
  <si>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</si>
  <si>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</si>
  <si>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</si>
  <si>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</si>
  <si>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</si>
  <si>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</si>
  <si>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</si>
  <si>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</si>
  <si>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 xml:space="preserve"> Realizar seguimiento y Monitoreo a las Entidades Administradoras de Planes Básicos EAPB en la implementación de la Ruta Integral de Atención para la Promoción y Mantenimiento de la Salud y Materno Perinatal en el Departamento  </t>
  </si>
  <si>
    <t xml:space="preserve"> Entidades Administradoras de Planes Básicos EAPB con Rutas de obligatorio cumplimiento Implementadas</t>
  </si>
  <si>
    <t xml:space="preserve">Realizar seguimiento y control a la realización del TSH neonatal  por parte de los Aseguradores y Prestadores ,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</si>
  <si>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</si>
  <si>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</si>
  <si>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</si>
  <si>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</si>
  <si>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</si>
  <si>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</si>
  <si>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</si>
  <si>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</si>
  <si>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 xml:space="preserve">Supervisar y seguimiento de  la ley 1751 /2015 y la resolución 3280 /2018, en el Departamento del Quindío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</si>
  <si>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</si>
  <si>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</si>
  <si>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</si>
  <si>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</si>
  <si>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</si>
  <si>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</si>
  <si>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1803 - 2.3.2.02.02.009.00.00.00.1905020.125 - 61</t>
  </si>
  <si>
    <t xml:space="preserve">               -</t>
  </si>
  <si>
    <t>Apoyar el desarrollo de formaciones o capacitaciones a las instituciones que así lo requieran</t>
  </si>
  <si>
    <t>Operativizar el comité departamental de drogas con énfasis en reducción del consumo de sustancias psicoactivas</t>
  </si>
  <si>
    <t>Realizar acciones de vigilancia  a las EAPB e IPS frente a los servicios de atención para usuarios consumidores de Sustancias Psicoactivas</t>
  </si>
  <si>
    <t xml:space="preserve"> Servicio de gestión del riesgo en temas de trastornos mentales </t>
  </si>
  <si>
    <t xml:space="preserve">Establecer lineamientos de planificación en la Atención primaria en Salud Mental (APS) en todos los municipios Quindiano
</t>
  </si>
  <si>
    <t>Seguimiento a la gestión del riesgo en los casos notificados por el SIVIGILA a las entidades con competencia en la dimensión de convivencia social y salud mental (EAPBS - Planes Locales Salud - Comisarias de Familia - ICBF)</t>
  </si>
  <si>
    <t>1803 - 2.3.2.02.02.009.00.00.00.1905022.125 - 61</t>
  </si>
  <si>
    <t xml:space="preserve">Apoyar el desarrollo de formaciones o capacitaciones a las instituciones que así lo requieran de competencia directa de la dimensión de Convivencia Social y Salud Mental </t>
  </si>
  <si>
    <t>Realizar acciones de vigilancia  a las EAPB e IPS frente a los servicios de atención en salud mental</t>
  </si>
  <si>
    <t>Adaptar e implementar la Política Pública de Salud Mental para el Departamento del Quindío</t>
  </si>
  <si>
    <t xml:space="preserve"> Política pública en Salud Mental adaptada e Implementada</t>
  </si>
  <si>
    <t xml:space="preserve">
190501501</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</si>
  <si>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</si>
  <si>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1803 - 2.3.2.02.02.009.00.00.00.1905015.125 - 61</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</si>
  <si>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</si>
  <si>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</si>
  <si>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</si>
  <si>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</si>
  <si>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Acompañamiento en la implementación de las Rutas de atención integral en sustancias psicoactivas con las instituciones del SGSSS</t>
  </si>
  <si>
    <t>1803 - 2.3.2.02.02.009.00.00.00.1905015.125. - 61</t>
  </si>
  <si>
    <t>Salud Pública, "Tú y yo con salud de calidad"</t>
  </si>
  <si>
    <t>Servicio de gestión del riesgo para abordar condiciones crónicas prevalentes</t>
  </si>
  <si>
    <t>Campañas de gestión del riesgo para abordar condiciones crónicas prevalentes implementadas</t>
  </si>
  <si>
    <t>Generación de estilos de vida saludable y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</si>
  <si>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</si>
  <si>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</si>
  <si>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</si>
  <si>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 xml:space="preserve">1803 - 2.3.2.02.02.009.00.00.00.1905023.126. - 61
</t>
  </si>
  <si>
    <t>SGP SALUD PÚBLICA</t>
  </si>
  <si>
    <t>Asistir en la implementación de actividades para la promoción de modos, condiciones y estilos de vida saludable, relacionadas con las enfermedades no transmisibles en el entorno escolar y realizar el respectivo seguimiento.</t>
  </si>
  <si>
    <t>Brindar asistencia técnica y evaluar Instituciones educativas en la implementación de  la estrategia 4x4 en los 11 municipios de competencia departamental.</t>
  </si>
  <si>
    <t>Realizar monitoreo y  seguimiento  en  Implementación de  las  rutas  integrales  de  atención en salud a las ESE`s.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</si>
  <si>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</si>
  <si>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Aumentar detección e identificación temprana de enfermedades crónicas</t>
  </si>
  <si>
    <t>1803 - 2.3.2.02.02.009.00.00.00.1905031.126.- 61</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</si>
  <si>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</si>
  <si>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  y Verificar el nivel de cumplimiento  de la ley 1335 de 2009 enfocada en espacios libres de humo</t>
  </si>
  <si>
    <t>Cuartos fríos adecuados</t>
  </si>
  <si>
    <t xml:space="preserve">Fortalecimiento de acciones de promoción, prevención y protección específica para la población infantil en el Departamento del Quindío.  </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</si>
  <si>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</si>
  <si>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</si>
  <si>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 xml:space="preserve">Garantizar la suficiencia, disponibilidad y distribución con oportunidad y calidad, de los insumos para el desarrollo del Programa Ampliado de Inmunizaciones en todo el territorio. </t>
  </si>
  <si>
    <t>1803 - 2.3.2.02.02.009.00.00.00.1905012.127.- 61</t>
  </si>
  <si>
    <t>0318 - 2.3.2.02.02.009.00.00.00.1905012.127.- 20</t>
  </si>
  <si>
    <t>|</t>
  </si>
  <si>
    <t>Realizar asistencia técnica, segumiento, vigilancia y control de la cadena de frio, el manejo de biológicos y los demás insumos del programa PAI.</t>
  </si>
  <si>
    <t>Garantizar el adecuado y oportuno desarrollo del  Sistema de  Información del Programa Ampliado de Inmunizaciones.</t>
  </si>
  <si>
    <t>0318 - 2.3.2.02.02.009.00.00.00.1905012.127.91122 - 20</t>
  </si>
  <si>
    <t>Garantizar la entrega con calidad y oportunidad de los informes solicitados por el nivel nacional para el PAI.</t>
  </si>
  <si>
    <t>1803 - 2.3.2.02.02.009.00.00.00.1905012.127.91122 - 61</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</si>
  <si>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</si>
  <si>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</si>
  <si>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</si>
  <si>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</si>
  <si>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1803 - 2.3.2.02.02.009.00.00.00.1905026.127.91122 - 61</t>
  </si>
  <si>
    <t>Realizar asistencia técnica, seguimiento, vigilancia y control del Programa IRA - SARS COVID-19, en planes locales de salud e IPS</t>
  </si>
  <si>
    <t>1803 - 2.3.2.02.02.009.00.00.00.1905026.127.- 61</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</si>
  <si>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</si>
  <si>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</si>
  <si>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</si>
  <si>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</si>
  <si>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</si>
  <si>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</si>
  <si>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1803 - 2.3.2.02.02.009.00.00.00.1905027.127.- 61</t>
  </si>
  <si>
    <t>Realizar asistencia técnica, seguimiento, vigilancia y control del Programa Ampliado de Inmunizaciones en planes locales de salud</t>
  </si>
  <si>
    <t>Realizar asistencia técnica, seguimiento, vigilancia y control del Programa Ampliado de Inmunizaciones en IPS vacunadoras</t>
  </si>
  <si>
    <t>1803 - 2.3.2.02.02.009.00.00.00.1905027.127. - 61</t>
  </si>
  <si>
    <t>Hacer seguimiento de los Eventos Adversos Posteriores a la Vacunación  (EAPV) que se presenten en el territorio.</t>
  </si>
  <si>
    <t>Formulación e implementación del Plan Departamental en Salud Ambiental de adaptación al cambio climático.</t>
  </si>
  <si>
    <t>Plan Departamental en Salud Ambiental de adaptación al cambio climático implementado</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</si>
  <si>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</si>
  <si>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</si>
  <si>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</si>
  <si>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</si>
  <si>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</si>
  <si>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 - 61</t>
  </si>
  <si>
    <t>Analizar mensualmente el comportamiento de los eventos de zoonosis y retroalimentar al área de IVC para garantizar la calidad en la atención de los casos reportados.</t>
  </si>
  <si>
    <t>1803 - 2.3.2.02.02.009.00.00.00.1905015.128.- 61</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</si>
  <si>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</si>
  <si>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</si>
  <si>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</si>
  <si>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</si>
  <si>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0318 - 2.3.2.02.02.009.00.00.00.1905026.128.- 20</t>
  </si>
  <si>
    <t>1803 - 2.3.2.02.02.009.00.00.00.1905026.128. - 111</t>
  </si>
  <si>
    <t>NACIÓN - PROGRAMA PREV Y CONTROL ENFERMEDADES POR VECTORES</t>
  </si>
  <si>
    <t>1803 - 2.3.2.02.02.009.00.00.00.1905026.128.- 61</t>
  </si>
  <si>
    <t>Viáticos y gastos de funcionarios encargados de realizar el monitoreo y evaluación a las acciones de gestión del riesgo, adherencia a guías y protocolos en las EAPB y Empresas Sociales del Estado</t>
  </si>
  <si>
    <t xml:space="preserve">1803 - 2.3.2.02.02.009.00.00.00.1905026.128.- 111
</t>
  </si>
  <si>
    <t xml:space="preserve">0318 - 2.3.2.02.02.009.00.00.00.1905026.128. - 20
</t>
  </si>
  <si>
    <t>Adquisición de bienes que permitan el correcto  monitoreo y evaluación a las acciones de gestión del riesgo, adherencia a guías y protocolos en las EAPB y Empresas Sociales del Estado</t>
  </si>
  <si>
    <t>1803 - 2.3.2.02.01.003.00.00.00.1905026.128. - 111</t>
  </si>
  <si>
    <t>Realizar inspección vigilancia y control de focos de reproducción de vectores en establecimientos de interes sanitarios.</t>
  </si>
  <si>
    <t>1803 - 2.3.2.02.02.009.00.00.00.1905026.128.- 111</t>
  </si>
  <si>
    <t>0318 - 2.3.2.02.02.009.00.00.00.1905026.128. - 20</t>
  </si>
  <si>
    <t>Compra de pruebas de diagnóstico del programa de vectores y zoonosis con destino al laboratorio departamental de salud pública.</t>
  </si>
  <si>
    <t>1803 - 2.3.2.02.01.003.00.00.00.1905026.128.- 61</t>
  </si>
  <si>
    <t xml:space="preserve">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</si>
  <si>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</si>
  <si>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</si>
  <si>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y otros actores.</t>
  </si>
  <si>
    <t>1803 - 2.3.2.02.02.009.00.00.00.1905014.129.- 61</t>
  </si>
  <si>
    <t>Realizar actividades de promoción y prevención implementadas para la comunidad y grupos focalizados en tuberculosis y lepra en los 12 municipios del departamento. (rondas medicas, búsqueda de sintomáticos respiratorios y de piel, movilizaciones, talleres, sensibilizaciones , etc.)</t>
  </si>
  <si>
    <t>1803 - 2.3.2.02.02.009.00.00.00.1905014.129. - 61</t>
  </si>
  <si>
    <t>Servicio de gestión del riesgo para enfermedades emergentes, reemergentes y desatendidas.</t>
  </si>
  <si>
    <t>Implementar campañas de prevención y atención integral en afectados por tuberculosis</t>
  </si>
  <si>
    <t>Realizar los "CERCET" Comité Evaluador  Regional de Casos Especiales de Tuberculosis.</t>
  </si>
  <si>
    <t>1803 - 2.3.2.02.02.009.00.00.00.1905026.129.- 113</t>
  </si>
  <si>
    <t>NACIÓN - TUBERCULOSIS</t>
  </si>
  <si>
    <t>Realizar analisis y estudio de casos de mortalidad por tuberculosis</t>
  </si>
  <si>
    <t>Acompañar la vigilancia de cumplimiento a guías, lineamientos y protocolos  en tuberculosis y lepra</t>
  </si>
  <si>
    <t>1803 - 2.3.2.02.02.009.00.00.00.1905026.129. - 113</t>
  </si>
  <si>
    <t>1803 - 2.3.2.02.02.009.00.00.00.1905026.129. - 114</t>
  </si>
  <si>
    <t>NACIÓN - LEPRA</t>
  </si>
  <si>
    <t>Realizar mesas técnicas para la gestión del compromiso político, en la protección social y sistemas de apoyo de pacientes con tuberculosis y lepra.</t>
  </si>
  <si>
    <t>Hacer seguimiento a la implementación y ejecución de  los nuevos planes estratégicos de tuberculosis y lepra en los 12 municipios.</t>
  </si>
  <si>
    <t>Realizar capacitaciones dirigida a personas líderes,   para ser formadas como agentes comunitarios TB/VIH,</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</si>
  <si>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 etc.)</t>
  </si>
  <si>
    <t>Realizar verificación de la aplicación de protocolos y planes de emergencia hospitalaria a la Red pública</t>
  </si>
  <si>
    <t>Servicios de atención en salud pública en situaciones de emergencias y desastres</t>
  </si>
  <si>
    <t xml:space="preserve">Servicio de atención en salud pública en situaciones de emergencias y desastres </t>
  </si>
  <si>
    <t>Personas en capacidad de ser atendidas</t>
  </si>
  <si>
    <t xml:space="preserve">Prevención, preparación, contingencia, mitigación y superación de emergencias y contingencias por eventos relacionados con la salud pública en el Departamento del Quindío.  </t>
  </si>
  <si>
    <t>Coordinar acciones  para la gestión integral  del riesgo en  situaciones de emergencias y desastres  en las IPS y autoridad sanitaria del departamento</t>
  </si>
  <si>
    <t>Incrementar la Seguridad y capacidad de respuesta hospitalaria en momentos de emergencias y desastres</t>
  </si>
  <si>
    <t>1803 - 2.3.2.02.02.009.00.00.00.1905030.131. - 61</t>
  </si>
  <si>
    <t>Servicio de gestión del riesgo para abordar situaciones prevalentes de origen laboral</t>
  </si>
  <si>
    <t>Campañas de gestión del riesgo para abordar situaciones prevalentes de origen laboral implementadas</t>
  </si>
  <si>
    <t xml:space="preserve">Prevención vigilancia y control de eventos en el ámbito laboral en el Departamento del Quindío.  </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</si>
  <si>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</si>
  <si>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</si>
  <si>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</si>
  <si>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 - 61</t>
  </si>
  <si>
    <t xml:space="preserve">                    -</t>
  </si>
  <si>
    <t xml:space="preserve">             -</t>
  </si>
  <si>
    <t xml:space="preserve">Realizar la Identificación, caracterización y capacitacion de las mujeres trabajadoras y poblacion informal del sector agrícola de los municipios  de Calarcá, Montenegro, Quimbaya, La Tebaida, Circasia, Salento y Filandia. </t>
  </si>
  <si>
    <t>1803 - 2.3.2.02.02.009.00.00.00.1905025.132.- 61</t>
  </si>
  <si>
    <t>Realizar asistencia técnica  a ESE`s, para verificar el cumplimiento del Sistema de Gestión de la Seguridad y Salud en el Trabajo.</t>
  </si>
  <si>
    <t xml:space="preserve">Expedir las licencias y asistencias técnicas en Seguridad y Salud en el Trabajo. </t>
  </si>
  <si>
    <t>Realizar jornada de sensibilización a los Empleadores  del  sector  Comercio y/o Turismo para fomentar la afiliación al SGRL a sus empleados, en los municipio de 4ta, 5ta y 6ta categoria, del departamento del Quindio.</t>
  </si>
  <si>
    <t>Realizar asistencia técnica  a los prestadores de primer nivel, para verificar el cumplimiento del Sistema de Gestión de la Seguridad y Salud en el Trabajo.</t>
  </si>
  <si>
    <t xml:space="preserve">Documentos de planeación en epidemiología y demografía elaborados </t>
  </si>
  <si>
    <t xml:space="preserve">Fortalecimiento del sistema de vigilancia en salud pública en el Departamento del Quindío. </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</si>
  <si>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</si>
  <si>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</si>
  <si>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</si>
  <si>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1803 - 2.3.2.02.02.009.00.00.00.1905015.133.- 61</t>
  </si>
  <si>
    <t>Generación de informes epidemiológicos según lineamientos de Prevención, Vigilancia y Control del Nivel Nacional</t>
  </si>
  <si>
    <t>1803 - 2.3.2.02.02.009.00.00.00.1905015.133. - 61</t>
  </si>
  <si>
    <t>Apoyo en los procesos relacionados con las Estadísticas Vitales ,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</si>
  <si>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</si>
  <si>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</si>
  <si>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</si>
  <si>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</si>
  <si>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1803 - 2.3.2.02.02.009.00.00.00.1905015.133.91122 - 61</t>
  </si>
  <si>
    <t>Investigación epidemiológica de casos y búsqueda de contactos</t>
  </si>
  <si>
    <t>0318 - 2.3.2.02.02.009.00.00.00.1905015.133.- 20</t>
  </si>
  <si>
    <t>Centros reguladores de urgencias, emergencias y desastres funcionando y dotados</t>
  </si>
  <si>
    <t xml:space="preserve">Centros reguladores de urgencias, emergencias y desastres dotados </t>
  </si>
  <si>
    <t>Centros reguladores de urgencias, emergencias y desastres dotados y funcionando.</t>
  </si>
  <si>
    <t xml:space="preserve">190500900
</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</si>
  <si>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</si>
  <si>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</si>
  <si>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</si>
  <si>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</si>
  <si>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</si>
  <si>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 - 20</t>
  </si>
  <si>
    <t>Realizar asistencia técnica a los prestadores de servicios de salud.</t>
  </si>
  <si>
    <t>0318 - 2.3.2.02.02.009.00.00.00.1905009.134.- 20</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</si>
  <si>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</si>
  <si>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</si>
  <si>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</si>
  <si>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Aumentar la cobertura de las acciones de intervenciones colectivas</t>
  </si>
  <si>
    <t>Realizar intervenciones de manera integrada e integral en los diferentes entornos definidos en la norma</t>
  </si>
  <si>
    <t>1803 - 2.3.2.02.02.009.00.00.00.1905031.135. - 61</t>
  </si>
  <si>
    <t>Realizar auditoria al desarrollo de las intervenciones colectivas y establecer acciones de mejoramiento</t>
  </si>
  <si>
    <t>1803 - 2.3.2.02.02.009.00.00.00.1905031.135.- 61</t>
  </si>
  <si>
    <t>Realizar intervenciones de vacunación antirrábica</t>
  </si>
  <si>
    <t>Seguimiento a la gestión del riesgo en las intervenciones colectivas</t>
  </si>
  <si>
    <t>Ejecutar las acciones de la estrategia COMBI en municipios hiperendémicos para enfermedades vectoriales</t>
  </si>
  <si>
    <t>Realizar implementación de la estrategia APS  y las intervenciones colectivas de manera integrada en los entornos definidos en la norma</t>
  </si>
  <si>
    <t>Prestación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</si>
  <si>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</si>
  <si>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</si>
  <si>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</si>
  <si>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</si>
  <si>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 xml:space="preserve">Subsidio y cofinanciación al régimen subsidiado del Sistema General de Seguridad Social en Salud en el Departamento del Quindío.  </t>
  </si>
  <si>
    <t>Aumentar índices en los procesos de afiliación de la población en el Departamento</t>
  </si>
  <si>
    <t xml:space="preserve">Gestión de recursos para cofinanciación de la afiliación a los municipios y lugares de afiliación </t>
  </si>
  <si>
    <t xml:space="preserve">Gestión de recursos para cofinanciación de la afiliación a los municipios y lugares de afiliación. </t>
  </si>
  <si>
    <t>1801 - 2.3.3.01.02.005.00.00.00.1906023.136.03013 - 154
Montenegro</t>
  </si>
  <si>
    <t>R.C. ADRES SINSITUACIÓN DE FONDOS</t>
  </si>
  <si>
    <t>1801 - 2.3.3.01.02.005.00.00.00.1906023.136.03013 - 237
Montenegro</t>
  </si>
  <si>
    <t>R.C. MONOPOLIO DE LICORES REGIMEN SUBSIDIADO</t>
  </si>
  <si>
    <t>1801 - 2.3.3.01.02.005.00.00.00.1906023.136.03013 - 240
Montenegro</t>
  </si>
  <si>
    <t>R.C. IMPUESTO AL CONSUMO LICO- REGIMEN SUBSIDIADO</t>
  </si>
  <si>
    <t>1801 - 2.3.3.01.02.005.00.00.00.1906023.136.03013 - 243
Montenegro</t>
  </si>
  <si>
    <t>R.C. IMPUESTO CERVEZA -  REGIMEN SUBSIDIADO</t>
  </si>
  <si>
    <t>1801 - 2.3.3.01.02.005.00.00.00.1906023.136.03013 - 246
Montenegro</t>
  </si>
  <si>
    <t>R.C. IMPUESTO GANADORES -SSF-REGIMEN SUBSIDIADO</t>
  </si>
  <si>
    <t>1801 - 2.3.3.01.02.005.00.00.00.1906023.136.03013 - 249
Montenegro</t>
  </si>
  <si>
    <t xml:space="preserve">R.C. LOTERÍAS FORÁNEAS-SSF-REGIMEN SUBSIDIADO </t>
  </si>
  <si>
    <t>1801 - 2.3.3.01.02.005.00.00.00.1906023.136.03013 - 252
Montenegro</t>
  </si>
  <si>
    <t>R. .CIGARRILLO Y TABACO (1393 DE 2010)</t>
  </si>
  <si>
    <t>1801 - 2.3.3.01.02.005.00.00.00.1906023.136.03013 - 253
Montenegro</t>
  </si>
  <si>
    <t>R.C. JUEGOS NOVEDOSO-SUPER ASTRO 68%- REGIMEN SUBSIDIADO</t>
  </si>
  <si>
    <t>1801 - 2.3.3.01.02.005.00.00.00.1906023.136.00096 - 154
Armenia</t>
  </si>
  <si>
    <t>1801 - 2.3.3.01.02.005.00.00.00.1906023.136.00096 - 237 Armenia</t>
  </si>
  <si>
    <t>1801 - 2.3.3.01.02.005.00.00.00.1906023.136.00096 - 240 Armenia</t>
  </si>
  <si>
    <t>1801 - 2.3.3.01.02.005.00.00.00.1906023.136.00096 - 243 Armenia</t>
  </si>
  <si>
    <t>1801 - 2.3.3.01.02.005.00.00.00.1906023.136.00096 - 246 Armenia</t>
  </si>
  <si>
    <t>1801 - 2.3.3.01.02.005.00.00.00.1906023.136.00096 - 249 Armenia</t>
  </si>
  <si>
    <t>1801 - 2.3.3.01.02.005.00.00.00.1906023.136.00096 - 252 Armenia</t>
  </si>
  <si>
    <t>R.C. CIGARRILLO Y TABACO (1393 DE 2010)</t>
  </si>
  <si>
    <t>1801 - 2.3.3.01.02.005.00.00.00.1906023.136.00096 - 253 Armenia</t>
  </si>
  <si>
    <t>1801 - 2.3.3.01.02.005.00.00.00.1906023.136.167 - 154
Pijao</t>
  </si>
  <si>
    <t>1801 - 2.3.3.01.02.005.00.00.00.1906023.136.167 - 237 Pijao</t>
  </si>
  <si>
    <t>1801 - 2.3.3.01.02.005.00.00.00.1906023.136.167 - 240 Pijao</t>
  </si>
  <si>
    <t>1801 - 2.3.3.01.02.005.00.00.00.1906023.136.167 - 243 Pijao</t>
  </si>
  <si>
    <t>1801 - 2.3.3.01.02.005.00.00.00.1906023.136.167 - 246 Pijao</t>
  </si>
  <si>
    <t>1801 - 2.3.3.01.02.005.00.00.00.1906023.136.167 - 249 Pijao</t>
  </si>
  <si>
    <t>1801 - 2.3.3.01.02.005.00.00.00.1906023.136.167 - 252 Pijao</t>
  </si>
  <si>
    <t>1801 - 2.3.3.01.02.005.00.00.00.1906023.136.167 - 253 Pijao</t>
  </si>
  <si>
    <t xml:space="preserve">1801 - 2.3.3.01.02.005.00.00.00.1906023.136.02226 - 154
Filandia 
</t>
  </si>
  <si>
    <t xml:space="preserve">1801 - 2.3.3.01.02.005.00.00.00.1906023.136.02226 - 237 Filandia </t>
  </si>
  <si>
    <t xml:space="preserve">1801 - 2.3.3.01.02.005.00.00.00.1906023.136.226 - 240 Filandia </t>
  </si>
  <si>
    <t xml:space="preserve">1801 - 2.3.3.01.02.005.00.00.00.1906023.136.226 - 243 Filandia </t>
  </si>
  <si>
    <t xml:space="preserve">1801 - 2.3.3.01.02.005.00.00.00.1906023.136.02226 - 246 Filandia </t>
  </si>
  <si>
    <t xml:space="preserve">1801 - 2.3.3.01.02.005.00.00.00.1906023.136.02226 - 249 Filandia </t>
  </si>
  <si>
    <t xml:space="preserve">1801 - 2.3.3.01.02.005.00.00.00.1906023.136.02226 - 252 Filandia </t>
  </si>
  <si>
    <t xml:space="preserve">1801 - 2.3.3.01.02.005.00.00.00.1906023.136.02226 - 253 Filandia </t>
  </si>
  <si>
    <t>1801 - 2.3.3.01.02.005.00.00.00.1906023.136.00233 - 154
Buenavista</t>
  </si>
  <si>
    <t>1801 - 2.3.3.01.02.005.00.00.00.1906023.136.233 - 237 Buenavista</t>
  </si>
  <si>
    <t>1801 - 2.3.3.01.02.005.00.00.00.1906023.136.233 - 240 Buenavista</t>
  </si>
  <si>
    <t>1801 - 2.3.3.01.02.005.00.00.00.1906023.136.233 - 243 Buenavista</t>
  </si>
  <si>
    <t>1801 - 2.3.3.01.02.005.00.00.00.1906023.136.00233 - 246 Buenavista</t>
  </si>
  <si>
    <t>1801 - 2.3.3.01.02.005.00.00.00.1906023.136.00233 - 249 Buenavista</t>
  </si>
  <si>
    <t>1801 - 2.3.3.01.02.005.00.00.00.1906023.136.00233 - 252 Buenavista</t>
  </si>
  <si>
    <t>1801 - 2.3.3.01.02.005.00.00.00.1906023.136.00233 - 253 Buenavista</t>
  </si>
  <si>
    <t>1801 - 2.3.3.01.02.005.00.00.00.1906023.136.03244 - 154
Quimbaya</t>
  </si>
  <si>
    <t>1801 - 2.3.3.01.02.005.00.00.00.1906023.136.03244 - 237 Quimbaya</t>
  </si>
  <si>
    <t>1801 - 2.3.3.01.02.005.00.00.00.1906023.136.03244 - 240 Quimbaya</t>
  </si>
  <si>
    <t>1801 - 2.3.3.01.02.005.00.00.00.1906023.136.03244 - 243 Quimbaya</t>
  </si>
  <si>
    <t>1801 - 2.3.3.01.02.005.00.00.00.1906023.136.03244 - 246 Quimbaya</t>
  </si>
  <si>
    <t>1801 - 2.3.3.01.02.005.00.00.00.1906023.136.03244 - 249 Quimbaya</t>
  </si>
  <si>
    <t>1801 - 2.3.3.01.02.005.00.00.00.1906023.136.244 - 252 Quimbaya</t>
  </si>
  <si>
    <t>1801 - 2.3.3.01.02.005.00.00.00.1906023.136.03244 - 253 Quimbaya</t>
  </si>
  <si>
    <t>1801 - 2.3.3.01.02.005.00.00.00.1906023.136.00284 - 154
Calarca</t>
  </si>
  <si>
    <t>1801 - 2.3.3.01.02.005.00.00.00.1906023.136.284 - 237 Calarca</t>
  </si>
  <si>
    <t>1801 - 2.3.3.01.02.005.00.00.00.1906023.136.284 - 240 Calarca</t>
  </si>
  <si>
    <t>1801 - 2.3.3.01.02.005.00.00.00.1906023.136.284 - 243 Calarca</t>
  </si>
  <si>
    <t>1801 - 2.3.3.01.02.005.00.00.00.1906023.136.00284 - 246 Calarca</t>
  </si>
  <si>
    <t>1801 - 2.3.3.01.02.005.00.00.00.1906023.136.00284 - 249 Calarca</t>
  </si>
  <si>
    <t>1801 - 2.3.3.01.02.005.00.00.00.1906023.136.00284 - 252  Calarca</t>
  </si>
  <si>
    <t>1801 - 2.3.3.01.02.005.00.00.00.1906023.136.00284 - 253 Calarca</t>
  </si>
  <si>
    <t xml:space="preserve">
1801 - 2.3.3.01.02.005.00.00.00.1906023.136.03303 - 154
Salento</t>
  </si>
  <si>
    <t>1801 - 2.3.3.01.02.005.00.00.00.1906023.136.03303 - 237  Salento</t>
  </si>
  <si>
    <t>1801 - 2.3.3.01.02.005.00.00.00.1906023.136.03303 - 240 Salento</t>
  </si>
  <si>
    <t>1801 - 2.3.3.01.02.005.00.00.00.1906023.136.03303 - 243 Salento</t>
  </si>
  <si>
    <t>1801 - 2.3.3.01.02.005.00.00.00.1906023.136.03303 - 246 Salento</t>
  </si>
  <si>
    <t>1801 - 2.3.3.01.02.005.00.00.00.1906023.136.03303 - 249 Salento</t>
  </si>
  <si>
    <t>1801 - 2.3.3.01.02.005.00.00.00.1906023.03303 - 252 Salento</t>
  </si>
  <si>
    <t>1801 - 2.3.3.01.02.005.00.00.00.1906023.136.03303 - 253 Salento</t>
  </si>
  <si>
    <t xml:space="preserve">
1801 - 2.3.3.01.02.005.00.00.00.1906023.136.02372 - 154
Genova</t>
  </si>
  <si>
    <t>1801 - 2.3.3.01.02.005.00.00.00.1906023.136.02372 - 237 Genova</t>
  </si>
  <si>
    <t xml:space="preserve">1801 - 2.3.3.01.02.005.00.00.00.1906023.136.372 - 240 </t>
  </si>
  <si>
    <t>1801 - 2.3.3.01.02.005.00.00.00.1906023.136.02372 - 243 Genova</t>
  </si>
  <si>
    <t>1801 - 2.3.3.01.02.005.00.00.00.1906023.136.02372 - 246 Genova</t>
  </si>
  <si>
    <t>1801 - 2.3.3.01.02.005.00.00.00.1906023.136.02372 - 249 Genova</t>
  </si>
  <si>
    <t>1801 - 2.3.3.01.02.005.00.00.00.1906023.136.372 - 252 Genva</t>
  </si>
  <si>
    <t>1801 - 2.3.3.01.02.005.00.00.00.1906023.136.372 - 253 Geniva</t>
  </si>
  <si>
    <t xml:space="preserve">
1801 - 2.3.3.01.02.005.00.00.00.1906023.136.00412 - 154
Circasia
</t>
  </si>
  <si>
    <t>1801 - 2.3.3.01.02.005.00.00.00.1906023.136.412 - 237
Circasia</t>
  </si>
  <si>
    <t>1801 - 2.3.3.01.02.005.00.00.00.1906023.136.412 - 240 Circasia</t>
  </si>
  <si>
    <t>1801 - 2.3.3.01.02.005.00.00.00.1906023.136.412 - 243 Circasia</t>
  </si>
  <si>
    <t>1801 - 2.3.3.01.02.005.00.00.00.1906023.136.00412 - 246 Circasia</t>
  </si>
  <si>
    <t>1801 - 2.3.3.01.02.005.00.00.00.1906023.136.00412 - 249 Circasia</t>
  </si>
  <si>
    <t>1801 - 2.3.3.01.02.005.00.00.00.1906023.136.00412 - 252 Circasia</t>
  </si>
  <si>
    <t>1801 - 2.3.3.01.02.005.00.00.00.1906023.136.00412 - 253  Circasia</t>
  </si>
  <si>
    <t>1801 - 2.3.3.01.02.005.00.00.00.1906023.136.00470 - 154
Cordoba</t>
  </si>
  <si>
    <t>1801 - 2.3.3.01.02.005.00.00.00.1906023.136.470 - 237 Cordoba</t>
  </si>
  <si>
    <t>1801 - 2.3.3.01.02.005.00.00.00.1906023.136.470 - 240 Cordoba</t>
  </si>
  <si>
    <t>1801 - 2.3.3.01.02.005.00.00.00.1906023.136.00470 - 243 Cordoba</t>
  </si>
  <si>
    <t>1801 - 2.3.3.01.02.005.00.00.00.1906023.136.00470 - 246 Cordoba</t>
  </si>
  <si>
    <t>1801 - 2.3.3.01.02.005.00.00.00.1906023.136.470 - 249 Codoba</t>
  </si>
  <si>
    <t>1801 - 2.3.3.01.02.005.00.00.00.1906023.136.00470 - 252 Cordoba</t>
  </si>
  <si>
    <t>1801 - 2.3.3.01.02.005.00.00.00.1906023.136.00470 - 253 Cordoba</t>
  </si>
  <si>
    <t xml:space="preserve"> 1801 - 2.3.3.01.02.005.00.00.00.1906023.136.02882 - 154
La Tebaida</t>
  </si>
  <si>
    <t>1801 - 2.3.3.01.02.005.00.00.00.1906023.136.02882 - 237 La Tebaida</t>
  </si>
  <si>
    <t>1801 - 2.3.3.01.02.005.00.00.00.1906023.136.02882 - 240 La Tebaida</t>
  </si>
  <si>
    <t>1801 - 2.3.3.01.02.005.00.00.00.1906023.136.02882 - 243 La Tebaida</t>
  </si>
  <si>
    <t>1801 - 2.3.3.01.02.005.00.00.00.1906023.136.02882 - 246 La Tebaida</t>
  </si>
  <si>
    <t>1801 - 2.3.3.01.02.005.00.00.00.1906023.136.882 - 249 La Tebaida</t>
  </si>
  <si>
    <t>1801 - 2.3.3.01.02.005.00.00.00.1906023.136.882 - 252 La Tebaida</t>
  </si>
  <si>
    <t>1801 - 2.3.3.01.02.005.00.00.00.1906023.136.02882 - 253 La Tebaida</t>
  </si>
  <si>
    <t>0318 - 2.3.3.01.02.005.00.00.00.1906023.136. 00096 - 88 Armenia</t>
  </si>
  <si>
    <t>SUPERÁVIT RECURSOS ORDINARIOS</t>
  </si>
  <si>
    <t>0318 - 2.3.3.01.02.005.00.00.00.1906023.136.00233 - 88 Buenavista</t>
  </si>
  <si>
    <t>0318- 2.3.3.01.02.005.00.00.00.1906023.136.00284 - 88 Calarcá</t>
  </si>
  <si>
    <t>0318 - 2.3.3.01.02.005.00.00.00.1906023.136.00412 - 88 Circasia</t>
  </si>
  <si>
    <t>0318  - 2.3.3.01.02.005.00.00.00.1906023.136.00470 - 88 Cordoda</t>
  </si>
  <si>
    <t>0318 - 2.3.3.01.02.005.00.00.00.1906023.136.02226 - 88 Filanda</t>
  </si>
  <si>
    <t>0318  - 2.3.3.01.02.005.00.00.00.1906023.136.02372 -  88 Genova</t>
  </si>
  <si>
    <t>0318 - 2.3.3.01.02.005.00.00.00.1906023.136.02882 - 88 L aTebaida</t>
  </si>
  <si>
    <t>0318  - 2.3.3.01.02.005.00.00.00.1906023.136.03013 - 88 montenegro</t>
  </si>
  <si>
    <t>0318 - 2.3.3.01.02.005.00.00.00.1906023.136.03167 - 88 Pijao</t>
  </si>
  <si>
    <t xml:space="preserve">0318 - 2.3.3.01.02.005.00.00.00.1906023.136.03244 - 88 Quimbaya </t>
  </si>
  <si>
    <t>0318 - 2.3.3.01.02.005.00.00.00.1906023.136.03303 - 88 Salento</t>
  </si>
  <si>
    <t>Servicio de apoyo con tecnologías para prestación de servicios en salud</t>
  </si>
  <si>
    <t>Población inimputable atendida</t>
  </si>
  <si>
    <t>Pacientes atendidos con medicamentos en salud financiados con cargo a los recursos de la UPC del Régimen Subsidiado</t>
  </si>
  <si>
    <t>Prestación de Servicios a la Población no Afiliada al Sistema General de Seguridad Social en Salud y en el NO POS a la Población del Régimen Subsidiado.</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</si>
  <si>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</si>
  <si>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</si>
  <si>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</si>
  <si>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 - 110</t>
  </si>
  <si>
    <t xml:space="preserve"> NACIÓN - INIMPUTABLES </t>
  </si>
  <si>
    <t>0318 - 2.3.2.02.02.009.00.00.00.1906023.137. - 35</t>
  </si>
  <si>
    <t xml:space="preserve"> RECURSOS MONOPOLIO </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</si>
  <si>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</si>
  <si>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</si>
  <si>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</si>
  <si>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</si>
  <si>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</si>
  <si>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1802 - 2.3.2.02.02.009.00.00.00.1906025.137 - 171</t>
  </si>
  <si>
    <t xml:space="preserve"> SGP, SUBSIDIO A LA OFERTA  </t>
  </si>
  <si>
    <t>1802 - 2.3.2.02.02.009.00.00.00.1906025.137. - 154</t>
  </si>
  <si>
    <t>R.C. IVA CEDIDO SOBRE LICORES ART. 32 LEY 1816</t>
  </si>
  <si>
    <t>1802 - 2.3.2.02.02.009.00.00.00.1906025.137 - 238</t>
  </si>
  <si>
    <t>RENTAS CEDIDAS- DE LICORES PRESTACIÓN DE SERVICIOS</t>
  </si>
  <si>
    <t>1802 - 2.3.2.02.02.009.00.00.00.1906025.137 - 244</t>
  </si>
  <si>
    <t>R.C. IMPUESTO AL CONSUMO DE CERVEZAS PRESTAC. SERVICIOS</t>
  </si>
  <si>
    <t>1802 - 2.3.2.02.02.009.00.00.00.1906025.137 - 241</t>
  </si>
  <si>
    <t>R.C. IMPUESTO AL CONSUMO DE LICORES  REG. SUBS.</t>
  </si>
  <si>
    <t>1802 - 2.3.2.02.02.009.00.00.00.1906025.137- 58</t>
  </si>
  <si>
    <t xml:space="preserve"> RENTAS CEDIDAS SECRETARIA ,DE SALUD </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</si>
  <si>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</si>
  <si>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</si>
  <si>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</si>
  <si>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</si>
  <si>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</si>
  <si>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</si>
  <si>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0318 - 2.3.2.02.02.009.00.00.00.1906029.138 - 20</t>
  </si>
  <si>
    <t>Realizar gestión de cartera de acuerdo con lo estipulado en la circular conjunta 030 del 2013</t>
  </si>
  <si>
    <t xml:space="preserve">Dar apoyo a las ESE del departamento para garantizar la continuidad en la prestación de servicios de salud </t>
  </si>
  <si>
    <t>Seguimiento a los programas de saneamiento fiscal y financiero.</t>
  </si>
  <si>
    <t>0318 - 2.3.2.02.02.009.00.00.00.1906029.138- 20</t>
  </si>
  <si>
    <t>Seguimiento al proceso de saneamiento de aportes patronales</t>
  </si>
  <si>
    <t>Transferencia de recursos a las empresas sociales del estado del departamento</t>
  </si>
  <si>
    <t>Servicio de tecnologías en salud financiadas con la unidad de pago por capitación - UPC (1906023)</t>
  </si>
  <si>
    <t>Pacientes atendidos</t>
  </si>
  <si>
    <t>Aumentar la eficiencia en recursos para la prestación de servicios de salud en el departamento</t>
  </si>
  <si>
    <t xml:space="preserve">Apoyo el proceso de Certificación de Discapacidad Nacional </t>
  </si>
  <si>
    <t>1804 - 2.3.2.02.02.009.00.00.00.1906023.138 - 180</t>
  </si>
  <si>
    <t>NACIÓN - MINISTERIO DE SALUD RESOLUCIÓN DE DISCAPACIDAD</t>
  </si>
  <si>
    <t>TOTAL SALUD:</t>
  </si>
  <si>
    <t>IVAN FAJARDO SARMIENTO</t>
  </si>
  <si>
    <t>SECRETARIO DE  SALUD</t>
  </si>
  <si>
    <t>PROGRAMACIÓN PLAN DE ACCIÓN SECRETARIA  DE TECNOLOGIAS DE LA INFORMACION Y LAS COMUNICACIONES  AÑO: 2024</t>
  </si>
  <si>
    <t>PLAN DE DESARROLLO DEPARTAMENTAL :  TÚ Y YO SOMOS QUINDÍO</t>
  </si>
  <si>
    <t>LÍNEA ESTRATÉGICA</t>
  </si>
  <si>
    <t xml:space="preserve">FUENTE DE RECURSOS </t>
  </si>
  <si>
    <t>FECHA DE INICIO
(dd/mm/aaaa)</t>
  </si>
  <si>
    <t>FECHA DE TERMINACIÓN
(dd/mm/aaaa)</t>
  </si>
  <si>
    <t>CÓDIGO</t>
  </si>
  <si>
    <t xml:space="preserve">NOMBRE </t>
  </si>
  <si>
    <t>CÓDIGO BPIN</t>
  </si>
  <si>
    <t>PESO DE LA META %</t>
  </si>
  <si>
    <t>VALOR  (EN PESOS)</t>
  </si>
  <si>
    <t>RUBRO PRESUPUESTAL</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</si>
  <si>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</si>
  <si>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</si>
  <si>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</si>
  <si>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</si>
  <si>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</si>
  <si>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</si>
  <si>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</si>
  <si>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</si>
  <si>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0324 - 2.3.2.02.02.008.00.00.00.2301024.038 - 20</t>
  </si>
  <si>
    <t>Director Infraestructura Tecnológica</t>
  </si>
  <si>
    <t>Soluciones de conectividad en instituciones públicas instaladas</t>
  </si>
  <si>
    <t xml:space="preserve">Adquisición de equipos tecnologicos que permita la modernización del CAD, facilitando el acceso y uso de tecnologias de la información y las comunicaciones </t>
  </si>
  <si>
    <t>0324 - 2.3.2.01.01.003.04.06.002301024.038- 20</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</si>
  <si>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</si>
  <si>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</si>
  <si>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</si>
  <si>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</si>
  <si>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</si>
  <si>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Adquisición de elementos de interconectividad para la conexión a internet en zonas rurales del departamento del Quindio </t>
  </si>
  <si>
    <t>0324 - 2.3.2.01.01.003.04.06..00.2301012.038- 20</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</si>
  <si>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</si>
  <si>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</si>
  <si>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</si>
  <si>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 xml:space="preserve">Adquisición de materiales y equipos tecnologicos en sedes educativas oficiales </t>
  </si>
  <si>
    <t>0324 - 2.3.2.01.01.003.03.02.00.2301062.038- 20</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</si>
  <si>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</si>
  <si>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</si>
  <si>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</si>
  <si>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</si>
  <si>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</si>
  <si>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</si>
  <si>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0324 - 2.3.2.02.02.008.00.00.00.2301035.139. - 20</t>
  </si>
  <si>
    <t>Director Gobierno Digital</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</si>
  <si>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</si>
  <si>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</si>
  <si>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</si>
  <si>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</si>
  <si>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0324 - 2.3.2.02.02.008.00.00.00.2301015.139- 20</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</si>
  <si>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</si>
  <si>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</si>
  <si>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</si>
  <si>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</si>
  <si>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0324 - 2.3.2.02.02.008.00.00.00.2301030.139- 20</t>
  </si>
  <si>
    <t xml:space="preserve"> Documentos de planeación</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</si>
  <si>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</si>
  <si>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</si>
  <si>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0324 - 2.3.2.02.02.008.00.00.00.2301004.139- 20</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</si>
  <si>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</si>
  <si>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</si>
  <si>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</si>
  <si>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implementación, seguimiento, sensibilización y puesta en funcionamiento de un sistema de alertas tempranas en el departamento del Quindio </t>
  </si>
  <si>
    <t>0324 - 2.3.2.02.02.008.00.00.00.2301042.139- 20</t>
  </si>
  <si>
    <t>Fomento del desarrollo de aplicaciones, software y contenidos para impulsar la apropiación de las Tecnologías de la Información y las Comunicaciones (TIC) "Quindío paraiso empresarial TIC-Quindío TIC"</t>
  </si>
  <si>
    <t>Servicio de asistencia técnica a empresas de la industria de Tecnologías de la Información para mejorar sus capacidades de comercialización e innovación</t>
  </si>
  <si>
    <t>Empresas beneficiadas con actividades de fortalecimiento  de la industria TI</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</si>
  <si>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</si>
  <si>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</si>
  <si>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</si>
  <si>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</si>
  <si>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0324 - 2.3.2.02.02.008.00.00.00.2302022.039- 20</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</si>
  <si>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</si>
  <si>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</si>
  <si>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</si>
  <si>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</si>
  <si>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0324 - 2.3.2.02.02.008.00.00.00.2302058.039- 20</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</si>
  <si>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</si>
  <si>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</si>
  <si>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</si>
  <si>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</si>
  <si>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0324 - 2.3.2.02.02.008.00.00.00.2302021.039- 20</t>
  </si>
  <si>
    <t>Servicio de Investigación, Desarrollo e Innovación para la industria de las Tecnologías de la Información</t>
  </si>
  <si>
    <t>Modelos para el desarrollo de actividades I+D+i en la industria TIC nacional desarrollados</t>
  </si>
  <si>
    <t>Crear modelo que permita el desarrollo de Investigación, Desarrollo e Innovación (I+D+I)en la industria TIC en el Departamento del Quindío.</t>
  </si>
  <si>
    <t>Apoyo en el diseño e implementación de un modelo para el desarrollo de actividades i + d+ i en la industria TI del departamento del Quindío</t>
  </si>
  <si>
    <t>0324 - 2.3.2.02.02.008.00.00.00.2302068.039- 20</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</si>
  <si>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</si>
  <si>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</si>
  <si>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</si>
  <si>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</si>
  <si>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0324 - 2.3.2.02.02.008.00.00.00.2302039.039- 20</t>
  </si>
  <si>
    <t xml:space="preserve">Liderazgo, Gobernabilidad y Transparencia </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</si>
  <si>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</si>
  <si>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</si>
  <si>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</si>
  <si>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</si>
  <si>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</si>
  <si>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</si>
  <si>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0324 - 2.3.2.02.02.008.00.00.00.2302003.141- 20</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</si>
  <si>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</si>
  <si>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</si>
  <si>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</si>
  <si>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</si>
  <si>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0324 - 2.3.2.02.02.008.00.00.00.2302033.141- 20</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</si>
  <si>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</si>
  <si>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</si>
  <si>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</si>
  <si>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</si>
  <si>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0324 - 2.3.2.02.02.008.00.00.00.2302066.141- 20</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</si>
  <si>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</si>
  <si>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</si>
  <si>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</si>
  <si>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</si>
  <si>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 xml:space="preserve"> 0324 - 2.3.2.02.02.008.00.00.00.2302004.141- 20</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</si>
  <si>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</si>
  <si>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</si>
  <si>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</si>
  <si>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</si>
  <si>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0324 - 2.3.2.02.02.008.00.00.00.2302007.141- 20</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</si>
  <si>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</si>
  <si>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</si>
  <si>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0324 - 2.3.2.02.02.008.00.00.00.2302083.141- 20</t>
  </si>
  <si>
    <t>Productividad y Competitividad</t>
  </si>
  <si>
    <t>Ciencia, Tecnolgía e Innovación</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</si>
  <si>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</si>
  <si>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</si>
  <si>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</si>
  <si>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</si>
  <si>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</si>
  <si>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</si>
  <si>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</si>
  <si>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 xml:space="preserve"> 0324 - 2.3.2.02.02.008.00.00.00.3903005.140- 20 </t>
  </si>
  <si>
    <t>Start up generadas</t>
  </si>
  <si>
    <t>Apoyo técnico, profesional y/o institucional en la creación de estrategias para la implementacion de Start up</t>
  </si>
  <si>
    <t xml:space="preserve">0324 - 2.3.2.02.02.008.00.00.00.3903005.140- 20 </t>
  </si>
  <si>
    <t>Conocimiento tecnológico adquirido</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</si>
  <si>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</si>
  <si>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</si>
  <si>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</si>
  <si>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</si>
  <si>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</si>
  <si>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</si>
  <si>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</si>
  <si>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</si>
  <si>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0324 - 2.3.2.02.02.008.00.00.00.3904018.040 - 20</t>
  </si>
  <si>
    <t>Hector Fabio Hincapié Loaiza</t>
  </si>
  <si>
    <t xml:space="preserve">Secretario de Tecnologías de la Información </t>
  </si>
  <si>
    <t>PROGRAMACIÓN PLAN DE ACCIÓN 
SECRETARÍA  DE :      INDEPORTES QUINDIO                                   AÑO:  2024</t>
  </si>
  <si>
    <t>DEPORTE Y RECREACION</t>
  </si>
  <si>
    <t>4301</t>
  </si>
  <si>
    <t>Fomento a la recreación, la actividad física y el deporte para desarrollar entornos de convivencia y paz "Tú y yo en la recreación y en deporte"</t>
  </si>
  <si>
    <t>Servicio de Escuelas Deportivas</t>
  </si>
  <si>
    <t>Municipios con Escuelas Deportivas</t>
  </si>
  <si>
    <t>2020003630009</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</si>
  <si>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</si>
  <si>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</si>
  <si>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</si>
  <si>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</si>
  <si>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2.3.2.02.02.009.4301007.2020003630009.96511_13</t>
  </si>
  <si>
    <t>Servicios de promoción de eventos deportivos y recreativos</t>
  </si>
  <si>
    <t>_13</t>
  </si>
  <si>
    <t>30 % CIGARRILLO</t>
  </si>
  <si>
    <t>Gerente Indeportes Quindio</t>
  </si>
  <si>
    <t>Brindar apoyo y/o seguimiento  a los procesos de formación promoviendo y fortaleciendo hacia el deporte competitivo "escuelas deportivas" como herramienta de convivencia y paz en el departamento</t>
  </si>
  <si>
    <t>2.3.2.02.02.009.4301007.2020003630009.96511_27</t>
  </si>
  <si>
    <t>_27</t>
  </si>
  <si>
    <t xml:space="preserve">TASA </t>
  </si>
  <si>
    <t>2.3.2.02.02.009.4301007.2020003630009.96511_33</t>
  </si>
  <si>
    <t>_33</t>
  </si>
  <si>
    <t>MONOPOLIO</t>
  </si>
  <si>
    <t>2.3.2.02.02.009.4301007.2020003630009.96511_11</t>
  </si>
  <si>
    <t>_11</t>
  </si>
  <si>
    <t>IPOCONSUMO</t>
  </si>
  <si>
    <t>2.3.2.02.02.009.4301007.2020003630009.96511_2</t>
  </si>
  <si>
    <t>_2</t>
  </si>
  <si>
    <t xml:space="preserve">ICLD </t>
  </si>
  <si>
    <t>2.3.2.02.02.009.4301007.2020003630009.96511_37</t>
  </si>
  <si>
    <t>_37</t>
  </si>
  <si>
    <t xml:space="preserve">MINISTERIO </t>
  </si>
  <si>
    <t>2.3.2.02.02.008.4301007.2020003630009.83990_11</t>
  </si>
  <si>
    <t>Otros servicios profesionales, técnicos y empresariales n.c.p</t>
  </si>
  <si>
    <t>2.3.2.02.02.008.4301007.2020003630009.83990_2</t>
  </si>
  <si>
    <t>Dotación y/o implementación  al programa escuelas deportivas,  Generando una cultura deportiva en la comunidad mediante procesos formativos dirigidos a niños, niñas, adolescentes y jóvenes.</t>
  </si>
  <si>
    <t>2.3.2.02.01.002.4301007.2020003630009.2822807_37</t>
  </si>
  <si>
    <t>Prendas de vestir térmicas, especiales para práctica de camping, montañismo y similares</t>
  </si>
  <si>
    <t>2.3.2.02.01.003.4301007.2020003630009.3844098_33</t>
  </si>
  <si>
    <t>Elementos n.c.p. para juegos deportivos</t>
  </si>
  <si>
    <t>2.3.2.02.01.004.4301007.2020003630009.4299603_33</t>
  </si>
  <si>
    <t>Medallas y condecoraciones de metales comunes</t>
  </si>
  <si>
    <t>Servicio de promoción de la actividad física, la recreación y el deporte</t>
  </si>
  <si>
    <t>Municipios vinculados al programa Supérate-Intercolegiados</t>
  </si>
  <si>
    <t>Brindar apoyo y Acompañamiento al fomento y promoción del programa supérate -Intercolegiados en sus diferentes fases departamental y nacional.</t>
  </si>
  <si>
    <t>2.3.2.02.02.009.4301037.2020003630009.96511_27</t>
  </si>
  <si>
    <t>2.3.2.02.02.009.4301037.2020003630009.96511_33</t>
  </si>
  <si>
    <t>2.3.2.02.02.009.4301037.2020003630009.96511_2</t>
  </si>
  <si>
    <t>2.3.2.02.02.009.4301037.2020003630009.96511_37</t>
  </si>
  <si>
    <t>Adquisición de bienes y servicios  al programa supérate -Intercolegiados  con el fin generar espacios para el aprovechamiento adecuado del tiempo libre</t>
  </si>
  <si>
    <t>2.3.2.02.02.007.4301037.2020003630009.71359_33</t>
  </si>
  <si>
    <t>Otros servicios de seguros distintos de los seguros de vida n.c.p</t>
  </si>
  <si>
    <t>2.3.2.02.02.006.4301037.2020003630009.64250_33</t>
  </si>
  <si>
    <t>Servicios de transporte espacial de pasajeros</t>
  </si>
  <si>
    <t>2.3.2.02.02.006.4301037.2020003630009.63391_37</t>
  </si>
  <si>
    <t>Servicios de catering para eventos</t>
  </si>
  <si>
    <t>2.3.2.02.02.009.4301037.2020003630009.93199_33</t>
  </si>
  <si>
    <t>Otros servicios sanitarios n.c.p</t>
  </si>
  <si>
    <t>Dotación y/o implantación deportiva para promoción al programa supérate -Intercolegiados.</t>
  </si>
  <si>
    <t>2.3.2.02.01.002.4301037.2020003630009.2822807_33</t>
  </si>
  <si>
    <t>2.3.2.02.01.003.4301037.2020003630009.3844098_33</t>
  </si>
  <si>
    <t>Municipios implementando  programas de recreación, actividad física y deporte social comunitario</t>
  </si>
  <si>
    <t>Brindar apoyo y/o seguimiento a los programas de recreación, actividad física y deporte social comunitario</t>
  </si>
  <si>
    <t>2.3.2.02.02.009.4301037.2020003630009.96511_27.05</t>
  </si>
  <si>
    <t>2.3.2.02.02.009.4301037.2020003630009.96511_33.05</t>
  </si>
  <si>
    <t>2.3.2.02.02.009.4301037.2020003630009.96511_11.05</t>
  </si>
  <si>
    <t>2.3.2.02.02.009.4301037.2020003630009.96511_2.05</t>
  </si>
  <si>
    <t>2.3.2.02.02.009.4301037.2020003630009.96511_37.05</t>
  </si>
  <si>
    <t>2.3.2.02.02.008.4301037.2020003630009.83990_27.05</t>
  </si>
  <si>
    <t>2.3.2.02.02.008.4301037.2020003630009.83990_2.05</t>
  </si>
  <si>
    <t>2.3.2.02.02.008.4301037.2020003630009.82199_27.05</t>
  </si>
  <si>
    <t>Otros servicios jurídicos n.c.p</t>
  </si>
  <si>
    <t>2.3.2.02.02.008.4301037.2020003630009.82199_11.05</t>
  </si>
  <si>
    <t>Adquisición de bienes y servicios  a los programas de recreación, actividad física y deporte social comunitario</t>
  </si>
  <si>
    <t>2.3.2.02.02.007.4301037.2020003630009.71359_2.05</t>
  </si>
  <si>
    <t>2.3.2.02.02.006.4301037.2020003630009.64250_2.05</t>
  </si>
  <si>
    <t>2.3.2.02.02.006.4301037.2020003630009.63391_2.05</t>
  </si>
  <si>
    <t>2.3.2.02.02.009.4301037.2020003630009.93199_2.05</t>
  </si>
  <si>
    <t>2.3.2.02.01.003.4301037.2020003630009.32128_2.05</t>
  </si>
  <si>
    <t>Otros papeles y cartones sin revestir del tipo utilizado para escribir, imprimir u otros usos gráficos, para tarjetas y cintas para perforar, en rollos o en hojas cuadradas o rectangulares</t>
  </si>
  <si>
    <t>2.3.2.02.01.003.4301037.2020003630009.33361_2.05</t>
  </si>
  <si>
    <t xml:space="preserve">Gasóleos (diesel) </t>
  </si>
  <si>
    <t>2.3.2.02.01.003.4301037.2020003630009.3513001_2.05</t>
  </si>
  <si>
    <t>Tintas tipográficas para imprenta</t>
  </si>
  <si>
    <t>2.3.2.02.01.004.4301037.2020003630009.4299603_37.05</t>
  </si>
  <si>
    <t>2.3.2.02.01.004.4301037.2020003630009.4299603_97.05</t>
  </si>
  <si>
    <t>_97</t>
  </si>
  <si>
    <t>RENDIMIENTOS</t>
  </si>
  <si>
    <t>2.3.2.02.02.009.4301037.2020003630009.96590_27.05</t>
  </si>
  <si>
    <t>Otros servicios deportivos y recreativos</t>
  </si>
  <si>
    <t xml:space="preserve">Dotación y/o implementación para el Fomento a la recreación, la actividad física y el deporte. </t>
  </si>
  <si>
    <t>2.3.2.02.01.002.4301037.2020003630009.2822807_33.05</t>
  </si>
  <si>
    <t>2.3.2.02.01.003.4301037.2020003630009.3844098_33.05</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</si>
  <si>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</si>
  <si>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</si>
  <si>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</si>
  <si>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</si>
  <si>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Formulación, implementación y seguimiento a la política pública para el desarrollo y acceso al deporte, la recreación, la actividad física, la educación física y el uso adecuado del tiempo libre</t>
  </si>
  <si>
    <t>2.3.2.02.02.008.4301006.2020003630009.83990_33</t>
  </si>
  <si>
    <t>2.3.2.02.02.008.4301006.2020003630009.83990_11</t>
  </si>
  <si>
    <t>Formación y preparación de deportistas. "Tú y yo campeones"</t>
  </si>
  <si>
    <t>Servicio de asistencia técnica para la promoción del deporte</t>
  </si>
  <si>
    <t xml:space="preserve">Organismos deportivos asistidos </t>
  </si>
  <si>
    <t>2020003630010</t>
  </si>
  <si>
    <t>Fortalecimiento al deporte competitivo y de altos logros "TU Y    YO SOMOS salva VIDAS POR UN QUINDIO GANADOR" en el Departamento del Quindío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</si>
  <si>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</si>
  <si>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</si>
  <si>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</si>
  <si>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2.3.2.02.02.009.4302075.2020003630010.96511_27.01</t>
  </si>
  <si>
    <t>2.3.2.02.02.009.4302075.2020003630010.96511_33.01</t>
  </si>
  <si>
    <t>2.3.2.02.02.009.4302075.2020003630010.96511_2.01</t>
  </si>
  <si>
    <t>Suministro de suplementos ergogenicos y/o alimenticios  para los  deportistas elites y con proyeccion a altos losgros  con el fin de fortalecer y/o mejorar  su rendimiento  deportivo</t>
  </si>
  <si>
    <t>2.3.2.02.01.003.4302075.2020003630010.35270_27</t>
  </si>
  <si>
    <t>2.3.2.02.01.003.4302075.2020003630010.35270_2</t>
  </si>
  <si>
    <t>Brindar asistencia  técnica, administrativa, jurídica, biomédica,   y/o metodológica a los procesos deportivos y/o  ligas  del departamento del Quindío.</t>
  </si>
  <si>
    <t>2.3.2.02.02.009.4302075.2020003630010.96511_27.02</t>
  </si>
  <si>
    <t>2.3.2.02.02.009.4302075.2020003630010.96511_33.02</t>
  </si>
  <si>
    <t>2.3.2.02.02.009.4302075.2020003630010.96511_11</t>
  </si>
  <si>
    <t>2.3.2.02.02.009.4302075.2020003630010.96511_2.02</t>
  </si>
  <si>
    <t>Aunar esfuerzos administrativos, técnicos, financieros y/o logísticos, para el fomento y la masificación del deporte en el departamento del Quindío</t>
  </si>
  <si>
    <t>2.3.2.02.02.009.4302075.2020003630010.96511_33.03</t>
  </si>
  <si>
    <t>2.3.2.02.02.009.4302075.2020003630010.96511_2.03</t>
  </si>
  <si>
    <t>Adquisición de bienes y/o servicios para el fortalecimiento del deporte competitivo y de altos logros</t>
  </si>
  <si>
    <t>2.3.2.02.02.007.4302075.2020003630010.71359_27</t>
  </si>
  <si>
    <t>2.3.2.02.02.006.4302075.2020003630010.63391_27</t>
  </si>
  <si>
    <t>2.3.2.02.02.009.4302075.2020003630010.93199_27</t>
  </si>
  <si>
    <t>2.3.2.02.02.009.4302075.2020003630010.96511_27</t>
  </si>
  <si>
    <t>2.3.2.02.02.007.4302075.2020003630010.72112_27</t>
  </si>
  <si>
    <t>Servicios de alquiler o arrendamiento con o sin opción de compra, relativos a bienes inmuebles no residenciales (diferentes a vivienda), propios o arrendados</t>
  </si>
  <si>
    <t>2.3.2.02.01.004.4302075.2020003630010.4299603_27</t>
  </si>
  <si>
    <t>2.3.2.02.01.004.4302075.2020003630010.4299603_2</t>
  </si>
  <si>
    <t>2.3.2.02.01.002.4302075.2020003630010.2822807_27</t>
  </si>
  <si>
    <t>2.3.2.02.01.002.4302075.2020003630010.2822807_2</t>
  </si>
  <si>
    <t>2.3.2.02.01.002.4302075.2020003630010.2822807_97</t>
  </si>
  <si>
    <t>2.3.2.02.02.009.4302075.2020003630010.93195_27</t>
  </si>
  <si>
    <t>Servicios de laboratorio</t>
  </si>
  <si>
    <t>2.3.2.02.02.006.4302075.2020003630010.63111_27</t>
  </si>
  <si>
    <t>Servicios de alojamiento en hoteles</t>
  </si>
  <si>
    <t>2.3.2.02.02.009.4302075.2020003630010.96590_2</t>
  </si>
  <si>
    <t>PROGRAMACIÓN PLAN DE ACCIÓN 
UNIDAD EJECUTORA :  PROYECTA                                         AÑO:  2024</t>
  </si>
  <si>
    <t>PLAN DE DESARROLLO DEPARTAMENTAL:     TÚ Y YO SOMOS QUINDÍO</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</si>
  <si>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</si>
  <si>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</si>
  <si>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 xml:space="preserve">Infraestructura   deportiva y/o recreativa construida y/o mejorada y/o ampliada y/o mantenida y/o  reforzada </t>
  </si>
  <si>
    <t>202000363-0142</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</si>
  <si>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</si>
  <si>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</si>
  <si>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</si>
  <si>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</si>
  <si>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</si>
  <si>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Servicios generales de construcción de instalaciones al aire libre para deportes y esparcimiento - Servicio de mantenimiento a la infraestructura deportiva - Mantenimiento de obras complementarias de la infraestructura  deportiva y recreativa en el Depart</t>
  </si>
  <si>
    <t xml:space="preserve">ESTAMPILLA PRO DESARROLLO </t>
  </si>
  <si>
    <t>Gerente PROYECTA</t>
  </si>
  <si>
    <t>Realizar Infraestructuras  deportivas y/o recreativas.</t>
  </si>
  <si>
    <t>Apoyo para el fortalecimiento del componente y asistencia tecnica a nivel departamental.</t>
  </si>
  <si>
    <t>2.3.2.02.02.009.4301004.2020003630142.91119_3</t>
  </si>
  <si>
    <t>Otros servicios de la administración pública n.c.p. - Servicio de mantenimiento a la infraestructura deportiva - Mantenimiento de obras complementarias de la infraestructura  deportiva y recreativa en el Departamento del Quindío. - Servicios para la comun</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</si>
  <si>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</si>
  <si>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</si>
  <si>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de Instituciones Educativas construida mejorada ampliada mantenida y/o reforzada.</t>
  </si>
  <si>
    <t>202000363-0143</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</si>
  <si>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</si>
  <si>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</si>
  <si>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</si>
  <si>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</si>
  <si>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</si>
  <si>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Servicios generales de construcción de otros edificios no residenciales - Infraestructura educativa mantenida - Mantenimiento de obras complementarias en la Infraestructura educativa en el Departamento del Quindío - Servicios de la construcción   ESTAMPIL</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</si>
  <si>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</si>
  <si>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</si>
  <si>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</si>
  <si>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Otros servicios de la administración pública n.c.p. - Infraestructura educativa mantenida - Mantenimiento de obras complementarias en la Infraestructura educativa en el Departamento del Quindío - Servicios para la comunidad, sociales y personales   ESTAMP</t>
  </si>
  <si>
    <t>Infraestructura   vial  con procesos  de construcción mejoramiento ampliación mantenimiento y/o  reforzamiento.</t>
  </si>
  <si>
    <t xml:space="preserve">Infraestructura  vial    construida mejorada ampliada  mantenida y/o  reforzada </t>
  </si>
  <si>
    <t>202000363-0144</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</si>
  <si>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</si>
  <si>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</si>
  <si>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</si>
  <si>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</si>
  <si>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2.3.2.02.02.005.2402041.2020003630144.54111_4</t>
  </si>
  <si>
    <t>Servicios generales de construcción de edificaciones de una y dos viviendas - Vía terciaria mejorada - Mantenimiento de obras complementarias a la infraestructura vial en el Departamento del Quindío - Servicios de la construcción   IMPUESTO AL REGISTRO</t>
  </si>
  <si>
    <t xml:space="preserve">IMPUESTO AL REGISTRO </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</si>
  <si>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</si>
  <si>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</si>
  <si>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</si>
  <si>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Otros servicios de la administración pública n.c.p. - Vía terciaria mejorada - Mantenimiento de obras complementarias a la infraestructura vial en el Departamento del Quindío - Servicios para la comunidad, sociales y personales   IMPUESTO AL REGISTRO</t>
  </si>
  <si>
    <t xml:space="preserve">Servicio de asistencia técnica y jurídica en saneamiento y titulación de predios </t>
  </si>
  <si>
    <t>Entidades territoriales asistidas técnica y jurídicamente</t>
  </si>
  <si>
    <t>202000363-0145</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</si>
  <si>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</si>
  <si>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</si>
  <si>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</si>
  <si>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</si>
  <si>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Otros servicios de la administración pública n.c.p. - Servicio de asistencia técnica y jurídica en saneamiento y titulación de predios - Apoyo en la formulación y ejecución de proyectos de vivienda en el Departamento del Quindío   - Servicios para la comu</t>
  </si>
  <si>
    <t xml:space="preserve">Viviendas de Interés Prioritario urbanas mejoradas </t>
  </si>
  <si>
    <t>Viviendas de Interés Prioritario urbanas mejoradas</t>
  </si>
  <si>
    <t>2.3.2.02.02.005.4001018.2020003630145.54111_3</t>
  </si>
  <si>
    <t>Servicios generales de construcción de edificaciones de una y dos viviendas - Viviendas de Interés Prioritario urbanas mejoradas - Apoyo en la formulación y ejecución de proyectos de vivienda en el Departamento del Quindío   - Servicios de la construcción</t>
  </si>
  <si>
    <t>2.3.2.02.02.009.4001018.2020003630145.91119_3</t>
  </si>
  <si>
    <t xml:space="preserve">Otros servicios de la administración pública n.c.p. - Viviendas de Interés Prioritario urbanas mejoradas - Apoyo en la formulación y ejecución de proyectos de vivienda en el Departamento del Quindío   - Servicios para la comunidad, sociales y personales  </t>
  </si>
  <si>
    <t>Estudios de preinversión e inversión</t>
  </si>
  <si>
    <t>Realizar porgramacion de asistencias tecnicas a la entidades territoriales</t>
  </si>
  <si>
    <t>2.3.2.02.02.008.4001030.2020003630145.83411_4</t>
  </si>
  <si>
    <t>Servicios de consultoría en geología y geofísica - Estudios de pre inversión e inversión - Apoyo en la formulación y ejecución de proyectos de vivienda en el Departamento del Quindío   - Servicios prestados a las empresas y servicios de producción    IMPU</t>
  </si>
  <si>
    <t>2.3.2.02.02.005.4001015.2020003630145.54111_3</t>
  </si>
  <si>
    <t>Servicios generales de construcción de edificaciones de una y dos viviendas - Viviendas de Interés Social urbanas mejoradas - Apoyo en la formulación y ejecución de proyectos de vivienda en el Departamento del Quindío   - Servicios de la construcción   ES</t>
  </si>
  <si>
    <t>2.3.2.02.02.009.4001015.2020003630145.91119_3</t>
  </si>
  <si>
    <t>Otros servicios de la administración pública n.c.p. - Viviendas de Interés Social urbanas mejoradas - Apoyo en la formulación y ejecución de proyectos de vivienda en el Departamento del Quindío   - Servicios para la comunidad, sociales y personales   ESTA</t>
  </si>
  <si>
    <t>202200363-0006</t>
  </si>
  <si>
    <t>Mantenimiento de los edificios públicos y/o equipamientos colectivos y comunitarios en el Departamento del Quindío.</t>
  </si>
  <si>
    <t>Infraestructura institucional o edificios públicos construida,mejorada,ampliada,mantenida, y/o reforzada.</t>
  </si>
  <si>
    <t>2.3.2.02.02.005.4599016.2022000360006.54790_4</t>
  </si>
  <si>
    <t>Otros servicios de terminación y acabado de edificios - Sedes mantenidas - - Mantenimiento de los edificios públicos y/o equipamientos colectivos y comunitarios en el Departamento del Quindío - Servicios de la construcción   IMPUESTO AL REGISTRO</t>
  </si>
  <si>
    <t>Apoyo para el fortalecimiento  del componente y asistencia técnica a nivel departamental.</t>
  </si>
  <si>
    <t>2.3.2.02.02.009.4599016.2022000360006.91119_4</t>
  </si>
  <si>
    <t>Otros servicios de la administración pública n.c.p. - Sedes mantenidas - - Mantenimiento de los edificios públicos y/o equipamientos colectivos y comunitarios en el Departamento del Quindío - Servicios para la comunidad, sociales y personales   IMPUESTO A</t>
  </si>
  <si>
    <t>LUCAS JARAMILLO CADAVID</t>
  </si>
  <si>
    <t>Gerente General Proyecta</t>
  </si>
  <si>
    <t>PROGRAMACIÓN PLAN DE ACCIÓN 
UNIDAD EJECUTORA :  INSTITUTO DEPARTAMENTAL DE TRANSITO - IDTQ -                                        AÑO:   2024</t>
  </si>
  <si>
    <t>Territorio, Ambiente y Desarrollo Sostenible.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</si>
  <si>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</si>
  <si>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</si>
  <si>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</si>
  <si>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</si>
  <si>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</si>
  <si>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</si>
  <si>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</si>
  <si>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</si>
  <si>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2.3.5.02.09.2409009.91134_1</t>
  </si>
  <si>
    <t>Servicios de la administración pública relacionados con el transporte y las comunicaciones - Servicio de promoción y difusión para la seguridad de transporte - Servicios para la comunidad, sociales y personales</t>
  </si>
  <si>
    <t>Otros recursos (Propios de  IDTQ)</t>
  </si>
  <si>
    <t>Director, IDTQ</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</si>
  <si>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</si>
  <si>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</si>
  <si>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</si>
  <si>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cultura ciudadana implementadas</t>
  </si>
  <si>
    <t>Programa de formación cultural  de la seguridad en la vía implementado.</t>
  </si>
  <si>
    <t>2.3.5.02.09.2409022.91134_1</t>
  </si>
  <si>
    <t>Servicios de la administración pública relacionados con el transporte y las comunicaciones - Servicio de educación informal en seguridad vial - Servicios para la comunidad, sociales y personales</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</si>
  <si>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</si>
  <si>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</si>
  <si>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</si>
  <si>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Programa de control y atención del tránsito y el transporte implementado</t>
  </si>
  <si>
    <t>2.3.5.02.09.2409014.91134_1</t>
  </si>
  <si>
    <t>Servicios de la administración pública relacionados con el transporte y las comunicaciones - Documentos de planeación - Servicios para la comunidad, sociales y personales</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</si>
  <si>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</si>
  <si>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</si>
  <si>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</si>
  <si>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</si>
  <si>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Programa de Señalización y Demarcación en los municipios y vías de jurisdicción del IDTQ Implementado</t>
  </si>
  <si>
    <t>2.3.5.02.09.2409039.91134_1</t>
  </si>
  <si>
    <t xml:space="preserve">Servicios de la administración pública relacionados con el transporte y las comunicaciones - Vías con dispositivos de control y señalización - Servicios para la comunidad, sociales y personales </t>
  </si>
  <si>
    <t>Jairo Alonso Escandón Gonzalez</t>
  </si>
  <si>
    <t>Director  IDTQ</t>
  </si>
  <si>
    <t xml:space="preserve">SECRETARIA </t>
  </si>
  <si>
    <t>PRESUPUESTO  PLAN DE ACCIÓN/2024</t>
  </si>
  <si>
    <t>%</t>
  </si>
  <si>
    <t>No  PROYECTOS</t>
  </si>
  <si>
    <t>ADMINISTRATIVA</t>
  </si>
  <si>
    <t>HACIENDA</t>
  </si>
  <si>
    <t>PLANEACIÓN</t>
  </si>
  <si>
    <t>INFRAESTRUCTURA</t>
  </si>
  <si>
    <t>INTERIOR</t>
  </si>
  <si>
    <t>CULTURA</t>
  </si>
  <si>
    <t>AGRICULTURA</t>
  </si>
  <si>
    <t>TURISMO</t>
  </si>
  <si>
    <t>PRIVADA</t>
  </si>
  <si>
    <t>FAMILIA</t>
  </si>
  <si>
    <t>SALUD</t>
  </si>
  <si>
    <t>TIC</t>
  </si>
  <si>
    <t>TOTAL A.C.</t>
  </si>
  <si>
    <t>POAI:</t>
  </si>
  <si>
    <t>DIFERENCIA</t>
  </si>
  <si>
    <t>ENTIDADES DESCENTRALIZADAS</t>
  </si>
  <si>
    <t>I.D.T.Q</t>
  </si>
  <si>
    <t>INDEPORTES</t>
  </si>
  <si>
    <t>PROYECTA</t>
  </si>
  <si>
    <t>TOTAL E.D.</t>
  </si>
  <si>
    <t>TOTALES:</t>
  </si>
  <si>
    <t>TOTAL POAI:</t>
  </si>
  <si>
    <t xml:space="preserve">Liderazgo, Gobernabilidad y Transparencia.   </t>
  </si>
  <si>
    <t>Productuvidad y Competitividad</t>
  </si>
  <si>
    <t>Liderazgo Gobernabililidad y Transparencia</t>
  </si>
  <si>
    <t xml:space="preserve">Territorio Ambiente y  Desarrollo Sostenible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</si>
</sst>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6" formatCode="&quot;$&quot;\ #,##0;[Red]\-&quot;$&quot;\ #,##0"/>
    <numFmt numFmtId="8" formatCode="&quot;$&quot;\ #,##0.00;[Red]\-&quot;$&quot;\ #,##0.00"/>
    <numFmt numFmtId="44" formatCode="_-&quot;$&quot;\ * #,##0.00_-;\-&quot;$&quot;\ * #,##0.00_-;_-&quot;$&quot;\ * &quot;-&quot;??_-;_-@_-"/>
    <numFmt numFmtId="43" formatCode="_-* #,##0.00_-;\-* #,##0.00_-;_-* &quot;-&quot;??_-;_-@_-"/>
    <numFmt numFmtId="164" formatCode="_(* #,##0_);_(* \(#,##0\);_(* &quot;-&quot;_);_(@_)"/>
    <numFmt numFmtId="165" formatCode="_(* #,##0.00_);_(* \(#,##0.00\);_(* &quot;-&quot;??_);_(@_)"/>
    <numFmt numFmtId="166" formatCode="0.0"/>
    <numFmt numFmtId="167" formatCode="&quot;$&quot;\ #,##0"/>
    <numFmt numFmtId="168" formatCode="_-&quot;$&quot;\ * #,##0.00_-;\-&quot;$&quot;\ * #,##0.00_-;_-&quot;$&quot;\ * &quot;-&quot;??_-;_-@"/>
    <numFmt numFmtId="169" formatCode="_(* #,##0_);_(* \(#,##0\);_(* &quot;-&quot;??_);_(@_)"/>
    <numFmt numFmtId="170" formatCode="_([$$-240A]\ * #,##0.00_);_([$$-240A]\ * \(#,##0.00\);_([$$-240A]\ * &quot;-&quot;??_);_(@_)"/>
    <numFmt numFmtId="171" formatCode="_-&quot;$&quot;* #,##0_-;\-&quot;$&quot;* #,##0_-;_-&quot;$&quot;* &quot;-&quot;_-;_-@_-"/>
    <numFmt numFmtId="172" formatCode="_(&quot;$&quot;\ * #,##0.00_);_(&quot;$&quot;\ * \(#,##0.00\);_(&quot;$&quot;\ * &quot;-&quot;??_);_(@_)"/>
    <numFmt numFmtId="173" formatCode="&quot; &quot;[$$-240A]&quot; &quot;#,##0.00&quot; &quot;;&quot; &quot;[$$-240A]&quot; (&quot;#,##0.00&quot;)&quot;;&quot; &quot;[$$-240A]&quot; -&quot;00&quot; &quot;;&quot; &quot;@&quot; &quot;"/>
    <numFmt numFmtId="174" formatCode="_-&quot;$&quot;\ * #,##0.00_-;\-&quot;$&quot;\ * #,##0.00_-;_-&quot;$&quot;\ * &quot;-&quot;_-;_-@_-"/>
    <numFmt numFmtId="175" formatCode="_-&quot;$&quot;* #,##0.00_-;\-&quot;$&quot;* #,##0.00_-;_-&quot;$&quot;* &quot;-&quot;_-;_-@_-"/>
    <numFmt numFmtId="176" formatCode="&quot;$&quot;\ #,##0.00"/>
    <numFmt numFmtId="177" formatCode="_-[$$-240A]\ * #,##0.00_-;\-[$$-240A]\ * #,##0.00_-;_-[$$-240A]\ * &quot;-&quot;??_-;_-@_-"/>
    <numFmt numFmtId="178" formatCode="_-&quot;$&quot;* #,##0.00_-;\-&quot;$&quot;* #,##0.00_-;_-&quot;$&quot;* &quot;-&quot;??_-;_-@_-"/>
    <numFmt numFmtId="179" formatCode="&quot;$&quot;#,##0"/>
    <numFmt numFmtId="180" formatCode="_-* #,##0_-;\-* #,##0_-;_-* &quot;-&quot;??_-;_-@_-"/>
    <numFmt numFmtId="181" formatCode="_-[$$-409]* #,##0.00_ ;_-[$$-409]* \-#,##0.00\ ;_-[$$-409]* &quot;-&quot;??_ ;_-@_ "/>
    <numFmt numFmtId="182" formatCode="dd/mm/yyyy;@"/>
    <numFmt numFmtId="183" formatCode="&quot;$&quot;#,##0.00"/>
    <numFmt numFmtId="184" formatCode="#,##0.00;[Red]#,##0.00"/>
    <numFmt numFmtId="185" formatCode="_(&quot;$&quot;\ * #,##0_);_(&quot;$&quot;\ * \(#,##0\);_(&quot;$&quot;\ * &quot;-&quot;??_);_(@_)"/>
    <numFmt numFmtId="186" formatCode="_-* #,##0.0_-;\-* #,##0.0_-;_-* &quot;-&quot;??_-;_-@_-"/>
    <numFmt numFmtId="187" formatCode="_-&quot;$&quot;\ * #,##0_-;\-&quot;$&quot;\ * #,##0_-;_-&quot;$&quot;\ * &quot;-&quot;??_-;_-@_-"/>
    <numFmt numFmtId="188" formatCode="d/mm/yyyy;@"/>
    <numFmt numFmtId="189" formatCode="_-&quot;$&quot;\ * #,##0.00_-;\-&quot;$&quot;\ * #,##0.00_-;_-&quot;$&quot;\ * &quot;-&quot;_-;_-@"/>
    <numFmt numFmtId="190" formatCode="_-[$$-409]* #,##0.000_ ;_-[$$-409]* \-#,##0.000\ ;_-[$$-409]* &quot;-&quot;??_ ;_-@_ "/>
    <numFmt numFmtId="191" formatCode="_-[$$-409]* #,##0.000_ ;_-[$$-409]* \-#,##0.000\ ;_-[$$-409]* &quot;-&quot;???_ ;_-@_ "/>
  </numFmts>
  <fonts count="41"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Arial"/>
      <family val="2"/>
    </font>
    <font>
      <sz val="10"/>
      <color theme="1"/>
      <name val="Arial"/>
      <family val="2"/>
    </font>
    <font>
      <b/>
      <sz val="10"/>
      <color rgb="FF000000"/>
      <name val="Arial"/>
      <family val="2"/>
    </font>
    <font>
      <sz val="11"/>
      <color theme="1"/>
      <name val="Arial"/>
      <family val="2"/>
    </font>
    <font>
      <b/>
      <sz val="11"/>
      <color theme="1"/>
      <name val="Arial"/>
      <family val="2"/>
    </font>
    <font>
      <sz val="10"/>
      <color rgb="FF000000"/>
      <name val="Arial"/>
      <family val="2"/>
    </font>
    <font>
      <sz val="11"/>
      <color rgb="FF000000"/>
      <name val="Arial"/>
      <family val="2"/>
    </font>
    <font>
      <sz val="11"/>
      <color rgb="FFFF0000"/>
      <name val="Arial"/>
      <family val="2"/>
    </font>
    <font>
      <sz val="12"/>
      <color theme="1"/>
      <name val="Arial"/>
      <family val="2"/>
    </font>
    <font>
      <b/>
      <sz val="11"/>
      <color rgb="FF6F6F6E"/>
      <name val="Calibri"/>
      <family val="2"/>
      <scheme val="minor"/>
    </font>
    <font>
      <sz val="11"/>
      <color rgb="FF000000"/>
      <name val="Calibri"/>
      <family val="2"/>
    </font>
    <font>
      <sz val="10"/>
      <name val="Arial"/>
      <family val="2"/>
    </font>
    <font>
      <b/>
      <sz val="10"/>
      <name val="Arial"/>
      <family val="2"/>
    </font>
    <font>
      <sz val="10"/>
      <color rgb="FFFF0000"/>
      <name val="Arial"/>
      <family val="2"/>
    </font>
    <font>
      <sz val="8"/>
      <color theme="1"/>
      <name val="Arial"/>
      <family val="2"/>
    </font>
    <font>
      <b/>
      <sz val="10"/>
      <color theme="1"/>
      <name val="Calibri"/>
      <family val="2"/>
      <scheme val="minor"/>
    </font>
    <font>
      <sz val="10"/>
      <color theme="1"/>
      <name val="Calibri"/>
      <family val="2"/>
      <scheme val="minor"/>
    </font>
    <font>
      <b/>
      <sz val="10"/>
      <color rgb="FF000000"/>
      <name val="Calibri"/>
      <family val="2"/>
      <scheme val="minor"/>
    </font>
    <font>
      <sz val="10"/>
      <color rgb="FF000000"/>
      <name val="Calibri"/>
      <family val="2"/>
      <scheme val="minor"/>
    </font>
    <font>
      <b/>
      <sz val="12"/>
      <color theme="1"/>
      <name val="Calibri"/>
      <family val="2"/>
      <scheme val="minor"/>
    </font>
    <font>
      <sz val="9"/>
      <name val="Calibri"/>
      <family val="2"/>
      <scheme val="minor"/>
    </font>
    <font>
      <b/>
      <sz val="8"/>
      <color rgb="FF000000"/>
      <name val="Arial Narrow"/>
      <family val="2"/>
    </font>
    <font>
      <b/>
      <sz val="8"/>
      <color theme="1"/>
      <name val="Arial Narrow"/>
      <family val="2"/>
    </font>
    <font>
      <sz val="8"/>
      <color theme="1"/>
      <name val="Arial Narrow"/>
      <family val="2"/>
    </font>
    <font>
      <sz val="8"/>
      <color rgb="FF000000"/>
      <name val="Arial Narrow"/>
      <family val="2"/>
    </font>
    <font>
      <sz val="8"/>
      <name val="Arial Narrow"/>
      <family val="2"/>
    </font>
    <font>
      <sz val="10"/>
      <color rgb="FF212529"/>
      <name val="Arial"/>
      <family val="2"/>
    </font>
    <font>
      <b/>
      <sz val="10"/>
      <color rgb="FF222222"/>
      <name val="Arial"/>
      <family val="2"/>
    </font>
    <font>
      <sz val="10"/>
      <color theme="1"/>
      <name val="Arial Narrow"/>
      <family val="2"/>
    </font>
    <font>
      <sz val="10"/>
      <color indexed="8"/>
      <name val="Arial"/>
      <family val="2"/>
    </font>
    <font>
      <b/>
      <sz val="10"/>
      <color rgb="FF000000"/>
      <name val="Arial"/>
      <family val="2"/>
    </font>
    <font>
      <sz val="10"/>
      <name val="Arial"/>
      <family val="2"/>
    </font>
    <font>
      <sz val="10"/>
      <color theme="1"/>
      <name val="Arial"/>
      <family val="2"/>
    </font>
    <font>
      <sz val="11"/>
      <color rgb="FF242424"/>
      <name val="Consolas"/>
      <family val="3"/>
    </font>
    <font>
      <sz val="10"/>
      <color theme="1" tint="4.9989318521683403E-2"/>
      <name val="Arial"/>
      <family val="2"/>
    </font>
    <font>
      <sz val="9"/>
      <color indexed="81"/>
      <name val="Tahoma"/>
      <family val="2"/>
    </font>
    <font>
      <b/>
      <sz val="9"/>
      <color indexed="81"/>
      <name val="Tahoma"/>
      <family val="2"/>
    </font>
    <font>
      <sz val="9"/>
      <name val="Arial"/>
      <family val="2"/>
    </font>
  </fonts>
  <fills count="29">
    <fill>
      <patternFill patternType="none"/>
    </fill>
    <fill>
      <patternFill patternType="gray125"/>
    </fill>
    <fill>
      <patternFill patternType="solid">
        <fgColor theme="0"/>
        <bgColor theme="0"/>
      </patternFill>
    </fill>
    <fill>
      <patternFill patternType="solid">
        <fgColor rgb="FFB4C6E7"/>
        <bgColor rgb="FFB4C6E7"/>
      </patternFill>
    </fill>
    <fill>
      <patternFill patternType="solid">
        <fgColor theme="8" tint="0.59999389629810485"/>
        <bgColor indexed="64"/>
      </patternFill>
    </fill>
    <fill>
      <patternFill patternType="solid">
        <fgColor theme="3" tint="0.39997558519241921"/>
        <bgColor indexed="64"/>
      </patternFill>
    </fill>
    <fill>
      <patternFill patternType="solid">
        <fgColor rgb="FFDADADA"/>
        <bgColor rgb="FFDADADA"/>
      </patternFill>
    </fill>
    <fill>
      <patternFill patternType="solid">
        <fgColor theme="8" tint="0.39997558519241921"/>
        <bgColor indexed="64"/>
      </patternFill>
    </fill>
    <fill>
      <patternFill patternType="solid">
        <fgColor rgb="FFECECEC"/>
        <bgColor indexed="64"/>
      </patternFill>
    </fill>
    <fill>
      <patternFill patternType="solid">
        <fgColor theme="0"/>
        <bgColor indexed="64"/>
      </patternFill>
    </fill>
    <fill>
      <patternFill patternType="solid">
        <fgColor theme="8" tint="0.39997558519241921"/>
        <bgColor rgb="FFB4C6E7"/>
      </patternFill>
    </fill>
    <fill>
      <patternFill patternType="solid">
        <fgColor rgb="FFFFFFFF"/>
        <bgColor rgb="FF000000"/>
      </patternFill>
    </fill>
    <fill>
      <patternFill patternType="solid">
        <fgColor theme="0"/>
        <bgColor rgb="FF000000"/>
      </patternFill>
    </fill>
    <fill>
      <patternFill patternType="solid">
        <fgColor theme="0"/>
        <bgColor rgb="FFFFFFFF"/>
      </patternFill>
    </fill>
    <fill>
      <patternFill patternType="solid">
        <fgColor rgb="FFBDD7EE"/>
        <bgColor rgb="FFBDD7EE"/>
      </patternFill>
    </fill>
    <fill>
      <patternFill patternType="solid">
        <fgColor theme="0" tint="-0.14999847407452621"/>
        <bgColor rgb="FFDADADA"/>
      </patternFill>
    </fill>
    <fill>
      <patternFill patternType="solid">
        <fgColor theme="0"/>
        <bgColor rgb="FFDADADA"/>
      </patternFill>
    </fill>
    <fill>
      <patternFill patternType="solid">
        <fgColor theme="0"/>
        <bgColor rgb="FFB4C6E7"/>
      </patternFill>
    </fill>
    <fill>
      <patternFill patternType="solid">
        <fgColor theme="4" tint="0.39997558519241921"/>
        <bgColor indexed="64"/>
      </patternFill>
    </fill>
    <fill>
      <patternFill patternType="solid">
        <fgColor theme="6" tint="0.59999389629810485"/>
        <bgColor indexed="64"/>
      </patternFill>
    </fill>
    <fill>
      <patternFill patternType="solid">
        <fgColor rgb="FFFFFFFF"/>
        <bgColor rgb="FFFFFFFF"/>
      </patternFill>
    </fill>
    <fill>
      <patternFill patternType="solid">
        <fgColor rgb="FFF4B084"/>
        <bgColor rgb="FFDADADA"/>
      </patternFill>
    </fill>
    <fill>
      <patternFill patternType="solid">
        <fgColor theme="5" tint="0.39997558519241921"/>
        <bgColor indexed="64"/>
      </patternFill>
    </fill>
    <fill>
      <patternFill patternType="solid">
        <fgColor rgb="FFFFFF00"/>
        <bgColor indexed="64"/>
      </patternFill>
    </fill>
    <fill>
      <patternFill patternType="solid">
        <fgColor theme="5" tint="-0.249977111117893"/>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7"/>
        <bgColor indexed="64"/>
      </patternFill>
    </fill>
    <fill>
      <patternFill patternType="solid">
        <fgColor theme="2" tint="-9.9978637043366805E-2"/>
        <bgColor rgb="FFDADADA"/>
      </patternFill>
    </fill>
  </fills>
  <borders count="58">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522B57"/>
      </left>
      <right style="thin">
        <color rgb="FF522B57"/>
      </right>
      <top style="thin">
        <color rgb="FF522B57"/>
      </top>
      <bottom style="thin">
        <color rgb="FF522B57"/>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style="thin">
        <color rgb="FF000000"/>
      </top>
      <bottom style="thin">
        <color rgb="FF000000"/>
      </bottom>
      <diagonal/>
    </border>
    <border>
      <left style="thin">
        <color auto="1"/>
      </left>
      <right style="thin">
        <color indexed="64"/>
      </right>
      <top style="thin">
        <color rgb="FF000000"/>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bottom/>
      <diagonal/>
    </border>
    <border>
      <left style="thin">
        <color rgb="FF000000"/>
      </left>
      <right/>
      <top style="thin">
        <color rgb="FF000000"/>
      </top>
      <bottom/>
      <diagonal/>
    </border>
    <border>
      <left style="thin">
        <color rgb="FF000000"/>
      </left>
      <right style="thin">
        <color indexed="64"/>
      </right>
      <top/>
      <bottom style="thin">
        <color rgb="FF000000"/>
      </bottom>
      <diagonal/>
    </border>
    <border>
      <left style="thin">
        <color indexed="64"/>
      </left>
      <right style="thin">
        <color indexed="64"/>
      </right>
      <top/>
      <bottom style="thin">
        <color rgb="FF000000"/>
      </bottom>
      <diagonal/>
    </border>
    <border>
      <left/>
      <right style="thin">
        <color rgb="FF000000"/>
      </right>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rgb="FF000000"/>
      </bottom>
      <diagonal/>
    </border>
    <border>
      <left style="thin">
        <color auto="1"/>
      </left>
      <right style="thin">
        <color auto="1"/>
      </right>
      <top style="thin">
        <color auto="1"/>
      </top>
      <bottom style="thin">
        <color rgb="FF000000"/>
      </bottom>
      <diagonal/>
    </border>
  </borders>
  <cellStyleXfs count="38">
    <xf numFmtId="0" fontId="0" fillId="0" borderId="0"/>
    <xf numFmtId="165" fontId="1" fillId="0" borderId="0" applyFont="0" applyFill="0" applyBorder="0" applyAlignment="0" applyProtection="0"/>
    <xf numFmtId="9" fontId="1" fillId="0" borderId="0" applyFont="0" applyFill="0" applyBorder="0" applyAlignment="0" applyProtection="0"/>
    <xf numFmtId="0" fontId="6" fillId="0" borderId="0"/>
    <xf numFmtId="0" fontId="1" fillId="0" borderId="0"/>
    <xf numFmtId="170" fontId="12" fillId="8" borderId="22">
      <alignment horizontal="center" vertical="center" wrapText="1"/>
    </xf>
    <xf numFmtId="171" fontId="1" fillId="0" borderId="0" applyFont="0" applyFill="0" applyBorder="0" applyAlignment="0" applyProtection="0"/>
    <xf numFmtId="172" fontId="1" fillId="0" borderId="0" applyFont="0" applyFill="0" applyBorder="0" applyAlignment="0" applyProtection="0"/>
    <xf numFmtId="0" fontId="1" fillId="0" borderId="0"/>
    <xf numFmtId="173" fontId="13" fillId="0" borderId="0"/>
    <xf numFmtId="173" fontId="13" fillId="0" borderId="0"/>
    <xf numFmtId="0" fontId="12" fillId="8" borderId="22">
      <alignment horizontal="center" vertical="center" wrapText="1"/>
    </xf>
    <xf numFmtId="165" fontId="1" fillId="0" borderId="0" applyFont="0" applyFill="0" applyBorder="0" applyAlignment="0" applyProtection="0"/>
    <xf numFmtId="0" fontId="6" fillId="0" borderId="0"/>
    <xf numFmtId="165" fontId="6" fillId="0" borderId="0" applyFont="0" applyFill="0" applyBorder="0" applyAlignment="0" applyProtection="0"/>
    <xf numFmtId="44" fontId="1" fillId="0" borderId="0" applyFont="0" applyFill="0" applyBorder="0" applyAlignment="0" applyProtection="0"/>
    <xf numFmtId="0" fontId="1" fillId="0" borderId="0"/>
    <xf numFmtId="44" fontId="14" fillId="0" borderId="0" applyFont="0" applyFill="0" applyBorder="0" applyAlignment="0" applyProtection="0"/>
    <xf numFmtId="0" fontId="6" fillId="0" borderId="0"/>
    <xf numFmtId="0" fontId="14" fillId="0" borderId="0"/>
    <xf numFmtId="0" fontId="1" fillId="0" borderId="0"/>
    <xf numFmtId="44" fontId="1" fillId="0" borderId="0" applyFont="0" applyFill="0" applyBorder="0" applyAlignment="0" applyProtection="0"/>
    <xf numFmtId="170" fontId="1" fillId="0" borderId="0"/>
    <xf numFmtId="0" fontId="9" fillId="0" borderId="0">
      <protection locked="0"/>
    </xf>
    <xf numFmtId="178" fontId="1" fillId="0" borderId="0" applyFont="0" applyFill="0" applyBorder="0" applyAlignment="0" applyProtection="0"/>
    <xf numFmtId="0" fontId="9" fillId="0" borderId="0">
      <protection locked="0"/>
    </xf>
    <xf numFmtId="0" fontId="6" fillId="0" borderId="0"/>
    <xf numFmtId="173" fontId="1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9"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 fillId="0" borderId="0" applyFont="0" applyFill="0" applyBorder="0" applyAlignment="0" applyProtection="0"/>
  </cellStyleXfs>
  <cellXfs count="1293">
    <xf numFmtId="0" fontId="0" fillId="0" borderId="0" xfId="0"/>
    <xf numFmtId="0" fontId="0" fillId="0" borderId="0" xfId="0" applyAlignment="1">
      <alignment horizontal="center" vertical="center"/>
    </xf>
    <xf numFmtId="0" fontId="3" fillId="0" borderId="5" xfId="0" applyFont="1" applyBorder="1" applyAlignment="1" applyProtection="1">
      <alignment horizontal="center" vertical="center"/>
      <protection locked="0"/>
    </xf>
    <xf numFmtId="0" fontId="4" fillId="2" borderId="0" xfId="0" applyFont="1" applyFill="1" applyAlignment="1" applyProtection="1">
      <alignment horizontal="center" vertical="center"/>
      <protection locked="0"/>
    </xf>
    <xf numFmtId="0" fontId="4" fillId="0" borderId="0" xfId="0" applyFont="1" applyAlignment="1" applyProtection="1">
      <alignment horizontal="center" vertical="center"/>
      <protection locked="0"/>
    </xf>
    <xf numFmtId="0" fontId="5" fillId="0" borderId="5" xfId="0" applyFont="1" applyBorder="1" applyAlignment="1">
      <alignment horizontal="center" vertical="center"/>
    </xf>
    <xf numFmtId="14" fontId="5" fillId="0" borderId="5" xfId="0" applyNumberFormat="1" applyFont="1" applyBorder="1" applyAlignment="1">
      <alignment horizontal="center" vertical="center" wrapText="1"/>
    </xf>
    <xf numFmtId="3" fontId="5" fillId="0" borderId="5" xfId="0" applyNumberFormat="1" applyFont="1" applyBorder="1" applyAlignment="1" applyProtection="1">
      <alignment horizontal="center" vertical="center" wrapText="1"/>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0" fillId="5" borderId="11" xfId="0" applyFill="1" applyBorder="1" applyAlignment="1">
      <alignment horizontal="center" vertical="center"/>
    </xf>
    <xf numFmtId="0" fontId="0" fillId="5" borderId="12" xfId="0" applyFill="1" applyBorder="1" applyAlignment="1">
      <alignment horizontal="center" vertical="center"/>
    </xf>
    <xf numFmtId="0" fontId="4" fillId="2" borderId="0" xfId="3" applyFont="1" applyFill="1" applyAlignment="1">
      <alignment horizontal="center" vertical="center"/>
    </xf>
    <xf numFmtId="0" fontId="4" fillId="0" borderId="0" xfId="3" applyFont="1" applyAlignment="1">
      <alignment horizontal="center" vertical="center"/>
    </xf>
    <xf numFmtId="1" fontId="5" fillId="6" borderId="5" xfId="3" applyNumberFormat="1" applyFont="1" applyFill="1" applyBorder="1" applyAlignment="1">
      <alignment horizontal="center" vertical="center" wrapText="1"/>
    </xf>
    <xf numFmtId="0" fontId="5" fillId="6" borderId="5" xfId="3" applyFont="1" applyFill="1" applyBorder="1" applyAlignment="1">
      <alignment horizontal="center" vertical="center" wrapText="1"/>
    </xf>
    <xf numFmtId="0" fontId="3" fillId="6" borderId="5" xfId="3" applyFont="1" applyFill="1" applyBorder="1" applyAlignment="1" applyProtection="1">
      <alignment horizontal="center" vertical="center" wrapText="1"/>
      <protection locked="0"/>
    </xf>
    <xf numFmtId="166" fontId="5" fillId="6" borderId="5" xfId="3" applyNumberFormat="1" applyFont="1" applyFill="1" applyBorder="1" applyAlignment="1">
      <alignment horizontal="center" vertical="center" wrapText="1"/>
    </xf>
    <xf numFmtId="167" fontId="5" fillId="6" borderId="5" xfId="3" applyNumberFormat="1" applyFont="1" applyFill="1" applyBorder="1" applyAlignment="1">
      <alignment horizontal="center" vertical="center" wrapText="1"/>
    </xf>
    <xf numFmtId="0" fontId="5" fillId="6" borderId="5" xfId="3" applyFont="1" applyFill="1" applyBorder="1" applyAlignment="1">
      <alignment horizontal="center" vertical="center" textRotation="90" wrapText="1"/>
    </xf>
    <xf numFmtId="49" fontId="5" fillId="6" borderId="5" xfId="3" applyNumberFormat="1" applyFont="1" applyFill="1" applyBorder="1" applyAlignment="1">
      <alignment horizontal="center" vertical="center" textRotation="90" wrapText="1"/>
    </xf>
    <xf numFmtId="0" fontId="8" fillId="0" borderId="16" xfId="0" applyFont="1" applyBorder="1" applyAlignment="1">
      <alignment horizontal="center" vertical="center" wrapText="1"/>
    </xf>
    <xf numFmtId="1" fontId="8" fillId="0" borderId="16" xfId="0" applyNumberFormat="1" applyFont="1" applyBorder="1" applyAlignment="1">
      <alignment horizontal="center" vertical="center" wrapText="1"/>
    </xf>
    <xf numFmtId="9" fontId="8" fillId="0" borderId="16" xfId="0" applyNumberFormat="1" applyFont="1" applyBorder="1" applyAlignment="1">
      <alignment horizontal="center" vertical="center" wrapText="1"/>
    </xf>
    <xf numFmtId="168" fontId="8" fillId="0" borderId="16" xfId="0" applyNumberFormat="1" applyFont="1" applyBorder="1" applyAlignment="1">
      <alignment horizontal="center" vertical="center" wrapText="1"/>
    </xf>
    <xf numFmtId="0" fontId="8" fillId="0" borderId="16" xfId="0" applyFont="1" applyBorder="1" applyAlignment="1">
      <alignment vertical="center" wrapText="1"/>
    </xf>
    <xf numFmtId="0" fontId="8" fillId="0" borderId="5" xfId="0" applyFont="1" applyBorder="1" applyAlignment="1">
      <alignment horizontal="center" vertical="center" wrapText="1"/>
    </xf>
    <xf numFmtId="3" fontId="8" fillId="0" borderId="16" xfId="0" applyNumberFormat="1" applyFont="1" applyBorder="1" applyAlignment="1">
      <alignment horizontal="center" vertical="center" wrapText="1"/>
    </xf>
    <xf numFmtId="169" fontId="8" fillId="0" borderId="16" xfId="1" applyNumberFormat="1" applyFont="1" applyFill="1" applyBorder="1" applyAlignment="1" applyProtection="1">
      <alignment horizontal="center" vertical="center" wrapText="1"/>
    </xf>
    <xf numFmtId="14" fontId="8" fillId="0" borderId="16" xfId="0" applyNumberFormat="1" applyFont="1" applyBorder="1" applyAlignment="1">
      <alignment horizontal="center" vertical="center" wrapText="1"/>
    </xf>
    <xf numFmtId="0" fontId="8" fillId="0" borderId="17" xfId="0" applyFont="1" applyBorder="1" applyAlignment="1">
      <alignment horizontal="center" vertical="center" wrapText="1"/>
    </xf>
    <xf numFmtId="1" fontId="9" fillId="0" borderId="5" xfId="0" applyNumberFormat="1" applyFont="1" applyBorder="1" applyAlignment="1">
      <alignment horizontal="center" vertical="center" wrapText="1"/>
    </xf>
    <xf numFmtId="0" fontId="8" fillId="0" borderId="5" xfId="0" applyFont="1" applyBorder="1" applyAlignment="1">
      <alignment horizontal="justify" vertical="center" wrapText="1"/>
    </xf>
    <xf numFmtId="0" fontId="8" fillId="0" borderId="17" xfId="0" applyFont="1" applyBorder="1" applyAlignment="1">
      <alignment vertical="center" wrapText="1"/>
    </xf>
    <xf numFmtId="0" fontId="8" fillId="0" borderId="17" xfId="0" applyFont="1" applyBorder="1" applyAlignment="1">
      <alignment horizontal="center" vertical="center"/>
    </xf>
    <xf numFmtId="0" fontId="8" fillId="0" borderId="16" xfId="0" applyFont="1" applyBorder="1" applyAlignment="1">
      <alignment horizontal="center" vertical="center"/>
    </xf>
    <xf numFmtId="168" fontId="8" fillId="0" borderId="16" xfId="0" applyNumberFormat="1" applyFont="1" applyBorder="1" applyAlignment="1">
      <alignment horizontal="center" vertical="center"/>
    </xf>
    <xf numFmtId="0" fontId="0" fillId="7" borderId="18" xfId="0" applyFill="1" applyBorder="1" applyAlignment="1">
      <alignment horizontal="center" vertical="center"/>
    </xf>
    <xf numFmtId="0" fontId="0" fillId="7" borderId="19" xfId="0" applyFill="1" applyBorder="1" applyAlignment="1">
      <alignment horizontal="center" vertical="center"/>
    </xf>
    <xf numFmtId="0" fontId="0" fillId="7" borderId="21" xfId="0" applyFill="1" applyBorder="1" applyAlignment="1">
      <alignment horizontal="center" vertical="center"/>
    </xf>
    <xf numFmtId="0" fontId="6" fillId="0" borderId="0" xfId="0" applyFont="1" applyAlignment="1">
      <alignment horizontal="center" vertical="center"/>
    </xf>
    <xf numFmtId="0" fontId="10" fillId="0" borderId="0" xfId="0" applyFont="1" applyAlignment="1">
      <alignment horizontal="center" vertical="center"/>
    </xf>
    <xf numFmtId="0" fontId="6" fillId="0" borderId="0" xfId="0" applyFont="1"/>
    <xf numFmtId="0" fontId="4" fillId="0" borderId="0" xfId="0" applyFont="1" applyProtection="1">
      <protection locked="0"/>
    </xf>
    <xf numFmtId="0" fontId="4" fillId="0" borderId="0" xfId="3" applyFont="1"/>
    <xf numFmtId="0" fontId="4" fillId="0" borderId="0" xfId="3" applyFont="1" applyAlignment="1">
      <alignment horizontal="center"/>
    </xf>
    <xf numFmtId="0" fontId="10" fillId="0" borderId="0" xfId="0" applyFont="1"/>
    <xf numFmtId="0" fontId="5" fillId="0" borderId="5" xfId="0" applyFont="1" applyBorder="1" applyAlignment="1">
      <alignment horizontal="center"/>
    </xf>
    <xf numFmtId="14" fontId="5" fillId="0" borderId="5" xfId="0" applyNumberFormat="1" applyFont="1" applyBorder="1" applyAlignment="1">
      <alignment horizontal="center" wrapText="1"/>
    </xf>
    <xf numFmtId="0" fontId="8" fillId="0" borderId="23" xfId="0" applyFont="1" applyBorder="1" applyAlignment="1">
      <alignment horizontal="center" vertical="center" wrapText="1"/>
    </xf>
    <xf numFmtId="0" fontId="3" fillId="0" borderId="3" xfId="0" applyFont="1" applyBorder="1" applyAlignment="1" applyProtection="1">
      <alignment vertical="center"/>
      <protection locked="0"/>
    </xf>
    <xf numFmtId="0" fontId="3" fillId="0" borderId="4" xfId="0" applyFont="1" applyBorder="1" applyAlignment="1" applyProtection="1">
      <alignment vertical="center"/>
      <protection locked="0"/>
    </xf>
    <xf numFmtId="0" fontId="3" fillId="0" borderId="1" xfId="0" applyFont="1" applyBorder="1" applyAlignment="1" applyProtection="1">
      <alignment vertical="center"/>
      <protection locked="0"/>
    </xf>
    <xf numFmtId="0" fontId="3" fillId="0" borderId="9" xfId="0" applyFont="1" applyBorder="1" applyAlignment="1" applyProtection="1">
      <alignment vertical="center"/>
      <protection locked="0"/>
    </xf>
    <xf numFmtId="0" fontId="0" fillId="7" borderId="19" xfId="0" applyFill="1" applyBorder="1"/>
    <xf numFmtId="0" fontId="2" fillId="7" borderId="19" xfId="0" applyFont="1" applyFill="1" applyBorder="1" applyAlignment="1">
      <alignment horizontal="right" vertical="center"/>
    </xf>
    <xf numFmtId="0" fontId="0" fillId="7" borderId="21" xfId="0" applyFill="1" applyBorder="1"/>
    <xf numFmtId="0" fontId="15" fillId="0" borderId="1" xfId="0" applyFont="1" applyBorder="1" applyAlignment="1" applyProtection="1">
      <alignment vertical="center"/>
      <protection locked="0"/>
    </xf>
    <xf numFmtId="0" fontId="17" fillId="2" borderId="0" xfId="3" applyFont="1" applyFill="1" applyAlignment="1">
      <alignment horizontal="center" vertical="center"/>
    </xf>
    <xf numFmtId="0" fontId="17" fillId="0" borderId="0" xfId="3" applyFont="1" applyAlignment="1">
      <alignment horizontal="center"/>
    </xf>
    <xf numFmtId="0" fontId="0" fillId="7" borderId="19" xfId="0" applyFill="1" applyBorder="1" applyAlignment="1">
      <alignment horizontal="center"/>
    </xf>
    <xf numFmtId="0" fontId="6" fillId="0" borderId="0" xfId="0" applyFont="1" applyAlignment="1">
      <alignment horizontal="center"/>
    </xf>
    <xf numFmtId="0" fontId="0" fillId="0" borderId="0" xfId="0" applyAlignment="1">
      <alignment horizontal="center"/>
    </xf>
    <xf numFmtId="0" fontId="4" fillId="0" borderId="5" xfId="0" applyFont="1" applyBorder="1" applyAlignment="1">
      <alignment horizontal="center" vertical="center" wrapText="1"/>
    </xf>
    <xf numFmtId="1" fontId="8" fillId="0" borderId="5" xfId="0" applyNumberFormat="1" applyFont="1" applyBorder="1" applyAlignment="1">
      <alignment vertical="center" wrapText="1"/>
    </xf>
    <xf numFmtId="0" fontId="8" fillId="2" borderId="17" xfId="0" applyFont="1" applyFill="1" applyBorder="1" applyAlignment="1">
      <alignment vertical="center" wrapText="1"/>
    </xf>
    <xf numFmtId="0" fontId="8" fillId="2" borderId="17" xfId="0" applyFont="1" applyFill="1" applyBorder="1" applyAlignment="1">
      <alignment horizontal="left" vertical="center" wrapText="1"/>
    </xf>
    <xf numFmtId="1" fontId="8" fillId="0" borderId="17" xfId="0" applyNumberFormat="1" applyFont="1" applyBorder="1" applyAlignment="1">
      <alignment horizontal="center" vertical="center" wrapText="1"/>
    </xf>
    <xf numFmtId="0" fontId="8" fillId="0" borderId="13" xfId="0" applyFont="1" applyBorder="1" applyAlignment="1">
      <alignment horizontal="left" vertical="center" wrapText="1"/>
    </xf>
    <xf numFmtId="181" fontId="8" fillId="0" borderId="5" xfId="28" applyNumberFormat="1" applyFont="1" applyFill="1" applyBorder="1" applyAlignment="1" applyProtection="1">
      <alignment horizontal="center" vertical="center" wrapText="1"/>
    </xf>
    <xf numFmtId="0" fontId="8" fillId="0" borderId="5" xfId="3" applyFont="1" applyBorder="1" applyAlignment="1">
      <alignment horizontal="center" vertical="center" wrapText="1"/>
    </xf>
    <xf numFmtId="3" fontId="8" fillId="0" borderId="17" xfId="28" applyNumberFormat="1" applyFont="1" applyBorder="1" applyAlignment="1" applyProtection="1">
      <alignment horizontal="center" vertical="center" wrapText="1"/>
    </xf>
    <xf numFmtId="14" fontId="8" fillId="0" borderId="5" xfId="0" applyNumberFormat="1" applyFont="1" applyBorder="1" applyAlignment="1">
      <alignment horizontal="center" vertical="center" wrapText="1"/>
    </xf>
    <xf numFmtId="0" fontId="8" fillId="0" borderId="5" xfId="0" applyFont="1" applyBorder="1" applyAlignment="1">
      <alignment vertical="center" wrapText="1"/>
    </xf>
    <xf numFmtId="0" fontId="8" fillId="0" borderId="5" xfId="0" applyFont="1" applyBorder="1" applyAlignment="1">
      <alignment horizontal="left" vertical="center" wrapText="1"/>
    </xf>
    <xf numFmtId="0" fontId="3" fillId="0" borderId="1" xfId="0" applyFont="1" applyBorder="1" applyAlignment="1" applyProtection="1">
      <alignment vertical="center" wrapText="1"/>
      <protection locked="0"/>
    </xf>
    <xf numFmtId="0" fontId="4" fillId="0" borderId="16" xfId="0" applyFont="1" applyBorder="1" applyAlignment="1">
      <alignment horizontal="center" vertical="center" wrapText="1"/>
    </xf>
    <xf numFmtId="1" fontId="8" fillId="0" borderId="5" xfId="0" applyNumberFormat="1" applyFont="1" applyBorder="1" applyAlignment="1">
      <alignment horizontal="center" vertical="center" wrapText="1"/>
    </xf>
    <xf numFmtId="10" fontId="8" fillId="0" borderId="16" xfId="0" applyNumberFormat="1" applyFont="1" applyBorder="1" applyAlignment="1">
      <alignment horizontal="center" vertical="center" wrapText="1"/>
    </xf>
    <xf numFmtId="0" fontId="4" fillId="0" borderId="0" xfId="0" applyFont="1"/>
    <xf numFmtId="0" fontId="4" fillId="5" borderId="11" xfId="0" applyFont="1" applyFill="1" applyBorder="1"/>
    <xf numFmtId="0" fontId="4" fillId="5" borderId="12" xfId="0" applyFont="1" applyFill="1" applyBorder="1"/>
    <xf numFmtId="0" fontId="4" fillId="0" borderId="5" xfId="0" applyFont="1" applyBorder="1" applyAlignment="1">
      <alignment vertical="center" wrapText="1"/>
    </xf>
    <xf numFmtId="0" fontId="16" fillId="0" borderId="0" xfId="0" applyFont="1"/>
    <xf numFmtId="14" fontId="5" fillId="0" borderId="5" xfId="0" applyNumberFormat="1" applyFont="1" applyBorder="1" applyAlignment="1">
      <alignment horizontal="center"/>
    </xf>
    <xf numFmtId="3" fontId="5" fillId="0" borderId="5" xfId="0" applyNumberFormat="1" applyFont="1" applyBorder="1" applyAlignment="1" applyProtection="1">
      <alignment horizontal="center" vertical="center"/>
      <protection locked="0"/>
    </xf>
    <xf numFmtId="9" fontId="8" fillId="0" borderId="16" xfId="0" applyNumberFormat="1" applyFont="1" applyBorder="1" applyAlignment="1">
      <alignment horizontal="center" vertical="center"/>
    </xf>
    <xf numFmtId="0" fontId="4" fillId="0" borderId="0" xfId="18" applyFont="1" applyAlignment="1" applyProtection="1">
      <alignment horizontal="center" vertical="center"/>
      <protection locked="0"/>
    </xf>
    <xf numFmtId="0" fontId="4" fillId="0" borderId="0" xfId="18" applyFont="1" applyProtection="1">
      <protection locked="0"/>
    </xf>
    <xf numFmtId="0" fontId="4" fillId="0" borderId="0" xfId="18" applyFont="1" applyAlignment="1" applyProtection="1">
      <alignment vertical="center"/>
      <protection locked="0"/>
    </xf>
    <xf numFmtId="0" fontId="4" fillId="0" borderId="0" xfId="18" applyFont="1" applyAlignment="1" applyProtection="1">
      <alignment horizontal="center" vertical="center" wrapText="1"/>
      <protection locked="0"/>
    </xf>
    <xf numFmtId="1" fontId="4" fillId="0" borderId="0" xfId="18" applyNumberFormat="1" applyFont="1" applyAlignment="1" applyProtection="1">
      <alignment horizontal="center" vertical="center"/>
      <protection locked="0"/>
    </xf>
    <xf numFmtId="0" fontId="4" fillId="2" borderId="0" xfId="18" applyFont="1" applyFill="1" applyAlignment="1" applyProtection="1">
      <alignment horizontal="center" vertical="center"/>
      <protection locked="0"/>
    </xf>
    <xf numFmtId="1" fontId="4" fillId="2" borderId="0" xfId="18" applyNumberFormat="1" applyFont="1" applyFill="1" applyAlignment="1" applyProtection="1">
      <alignment horizontal="center" vertical="center"/>
      <protection locked="0"/>
    </xf>
    <xf numFmtId="9" fontId="4" fillId="2" borderId="0" xfId="18" applyNumberFormat="1" applyFont="1" applyFill="1" applyAlignment="1" applyProtection="1">
      <alignment horizontal="center" vertical="center"/>
      <protection locked="0"/>
    </xf>
    <xf numFmtId="0" fontId="4" fillId="2" borderId="0" xfId="18" applyFont="1" applyFill="1" applyAlignment="1" applyProtection="1">
      <alignment horizontal="center" vertical="center" wrapText="1"/>
      <protection locked="0"/>
    </xf>
    <xf numFmtId="44" fontId="4" fillId="2" borderId="0" xfId="29" applyFont="1" applyFill="1" applyAlignment="1" applyProtection="1">
      <alignment horizontal="center" vertical="center"/>
      <protection locked="0"/>
    </xf>
    <xf numFmtId="0" fontId="4" fillId="2" borderId="0" xfId="18" applyFont="1" applyFill="1" applyAlignment="1" applyProtection="1">
      <alignment horizontal="left" vertical="center" wrapText="1"/>
      <protection locked="0"/>
    </xf>
    <xf numFmtId="14" fontId="4" fillId="0" borderId="0" xfId="18" applyNumberFormat="1" applyFont="1" applyAlignment="1" applyProtection="1">
      <alignment horizontal="center" vertical="center"/>
      <protection locked="0"/>
    </xf>
    <xf numFmtId="0" fontId="4" fillId="0" borderId="1" xfId="18" applyFont="1" applyBorder="1" applyAlignment="1" applyProtection="1">
      <alignment horizontal="center" vertical="center"/>
      <protection locked="0"/>
    </xf>
    <xf numFmtId="0" fontId="4" fillId="0" borderId="0" xfId="18" applyFont="1" applyAlignment="1" applyProtection="1">
      <alignment horizontal="left" wrapText="1"/>
      <protection locked="0"/>
    </xf>
    <xf numFmtId="1" fontId="4" fillId="0" borderId="0" xfId="18" applyNumberFormat="1" applyFont="1" applyProtection="1">
      <protection locked="0"/>
    </xf>
    <xf numFmtId="44" fontId="4" fillId="0" borderId="0" xfId="29" applyFont="1" applyAlignment="1" applyProtection="1">
      <alignment horizontal="center" vertical="center"/>
      <protection locked="0"/>
    </xf>
    <xf numFmtId="0" fontId="4" fillId="0" borderId="0" xfId="18" applyFont="1" applyAlignment="1" applyProtection="1">
      <alignment horizontal="center"/>
      <protection locked="0"/>
    </xf>
    <xf numFmtId="9" fontId="8" fillId="0" borderId="17" xfId="28" applyNumberFormat="1" applyFont="1" applyBorder="1" applyAlignment="1" applyProtection="1">
      <alignment horizontal="center" vertical="center" wrapText="1"/>
    </xf>
    <xf numFmtId="0" fontId="8" fillId="0" borderId="12" xfId="0" applyFont="1" applyBorder="1" applyAlignment="1">
      <alignment horizontal="left" vertical="center" wrapText="1"/>
    </xf>
    <xf numFmtId="0" fontId="19" fillId="0" borderId="0" xfId="0" applyFont="1"/>
    <xf numFmtId="0" fontId="19" fillId="5" borderId="11" xfId="0" applyFont="1" applyFill="1" applyBorder="1"/>
    <xf numFmtId="0" fontId="19" fillId="5" borderId="12" xfId="0" applyFont="1" applyFill="1" applyBorder="1"/>
    <xf numFmtId="0" fontId="19" fillId="0" borderId="5" xfId="0" applyFont="1" applyBorder="1"/>
    <xf numFmtId="0" fontId="18" fillId="0" borderId="5" xfId="0" applyFont="1" applyBorder="1" applyAlignment="1" applyProtection="1">
      <alignment horizontal="center" vertical="center"/>
      <protection locked="0"/>
    </xf>
    <xf numFmtId="0" fontId="19" fillId="0" borderId="0" xfId="0" applyFont="1" applyProtection="1">
      <protection locked="0"/>
    </xf>
    <xf numFmtId="0" fontId="20" fillId="0" borderId="5" xfId="0" applyFont="1" applyBorder="1" applyAlignment="1">
      <alignment horizontal="center"/>
    </xf>
    <xf numFmtId="14" fontId="20" fillId="0" borderId="5" xfId="0" applyNumberFormat="1" applyFont="1" applyBorder="1" applyAlignment="1">
      <alignment horizontal="center" wrapText="1"/>
    </xf>
    <xf numFmtId="3" fontId="20" fillId="0" borderId="5" xfId="0" applyNumberFormat="1" applyFont="1" applyBorder="1" applyAlignment="1" applyProtection="1">
      <alignment horizontal="center" vertical="center" wrapText="1"/>
      <protection locked="0"/>
    </xf>
    <xf numFmtId="0" fontId="18" fillId="0" borderId="3" xfId="0" applyFont="1" applyBorder="1" applyAlignment="1" applyProtection="1">
      <alignment vertical="center"/>
      <protection locked="0"/>
    </xf>
    <xf numFmtId="0" fontId="18" fillId="0" borderId="4" xfId="0" applyFont="1" applyBorder="1" applyAlignment="1" applyProtection="1">
      <alignment vertical="center"/>
      <protection locked="0"/>
    </xf>
    <xf numFmtId="0" fontId="18" fillId="0" borderId="1" xfId="0" applyFont="1" applyBorder="1" applyAlignment="1" applyProtection="1">
      <alignment vertical="center"/>
      <protection locked="0"/>
    </xf>
    <xf numFmtId="0" fontId="18" fillId="0" borderId="9" xfId="0" applyFont="1" applyBorder="1" applyAlignment="1" applyProtection="1">
      <alignment vertical="center"/>
      <protection locked="0"/>
    </xf>
    <xf numFmtId="0" fontId="19" fillId="0" borderId="0" xfId="3" applyFont="1"/>
    <xf numFmtId="1" fontId="20" fillId="6" borderId="5" xfId="3" applyNumberFormat="1" applyFont="1" applyFill="1" applyBorder="1" applyAlignment="1">
      <alignment horizontal="center" vertical="center" wrapText="1"/>
    </xf>
    <xf numFmtId="0" fontId="20" fillId="6" borderId="5" xfId="3" applyFont="1" applyFill="1" applyBorder="1" applyAlignment="1">
      <alignment horizontal="center" vertical="center" wrapText="1"/>
    </xf>
    <xf numFmtId="0" fontId="18" fillId="6" borderId="5" xfId="3" applyFont="1" applyFill="1" applyBorder="1" applyAlignment="1" applyProtection="1">
      <alignment horizontal="center" vertical="center" wrapText="1"/>
      <protection locked="0"/>
    </xf>
    <xf numFmtId="166" fontId="20" fillId="6" borderId="5" xfId="3" applyNumberFormat="1" applyFont="1" applyFill="1" applyBorder="1" applyAlignment="1">
      <alignment horizontal="center" vertical="center" wrapText="1"/>
    </xf>
    <xf numFmtId="167" fontId="20" fillId="6" borderId="5" xfId="3" applyNumberFormat="1" applyFont="1" applyFill="1" applyBorder="1" applyAlignment="1">
      <alignment horizontal="center" vertical="center" wrapText="1"/>
    </xf>
    <xf numFmtId="0" fontId="20" fillId="6" borderId="5" xfId="3" applyFont="1" applyFill="1" applyBorder="1" applyAlignment="1">
      <alignment horizontal="center" vertical="center" textRotation="90" wrapText="1"/>
    </xf>
    <xf numFmtId="49" fontId="20" fillId="6" borderId="5" xfId="3" applyNumberFormat="1" applyFont="1" applyFill="1" applyBorder="1" applyAlignment="1">
      <alignment horizontal="center" vertical="center" textRotation="90" wrapText="1"/>
    </xf>
    <xf numFmtId="0" fontId="19" fillId="0" borderId="0" xfId="3" applyFont="1" applyAlignment="1">
      <alignment horizontal="center"/>
    </xf>
    <xf numFmtId="0" fontId="18" fillId="0" borderId="1" xfId="0" applyFont="1" applyBorder="1" applyAlignment="1" applyProtection="1">
      <alignment horizontal="center" vertical="center"/>
      <protection locked="0"/>
    </xf>
    <xf numFmtId="0" fontId="8" fillId="0" borderId="15" xfId="0" applyFont="1" applyBorder="1" applyAlignment="1">
      <alignment horizontal="center" vertical="center" wrapText="1"/>
    </xf>
    <xf numFmtId="0" fontId="8" fillId="20" borderId="15" xfId="0" applyFont="1" applyFill="1" applyBorder="1" applyAlignment="1">
      <alignment horizontal="justify" vertical="center" wrapText="1"/>
    </xf>
    <xf numFmtId="9" fontId="8" fillId="0" borderId="5" xfId="28" applyNumberFormat="1" applyFont="1" applyFill="1" applyBorder="1" applyAlignment="1" applyProtection="1">
      <alignment horizontal="center" vertical="center" wrapText="1"/>
    </xf>
    <xf numFmtId="3" fontId="8" fillId="0" borderId="5" xfId="28" applyNumberFormat="1" applyFont="1" applyBorder="1" applyAlignment="1" applyProtection="1">
      <alignment horizontal="center" vertical="center" wrapText="1"/>
    </xf>
    <xf numFmtId="0" fontId="8" fillId="0" borderId="5" xfId="4" applyFont="1" applyBorder="1" applyAlignment="1">
      <alignment horizontal="center" vertical="center" wrapText="1"/>
    </xf>
    <xf numFmtId="3" fontId="8" fillId="0" borderId="5" xfId="28" applyNumberFormat="1" applyFont="1" applyFill="1" applyBorder="1" applyAlignment="1" applyProtection="1">
      <alignment horizontal="center" vertical="center" wrapText="1"/>
    </xf>
    <xf numFmtId="9" fontId="8" fillId="0" borderId="5" xfId="28" applyNumberFormat="1" applyFont="1" applyBorder="1" applyAlignment="1" applyProtection="1">
      <alignment horizontal="center" vertical="center" wrapText="1"/>
    </xf>
    <xf numFmtId="0" fontId="8" fillId="0" borderId="10" xfId="0" applyFont="1" applyBorder="1" applyAlignment="1">
      <alignment horizontal="left" vertical="center" wrapText="1"/>
    </xf>
    <xf numFmtId="3" fontId="8" fillId="0" borderId="5" xfId="28" applyNumberFormat="1" applyFont="1" applyBorder="1" applyAlignment="1">
      <alignment horizontal="center" vertical="center" wrapText="1"/>
    </xf>
    <xf numFmtId="0" fontId="8" fillId="0" borderId="8" xfId="0" applyFont="1" applyBorder="1" applyAlignment="1">
      <alignment horizontal="left" vertical="center" wrapText="1"/>
    </xf>
    <xf numFmtId="9" fontId="8" fillId="2" borderId="5" xfId="28" applyNumberFormat="1" applyFont="1" applyFill="1" applyBorder="1" applyAlignment="1" applyProtection="1">
      <alignment horizontal="center" vertical="center" wrapText="1"/>
    </xf>
    <xf numFmtId="0" fontId="4" fillId="0" borderId="10" xfId="18" applyFont="1" applyBorder="1" applyAlignment="1">
      <alignment vertical="center" wrapText="1"/>
    </xf>
    <xf numFmtId="3" fontId="8" fillId="20" borderId="5" xfId="28" applyNumberFormat="1" applyFont="1" applyFill="1" applyBorder="1" applyAlignment="1" applyProtection="1">
      <alignment horizontal="center" vertical="center" wrapText="1"/>
    </xf>
    <xf numFmtId="3" fontId="8" fillId="20" borderId="5" xfId="28" applyNumberFormat="1" applyFont="1" applyFill="1" applyBorder="1" applyAlignment="1">
      <alignment horizontal="center" vertical="center" wrapText="1"/>
    </xf>
    <xf numFmtId="0" fontId="4" fillId="0" borderId="17" xfId="0" applyFont="1" applyBorder="1" applyAlignment="1">
      <alignment horizontal="center" vertical="center" wrapText="1"/>
    </xf>
    <xf numFmtId="9" fontId="8" fillId="0" borderId="17" xfId="2" applyFont="1" applyBorder="1" applyAlignment="1" applyProtection="1">
      <alignment horizontal="center" vertical="center" wrapText="1"/>
    </xf>
    <xf numFmtId="0" fontId="8" fillId="2" borderId="16" xfId="0" applyFont="1" applyFill="1" applyBorder="1" applyAlignment="1">
      <alignment vertical="center" wrapText="1"/>
    </xf>
    <xf numFmtId="0" fontId="8" fillId="2" borderId="16" xfId="0" applyFont="1" applyFill="1" applyBorder="1" applyAlignment="1">
      <alignment horizontal="left" vertical="center" wrapText="1"/>
    </xf>
    <xf numFmtId="3" fontId="8" fillId="0" borderId="16" xfId="28" applyNumberFormat="1" applyFont="1" applyBorder="1" applyAlignment="1" applyProtection="1">
      <alignment horizontal="center" vertical="center" wrapText="1"/>
    </xf>
    <xf numFmtId="44" fontId="2" fillId="7" borderId="20" xfId="29" applyFont="1" applyFill="1" applyBorder="1" applyAlignment="1">
      <alignment vertical="center"/>
    </xf>
    <xf numFmtId="0" fontId="2" fillId="0" borderId="16" xfId="0" applyFont="1" applyBorder="1" applyAlignment="1">
      <alignment horizontal="center" vertical="center"/>
    </xf>
    <xf numFmtId="4" fontId="2" fillId="0" borderId="16" xfId="0" applyNumberFormat="1" applyFont="1" applyBorder="1" applyAlignment="1">
      <alignment horizontal="center" vertical="center" wrapText="1"/>
    </xf>
    <xf numFmtId="0" fontId="6" fillId="0" borderId="17" xfId="0" applyFont="1" applyBorder="1"/>
    <xf numFmtId="44" fontId="6" fillId="0" borderId="37" xfId="29" applyFont="1" applyFill="1" applyBorder="1"/>
    <xf numFmtId="10" fontId="6" fillId="0" borderId="17" xfId="0" applyNumberFormat="1" applyFont="1" applyBorder="1" applyAlignment="1">
      <alignment horizontal="center" vertical="center"/>
    </xf>
    <xf numFmtId="0" fontId="6" fillId="0" borderId="16" xfId="0" applyFont="1" applyBorder="1"/>
    <xf numFmtId="44" fontId="6" fillId="0" borderId="33" xfId="29" applyFont="1" applyFill="1" applyBorder="1"/>
    <xf numFmtId="10" fontId="6" fillId="0" borderId="16" xfId="0" applyNumberFormat="1" applyFont="1" applyBorder="1" applyAlignment="1">
      <alignment horizontal="center" vertical="center"/>
    </xf>
    <xf numFmtId="1" fontId="6" fillId="0" borderId="16" xfId="0" applyNumberFormat="1" applyFont="1" applyBorder="1" applyAlignment="1">
      <alignment horizontal="center" vertical="center"/>
    </xf>
    <xf numFmtId="44" fontId="6" fillId="0" borderId="0" xfId="29" applyFont="1" applyFill="1"/>
    <xf numFmtId="44" fontId="10" fillId="0" borderId="33" xfId="29" applyFont="1" applyFill="1" applyBorder="1"/>
    <xf numFmtId="10" fontId="10" fillId="0" borderId="16" xfId="0" applyNumberFormat="1" applyFont="1" applyBorder="1" applyAlignment="1">
      <alignment horizontal="center" vertical="center"/>
    </xf>
    <xf numFmtId="0" fontId="7" fillId="0" borderId="25" xfId="0" applyFont="1" applyBorder="1"/>
    <xf numFmtId="10" fontId="7" fillId="0" borderId="25" xfId="0" applyNumberFormat="1" applyFont="1" applyBorder="1" applyAlignment="1">
      <alignment horizontal="center" vertical="center"/>
    </xf>
    <xf numFmtId="1" fontId="7" fillId="0" borderId="25" xfId="0" applyNumberFormat="1" applyFont="1" applyBorder="1" applyAlignment="1">
      <alignment horizontal="center" vertical="center"/>
    </xf>
    <xf numFmtId="0" fontId="6" fillId="0" borderId="42" xfId="0" applyFont="1" applyBorder="1"/>
    <xf numFmtId="4" fontId="6" fillId="0" borderId="42" xfId="0" applyNumberFormat="1" applyFont="1" applyBorder="1"/>
    <xf numFmtId="4" fontId="6" fillId="0" borderId="17" xfId="0" applyNumberFormat="1" applyFont="1" applyBorder="1"/>
    <xf numFmtId="4" fontId="6" fillId="0" borderId="16" xfId="0" applyNumberFormat="1" applyFont="1" applyBorder="1"/>
    <xf numFmtId="0" fontId="7" fillId="0" borderId="16" xfId="0" applyFont="1" applyBorder="1"/>
    <xf numFmtId="44" fontId="6" fillId="0" borderId="16" xfId="29" applyFont="1" applyBorder="1"/>
    <xf numFmtId="0" fontId="6" fillId="0" borderId="16" xfId="0" applyFont="1" applyBorder="1" applyAlignment="1">
      <alignment horizontal="center"/>
    </xf>
    <xf numFmtId="44" fontId="7" fillId="0" borderId="25" xfId="29" applyFont="1" applyBorder="1"/>
    <xf numFmtId="0" fontId="7" fillId="0" borderId="25" xfId="0" applyFont="1" applyBorder="1" applyAlignment="1">
      <alignment horizontal="center"/>
    </xf>
    <xf numFmtId="0" fontId="7" fillId="0" borderId="42" xfId="0" applyFont="1" applyBorder="1"/>
    <xf numFmtId="44" fontId="7" fillId="0" borderId="42" xfId="29" applyFont="1" applyBorder="1"/>
    <xf numFmtId="0" fontId="7" fillId="0" borderId="42" xfId="0" applyFont="1" applyBorder="1" applyAlignment="1">
      <alignment horizontal="center"/>
    </xf>
    <xf numFmtId="0" fontId="7" fillId="0" borderId="17" xfId="0" applyFont="1" applyBorder="1"/>
    <xf numFmtId="44" fontId="7" fillId="0" borderId="17" xfId="29" applyFont="1" applyBorder="1"/>
    <xf numFmtId="1" fontId="7" fillId="0" borderId="17" xfId="0" applyNumberFormat="1" applyFont="1" applyBorder="1" applyAlignment="1">
      <alignment horizontal="center"/>
    </xf>
    <xf numFmtId="0" fontId="7" fillId="0" borderId="0" xfId="0" applyFont="1"/>
    <xf numFmtId="44" fontId="0" fillId="0" borderId="0" xfId="0" applyNumberFormat="1"/>
    <xf numFmtId="0" fontId="7" fillId="0" borderId="47" xfId="0" applyFont="1" applyBorder="1"/>
    <xf numFmtId="10" fontId="7" fillId="0" borderId="34" xfId="0" applyNumberFormat="1" applyFont="1" applyBorder="1" applyAlignment="1">
      <alignment horizontal="center" vertical="center"/>
    </xf>
    <xf numFmtId="44" fontId="6" fillId="0" borderId="47" xfId="29" applyFont="1" applyBorder="1"/>
    <xf numFmtId="44" fontId="7" fillId="0" borderId="5" xfId="29" applyFont="1" applyBorder="1"/>
    <xf numFmtId="1" fontId="6" fillId="0" borderId="17" xfId="0" applyNumberFormat="1" applyFont="1" applyBorder="1" applyAlignment="1">
      <alignment horizontal="center" vertical="center"/>
    </xf>
    <xf numFmtId="0" fontId="8" fillId="0" borderId="16" xfId="0" applyFont="1" applyBorder="1" applyAlignment="1">
      <alignment horizontal="justify" vertical="center" wrapText="1"/>
    </xf>
    <xf numFmtId="0" fontId="22" fillId="7" borderId="19" xfId="0" applyFont="1" applyFill="1" applyBorder="1" applyAlignment="1">
      <alignment horizontal="center" vertical="center"/>
    </xf>
    <xf numFmtId="44" fontId="22" fillId="7" borderId="20" xfId="29" applyFont="1" applyFill="1" applyBorder="1" applyAlignment="1">
      <alignment horizontal="center" vertical="center"/>
    </xf>
    <xf numFmtId="0" fontId="8" fillId="0" borderId="13" xfId="0" applyFont="1" applyBorder="1" applyAlignment="1">
      <alignment horizontal="justify" vertical="center" wrapText="1"/>
    </xf>
    <xf numFmtId="0" fontId="23" fillId="0" borderId="5" xfId="0" applyFont="1" applyBorder="1" applyAlignment="1">
      <alignment horizontal="justify" vertical="center"/>
    </xf>
    <xf numFmtId="0" fontId="8" fillId="0" borderId="8" xfId="0" applyFont="1" applyBorder="1" applyAlignment="1">
      <alignment horizontal="justify" vertical="center" wrapText="1"/>
    </xf>
    <xf numFmtId="0" fontId="14" fillId="9" borderId="5" xfId="0" applyFont="1" applyFill="1" applyBorder="1" applyAlignment="1">
      <alignment horizontal="justify" vertical="center" wrapText="1"/>
    </xf>
    <xf numFmtId="0" fontId="4" fillId="0" borderId="5"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16" xfId="0" applyFont="1" applyBorder="1" applyAlignment="1">
      <alignment horizontal="justify" vertical="center" wrapText="1"/>
    </xf>
    <xf numFmtId="44" fontId="8" fillId="0" borderId="5" xfId="29" applyFont="1" applyFill="1" applyBorder="1" applyAlignment="1">
      <alignment horizontal="right" vertical="center" wrapText="1"/>
    </xf>
    <xf numFmtId="44" fontId="8" fillId="0" borderId="5" xfId="29" applyFont="1" applyFill="1" applyBorder="1" applyAlignment="1">
      <alignment horizontal="center" vertical="center" wrapText="1"/>
    </xf>
    <xf numFmtId="44" fontId="14" fillId="0" borderId="5" xfId="29" applyFont="1" applyFill="1" applyBorder="1" applyAlignment="1">
      <alignment vertical="center" wrapText="1"/>
    </xf>
    <xf numFmtId="44" fontId="4" fillId="0" borderId="5" xfId="29" applyFont="1" applyFill="1" applyBorder="1" applyAlignment="1">
      <alignment horizontal="right" vertical="center"/>
    </xf>
    <xf numFmtId="171" fontId="14" fillId="0" borderId="5" xfId="6" applyFont="1" applyFill="1" applyBorder="1" applyAlignment="1">
      <alignment vertical="center" wrapText="1"/>
    </xf>
    <xf numFmtId="3" fontId="14" fillId="0" borderId="5" xfId="0" applyNumberFormat="1" applyFont="1" applyBorder="1" applyAlignment="1">
      <alignment horizontal="center" vertical="center" wrapText="1"/>
    </xf>
    <xf numFmtId="0" fontId="4" fillId="0" borderId="5" xfId="0" applyFont="1" applyBorder="1"/>
    <xf numFmtId="0" fontId="4" fillId="0" borderId="5" xfId="0" applyFont="1" applyBorder="1" applyAlignment="1">
      <alignment horizontal="center" vertical="center"/>
    </xf>
    <xf numFmtId="164" fontId="8" fillId="0" borderId="16" xfId="7" applyNumberFormat="1" applyFont="1" applyFill="1" applyBorder="1" applyAlignment="1">
      <alignment horizontal="center" vertical="center" wrapText="1"/>
    </xf>
    <xf numFmtId="0" fontId="8" fillId="0" borderId="5" xfId="8" applyFont="1" applyBorder="1" applyAlignment="1">
      <alignment horizontal="center" vertical="center" wrapText="1"/>
    </xf>
    <xf numFmtId="9" fontId="8" fillId="0" borderId="5" xfId="2" applyFont="1" applyFill="1" applyBorder="1" applyAlignment="1">
      <alignment horizontal="center" vertical="center" wrapText="1"/>
    </xf>
    <xf numFmtId="173" fontId="8" fillId="0" borderId="5" xfId="9" applyFont="1" applyBorder="1" applyAlignment="1">
      <alignment horizontal="left" vertical="center" wrapText="1"/>
    </xf>
    <xf numFmtId="49" fontId="4" fillId="0" borderId="5" xfId="0" applyNumberFormat="1" applyFont="1" applyBorder="1" applyAlignment="1">
      <alignment horizontal="center" vertical="center"/>
    </xf>
    <xf numFmtId="173" fontId="8" fillId="0" borderId="5" xfId="10" applyFont="1" applyBorder="1" applyAlignment="1">
      <alignment horizontal="left" vertical="center" wrapText="1"/>
    </xf>
    <xf numFmtId="1" fontId="8" fillId="0" borderId="5" xfId="1" applyNumberFormat="1" applyFont="1" applyFill="1" applyBorder="1" applyAlignment="1">
      <alignment horizontal="center" vertical="center" wrapText="1"/>
    </xf>
    <xf numFmtId="9" fontId="4" fillId="0" borderId="5" xfId="2" applyFont="1" applyFill="1" applyBorder="1" applyAlignment="1">
      <alignment horizontal="center" vertical="center" wrapText="1"/>
    </xf>
    <xf numFmtId="0" fontId="4" fillId="0" borderId="5" xfId="0" applyFont="1" applyBorder="1" applyAlignment="1">
      <alignment wrapText="1"/>
    </xf>
    <xf numFmtId="0" fontId="14" fillId="0" borderId="5" xfId="8" applyFont="1" applyBorder="1" applyAlignment="1">
      <alignment horizontal="center" vertical="center" wrapText="1"/>
    </xf>
    <xf numFmtId="1" fontId="14" fillId="0" borderId="5" xfId="0" applyNumberFormat="1" applyFont="1" applyBorder="1" applyAlignment="1">
      <alignment horizontal="center" vertical="center" wrapText="1"/>
    </xf>
    <xf numFmtId="3" fontId="14" fillId="0" borderId="5" xfId="0" applyNumberFormat="1" applyFont="1" applyBorder="1" applyAlignment="1">
      <alignment horizontal="right" vertical="center"/>
    </xf>
    <xf numFmtId="173" fontId="8" fillId="0" borderId="5" xfId="10" applyFont="1" applyBorder="1" applyAlignment="1">
      <alignment horizontal="center" vertical="center" wrapText="1"/>
    </xf>
    <xf numFmtId="3" fontId="14" fillId="0" borderId="15" xfId="0" applyNumberFormat="1" applyFont="1" applyBorder="1" applyAlignment="1">
      <alignment horizontal="right" vertical="center"/>
    </xf>
    <xf numFmtId="173" fontId="8" fillId="0" borderId="15" xfId="10" applyFont="1" applyBorder="1" applyAlignment="1">
      <alignment horizontal="center" vertical="center" wrapText="1"/>
    </xf>
    <xf numFmtId="0" fontId="8" fillId="0" borderId="5" xfId="12" applyNumberFormat="1" applyFont="1" applyFill="1" applyBorder="1" applyAlignment="1">
      <alignment horizontal="center" vertical="center" wrapText="1"/>
    </xf>
    <xf numFmtId="0" fontId="8" fillId="0" borderId="5" xfId="11" applyFont="1" applyFill="1" applyBorder="1">
      <alignment horizontal="center" vertical="center" wrapText="1"/>
    </xf>
    <xf numFmtId="174" fontId="14" fillId="0" borderId="5" xfId="6" applyNumberFormat="1" applyFont="1" applyFill="1" applyBorder="1" applyAlignment="1">
      <alignment vertical="center" wrapText="1"/>
    </xf>
    <xf numFmtId="174" fontId="14" fillId="0" borderId="5" xfId="0" applyNumberFormat="1" applyFont="1" applyBorder="1" applyAlignment="1">
      <alignment horizontal="center" vertical="center"/>
    </xf>
    <xf numFmtId="3" fontId="4" fillId="0" borderId="5" xfId="0" applyNumberFormat="1" applyFont="1" applyBorder="1" applyAlignment="1">
      <alignment horizontal="justify" vertical="center" wrapText="1"/>
    </xf>
    <xf numFmtId="3" fontId="4" fillId="0" borderId="5" xfId="0" applyNumberFormat="1" applyFont="1" applyBorder="1" applyAlignment="1">
      <alignment horizontal="justify" vertical="center"/>
    </xf>
    <xf numFmtId="0" fontId="4" fillId="0" borderId="5" xfId="0" applyFont="1" applyBorder="1" applyAlignment="1">
      <alignment horizontal="justify" vertical="center"/>
    </xf>
    <xf numFmtId="1" fontId="4" fillId="0" borderId="16" xfId="0" applyNumberFormat="1" applyFont="1" applyBorder="1" applyAlignment="1" applyProtection="1">
      <alignment horizontal="center" vertical="center"/>
      <protection locked="0"/>
    </xf>
    <xf numFmtId="0" fontId="4" fillId="7" borderId="5" xfId="0" applyFont="1" applyFill="1" applyBorder="1"/>
    <xf numFmtId="0" fontId="4" fillId="9" borderId="0" xfId="0" applyFont="1" applyFill="1"/>
    <xf numFmtId="171" fontId="15" fillId="9" borderId="0" xfId="6" applyFont="1" applyFill="1" applyBorder="1" applyAlignment="1">
      <alignment vertical="center" wrapText="1"/>
    </xf>
    <xf numFmtId="3" fontId="4" fillId="9" borderId="0" xfId="0" applyNumberFormat="1" applyFont="1" applyFill="1" applyAlignment="1">
      <alignment horizontal="justify" vertical="center"/>
    </xf>
    <xf numFmtId="0" fontId="4" fillId="9" borderId="0" xfId="0" applyFont="1" applyFill="1" applyAlignment="1">
      <alignment wrapText="1"/>
    </xf>
    <xf numFmtId="0" fontId="19" fillId="9" borderId="0" xfId="0" applyFont="1" applyFill="1"/>
    <xf numFmtId="175" fontId="15" fillId="7" borderId="5" xfId="6" applyNumberFormat="1" applyFont="1" applyFill="1" applyBorder="1" applyAlignment="1">
      <alignment vertical="center" wrapText="1"/>
    </xf>
    <xf numFmtId="175" fontId="15" fillId="9" borderId="0" xfId="6" applyNumberFormat="1" applyFont="1" applyFill="1" applyBorder="1" applyAlignment="1">
      <alignment vertical="center" wrapText="1"/>
    </xf>
    <xf numFmtId="0" fontId="3" fillId="0" borderId="0" xfId="0" applyFont="1"/>
    <xf numFmtId="4" fontId="4" fillId="0" borderId="0" xfId="0" applyNumberFormat="1" applyFont="1"/>
    <xf numFmtId="0" fontId="5" fillId="0" borderId="14" xfId="3" applyFont="1" applyBorder="1" applyAlignment="1">
      <alignment horizontal="center" vertical="center" wrapText="1"/>
    </xf>
    <xf numFmtId="0" fontId="14" fillId="0" borderId="0" xfId="0" applyFont="1"/>
    <xf numFmtId="1" fontId="0" fillId="0" borderId="0" xfId="0" applyNumberFormat="1"/>
    <xf numFmtId="0" fontId="26" fillId="5" borderId="11" xfId="0" applyFont="1" applyFill="1" applyBorder="1"/>
    <xf numFmtId="0" fontId="26" fillId="5" borderId="12" xfId="0" applyFont="1" applyFill="1" applyBorder="1"/>
    <xf numFmtId="1" fontId="24" fillId="6" borderId="5" xfId="3" applyNumberFormat="1" applyFont="1" applyFill="1" applyBorder="1" applyAlignment="1">
      <alignment horizontal="center" vertical="center" wrapText="1"/>
    </xf>
    <xf numFmtId="0" fontId="24" fillId="6" borderId="5" xfId="3" applyFont="1" applyFill="1" applyBorder="1" applyAlignment="1">
      <alignment horizontal="center" vertical="center" wrapText="1"/>
    </xf>
    <xf numFmtId="0" fontId="25" fillId="6" borderId="5" xfId="3" applyFont="1" applyFill="1" applyBorder="1" applyAlignment="1" applyProtection="1">
      <alignment horizontal="center" vertical="center" wrapText="1"/>
      <protection locked="0"/>
    </xf>
    <xf numFmtId="166" fontId="24" fillId="6" borderId="5" xfId="3" applyNumberFormat="1" applyFont="1" applyFill="1" applyBorder="1" applyAlignment="1">
      <alignment horizontal="center" vertical="center" wrapText="1"/>
    </xf>
    <xf numFmtId="167" fontId="24" fillId="6" borderId="5" xfId="3" applyNumberFormat="1" applyFont="1" applyFill="1" applyBorder="1" applyAlignment="1">
      <alignment horizontal="center" vertical="center" wrapText="1"/>
    </xf>
    <xf numFmtId="0" fontId="24" fillId="6" borderId="5" xfId="3" applyFont="1" applyFill="1" applyBorder="1" applyAlignment="1">
      <alignment horizontal="center" vertical="center" textRotation="90" wrapText="1"/>
    </xf>
    <xf numFmtId="49" fontId="24" fillId="6" borderId="5" xfId="3" applyNumberFormat="1" applyFont="1" applyFill="1" applyBorder="1" applyAlignment="1">
      <alignment horizontal="center" vertical="center" textRotation="90" wrapText="1"/>
    </xf>
    <xf numFmtId="0" fontId="26" fillId="0" borderId="5" xfId="0" applyFont="1" applyBorder="1" applyAlignment="1">
      <alignment horizontal="center" vertical="center"/>
    </xf>
    <xf numFmtId="0" fontId="26" fillId="0" borderId="5" xfId="0" applyFont="1" applyBorder="1" applyAlignment="1">
      <alignment horizontal="justify" vertical="center" wrapText="1"/>
    </xf>
    <xf numFmtId="0" fontId="26" fillId="0" borderId="5" xfId="0" applyFont="1" applyBorder="1" applyAlignment="1">
      <alignment horizontal="center" vertical="center" wrapText="1"/>
    </xf>
    <xf numFmtId="0" fontId="26" fillId="7" borderId="18" xfId="0" applyFont="1" applyFill="1" applyBorder="1"/>
    <xf numFmtId="0" fontId="26" fillId="7" borderId="19" xfId="0" applyFont="1" applyFill="1" applyBorder="1"/>
    <xf numFmtId="0" fontId="26" fillId="7" borderId="21" xfId="0" applyFont="1" applyFill="1" applyBorder="1"/>
    <xf numFmtId="0" fontId="26" fillId="0" borderId="0" xfId="0" applyFont="1"/>
    <xf numFmtId="0" fontId="25" fillId="7" borderId="19" xfId="0" applyFont="1" applyFill="1" applyBorder="1" applyAlignment="1">
      <alignment horizontal="right" vertical="center"/>
    </xf>
    <xf numFmtId="0" fontId="27" fillId="0" borderId="16" xfId="0" applyFont="1" applyBorder="1" applyAlignment="1">
      <alignment horizontal="center" vertical="center" wrapText="1"/>
    </xf>
    <xf numFmtId="14" fontId="27" fillId="0" borderId="16" xfId="0" applyNumberFormat="1" applyFont="1" applyBorder="1" applyAlignment="1">
      <alignment horizontal="center" vertical="center" wrapText="1"/>
    </xf>
    <xf numFmtId="0" fontId="27" fillId="0" borderId="5" xfId="0" applyFont="1" applyBorder="1" applyAlignment="1">
      <alignment horizontal="center" vertical="center" wrapText="1"/>
    </xf>
    <xf numFmtId="0" fontId="27" fillId="0" borderId="16" xfId="0" applyFont="1" applyBorder="1" applyAlignment="1">
      <alignment horizontal="center" vertical="center"/>
    </xf>
    <xf numFmtId="0" fontId="27" fillId="9" borderId="16" xfId="0" applyFont="1" applyFill="1" applyBorder="1" applyAlignment="1">
      <alignment horizontal="center" vertical="center" wrapText="1"/>
    </xf>
    <xf numFmtId="0" fontId="27" fillId="0" borderId="5" xfId="0" applyFont="1" applyBorder="1" applyAlignment="1">
      <alignment horizontal="justify" vertical="center" wrapText="1"/>
    </xf>
    <xf numFmtId="1" fontId="27" fillId="0" borderId="5" xfId="0" applyNumberFormat="1" applyFont="1" applyBorder="1" applyAlignment="1">
      <alignment horizontal="center" vertical="center" wrapText="1"/>
    </xf>
    <xf numFmtId="44" fontId="26" fillId="0" borderId="0" xfId="29" applyFont="1"/>
    <xf numFmtId="0" fontId="27" fillId="0" borderId="33" xfId="0" applyFont="1" applyBorder="1" applyAlignment="1">
      <alignment horizontal="justify" vertical="center" wrapText="1"/>
    </xf>
    <xf numFmtId="0" fontId="26" fillId="0" borderId="16" xfId="0" applyFont="1" applyBorder="1" applyAlignment="1" applyProtection="1">
      <alignment horizontal="center" vertical="center"/>
      <protection locked="0"/>
    </xf>
    <xf numFmtId="180" fontId="26" fillId="0" borderId="5" xfId="28" applyNumberFormat="1" applyFont="1" applyBorder="1" applyAlignment="1">
      <alignment vertical="center" wrapText="1"/>
    </xf>
    <xf numFmtId="0" fontId="26" fillId="0" borderId="5" xfId="0" applyFont="1" applyBorder="1" applyAlignment="1">
      <alignment vertical="center" wrapText="1"/>
    </xf>
    <xf numFmtId="180" fontId="26" fillId="0" borderId="5" xfId="28" applyNumberFormat="1" applyFont="1" applyBorder="1" applyAlignment="1">
      <alignment horizontal="center" vertical="center"/>
    </xf>
    <xf numFmtId="0" fontId="28" fillId="0" borderId="16" xfId="0" applyFont="1" applyBorder="1" applyAlignment="1">
      <alignment horizontal="center" vertical="center" wrapText="1"/>
    </xf>
    <xf numFmtId="0" fontId="27" fillId="0" borderId="5" xfId="5" applyNumberFormat="1" applyFont="1" applyFill="1" applyBorder="1">
      <alignment horizontal="center" vertical="center" wrapText="1"/>
    </xf>
    <xf numFmtId="0" fontId="28" fillId="0" borderId="16" xfId="0" applyFont="1" applyBorder="1" applyAlignment="1" applyProtection="1">
      <alignment horizontal="center" vertical="center"/>
      <protection locked="0"/>
    </xf>
    <xf numFmtId="0" fontId="26" fillId="7" borderId="19" xfId="0" applyFont="1" applyFill="1" applyBorder="1" applyAlignment="1">
      <alignment horizontal="center"/>
    </xf>
    <xf numFmtId="43" fontId="25" fillId="7" borderId="20" xfId="28" applyFont="1" applyFill="1" applyBorder="1" applyAlignment="1">
      <alignment vertical="center"/>
    </xf>
    <xf numFmtId="0" fontId="26" fillId="0" borderId="0" xfId="0" applyFont="1" applyAlignment="1">
      <alignment horizontal="center"/>
    </xf>
    <xf numFmtId="0" fontId="3" fillId="0" borderId="0" xfId="0" applyFont="1" applyAlignment="1" applyProtection="1">
      <alignment horizontal="center" vertical="center" wrapText="1"/>
      <protection locked="0"/>
    </xf>
    <xf numFmtId="0" fontId="3" fillId="0" borderId="0" xfId="0" applyFont="1" applyAlignment="1" applyProtection="1">
      <alignment horizontal="center" vertical="center"/>
      <protection locked="0"/>
    </xf>
    <xf numFmtId="0" fontId="14" fillId="0" borderId="5" xfId="0" applyFont="1" applyBorder="1" applyAlignment="1">
      <alignment horizontal="center" vertical="center" wrapText="1"/>
    </xf>
    <xf numFmtId="0" fontId="5" fillId="3" borderId="3" xfId="3" applyFont="1" applyFill="1" applyBorder="1" applyAlignment="1">
      <alignment horizontal="center" vertical="center"/>
    </xf>
    <xf numFmtId="0" fontId="5" fillId="3" borderId="1" xfId="3" applyFont="1" applyFill="1" applyBorder="1" applyAlignment="1">
      <alignment horizontal="center" vertical="center"/>
    </xf>
    <xf numFmtId="0" fontId="20" fillId="3" borderId="3" xfId="3" applyFont="1" applyFill="1" applyBorder="1" applyAlignment="1">
      <alignment horizontal="center" vertical="center"/>
    </xf>
    <xf numFmtId="0" fontId="20" fillId="3" borderId="1" xfId="3" applyFont="1" applyFill="1" applyBorder="1" applyAlignment="1">
      <alignment horizontal="center" vertical="center"/>
    </xf>
    <xf numFmtId="0" fontId="5" fillId="15" borderId="5" xfId="3" applyFont="1" applyFill="1" applyBorder="1" applyAlignment="1">
      <alignment horizontal="center" vertical="center" wrapText="1"/>
    </xf>
    <xf numFmtId="0" fontId="14" fillId="0" borderId="5" xfId="0" applyFont="1" applyBorder="1" applyAlignment="1">
      <alignment horizontal="center" vertical="center"/>
    </xf>
    <xf numFmtId="1" fontId="14" fillId="0" borderId="5" xfId="0" applyNumberFormat="1" applyFont="1" applyBorder="1" applyAlignment="1">
      <alignment horizontal="center" vertical="center"/>
    </xf>
    <xf numFmtId="3" fontId="4" fillId="0" borderId="5" xfId="0" applyNumberFormat="1" applyFont="1" applyBorder="1" applyAlignment="1">
      <alignment horizontal="center" vertical="center"/>
    </xf>
    <xf numFmtId="1" fontId="4" fillId="0" borderId="5" xfId="0" applyNumberFormat="1" applyFont="1" applyBorder="1" applyAlignment="1">
      <alignment horizontal="center" vertical="center"/>
    </xf>
    <xf numFmtId="10" fontId="4" fillId="0" borderId="5" xfId="0" applyNumberFormat="1" applyFont="1" applyBorder="1" applyAlignment="1">
      <alignment horizontal="center" vertical="center"/>
    </xf>
    <xf numFmtId="4" fontId="4" fillId="0" borderId="5" xfId="0" applyNumberFormat="1" applyFont="1" applyBorder="1" applyAlignment="1">
      <alignment horizontal="right" vertical="center"/>
    </xf>
    <xf numFmtId="3" fontId="4" fillId="0" borderId="5" xfId="0" applyNumberFormat="1" applyFont="1" applyBorder="1" applyAlignment="1">
      <alignment horizontal="right" vertical="center"/>
    </xf>
    <xf numFmtId="188" fontId="4" fillId="0" borderId="5" xfId="0" applyNumberFormat="1" applyFont="1" applyBorder="1" applyAlignment="1">
      <alignment horizontal="right" vertical="center"/>
    </xf>
    <xf numFmtId="0" fontId="14" fillId="0" borderId="13" xfId="0" applyFont="1" applyBorder="1" applyAlignment="1">
      <alignment horizontal="center" vertical="center"/>
    </xf>
    <xf numFmtId="1" fontId="14" fillId="0" borderId="13" xfId="0" applyNumberFormat="1" applyFont="1" applyBorder="1" applyAlignment="1">
      <alignment horizontal="center" vertical="center"/>
    </xf>
    <xf numFmtId="0" fontId="14" fillId="0" borderId="5" xfId="28" applyNumberFormat="1" applyFont="1" applyFill="1" applyBorder="1" applyAlignment="1">
      <alignment horizontal="center" vertical="center"/>
    </xf>
    <xf numFmtId="1" fontId="14" fillId="0" borderId="5" xfId="28" applyNumberFormat="1" applyFont="1" applyFill="1" applyBorder="1" applyAlignment="1">
      <alignment horizontal="center" vertical="center"/>
    </xf>
    <xf numFmtId="0" fontId="14" fillId="0" borderId="5" xfId="5" applyNumberFormat="1" applyFont="1" applyFill="1" applyBorder="1" applyAlignment="1">
      <alignment horizontal="center" vertical="center"/>
    </xf>
    <xf numFmtId="1" fontId="14" fillId="0" borderId="5" xfId="5" applyNumberFormat="1" applyFont="1" applyFill="1" applyBorder="1" applyAlignment="1">
      <alignment horizontal="center" vertical="center"/>
    </xf>
    <xf numFmtId="0" fontId="14" fillId="0" borderId="13" xfId="28" applyNumberFormat="1" applyFont="1" applyFill="1" applyBorder="1" applyAlignment="1">
      <alignment horizontal="center" vertical="center"/>
    </xf>
    <xf numFmtId="1" fontId="14" fillId="0" borderId="13" xfId="28" applyNumberFormat="1" applyFont="1" applyFill="1" applyBorder="1" applyAlignment="1">
      <alignment horizontal="center" vertical="center"/>
    </xf>
    <xf numFmtId="0" fontId="14" fillId="0" borderId="13" xfId="5" applyNumberFormat="1" applyFont="1" applyFill="1" applyBorder="1" applyAlignment="1">
      <alignment horizontal="center" vertical="center"/>
    </xf>
    <xf numFmtId="1" fontId="14" fillId="0" borderId="13" xfId="5" applyNumberFormat="1" applyFont="1" applyFill="1" applyBorder="1" applyAlignment="1">
      <alignment horizontal="center" vertical="center"/>
    </xf>
    <xf numFmtId="3" fontId="14" fillId="0" borderId="28" xfId="18" applyNumberFormat="1" applyFont="1" applyBorder="1" applyAlignment="1">
      <alignment horizontal="right" vertical="center" wrapText="1"/>
    </xf>
    <xf numFmtId="3" fontId="14" fillId="0" borderId="16" xfId="18" applyNumberFormat="1" applyFont="1" applyBorder="1" applyAlignment="1">
      <alignment horizontal="right" vertical="center" wrapText="1"/>
    </xf>
    <xf numFmtId="0" fontId="4" fillId="7" borderId="19" xfId="0" applyFont="1" applyFill="1" applyBorder="1"/>
    <xf numFmtId="0" fontId="3" fillId="7" borderId="19" xfId="0" applyFont="1" applyFill="1" applyBorder="1" applyAlignment="1">
      <alignment horizontal="center" vertical="center"/>
    </xf>
    <xf numFmtId="4" fontId="3" fillId="7" borderId="19" xfId="0" applyNumberFormat="1" applyFont="1" applyFill="1" applyBorder="1" applyAlignment="1">
      <alignment horizontal="center" vertical="center"/>
    </xf>
    <xf numFmtId="0" fontId="15" fillId="9" borderId="1" xfId="0" applyFont="1" applyFill="1" applyBorder="1" applyAlignment="1" applyProtection="1">
      <alignment vertical="center"/>
      <protection locked="0"/>
    </xf>
    <xf numFmtId="0" fontId="4" fillId="5" borderId="11" xfId="0" applyFont="1" applyFill="1" applyBorder="1" applyAlignment="1">
      <alignment wrapText="1"/>
    </xf>
    <xf numFmtId="0" fontId="4" fillId="5" borderId="11" xfId="0" applyFont="1" applyFill="1" applyBorder="1" applyAlignment="1">
      <alignment vertical="center"/>
    </xf>
    <xf numFmtId="0" fontId="3" fillId="15" borderId="5" xfId="3" applyFont="1" applyFill="1" applyBorder="1" applyAlignment="1" applyProtection="1">
      <alignment horizontal="center" vertical="center" wrapText="1"/>
      <protection locked="0"/>
    </xf>
    <xf numFmtId="1" fontId="5" fillId="15" borderId="5" xfId="3" applyNumberFormat="1" applyFont="1" applyFill="1" applyBorder="1" applyAlignment="1">
      <alignment horizontal="center" vertical="center" wrapText="1"/>
    </xf>
    <xf numFmtId="0" fontId="14" fillId="0" borderId="15" xfId="30" applyNumberFormat="1" applyFont="1" applyFill="1" applyBorder="1" applyAlignment="1">
      <alignment horizontal="center" vertical="center"/>
    </xf>
    <xf numFmtId="185" fontId="14" fillId="0" borderId="5" xfId="7" applyNumberFormat="1" applyFont="1" applyFill="1" applyBorder="1" applyAlignment="1">
      <alignment horizontal="center" vertical="center" wrapText="1"/>
    </xf>
    <xf numFmtId="0" fontId="4" fillId="9" borderId="0" xfId="3" applyFont="1" applyFill="1" applyAlignment="1">
      <alignment horizontal="center"/>
    </xf>
    <xf numFmtId="0" fontId="4" fillId="0" borderId="5" xfId="30" applyNumberFormat="1" applyFont="1" applyFill="1" applyBorder="1" applyAlignment="1">
      <alignment horizontal="center" vertical="center"/>
    </xf>
    <xf numFmtId="0" fontId="8" fillId="9" borderId="23" xfId="0" applyFont="1" applyFill="1" applyBorder="1" applyAlignment="1">
      <alignment horizontal="center" vertical="center" wrapText="1"/>
    </xf>
    <xf numFmtId="0" fontId="14" fillId="9" borderId="5" xfId="0" applyFont="1" applyFill="1" applyBorder="1" applyAlignment="1">
      <alignment horizontal="center" vertical="center" wrapText="1"/>
    </xf>
    <xf numFmtId="0" fontId="8" fillId="0" borderId="12" xfId="0" applyFont="1" applyBorder="1" applyAlignment="1">
      <alignment horizontal="center" vertical="center" wrapText="1"/>
    </xf>
    <xf numFmtId="0" fontId="4" fillId="0" borderId="13" xfId="30" applyNumberFormat="1" applyFont="1" applyFill="1" applyBorder="1" applyAlignment="1">
      <alignment horizontal="center" vertical="center"/>
    </xf>
    <xf numFmtId="172" fontId="4" fillId="0" borderId="5" xfId="7" applyFont="1" applyFill="1" applyBorder="1" applyAlignment="1">
      <alignment horizontal="center" vertical="center" wrapText="1"/>
    </xf>
    <xf numFmtId="0" fontId="8" fillId="0" borderId="9" xfId="0" applyFont="1" applyBorder="1" applyAlignment="1">
      <alignment vertical="center" wrapText="1"/>
    </xf>
    <xf numFmtId="0" fontId="8" fillId="9" borderId="5" xfId="0" applyFont="1" applyFill="1" applyBorder="1" applyAlignment="1">
      <alignment horizontal="center" vertical="center" wrapText="1"/>
    </xf>
    <xf numFmtId="0" fontId="4" fillId="0" borderId="13" xfId="0" applyFont="1" applyBorder="1" applyAlignment="1">
      <alignment vertical="center" wrapText="1"/>
    </xf>
    <xf numFmtId="172" fontId="4" fillId="0" borderId="10" xfId="7" applyFont="1" applyFill="1" applyBorder="1" applyAlignment="1">
      <alignment horizontal="center" vertical="center" wrapText="1"/>
    </xf>
    <xf numFmtId="172" fontId="4" fillId="0" borderId="13" xfId="7" applyFont="1" applyFill="1" applyBorder="1" applyAlignment="1">
      <alignment horizontal="center" vertical="center" wrapText="1"/>
    </xf>
    <xf numFmtId="172" fontId="14" fillId="0" borderId="5" xfId="7" applyFont="1" applyFill="1" applyBorder="1" applyAlignment="1">
      <alignment horizontal="center" vertical="center" wrapText="1"/>
    </xf>
    <xf numFmtId="0" fontId="8" fillId="0" borderId="5" xfId="8" applyFont="1" applyBorder="1" applyAlignment="1">
      <alignment horizontal="justify" vertical="center" wrapText="1"/>
    </xf>
    <xf numFmtId="172" fontId="14" fillId="0" borderId="15" xfId="7" applyFont="1" applyFill="1" applyBorder="1" applyAlignment="1">
      <alignment horizontal="center" vertical="center" wrapText="1"/>
    </xf>
    <xf numFmtId="44" fontId="14" fillId="0" borderId="5" xfId="35" applyFont="1" applyFill="1" applyBorder="1" applyAlignment="1">
      <alignment horizontal="center" vertical="center" wrapText="1"/>
    </xf>
    <xf numFmtId="49" fontId="14" fillId="0" borderId="5" xfId="2" applyNumberFormat="1" applyFont="1" applyFill="1" applyBorder="1" applyAlignment="1">
      <alignment vertical="center" wrapText="1"/>
    </xf>
    <xf numFmtId="0" fontId="4" fillId="9" borderId="5" xfId="0" applyFont="1" applyFill="1" applyBorder="1" applyAlignment="1">
      <alignment horizontal="center" vertical="center"/>
    </xf>
    <xf numFmtId="0" fontId="8" fillId="9" borderId="13" xfId="0" applyFont="1" applyFill="1" applyBorder="1" applyAlignment="1">
      <alignment horizontal="justify" vertical="center" wrapText="1"/>
    </xf>
    <xf numFmtId="44" fontId="4" fillId="0" borderId="5" xfId="34" applyFont="1" applyFill="1" applyBorder="1" applyAlignment="1">
      <alignment horizontal="center" vertical="center" wrapText="1"/>
    </xf>
    <xf numFmtId="0" fontId="5" fillId="14" borderId="16" xfId="13" applyFont="1" applyFill="1" applyBorder="1" applyAlignment="1" applyProtection="1">
      <alignment horizontal="center" vertical="center"/>
      <protection locked="0"/>
    </xf>
    <xf numFmtId="44" fontId="5" fillId="14" borderId="16" xfId="29" applyFont="1" applyFill="1" applyBorder="1" applyAlignment="1" applyProtection="1">
      <alignment horizontal="center" vertical="center"/>
      <protection locked="0"/>
    </xf>
    <xf numFmtId="0" fontId="8" fillId="0" borderId="0" xfId="0" applyFont="1" applyAlignment="1">
      <alignment horizontal="center" vertical="center" wrapText="1"/>
    </xf>
    <xf numFmtId="0" fontId="3" fillId="16" borderId="0" xfId="3" applyFont="1" applyFill="1" applyAlignment="1" applyProtection="1">
      <alignment horizontal="center" vertical="center" wrapText="1"/>
      <protection locked="0"/>
    </xf>
    <xf numFmtId="0" fontId="15" fillId="16" borderId="0" xfId="3" applyFont="1" applyFill="1" applyAlignment="1" applyProtection="1">
      <alignment horizontal="center" vertical="center" wrapText="1"/>
      <protection locked="0"/>
    </xf>
    <xf numFmtId="0" fontId="14" fillId="9" borderId="0" xfId="0" applyFont="1" applyFill="1" applyAlignment="1">
      <alignment horizontal="center" vertical="center" wrapText="1"/>
    </xf>
    <xf numFmtId="1" fontId="8" fillId="0" borderId="0" xfId="0" applyNumberFormat="1" applyFont="1" applyAlignment="1">
      <alignment horizontal="center" vertical="center" wrapText="1"/>
    </xf>
    <xf numFmtId="9" fontId="5" fillId="16" borderId="0" xfId="2" applyFont="1" applyFill="1" applyBorder="1" applyAlignment="1">
      <alignment horizontal="center" vertical="center" wrapText="1"/>
    </xf>
    <xf numFmtId="0" fontId="8" fillId="0" borderId="0" xfId="0" applyFont="1" applyAlignment="1">
      <alignment vertical="center" wrapText="1"/>
    </xf>
    <xf numFmtId="172" fontId="14" fillId="0" borderId="0" xfId="7" applyFont="1" applyFill="1" applyBorder="1" applyAlignment="1">
      <alignment horizontal="center" vertical="center" wrapText="1"/>
    </xf>
    <xf numFmtId="3" fontId="14" fillId="0" borderId="0" xfId="0" applyNumberFormat="1" applyFont="1" applyAlignment="1">
      <alignment horizontal="center" vertical="center" wrapText="1"/>
    </xf>
    <xf numFmtId="0" fontId="5" fillId="16" borderId="0" xfId="3" applyFont="1" applyFill="1" applyAlignment="1">
      <alignment horizontal="center" vertical="center" wrapText="1"/>
    </xf>
    <xf numFmtId="14" fontId="5" fillId="17" borderId="0" xfId="3" applyNumberFormat="1" applyFont="1" applyFill="1" applyAlignment="1">
      <alignment horizontal="center" vertical="center" wrapText="1"/>
    </xf>
    <xf numFmtId="0" fontId="4" fillId="0" borderId="0" xfId="0" applyFont="1" applyAlignment="1">
      <alignment wrapText="1"/>
    </xf>
    <xf numFmtId="0" fontId="16" fillId="0" borderId="0" xfId="0" applyFont="1" applyAlignment="1">
      <alignment vertical="center"/>
    </xf>
    <xf numFmtId="44" fontId="4" fillId="0" borderId="0" xfId="29" applyFont="1" applyBorder="1"/>
    <xf numFmtId="165" fontId="4" fillId="0" borderId="0" xfId="1" applyFont="1" applyBorder="1"/>
    <xf numFmtId="44" fontId="4" fillId="0" borderId="0" xfId="0" applyNumberFormat="1" applyFont="1"/>
    <xf numFmtId="4" fontId="8" fillId="0" borderId="0" xfId="0" applyNumberFormat="1" applyFont="1" applyAlignment="1">
      <alignment horizontal="justify" vertical="center"/>
    </xf>
    <xf numFmtId="0" fontId="4" fillId="0" borderId="0" xfId="0" applyFont="1" applyAlignment="1">
      <alignment vertical="center"/>
    </xf>
    <xf numFmtId="0" fontId="4" fillId="7" borderId="38" xfId="0" applyFont="1" applyFill="1" applyBorder="1"/>
    <xf numFmtId="0" fontId="4" fillId="7" borderId="32" xfId="0" applyFont="1" applyFill="1" applyBorder="1"/>
    <xf numFmtId="0" fontId="14" fillId="9" borderId="32" xfId="0" applyFont="1" applyFill="1" applyBorder="1"/>
    <xf numFmtId="2" fontId="4" fillId="7" borderId="39" xfId="0" applyNumberFormat="1" applyFont="1" applyFill="1" applyBorder="1" applyAlignment="1">
      <alignment vertical="center"/>
    </xf>
    <xf numFmtId="0" fontId="4" fillId="7" borderId="32" xfId="0" applyFont="1" applyFill="1" applyBorder="1" applyAlignment="1">
      <alignment wrapText="1"/>
    </xf>
    <xf numFmtId="0" fontId="4" fillId="7" borderId="32" xfId="0" applyFont="1" applyFill="1" applyBorder="1" applyAlignment="1">
      <alignment vertical="center"/>
    </xf>
    <xf numFmtId="0" fontId="4" fillId="7" borderId="40" xfId="0" applyFont="1" applyFill="1" applyBorder="1"/>
    <xf numFmtId="0" fontId="14" fillId="9" borderId="0" xfId="0" applyFont="1" applyFill="1"/>
    <xf numFmtId="0" fontId="4" fillId="5" borderId="12" xfId="0" applyFont="1" applyFill="1" applyBorder="1" applyAlignment="1">
      <alignment wrapText="1"/>
    </xf>
    <xf numFmtId="4" fontId="4" fillId="0" borderId="5" xfId="0" applyNumberFormat="1" applyFont="1" applyBorder="1" applyAlignment="1">
      <alignment horizontal="center" vertical="center" wrapText="1"/>
    </xf>
    <xf numFmtId="3" fontId="4" fillId="0" borderId="5" xfId="22" applyNumberFormat="1" applyFont="1" applyBorder="1" applyAlignment="1">
      <alignment horizontal="center" vertical="center" wrapText="1"/>
    </xf>
    <xf numFmtId="1" fontId="8" fillId="0" borderId="9" xfId="0" applyNumberFormat="1" applyFont="1" applyBorder="1" applyAlignment="1">
      <alignment horizontal="center" vertical="center" wrapText="1"/>
    </xf>
    <xf numFmtId="182" fontId="4" fillId="0" borderId="5" xfId="0" applyNumberFormat="1" applyFont="1" applyBorder="1" applyAlignment="1">
      <alignment horizontal="right"/>
    </xf>
    <xf numFmtId="183" fontId="4" fillId="0" borderId="13" xfId="22" applyNumberFormat="1" applyFont="1" applyBorder="1" applyAlignment="1">
      <alignment horizontal="center" vertical="center" wrapText="1"/>
    </xf>
    <xf numFmtId="9" fontId="8" fillId="0" borderId="16" xfId="2" applyFont="1" applyBorder="1" applyAlignment="1">
      <alignment horizontal="center" vertical="center" wrapText="1"/>
    </xf>
    <xf numFmtId="1" fontId="8" fillId="0" borderId="9" xfId="0" applyNumberFormat="1" applyFont="1" applyBorder="1" applyAlignment="1">
      <alignment horizontal="center" vertical="center"/>
    </xf>
    <xf numFmtId="3" fontId="4" fillId="0" borderId="13" xfId="22" applyNumberFormat="1" applyFont="1" applyBorder="1" applyAlignment="1">
      <alignment horizontal="center" vertical="center" wrapText="1"/>
    </xf>
    <xf numFmtId="0" fontId="8" fillId="0" borderId="16" xfId="4" applyFont="1" applyBorder="1" applyAlignment="1">
      <alignment horizontal="center" vertical="center" wrapText="1"/>
    </xf>
    <xf numFmtId="169" fontId="8" fillId="0" borderId="16" xfId="28" applyNumberFormat="1" applyFont="1" applyFill="1" applyBorder="1" applyAlignment="1" applyProtection="1">
      <alignment horizontal="center" vertical="center" wrapText="1"/>
    </xf>
    <xf numFmtId="1" fontId="8" fillId="0" borderId="16" xfId="0" applyNumberFormat="1" applyFont="1" applyBorder="1" applyAlignment="1">
      <alignment horizontal="center" vertical="center"/>
    </xf>
    <xf numFmtId="0" fontId="8" fillId="9" borderId="16" xfId="4" applyFont="1" applyFill="1" applyBorder="1" applyAlignment="1">
      <alignment horizontal="center" vertical="center" wrapText="1"/>
    </xf>
    <xf numFmtId="1" fontId="8" fillId="0" borderId="5" xfId="0" applyNumberFormat="1" applyFont="1" applyBorder="1" applyAlignment="1">
      <alignment horizontal="center" vertical="center"/>
    </xf>
    <xf numFmtId="176" fontId="8" fillId="0" borderId="16" xfId="0" applyNumberFormat="1" applyFont="1" applyBorder="1" applyAlignment="1">
      <alignment horizontal="center" vertical="center" wrapText="1"/>
    </xf>
    <xf numFmtId="0" fontId="4" fillId="7" borderId="18" xfId="0" applyFont="1" applyFill="1" applyBorder="1" applyAlignment="1">
      <alignment horizontal="center" vertical="center"/>
    </xf>
    <xf numFmtId="4" fontId="3" fillId="7" borderId="20" xfId="0" applyNumberFormat="1" applyFont="1" applyFill="1" applyBorder="1" applyAlignment="1">
      <alignment vertical="center" wrapText="1"/>
    </xf>
    <xf numFmtId="0" fontId="4" fillId="7" borderId="19" xfId="0" applyFont="1" applyFill="1" applyBorder="1" applyAlignment="1">
      <alignment wrapText="1"/>
    </xf>
    <xf numFmtId="0" fontId="4" fillId="7" borderId="21" xfId="0" applyFont="1" applyFill="1" applyBorder="1"/>
    <xf numFmtId="0" fontId="4" fillId="0" borderId="0" xfId="0" applyFont="1" applyAlignment="1">
      <alignment horizontal="center" vertical="center"/>
    </xf>
    <xf numFmtId="44" fontId="4" fillId="0" borderId="0" xfId="29" applyFont="1" applyAlignment="1">
      <alignment wrapText="1"/>
    </xf>
    <xf numFmtId="0" fontId="16" fillId="0" borderId="0" xfId="0" applyFont="1" applyAlignment="1">
      <alignment wrapText="1"/>
    </xf>
    <xf numFmtId="0" fontId="4" fillId="0" borderId="0" xfId="13" applyFont="1" applyAlignment="1" applyProtection="1">
      <alignment horizontal="center" vertical="center"/>
      <protection locked="0"/>
    </xf>
    <xf numFmtId="0" fontId="3" fillId="0" borderId="16" xfId="13" applyFont="1" applyBorder="1" applyAlignment="1" applyProtection="1">
      <alignment horizontal="center" vertical="center"/>
      <protection locked="0"/>
    </xf>
    <xf numFmtId="0" fontId="4" fillId="2" borderId="0" xfId="13" applyFont="1" applyFill="1" applyAlignment="1" applyProtection="1">
      <alignment horizontal="center" vertical="center"/>
      <protection locked="0"/>
    </xf>
    <xf numFmtId="14" fontId="5" fillId="0" borderId="5" xfId="13" applyNumberFormat="1" applyFont="1" applyBorder="1" applyAlignment="1">
      <alignment horizontal="center" vertical="center" wrapText="1"/>
    </xf>
    <xf numFmtId="0" fontId="3" fillId="0" borderId="25" xfId="13" applyFont="1" applyBorder="1" applyAlignment="1" applyProtection="1">
      <alignment horizontal="center" vertical="center"/>
      <protection locked="0"/>
    </xf>
    <xf numFmtId="3" fontId="5" fillId="0" borderId="16" xfId="13" applyNumberFormat="1" applyFont="1" applyBorder="1" applyAlignment="1" applyProtection="1">
      <alignment horizontal="center" vertical="center" wrapText="1"/>
      <protection locked="0"/>
    </xf>
    <xf numFmtId="0" fontId="5" fillId="0" borderId="25" xfId="13" applyFont="1" applyBorder="1" applyAlignment="1" applyProtection="1">
      <alignment vertical="center"/>
      <protection locked="0"/>
    </xf>
    <xf numFmtId="0" fontId="8" fillId="0" borderId="16" xfId="13" applyFont="1" applyBorder="1" applyAlignment="1" applyProtection="1">
      <alignment vertical="center"/>
      <protection locked="0"/>
    </xf>
    <xf numFmtId="0" fontId="8" fillId="0" borderId="16" xfId="13"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3" fontId="5" fillId="0" borderId="13" xfId="0" applyNumberFormat="1" applyFont="1" applyBorder="1" applyAlignment="1" applyProtection="1">
      <alignment horizontal="center" vertical="center" wrapText="1"/>
      <protection locked="0"/>
    </xf>
    <xf numFmtId="167" fontId="5" fillId="6" borderId="17" xfId="13" applyNumberFormat="1" applyFont="1" applyFill="1" applyBorder="1" applyAlignment="1" applyProtection="1">
      <alignment horizontal="center" vertical="center" wrapText="1"/>
      <protection locked="0"/>
    </xf>
    <xf numFmtId="1" fontId="5" fillId="6" borderId="17" xfId="13" applyNumberFormat="1" applyFont="1" applyFill="1" applyBorder="1" applyAlignment="1" applyProtection="1">
      <alignment horizontal="center" vertical="center" wrapText="1"/>
      <protection locked="0"/>
    </xf>
    <xf numFmtId="0" fontId="5" fillId="6" borderId="17" xfId="13" applyFont="1" applyFill="1" applyBorder="1" applyAlignment="1" applyProtection="1">
      <alignment horizontal="center" vertical="center" wrapText="1"/>
      <protection locked="0"/>
    </xf>
    <xf numFmtId="0" fontId="8" fillId="0" borderId="16" xfId="13" applyFont="1" applyBorder="1" applyAlignment="1">
      <alignment horizontal="center" vertical="center" wrapText="1"/>
    </xf>
    <xf numFmtId="0" fontId="8" fillId="0" borderId="28" xfId="13" applyFont="1" applyBorder="1" applyAlignment="1">
      <alignment horizontal="justify" vertical="center" wrapText="1"/>
    </xf>
    <xf numFmtId="0" fontId="8" fillId="0" borderId="28" xfId="13" applyFont="1" applyBorder="1" applyAlignment="1">
      <alignment horizontal="center" vertical="center" wrapText="1"/>
    </xf>
    <xf numFmtId="0" fontId="8" fillId="11" borderId="28" xfId="13" applyFont="1" applyFill="1" applyBorder="1" applyAlignment="1">
      <alignment horizontal="center" vertical="center" wrapText="1"/>
    </xf>
    <xf numFmtId="1" fontId="8" fillId="11" borderId="28" xfId="13" applyNumberFormat="1" applyFont="1" applyFill="1" applyBorder="1" applyAlignment="1">
      <alignment horizontal="center" vertical="center" wrapText="1"/>
    </xf>
    <xf numFmtId="44" fontId="14" fillId="9" borderId="5" xfId="15" applyFont="1" applyFill="1" applyBorder="1" applyAlignment="1">
      <alignment vertical="center" wrapText="1"/>
    </xf>
    <xf numFmtId="44" fontId="14" fillId="9" borderId="5" xfId="15" applyFont="1" applyFill="1" applyBorder="1" applyAlignment="1">
      <alignment horizontal="center" vertical="center" wrapText="1"/>
    </xf>
    <xf numFmtId="0" fontId="14" fillId="9" borderId="12" xfId="13" applyFont="1" applyFill="1" applyBorder="1" applyAlignment="1">
      <alignment horizontal="center" vertical="center" wrapText="1"/>
    </xf>
    <xf numFmtId="0" fontId="8" fillId="9" borderId="12" xfId="13" applyFont="1" applyFill="1" applyBorder="1" applyAlignment="1">
      <alignment horizontal="center" vertical="center" wrapText="1"/>
    </xf>
    <xf numFmtId="0" fontId="8" fillId="9" borderId="9" xfId="13" applyFont="1" applyFill="1" applyBorder="1" applyAlignment="1">
      <alignment horizontal="center" vertical="center" wrapText="1"/>
    </xf>
    <xf numFmtId="0" fontId="8" fillId="0" borderId="17" xfId="13" applyFont="1" applyBorder="1" applyAlignment="1">
      <alignment horizontal="center" vertical="center" wrapText="1"/>
    </xf>
    <xf numFmtId="0" fontId="8" fillId="0" borderId="23" xfId="13" applyFont="1" applyBorder="1" applyAlignment="1">
      <alignment horizontal="justify" vertical="center" wrapText="1"/>
    </xf>
    <xf numFmtId="0" fontId="8" fillId="0" borderId="23" xfId="13" applyFont="1" applyBorder="1" applyAlignment="1">
      <alignment horizontal="center" vertical="center" wrapText="1"/>
    </xf>
    <xf numFmtId="0" fontId="8" fillId="11" borderId="23" xfId="13" applyFont="1" applyFill="1" applyBorder="1" applyAlignment="1">
      <alignment horizontal="center" vertical="center" wrapText="1"/>
    </xf>
    <xf numFmtId="1" fontId="8" fillId="11" borderId="23" xfId="13" applyNumberFormat="1" applyFont="1" applyFill="1" applyBorder="1" applyAlignment="1">
      <alignment horizontal="center" vertical="center" wrapText="1"/>
    </xf>
    <xf numFmtId="0" fontId="14" fillId="9" borderId="9" xfId="13" applyFont="1" applyFill="1" applyBorder="1" applyAlignment="1">
      <alignment horizontal="center" vertical="center" wrapText="1"/>
    </xf>
    <xf numFmtId="9" fontId="8" fillId="0" borderId="23" xfId="13" applyNumberFormat="1" applyFont="1" applyBorder="1" applyAlignment="1">
      <alignment horizontal="center" vertical="center" wrapText="1"/>
    </xf>
    <xf numFmtId="44" fontId="14" fillId="9" borderId="5" xfId="17" applyFont="1" applyFill="1" applyBorder="1" applyAlignment="1">
      <alignment horizontal="center" vertical="center"/>
    </xf>
    <xf numFmtId="0" fontId="14" fillId="9" borderId="23" xfId="13" applyFont="1" applyFill="1" applyBorder="1" applyAlignment="1">
      <alignment horizontal="center" vertical="center" wrapText="1"/>
    </xf>
    <xf numFmtId="0" fontId="8" fillId="0" borderId="23" xfId="13" applyFont="1" applyBorder="1" applyAlignment="1">
      <alignment horizontal="center" vertical="center"/>
    </xf>
    <xf numFmtId="1" fontId="8" fillId="0" borderId="23" xfId="13" applyNumberFormat="1" applyFont="1" applyBorder="1" applyAlignment="1">
      <alignment horizontal="center" vertical="center" wrapText="1"/>
    </xf>
    <xf numFmtId="3" fontId="14" fillId="9" borderId="5" xfId="18" applyNumberFormat="1" applyFont="1" applyFill="1" applyBorder="1" applyAlignment="1" applyProtection="1">
      <alignment horizontal="justify" vertical="center" wrapText="1"/>
      <protection locked="0"/>
    </xf>
    <xf numFmtId="44" fontId="14" fillId="9" borderId="5" xfId="15" applyFont="1" applyFill="1" applyBorder="1" applyAlignment="1">
      <alignment horizontal="center" vertical="center"/>
    </xf>
    <xf numFmtId="44" fontId="14" fillId="9" borderId="13" xfId="15" applyFont="1" applyFill="1" applyBorder="1" applyAlignment="1">
      <alignment horizontal="center" vertical="center" wrapText="1"/>
    </xf>
    <xf numFmtId="0" fontId="14" fillId="12" borderId="23" xfId="13" applyFont="1" applyFill="1" applyBorder="1" applyAlignment="1">
      <alignment horizontal="center" vertical="center" wrapText="1"/>
    </xf>
    <xf numFmtId="44" fontId="4" fillId="9" borderId="5" xfId="17" applyFont="1" applyFill="1" applyBorder="1" applyAlignment="1">
      <alignment horizontal="center" vertical="center"/>
    </xf>
    <xf numFmtId="44" fontId="14" fillId="9" borderId="15" xfId="15" applyFont="1" applyFill="1" applyBorder="1" applyAlignment="1">
      <alignment horizontal="center" vertical="center" wrapText="1"/>
    </xf>
    <xf numFmtId="3" fontId="14" fillId="0" borderId="5" xfId="18" applyNumberFormat="1" applyFont="1" applyBorder="1" applyAlignment="1" applyProtection="1">
      <alignment horizontal="justify" vertical="center" wrapText="1"/>
      <protection locked="0"/>
    </xf>
    <xf numFmtId="44" fontId="14" fillId="9" borderId="13" xfId="17" applyFont="1" applyFill="1" applyBorder="1" applyAlignment="1">
      <alignment horizontal="center" vertical="center"/>
    </xf>
    <xf numFmtId="44" fontId="4" fillId="9" borderId="5" xfId="15" applyFont="1" applyFill="1" applyBorder="1" applyAlignment="1">
      <alignment horizontal="center" vertical="center" wrapText="1"/>
    </xf>
    <xf numFmtId="44" fontId="4" fillId="9" borderId="15" xfId="17" applyFont="1" applyFill="1" applyBorder="1" applyAlignment="1">
      <alignment horizontal="center" vertical="center" wrapText="1"/>
    </xf>
    <xf numFmtId="44" fontId="14" fillId="9" borderId="15" xfId="15" applyFont="1" applyFill="1" applyBorder="1" applyAlignment="1">
      <alignment horizontal="center" vertical="center"/>
    </xf>
    <xf numFmtId="9" fontId="8" fillId="0" borderId="5" xfId="13" applyNumberFormat="1" applyFont="1" applyBorder="1" applyAlignment="1">
      <alignment horizontal="center" vertical="center" wrapText="1"/>
    </xf>
    <xf numFmtId="44" fontId="4" fillId="9" borderId="5" xfId="15" applyFont="1" applyFill="1" applyBorder="1" applyAlignment="1">
      <alignment horizontal="center" vertical="center"/>
    </xf>
    <xf numFmtId="44" fontId="4" fillId="9" borderId="5" xfId="15" applyFont="1" applyFill="1" applyBorder="1" applyAlignment="1">
      <alignment vertical="center"/>
    </xf>
    <xf numFmtId="172" fontId="4" fillId="9" borderId="5" xfId="20" applyNumberFormat="1" applyFont="1" applyFill="1" applyBorder="1" applyAlignment="1">
      <alignment horizontal="center" vertical="center" wrapText="1"/>
    </xf>
    <xf numFmtId="0" fontId="5" fillId="0" borderId="23" xfId="0" applyFont="1" applyBorder="1" applyAlignment="1">
      <alignment horizontal="center" vertical="center" wrapText="1"/>
    </xf>
    <xf numFmtId="0" fontId="8" fillId="9" borderId="17" xfId="13" applyFont="1" applyFill="1" applyBorder="1" applyAlignment="1">
      <alignment horizontal="center" vertical="center" wrapText="1"/>
    </xf>
    <xf numFmtId="0" fontId="8" fillId="9" borderId="23" xfId="13" applyFont="1" applyFill="1" applyBorder="1" applyAlignment="1">
      <alignment horizontal="justify" vertical="center" wrapText="1"/>
    </xf>
    <xf numFmtId="0" fontId="8" fillId="9" borderId="23" xfId="13" applyFont="1" applyFill="1" applyBorder="1" applyAlignment="1">
      <alignment horizontal="center" vertical="center" wrapText="1"/>
    </xf>
    <xf numFmtId="0" fontId="8" fillId="12" borderId="28" xfId="13" applyFont="1" applyFill="1" applyBorder="1" applyAlignment="1">
      <alignment horizontal="center" vertical="center" wrapText="1"/>
    </xf>
    <xf numFmtId="1" fontId="8" fillId="9" borderId="23" xfId="13" applyNumberFormat="1" applyFont="1" applyFill="1" applyBorder="1" applyAlignment="1">
      <alignment horizontal="center" vertical="center" wrapText="1"/>
    </xf>
    <xf numFmtId="49" fontId="8" fillId="9" borderId="12" xfId="13" applyNumberFormat="1" applyFont="1" applyFill="1" applyBorder="1" applyAlignment="1">
      <alignment horizontal="center" vertical="center" wrapText="1"/>
    </xf>
    <xf numFmtId="0" fontId="15" fillId="9" borderId="23" xfId="13" applyFont="1" applyFill="1" applyBorder="1" applyAlignment="1">
      <alignment horizontal="center" vertical="center" wrapText="1"/>
    </xf>
    <xf numFmtId="0" fontId="4" fillId="9" borderId="0" xfId="13" applyFont="1" applyFill="1" applyAlignment="1" applyProtection="1">
      <alignment horizontal="center" vertical="center"/>
      <protection locked="0"/>
    </xf>
    <xf numFmtId="44" fontId="8" fillId="13" borderId="5" xfId="17" applyFont="1" applyFill="1" applyBorder="1" applyAlignment="1">
      <alignment horizontal="center" vertical="center" wrapText="1"/>
    </xf>
    <xf numFmtId="44" fontId="14" fillId="9" borderId="5" xfId="17" applyFont="1" applyFill="1" applyBorder="1" applyAlignment="1">
      <alignment vertical="center"/>
    </xf>
    <xf numFmtId="9" fontId="8" fillId="9" borderId="23" xfId="13" applyNumberFormat="1" applyFont="1" applyFill="1" applyBorder="1" applyAlignment="1">
      <alignment horizontal="center" vertical="center" wrapText="1"/>
    </xf>
    <xf numFmtId="44" fontId="14" fillId="0" borderId="5" xfId="15" applyFont="1" applyFill="1" applyBorder="1" applyAlignment="1">
      <alignment horizontal="center" vertical="center" wrapText="1"/>
    </xf>
    <xf numFmtId="8" fontId="8" fillId="9" borderId="16" xfId="13" applyNumberFormat="1" applyFont="1" applyFill="1" applyBorder="1" applyAlignment="1">
      <alignment horizontal="center" vertical="center" wrapText="1"/>
    </xf>
    <xf numFmtId="44" fontId="14" fillId="9" borderId="5" xfId="21" applyFont="1" applyFill="1" applyBorder="1" applyAlignment="1">
      <alignment horizontal="center" vertical="center"/>
    </xf>
    <xf numFmtId="44" fontId="4" fillId="9" borderId="5" xfId="21" applyFont="1" applyFill="1" applyBorder="1" applyAlignment="1">
      <alignment horizontal="center" vertical="center"/>
    </xf>
    <xf numFmtId="44" fontId="14" fillId="9" borderId="15" xfId="17" applyFont="1" applyFill="1" applyBorder="1" applyAlignment="1">
      <alignment horizontal="center" vertical="center" wrapText="1"/>
    </xf>
    <xf numFmtId="44" fontId="14" fillId="9" borderId="13" xfId="17" applyFont="1" applyFill="1" applyBorder="1" applyAlignment="1">
      <alignment vertical="center" wrapText="1"/>
    </xf>
    <xf numFmtId="44" fontId="14" fillId="9" borderId="5" xfId="17" applyFont="1" applyFill="1" applyBorder="1" applyAlignment="1">
      <alignment vertical="center" wrapText="1"/>
    </xf>
    <xf numFmtId="1" fontId="5" fillId="14" borderId="16" xfId="13" applyNumberFormat="1" applyFont="1" applyFill="1" applyBorder="1" applyAlignment="1" applyProtection="1">
      <alignment horizontal="center" vertical="center"/>
      <protection locked="0"/>
    </xf>
    <xf numFmtId="166" fontId="5" fillId="14" borderId="16" xfId="13" applyNumberFormat="1" applyFont="1" applyFill="1" applyBorder="1" applyAlignment="1" applyProtection="1">
      <alignment horizontal="center" vertical="center"/>
      <protection locked="0"/>
    </xf>
    <xf numFmtId="176" fontId="5" fillId="14" borderId="17" xfId="13" applyNumberFormat="1" applyFont="1" applyFill="1" applyBorder="1" applyAlignment="1" applyProtection="1">
      <alignment horizontal="center" vertical="center"/>
      <protection locked="0"/>
    </xf>
    <xf numFmtId="176" fontId="5" fillId="14" borderId="16" xfId="13" applyNumberFormat="1" applyFont="1" applyFill="1" applyBorder="1" applyAlignment="1" applyProtection="1">
      <alignment horizontal="center" vertical="center"/>
      <protection locked="0"/>
    </xf>
    <xf numFmtId="169" fontId="5" fillId="14" borderId="16" xfId="14" applyNumberFormat="1" applyFont="1" applyFill="1" applyBorder="1" applyAlignment="1" applyProtection="1">
      <alignment horizontal="center" vertical="center"/>
      <protection locked="0"/>
    </xf>
    <xf numFmtId="165" fontId="5" fillId="14" borderId="16" xfId="14" applyFont="1" applyFill="1" applyBorder="1" applyAlignment="1" applyProtection="1">
      <alignment horizontal="center" vertical="center"/>
      <protection locked="0"/>
    </xf>
    <xf numFmtId="14" fontId="5" fillId="14" borderId="16" xfId="13" applyNumberFormat="1" applyFont="1" applyFill="1" applyBorder="1" applyAlignment="1" applyProtection="1">
      <alignment horizontal="center" vertical="center"/>
      <protection locked="0"/>
    </xf>
    <xf numFmtId="1" fontId="4" fillId="0" borderId="0" xfId="13" applyNumberFormat="1" applyFont="1" applyAlignment="1" applyProtection="1">
      <alignment horizontal="center" vertical="center"/>
      <protection locked="0"/>
    </xf>
    <xf numFmtId="0" fontId="4" fillId="0" borderId="0" xfId="13" applyFont="1" applyAlignment="1" applyProtection="1">
      <alignment horizontal="center" vertical="center" wrapText="1"/>
      <protection locked="0"/>
    </xf>
    <xf numFmtId="0" fontId="4" fillId="2" borderId="0" xfId="13" applyFont="1" applyFill="1" applyAlignment="1" applyProtection="1">
      <alignment horizontal="center" vertical="center" wrapText="1"/>
      <protection locked="0"/>
    </xf>
    <xf numFmtId="1" fontId="4" fillId="2" borderId="0" xfId="13" applyNumberFormat="1" applyFont="1" applyFill="1" applyAlignment="1" applyProtection="1">
      <alignment horizontal="center" vertical="center"/>
      <protection locked="0"/>
    </xf>
    <xf numFmtId="166" fontId="4" fillId="2" borderId="0" xfId="13" applyNumberFormat="1" applyFont="1" applyFill="1" applyAlignment="1" applyProtection="1">
      <alignment horizontal="center" vertical="center"/>
      <protection locked="0"/>
    </xf>
    <xf numFmtId="167" fontId="3" fillId="2" borderId="0" xfId="13" applyNumberFormat="1" applyFont="1" applyFill="1" applyAlignment="1" applyProtection="1">
      <alignment horizontal="center" vertical="center"/>
      <protection locked="0"/>
    </xf>
    <xf numFmtId="170" fontId="14" fillId="0" borderId="0" xfId="22" applyFont="1" applyAlignment="1">
      <alignment horizontal="center" vertical="center" wrapText="1"/>
    </xf>
    <xf numFmtId="169" fontId="4" fillId="0" borderId="0" xfId="14" applyNumberFormat="1" applyFont="1" applyAlignment="1" applyProtection="1">
      <alignment horizontal="center" vertical="center"/>
      <protection locked="0"/>
    </xf>
    <xf numFmtId="165" fontId="4" fillId="0" borderId="0" xfId="14" applyFont="1" applyAlignment="1" applyProtection="1">
      <alignment horizontal="center" vertical="center"/>
      <protection locked="0"/>
    </xf>
    <xf numFmtId="14" fontId="4" fillId="0" borderId="0" xfId="13" applyNumberFormat="1" applyFont="1" applyAlignment="1" applyProtection="1">
      <alignment horizontal="center" vertical="center"/>
      <protection locked="0"/>
    </xf>
    <xf numFmtId="176" fontId="4" fillId="2" borderId="0" xfId="13" applyNumberFormat="1" applyFont="1" applyFill="1" applyAlignment="1" applyProtection="1">
      <alignment horizontal="center" vertical="center"/>
      <protection locked="0"/>
    </xf>
    <xf numFmtId="169" fontId="16" fillId="0" borderId="0" xfId="14" applyNumberFormat="1" applyFont="1" applyAlignment="1" applyProtection="1">
      <alignment horizontal="center" vertical="center"/>
      <protection locked="0"/>
    </xf>
    <xf numFmtId="167" fontId="4" fillId="2" borderId="0" xfId="13" applyNumberFormat="1" applyFont="1" applyFill="1" applyAlignment="1" applyProtection="1">
      <alignment horizontal="center" vertical="center"/>
      <protection locked="0"/>
    </xf>
    <xf numFmtId="0" fontId="8" fillId="0" borderId="5" xfId="0" applyFont="1" applyBorder="1" applyAlignment="1" applyProtection="1">
      <alignment horizontal="justify" vertical="center" wrapText="1"/>
      <protection locked="0"/>
    </xf>
    <xf numFmtId="0" fontId="8" fillId="0" borderId="5" xfId="0" applyFont="1" applyBorder="1" applyAlignment="1" applyProtection="1">
      <alignment horizontal="center" vertical="center" wrapText="1"/>
      <protection locked="0"/>
    </xf>
    <xf numFmtId="177" fontId="8" fillId="0" borderId="5" xfId="0" applyNumberFormat="1" applyFont="1" applyBorder="1" applyAlignment="1">
      <alignment horizontal="center" vertical="center" wrapText="1"/>
    </xf>
    <xf numFmtId="0" fontId="14" fillId="0" borderId="16" xfId="0" applyFont="1" applyBorder="1" applyAlignment="1">
      <alignment horizontal="center" vertical="center"/>
    </xf>
    <xf numFmtId="0" fontId="4" fillId="7" borderId="18" xfId="0" applyFont="1" applyFill="1" applyBorder="1"/>
    <xf numFmtId="0" fontId="3" fillId="7" borderId="19" xfId="0" applyFont="1" applyFill="1" applyBorder="1" applyAlignment="1">
      <alignment horizontal="right" vertical="center"/>
    </xf>
    <xf numFmtId="44" fontId="3" fillId="7" borderId="20" xfId="21" applyFont="1" applyFill="1" applyBorder="1" applyAlignment="1">
      <alignment vertical="center"/>
    </xf>
    <xf numFmtId="0" fontId="30" fillId="0" borderId="0" xfId="0" applyFont="1" applyAlignment="1">
      <alignment vertical="center"/>
    </xf>
    <xf numFmtId="9" fontId="4" fillId="0" borderId="5" xfId="2" applyFont="1" applyBorder="1" applyAlignment="1">
      <alignment horizontal="center" vertical="center"/>
    </xf>
    <xf numFmtId="178" fontId="4" fillId="0" borderId="5" xfId="0" applyNumberFormat="1" applyFont="1" applyBorder="1" applyAlignment="1">
      <alignment horizontal="center" vertical="center"/>
    </xf>
    <xf numFmtId="3" fontId="14" fillId="0" borderId="16" xfId="26" applyNumberFormat="1" applyFont="1" applyBorder="1" applyAlignment="1">
      <alignment horizontal="center" vertical="center" wrapText="1"/>
    </xf>
    <xf numFmtId="3" fontId="14" fillId="0" borderId="16" xfId="26" applyNumberFormat="1" applyFont="1" applyBorder="1" applyAlignment="1">
      <alignment vertical="center" wrapText="1"/>
    </xf>
    <xf numFmtId="14" fontId="4" fillId="0" borderId="5" xfId="0" applyNumberFormat="1" applyFont="1" applyBorder="1" applyAlignment="1">
      <alignment horizontal="center" vertical="center"/>
    </xf>
    <xf numFmtId="1" fontId="14" fillId="0" borderId="16" xfId="26" applyNumberFormat="1" applyFont="1" applyBorder="1" applyAlignment="1">
      <alignment horizontal="center" vertical="center" wrapText="1"/>
    </xf>
    <xf numFmtId="0" fontId="4" fillId="0" borderId="13" xfId="0" applyFont="1" applyBorder="1" applyAlignment="1">
      <alignment horizontal="justify" vertical="center" wrapText="1"/>
    </xf>
    <xf numFmtId="178" fontId="4" fillId="0" borderId="13" xfId="0" applyNumberFormat="1" applyFont="1" applyBorder="1" applyAlignment="1">
      <alignment horizontal="center" vertical="center"/>
    </xf>
    <xf numFmtId="0" fontId="4" fillId="0" borderId="13" xfId="0" applyFont="1" applyBorder="1" applyAlignment="1">
      <alignment horizontal="center" vertical="center"/>
    </xf>
    <xf numFmtId="49" fontId="4" fillId="0" borderId="13" xfId="0" applyNumberFormat="1" applyFont="1" applyBorder="1" applyAlignment="1">
      <alignment horizontal="center" vertical="center"/>
    </xf>
    <xf numFmtId="178" fontId="3" fillId="7" borderId="20" xfId="0" applyNumberFormat="1" applyFont="1" applyFill="1" applyBorder="1" applyAlignment="1">
      <alignment vertical="center"/>
    </xf>
    <xf numFmtId="44" fontId="4" fillId="0" borderId="0" xfId="29" applyFont="1"/>
    <xf numFmtId="178" fontId="4" fillId="0" borderId="0" xfId="0" applyNumberFormat="1" applyFont="1"/>
    <xf numFmtId="1" fontId="8" fillId="0" borderId="16" xfId="26" applyNumberFormat="1" applyFont="1" applyBorder="1" applyAlignment="1">
      <alignment horizontal="center" vertical="center" wrapText="1"/>
    </xf>
    <xf numFmtId="0" fontId="8" fillId="0" borderId="16" xfId="26" applyFont="1" applyBorder="1" applyAlignment="1">
      <alignment horizontal="justify" vertical="center" wrapText="1"/>
    </xf>
    <xf numFmtId="0" fontId="8" fillId="0" borderId="16" xfId="26" applyFont="1" applyBorder="1" applyAlignment="1">
      <alignment horizontal="center" vertical="center" wrapText="1"/>
    </xf>
    <xf numFmtId="0" fontId="8" fillId="0" borderId="16" xfId="26" applyFont="1" applyBorder="1" applyAlignment="1">
      <alignment horizontal="center" vertical="center"/>
    </xf>
    <xf numFmtId="9" fontId="4" fillId="0" borderId="5" xfId="0" applyNumberFormat="1" applyFont="1" applyBorder="1" applyAlignment="1">
      <alignment horizontal="center" vertical="center"/>
    </xf>
    <xf numFmtId="3" fontId="8" fillId="0" borderId="16" xfId="26" applyNumberFormat="1" applyFont="1" applyBorder="1" applyAlignment="1">
      <alignment horizontal="justify" vertical="center" wrapText="1"/>
    </xf>
    <xf numFmtId="44" fontId="4" fillId="0" borderId="5" xfId="0" applyNumberFormat="1" applyFont="1" applyBorder="1" applyAlignment="1">
      <alignment vertical="center"/>
    </xf>
    <xf numFmtId="0" fontId="14" fillId="0" borderId="16" xfId="19" applyBorder="1" applyAlignment="1">
      <alignment horizontal="justify" vertical="center" wrapText="1"/>
    </xf>
    <xf numFmtId="0" fontId="8" fillId="0" borderId="5" xfId="26" applyFont="1" applyBorder="1" applyAlignment="1">
      <alignment horizontal="justify" vertical="center" wrapText="1"/>
    </xf>
    <xf numFmtId="1" fontId="4" fillId="0" borderId="5" xfId="0" applyNumberFormat="1" applyFont="1" applyBorder="1" applyAlignment="1">
      <alignment vertical="center"/>
    </xf>
    <xf numFmtId="14" fontId="4" fillId="0" borderId="5" xfId="0" applyNumberFormat="1" applyFont="1" applyBorder="1" applyAlignment="1">
      <alignment vertical="center"/>
    </xf>
    <xf numFmtId="0" fontId="14" fillId="0" borderId="16" xfId="19" applyBorder="1" applyAlignment="1">
      <alignment horizontal="left" vertical="center" wrapText="1"/>
    </xf>
    <xf numFmtId="1" fontId="8" fillId="0" borderId="5" xfId="26" applyNumberFormat="1" applyFont="1" applyBorder="1" applyAlignment="1">
      <alignment horizontal="center" vertical="center" wrapText="1"/>
    </xf>
    <xf numFmtId="0" fontId="8" fillId="0" borderId="16" xfId="26" applyFont="1" applyBorder="1" applyAlignment="1">
      <alignment horizontal="justify" vertical="center"/>
    </xf>
    <xf numFmtId="44" fontId="4" fillId="0" borderId="13" xfId="0" applyNumberFormat="1" applyFont="1" applyBorder="1" applyAlignment="1">
      <alignment vertical="center"/>
    </xf>
    <xf numFmtId="44" fontId="3" fillId="18" borderId="20" xfId="0" applyNumberFormat="1" applyFont="1" applyFill="1" applyBorder="1" applyAlignment="1">
      <alignment vertical="center"/>
    </xf>
    <xf numFmtId="0" fontId="3" fillId="0" borderId="16" xfId="0" applyFont="1" applyBorder="1" applyAlignment="1" applyProtection="1">
      <alignment horizontal="center" vertical="center"/>
      <protection locked="0"/>
    </xf>
    <xf numFmtId="3" fontId="5" fillId="0" borderId="16" xfId="0" applyNumberFormat="1" applyFont="1" applyBorder="1" applyAlignment="1" applyProtection="1">
      <alignment horizontal="center" vertical="center" wrapText="1"/>
      <protection locked="0"/>
    </xf>
    <xf numFmtId="0" fontId="14" fillId="0" borderId="41" xfId="0" applyFont="1" applyBorder="1" applyProtection="1">
      <protection locked="0"/>
    </xf>
    <xf numFmtId="1" fontId="3" fillId="0" borderId="0" xfId="0" applyNumberFormat="1" applyFont="1" applyAlignment="1" applyProtection="1">
      <alignment horizontal="center" vertical="center"/>
      <protection locked="0"/>
    </xf>
    <xf numFmtId="1" fontId="5" fillId="6" borderId="16" xfId="0" applyNumberFormat="1" applyFont="1" applyFill="1" applyBorder="1" applyAlignment="1" applyProtection="1">
      <alignment horizontal="center" vertical="center" wrapText="1"/>
      <protection locked="0"/>
    </xf>
    <xf numFmtId="0" fontId="5" fillId="6" borderId="16" xfId="0" applyFont="1" applyFill="1" applyBorder="1" applyAlignment="1" applyProtection="1">
      <alignment horizontal="center" vertical="center" wrapText="1"/>
      <protection locked="0"/>
    </xf>
    <xf numFmtId="0" fontId="5" fillId="6" borderId="5" xfId="0" applyFont="1" applyFill="1" applyBorder="1" applyAlignment="1">
      <alignment horizontal="center" vertical="center" wrapText="1"/>
    </xf>
    <xf numFmtId="0" fontId="5" fillId="6" borderId="12" xfId="0" applyFont="1" applyFill="1" applyBorder="1" applyAlignment="1">
      <alignment horizontal="center" vertical="center" wrapText="1"/>
    </xf>
    <xf numFmtId="166" fontId="5" fillId="6" borderId="16" xfId="0" applyNumberFormat="1" applyFont="1" applyFill="1" applyBorder="1" applyAlignment="1" applyProtection="1">
      <alignment horizontal="center" vertical="center" wrapText="1"/>
      <protection locked="0"/>
    </xf>
    <xf numFmtId="167" fontId="5" fillId="6" borderId="47" xfId="0" applyNumberFormat="1" applyFont="1" applyFill="1" applyBorder="1" applyAlignment="1" applyProtection="1">
      <alignment horizontal="center" vertical="center" wrapText="1"/>
      <protection locked="0"/>
    </xf>
    <xf numFmtId="0" fontId="5" fillId="6" borderId="16" xfId="0" applyFont="1" applyFill="1" applyBorder="1" applyAlignment="1" applyProtection="1">
      <alignment horizontal="center" vertical="center" textRotation="90" wrapText="1"/>
      <protection locked="0"/>
    </xf>
    <xf numFmtId="49" fontId="5" fillId="6" borderId="16" xfId="0" applyNumberFormat="1" applyFont="1" applyFill="1" applyBorder="1" applyAlignment="1" applyProtection="1">
      <alignment horizontal="center" vertical="center" textRotation="90" wrapText="1"/>
      <protection locked="0"/>
    </xf>
    <xf numFmtId="0" fontId="8" fillId="0" borderId="9" xfId="0" applyFont="1" applyBorder="1" applyAlignment="1">
      <alignment horizontal="center" vertical="center" wrapText="1"/>
    </xf>
    <xf numFmtId="3" fontId="8" fillId="0" borderId="16" xfId="0" applyNumberFormat="1" applyFont="1" applyBorder="1" applyAlignment="1">
      <alignment horizontal="center" vertical="center"/>
    </xf>
    <xf numFmtId="0" fontId="8" fillId="0" borderId="16" xfId="0" applyFont="1" applyBorder="1" applyAlignment="1" applyProtection="1">
      <alignment horizontal="center" vertical="center" wrapText="1"/>
      <protection locked="0"/>
    </xf>
    <xf numFmtId="1" fontId="8" fillId="14" borderId="16" xfId="0" applyNumberFormat="1" applyFont="1" applyFill="1" applyBorder="1" applyAlignment="1" applyProtection="1">
      <alignment horizontal="center" vertical="center"/>
      <protection locked="0"/>
    </xf>
    <xf numFmtId="0" fontId="8" fillId="14" borderId="16" xfId="0" applyFont="1" applyFill="1" applyBorder="1" applyAlignment="1" applyProtection="1">
      <alignment horizontal="center" vertical="center"/>
      <protection locked="0"/>
    </xf>
    <xf numFmtId="166" fontId="8" fillId="14" borderId="16" xfId="0" applyNumberFormat="1" applyFont="1" applyFill="1" applyBorder="1" applyAlignment="1" applyProtection="1">
      <alignment horizontal="center" vertical="center"/>
      <protection locked="0"/>
    </xf>
    <xf numFmtId="176" fontId="5" fillId="14" borderId="16" xfId="0" applyNumberFormat="1" applyFont="1" applyFill="1" applyBorder="1" applyAlignment="1" applyProtection="1">
      <alignment horizontal="center" vertical="center"/>
      <protection locked="0"/>
    </xf>
    <xf numFmtId="14" fontId="8" fillId="14" borderId="16" xfId="0" applyNumberFormat="1" applyFont="1" applyFill="1" applyBorder="1" applyAlignment="1" applyProtection="1">
      <alignment horizontal="center" vertical="center"/>
      <protection locked="0"/>
    </xf>
    <xf numFmtId="1" fontId="4" fillId="0" borderId="0" xfId="0" applyNumberFormat="1" applyFont="1" applyAlignment="1" applyProtection="1">
      <alignment horizontal="center" vertical="center"/>
      <protection locked="0"/>
    </xf>
    <xf numFmtId="1" fontId="4" fillId="2" borderId="0" xfId="0" applyNumberFormat="1" applyFont="1" applyFill="1" applyAlignment="1" applyProtection="1">
      <alignment horizontal="center" vertical="center"/>
      <protection locked="0"/>
    </xf>
    <xf numFmtId="166" fontId="4" fillId="2" borderId="0" xfId="0" applyNumberFormat="1" applyFont="1" applyFill="1" applyAlignment="1" applyProtection="1">
      <alignment horizontal="center" vertical="center"/>
      <protection locked="0"/>
    </xf>
    <xf numFmtId="167" fontId="4"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wrapText="1"/>
      <protection locked="0"/>
    </xf>
    <xf numFmtId="14" fontId="4" fillId="0" borderId="0" xfId="0" applyNumberFormat="1" applyFont="1" applyAlignment="1" applyProtection="1">
      <alignment horizontal="center" vertical="center"/>
      <protection locked="0"/>
    </xf>
    <xf numFmtId="176" fontId="4" fillId="2" borderId="0" xfId="0" applyNumberFormat="1" applyFont="1" applyFill="1" applyAlignment="1" applyProtection="1">
      <alignment horizontal="center" vertical="center"/>
      <protection locked="0"/>
    </xf>
    <xf numFmtId="44" fontId="3" fillId="0" borderId="0" xfId="29" applyFont="1" applyFill="1" applyBorder="1" applyAlignment="1" applyProtection="1">
      <alignment horizontal="center" vertical="center"/>
      <protection locked="0"/>
    </xf>
    <xf numFmtId="0" fontId="3" fillId="2" borderId="0" xfId="0" applyFont="1" applyFill="1" applyAlignment="1" applyProtection="1">
      <alignment horizontal="center" vertical="center"/>
      <protection locked="0"/>
    </xf>
    <xf numFmtId="176" fontId="3" fillId="0" borderId="0" xfId="0" applyNumberFormat="1" applyFont="1" applyAlignment="1" applyProtection="1">
      <alignment horizontal="center" vertical="center" wrapText="1"/>
      <protection locked="0"/>
    </xf>
    <xf numFmtId="176" fontId="3" fillId="0" borderId="0" xfId="0" applyNumberFormat="1" applyFont="1" applyAlignment="1" applyProtection="1">
      <alignment horizontal="center" vertical="center"/>
      <protection locked="0"/>
    </xf>
    <xf numFmtId="0" fontId="4" fillId="2" borderId="0" xfId="0" applyFont="1" applyFill="1" applyAlignment="1" applyProtection="1">
      <alignment horizontal="center" vertical="center" wrapText="1"/>
      <protection locked="0"/>
    </xf>
    <xf numFmtId="0" fontId="4" fillId="0" borderId="0" xfId="0" applyFont="1" applyAlignment="1" applyProtection="1">
      <alignment wrapText="1"/>
      <protection locked="0"/>
    </xf>
    <xf numFmtId="0" fontId="8" fillId="0" borderId="5" xfId="27" applyNumberFormat="1" applyFont="1" applyBorder="1" applyAlignment="1">
      <alignment horizontal="center" vertical="center" wrapText="1"/>
    </xf>
    <xf numFmtId="173" fontId="8" fillId="0" borderId="5" xfId="27" applyFont="1" applyBorder="1" applyAlignment="1">
      <alignment horizontal="justify" vertical="center" wrapText="1"/>
    </xf>
    <xf numFmtId="0" fontId="8" fillId="2" borderId="5" xfId="0" applyFont="1" applyFill="1" applyBorder="1" applyAlignment="1">
      <alignment horizontal="center" vertical="center" wrapText="1"/>
    </xf>
    <xf numFmtId="0" fontId="8" fillId="2" borderId="5" xfId="0" applyFont="1" applyFill="1" applyBorder="1" applyAlignment="1">
      <alignment horizontal="center" vertical="center"/>
    </xf>
    <xf numFmtId="9" fontId="4" fillId="0" borderId="5" xfId="0" applyNumberFormat="1" applyFont="1" applyBorder="1" applyAlignment="1">
      <alignment horizontal="center" vertical="center" wrapText="1"/>
    </xf>
    <xf numFmtId="165" fontId="8" fillId="9" borderId="5" xfId="0" applyNumberFormat="1" applyFont="1" applyFill="1" applyBorder="1" applyAlignment="1">
      <alignment horizontal="justify" vertical="center" wrapText="1"/>
    </xf>
    <xf numFmtId="44" fontId="8" fillId="9" borderId="5" xfId="21" applyFont="1" applyFill="1" applyBorder="1" applyAlignment="1">
      <alignment horizontal="justify" vertical="center" wrapText="1"/>
    </xf>
    <xf numFmtId="0" fontId="4" fillId="0" borderId="5" xfId="0" applyFont="1" applyBorder="1" applyAlignment="1">
      <alignment vertical="center"/>
    </xf>
    <xf numFmtId="3" fontId="8" fillId="0" borderId="5" xfId="0" applyNumberFormat="1" applyFont="1" applyBorder="1" applyAlignment="1" applyProtection="1">
      <alignment horizontal="justify" vertical="center" wrapText="1"/>
      <protection locked="0"/>
    </xf>
    <xf numFmtId="0" fontId="8" fillId="0" borderId="5" xfId="0" applyFont="1" applyBorder="1" applyAlignment="1">
      <alignment horizontal="center" vertical="center"/>
    </xf>
    <xf numFmtId="165" fontId="8" fillId="0" borderId="5" xfId="0" applyNumberFormat="1" applyFont="1" applyBorder="1" applyAlignment="1">
      <alignment horizontal="center" vertical="center" wrapText="1"/>
    </xf>
    <xf numFmtId="3" fontId="8" fillId="0" borderId="5" xfId="0" applyNumberFormat="1" applyFont="1" applyBorder="1" applyAlignment="1">
      <alignment horizontal="center" vertical="center"/>
    </xf>
    <xf numFmtId="0" fontId="8" fillId="0" borderId="5" xfId="10" applyNumberFormat="1" applyFont="1" applyBorder="1" applyAlignment="1">
      <alignment horizontal="center" vertical="center" wrapText="1"/>
    </xf>
    <xf numFmtId="165" fontId="8" fillId="0" borderId="5" xfId="0" applyNumberFormat="1" applyFont="1" applyBorder="1" applyAlignment="1">
      <alignment horizontal="justify" vertical="center" wrapText="1"/>
    </xf>
    <xf numFmtId="44" fontId="4" fillId="0" borderId="0" xfId="21" applyFont="1"/>
    <xf numFmtId="0" fontId="5" fillId="0" borderId="0" xfId="0" applyFont="1" applyAlignment="1">
      <alignment horizontal="center"/>
    </xf>
    <xf numFmtId="0" fontId="3" fillId="0" borderId="16" xfId="18" applyFont="1" applyBorder="1" applyAlignment="1" applyProtection="1">
      <alignment horizontal="center" vertical="center"/>
      <protection locked="0"/>
    </xf>
    <xf numFmtId="0" fontId="4" fillId="0" borderId="0" xfId="18" applyFont="1"/>
    <xf numFmtId="14" fontId="5" fillId="0" borderId="5" xfId="18" applyNumberFormat="1" applyFont="1" applyBorder="1" applyAlignment="1">
      <alignment horizontal="center" wrapText="1"/>
    </xf>
    <xf numFmtId="3" fontId="5" fillId="0" borderId="16" xfId="18" applyNumberFormat="1" applyFont="1" applyBorder="1" applyAlignment="1" applyProtection="1">
      <alignment horizontal="center" vertical="center" wrapText="1"/>
      <protection locked="0"/>
    </xf>
    <xf numFmtId="0" fontId="4" fillId="0" borderId="0" xfId="18" applyFont="1" applyAlignment="1">
      <alignment wrapText="1"/>
    </xf>
    <xf numFmtId="0" fontId="3" fillId="0" borderId="3" xfId="18" applyFont="1" applyBorder="1" applyAlignment="1">
      <alignment horizontal="center" vertical="center"/>
    </xf>
    <xf numFmtId="0" fontId="3" fillId="19" borderId="31" xfId="18" applyFont="1" applyFill="1" applyBorder="1" applyAlignment="1">
      <alignment horizontal="center" vertical="center" wrapText="1"/>
    </xf>
    <xf numFmtId="0" fontId="3" fillId="19" borderId="13" xfId="18" applyFont="1" applyFill="1" applyBorder="1" applyAlignment="1">
      <alignment horizontal="center" vertical="center" wrapText="1"/>
    </xf>
    <xf numFmtId="0" fontId="3" fillId="19" borderId="14" xfId="18" applyFont="1" applyFill="1" applyBorder="1" applyAlignment="1">
      <alignment horizontal="center" vertical="center" wrapText="1"/>
    </xf>
    <xf numFmtId="44" fontId="3" fillId="19" borderId="13" xfId="29" applyFont="1" applyFill="1" applyBorder="1" applyAlignment="1">
      <alignment horizontal="center" vertical="center" wrapText="1"/>
    </xf>
    <xf numFmtId="0" fontId="15" fillId="19" borderId="5" xfId="18" applyFont="1" applyFill="1" applyBorder="1" applyAlignment="1">
      <alignment horizontal="center" vertical="center" textRotation="90" wrapText="1"/>
    </xf>
    <xf numFmtId="49" fontId="15" fillId="19" borderId="5" xfId="18" applyNumberFormat="1" applyFont="1" applyFill="1" applyBorder="1" applyAlignment="1">
      <alignment horizontal="center" vertical="center" textRotation="90" wrapText="1"/>
    </xf>
    <xf numFmtId="0" fontId="4" fillId="0" borderId="25" xfId="18" applyFont="1" applyBorder="1" applyAlignment="1">
      <alignment horizontal="center" vertical="center" wrapText="1"/>
    </xf>
    <xf numFmtId="0" fontId="4" fillId="0" borderId="25" xfId="18" applyFont="1" applyBorder="1" applyAlignment="1">
      <alignment vertical="center" wrapText="1"/>
    </xf>
    <xf numFmtId="1" fontId="4" fillId="0" borderId="25" xfId="18" applyNumberFormat="1" applyFont="1" applyBorder="1" applyAlignment="1">
      <alignment horizontal="center" vertical="center" wrapText="1"/>
    </xf>
    <xf numFmtId="9" fontId="4" fillId="0" borderId="25" xfId="18" applyNumberFormat="1" applyFont="1" applyBorder="1" applyAlignment="1">
      <alignment horizontal="center" vertical="center" wrapText="1"/>
    </xf>
    <xf numFmtId="0" fontId="14" fillId="0" borderId="25" xfId="18" applyFont="1" applyBorder="1" applyAlignment="1">
      <alignment vertical="center" wrapText="1"/>
    </xf>
    <xf numFmtId="0" fontId="14" fillId="0" borderId="43" xfId="18" applyFont="1" applyBorder="1" applyAlignment="1">
      <alignment vertical="center" wrapText="1"/>
    </xf>
    <xf numFmtId="44" fontId="14" fillId="0" borderId="5" xfId="29" applyFont="1" applyFill="1" applyBorder="1" applyAlignment="1">
      <alignment horizontal="center" vertical="center" wrapText="1"/>
    </xf>
    <xf numFmtId="0" fontId="8" fillId="0" borderId="5" xfId="18" applyFont="1" applyBorder="1" applyAlignment="1">
      <alignment horizontal="left" vertical="center" wrapText="1"/>
    </xf>
    <xf numFmtId="0" fontId="8" fillId="0" borderId="5" xfId="18" applyFont="1" applyBorder="1" applyAlignment="1">
      <alignment horizontal="center" vertical="center" wrapText="1"/>
    </xf>
    <xf numFmtId="0" fontId="8" fillId="0" borderId="12" xfId="18" applyFont="1" applyBorder="1" applyAlignment="1">
      <alignment horizontal="center" vertical="center" wrapText="1"/>
    </xf>
    <xf numFmtId="3" fontId="4" fillId="0" borderId="16" xfId="18" applyNumberFormat="1" applyFont="1" applyBorder="1" applyAlignment="1">
      <alignment horizontal="center" vertical="center"/>
    </xf>
    <xf numFmtId="3" fontId="14" fillId="0" borderId="16" xfId="18" applyNumberFormat="1" applyFont="1" applyBorder="1" applyAlignment="1">
      <alignment horizontal="center" vertical="center"/>
    </xf>
    <xf numFmtId="14" fontId="4" fillId="0" borderId="16" xfId="18" applyNumberFormat="1" applyFont="1" applyBorder="1" applyAlignment="1">
      <alignment horizontal="center" vertical="center" wrapText="1"/>
    </xf>
    <xf numFmtId="3" fontId="4" fillId="0" borderId="16" xfId="18" applyNumberFormat="1" applyFont="1" applyBorder="1" applyAlignment="1">
      <alignment horizontal="justify" vertical="center" wrapText="1"/>
    </xf>
    <xf numFmtId="0" fontId="4" fillId="0" borderId="16" xfId="18" applyFont="1" applyBorder="1" applyAlignment="1">
      <alignment horizontal="center" vertical="center" wrapText="1"/>
    </xf>
    <xf numFmtId="0" fontId="4" fillId="0" borderId="16" xfId="18" applyFont="1" applyBorder="1" applyAlignment="1">
      <alignment horizontal="justify" vertical="center" wrapText="1"/>
    </xf>
    <xf numFmtId="1" fontId="4" fillId="0" borderId="16" xfId="18" applyNumberFormat="1" applyFont="1" applyBorder="1" applyAlignment="1">
      <alignment horizontal="center" vertical="center" wrapText="1"/>
    </xf>
    <xf numFmtId="9" fontId="4" fillId="0" borderId="16" xfId="18" applyNumberFormat="1" applyFont="1" applyBorder="1" applyAlignment="1">
      <alignment horizontal="center" vertical="center" wrapText="1"/>
    </xf>
    <xf numFmtId="0" fontId="14" fillId="0" borderId="16" xfId="18" applyFont="1" applyBorder="1" applyAlignment="1">
      <alignment horizontal="justify" vertical="center" wrapText="1"/>
    </xf>
    <xf numFmtId="0" fontId="14" fillId="0" borderId="33" xfId="18" applyFont="1" applyBorder="1" applyAlignment="1">
      <alignment horizontal="justify" vertical="center" wrapText="1"/>
    </xf>
    <xf numFmtId="0" fontId="14" fillId="0" borderId="5" xfId="18" applyFont="1" applyBorder="1" applyAlignment="1">
      <alignment horizontal="left" vertical="center" wrapText="1"/>
    </xf>
    <xf numFmtId="3" fontId="4" fillId="0" borderId="16" xfId="18" applyNumberFormat="1" applyFont="1" applyBorder="1" applyAlignment="1">
      <alignment horizontal="center" vertical="center" wrapText="1"/>
    </xf>
    <xf numFmtId="0" fontId="4" fillId="0" borderId="16" xfId="18" applyFont="1" applyBorder="1" applyAlignment="1">
      <alignment horizontal="center" vertical="center"/>
    </xf>
    <xf numFmtId="0" fontId="4" fillId="9" borderId="5" xfId="4" applyFont="1" applyFill="1" applyBorder="1" applyAlignment="1">
      <alignment horizontal="center" vertical="center" wrapText="1"/>
    </xf>
    <xf numFmtId="0" fontId="4" fillId="0" borderId="17" xfId="18" applyFont="1" applyBorder="1" applyAlignment="1">
      <alignment horizontal="center" vertical="center" wrapText="1"/>
    </xf>
    <xf numFmtId="0" fontId="14" fillId="0" borderId="14" xfId="0" applyFont="1" applyBorder="1" applyAlignment="1">
      <alignment horizontal="justify" vertical="center" wrapText="1"/>
    </xf>
    <xf numFmtId="0" fontId="14" fillId="0" borderId="7" xfId="0" applyFont="1" applyBorder="1" applyAlignment="1">
      <alignment horizontal="center" vertical="center" wrapText="1"/>
    </xf>
    <xf numFmtId="0" fontId="14" fillId="0" borderId="14" xfId="8" applyFont="1" applyBorder="1" applyAlignment="1">
      <alignment horizontal="center" vertical="center" wrapText="1"/>
    </xf>
    <xf numFmtId="0" fontId="14" fillId="0" borderId="14" xfId="8" applyFont="1" applyBorder="1" applyAlignment="1">
      <alignment horizontal="justify" vertical="center" wrapText="1"/>
    </xf>
    <xf numFmtId="0" fontId="4" fillId="0" borderId="5" xfId="18" applyFont="1" applyBorder="1" applyAlignment="1">
      <alignment horizontal="center" vertical="center" wrapText="1"/>
    </xf>
    <xf numFmtId="44" fontId="14" fillId="0" borderId="5" xfId="29" applyFont="1" applyFill="1" applyBorder="1" applyAlignment="1">
      <alignment horizontal="center" vertical="center"/>
    </xf>
    <xf numFmtId="0" fontId="4" fillId="0" borderId="5" xfId="4" applyFont="1" applyBorder="1" applyAlignment="1">
      <alignment horizontal="center" vertical="center" wrapText="1"/>
    </xf>
    <xf numFmtId="14" fontId="4" fillId="0" borderId="16" xfId="18" applyNumberFormat="1" applyFont="1" applyBorder="1" applyAlignment="1">
      <alignment horizontal="justify" vertical="center" wrapText="1"/>
    </xf>
    <xf numFmtId="0" fontId="4" fillId="0" borderId="33" xfId="18" applyFont="1" applyBorder="1" applyAlignment="1">
      <alignment horizontal="justify" vertical="center" wrapText="1"/>
    </xf>
    <xf numFmtId="44" fontId="4" fillId="0" borderId="5" xfId="29" applyFont="1" applyFill="1" applyBorder="1" applyAlignment="1">
      <alignment horizontal="center" vertical="center" wrapText="1"/>
    </xf>
    <xf numFmtId="0" fontId="4" fillId="0" borderId="5" xfId="18" applyFont="1" applyBorder="1" applyAlignment="1">
      <alignment horizontal="left" vertical="center" wrapText="1"/>
    </xf>
    <xf numFmtId="0" fontId="4" fillId="0" borderId="12" xfId="18" applyFont="1" applyBorder="1" applyAlignment="1">
      <alignment horizontal="center" vertical="center" wrapText="1"/>
    </xf>
    <xf numFmtId="14" fontId="4" fillId="0" borderId="25" xfId="18" applyNumberFormat="1" applyFont="1" applyBorder="1" applyAlignment="1">
      <alignment horizontal="center" vertical="center" wrapText="1"/>
    </xf>
    <xf numFmtId="14" fontId="4" fillId="0" borderId="25" xfId="18" applyNumberFormat="1" applyFont="1" applyBorder="1" applyAlignment="1">
      <alignment horizontal="justify" vertical="center" wrapText="1"/>
    </xf>
    <xf numFmtId="14" fontId="4" fillId="0" borderId="17" xfId="18" applyNumberFormat="1" applyFont="1" applyBorder="1" applyAlignment="1">
      <alignment horizontal="center" vertical="center" wrapText="1"/>
    </xf>
    <xf numFmtId="14" fontId="4" fillId="0" borderId="17" xfId="18" applyNumberFormat="1" applyFont="1" applyBorder="1" applyAlignment="1">
      <alignment horizontal="justify" vertical="center" wrapText="1"/>
    </xf>
    <xf numFmtId="9" fontId="4" fillId="0" borderId="16" xfId="18" applyNumberFormat="1" applyFont="1" applyBorder="1" applyAlignment="1">
      <alignment horizontal="center" vertical="center"/>
    </xf>
    <xf numFmtId="14" fontId="4" fillId="0" borderId="16" xfId="18" applyNumberFormat="1" applyFont="1" applyBorder="1" applyAlignment="1">
      <alignment horizontal="center" vertical="center"/>
    </xf>
    <xf numFmtId="3" fontId="4" fillId="0" borderId="47" xfId="18" applyNumberFormat="1" applyFont="1" applyBorder="1" applyAlignment="1">
      <alignment horizontal="center" vertical="center" wrapText="1"/>
    </xf>
    <xf numFmtId="3" fontId="4" fillId="0" borderId="5" xfId="18" applyNumberFormat="1" applyFont="1" applyBorder="1" applyAlignment="1">
      <alignment horizontal="center" vertical="center" wrapText="1"/>
    </xf>
    <xf numFmtId="1" fontId="4" fillId="14" borderId="16" xfId="18" applyNumberFormat="1" applyFont="1" applyFill="1" applyBorder="1" applyAlignment="1" applyProtection="1">
      <alignment horizontal="center" vertical="center"/>
      <protection locked="0"/>
    </xf>
    <xf numFmtId="0" fontId="4" fillId="14" borderId="16" xfId="18" applyFont="1" applyFill="1" applyBorder="1" applyAlignment="1" applyProtection="1">
      <alignment horizontal="center" vertical="center"/>
      <protection locked="0"/>
    </xf>
    <xf numFmtId="9" fontId="4" fillId="14" borderId="16" xfId="18" applyNumberFormat="1" applyFont="1" applyFill="1" applyBorder="1" applyAlignment="1" applyProtection="1">
      <alignment horizontal="center" vertical="center"/>
      <protection locked="0"/>
    </xf>
    <xf numFmtId="0" fontId="4" fillId="14" borderId="16" xfId="18" applyFont="1" applyFill="1" applyBorder="1" applyAlignment="1" applyProtection="1">
      <alignment horizontal="center" vertical="center" wrapText="1"/>
      <protection locked="0"/>
    </xf>
    <xf numFmtId="0" fontId="3" fillId="14" borderId="33" xfId="18" applyFont="1" applyFill="1" applyBorder="1" applyAlignment="1" applyProtection="1">
      <alignment horizontal="center" vertical="center"/>
      <protection locked="0"/>
    </xf>
    <xf numFmtId="44" fontId="3" fillId="14" borderId="17" xfId="29" applyFont="1" applyFill="1" applyBorder="1" applyAlignment="1" applyProtection="1">
      <alignment horizontal="center" vertical="center"/>
      <protection locked="0"/>
    </xf>
    <xf numFmtId="181" fontId="3" fillId="14" borderId="23" xfId="18" applyNumberFormat="1" applyFont="1" applyFill="1" applyBorder="1" applyAlignment="1" applyProtection="1">
      <alignment horizontal="center" vertical="center" wrapText="1"/>
      <protection locked="0"/>
    </xf>
    <xf numFmtId="181" fontId="3" fillId="14" borderId="17" xfId="18" applyNumberFormat="1" applyFont="1" applyFill="1" applyBorder="1" applyAlignment="1" applyProtection="1">
      <alignment horizontal="left" vertical="center" wrapText="1"/>
      <protection locked="0"/>
    </xf>
    <xf numFmtId="1" fontId="4" fillId="14" borderId="17" xfId="18" applyNumberFormat="1" applyFont="1" applyFill="1" applyBorder="1" applyAlignment="1" applyProtection="1">
      <alignment horizontal="center" vertical="center"/>
      <protection locked="0"/>
    </xf>
    <xf numFmtId="0" fontId="4" fillId="14" borderId="17" xfId="18" applyFont="1" applyFill="1" applyBorder="1" applyAlignment="1" applyProtection="1">
      <alignment horizontal="center" vertical="center"/>
      <protection locked="0"/>
    </xf>
    <xf numFmtId="14" fontId="4" fillId="14" borderId="16" xfId="18" applyNumberFormat="1" applyFont="1" applyFill="1" applyBorder="1" applyAlignment="1" applyProtection="1">
      <alignment horizontal="center" vertical="center"/>
      <protection locked="0"/>
    </xf>
    <xf numFmtId="0" fontId="4" fillId="0" borderId="0" xfId="18" applyFont="1" applyAlignment="1" applyProtection="1">
      <alignment horizontal="center" wrapText="1"/>
      <protection locked="0"/>
    </xf>
    <xf numFmtId="0" fontId="14" fillId="5" borderId="11" xfId="0" applyFont="1" applyFill="1" applyBorder="1"/>
    <xf numFmtId="0" fontId="15" fillId="6" borderId="5" xfId="3" applyFont="1" applyFill="1" applyBorder="1" applyAlignment="1" applyProtection="1">
      <alignment horizontal="center" vertical="center" wrapText="1"/>
      <protection locked="0"/>
    </xf>
    <xf numFmtId="1" fontId="15" fillId="6" borderId="5" xfId="3" applyNumberFormat="1" applyFont="1" applyFill="1" applyBorder="1" applyAlignment="1">
      <alignment horizontal="center" vertical="center" wrapText="1"/>
    </xf>
    <xf numFmtId="0" fontId="14" fillId="7" borderId="19" xfId="0" applyFont="1" applyFill="1" applyBorder="1"/>
    <xf numFmtId="177" fontId="3" fillId="7" borderId="19" xfId="0" applyNumberFormat="1" applyFont="1" applyFill="1" applyBorder="1" applyAlignment="1">
      <alignment horizontal="right" vertical="center"/>
    </xf>
    <xf numFmtId="0" fontId="8" fillId="11" borderId="15" xfId="0" applyFont="1" applyFill="1" applyBorder="1" applyAlignment="1">
      <alignment horizontal="justify" vertical="center" wrapText="1"/>
    </xf>
    <xf numFmtId="1" fontId="8" fillId="11" borderId="15" xfId="0" applyNumberFormat="1" applyFont="1" applyFill="1" applyBorder="1" applyAlignment="1">
      <alignment horizontal="center" vertical="center" wrapText="1"/>
    </xf>
    <xf numFmtId="1" fontId="8" fillId="11" borderId="14" xfId="0" applyNumberFormat="1" applyFont="1" applyFill="1" applyBorder="1" applyAlignment="1">
      <alignment horizontal="justify" vertical="center" wrapText="1"/>
    </xf>
    <xf numFmtId="0" fontId="8" fillId="11" borderId="15" xfId="0" applyFont="1" applyFill="1" applyBorder="1" applyAlignment="1">
      <alignment horizontal="center" vertical="center" wrapText="1"/>
    </xf>
    <xf numFmtId="1" fontId="8" fillId="0" borderId="16" xfId="23" applyNumberFormat="1" applyFont="1" applyBorder="1" applyAlignment="1" applyProtection="1">
      <alignment horizontal="center" vertical="center" wrapText="1"/>
    </xf>
    <xf numFmtId="0" fontId="8" fillId="0" borderId="16" xfId="23" applyFont="1" applyBorder="1" applyAlignment="1" applyProtection="1">
      <alignment horizontal="justify" vertical="center" wrapText="1"/>
    </xf>
    <xf numFmtId="9" fontId="8" fillId="11" borderId="15" xfId="2" applyFont="1" applyFill="1" applyBorder="1" applyAlignment="1" applyProtection="1">
      <alignment horizontal="center" vertical="center" wrapText="1"/>
    </xf>
    <xf numFmtId="0" fontId="8" fillId="11" borderId="5" xfId="0" applyFont="1" applyFill="1" applyBorder="1" applyAlignment="1">
      <alignment horizontal="justify" vertical="center" wrapText="1"/>
    </xf>
    <xf numFmtId="0" fontId="14" fillId="0" borderId="5" xfId="0" applyFont="1" applyBorder="1" applyAlignment="1">
      <alignment horizontal="justify" vertical="center" wrapText="1"/>
    </xf>
    <xf numFmtId="0" fontId="8" fillId="0" borderId="9" xfId="0" applyFont="1" applyBorder="1" applyAlignment="1">
      <alignment horizontal="justify" vertical="center" wrapText="1"/>
    </xf>
    <xf numFmtId="178" fontId="15" fillId="0" borderId="5" xfId="24" applyFont="1" applyFill="1" applyBorder="1" applyAlignment="1">
      <alignment horizontal="center" vertical="center"/>
    </xf>
    <xf numFmtId="0" fontId="32" fillId="0" borderId="15" xfId="25" applyFont="1" applyBorder="1" applyAlignment="1" applyProtection="1">
      <alignment horizontal="left" vertical="center"/>
    </xf>
    <xf numFmtId="167" fontId="8" fillId="11" borderId="15" xfId="0" applyNumberFormat="1" applyFont="1" applyFill="1" applyBorder="1" applyAlignment="1">
      <alignment horizontal="justify" vertical="center" wrapText="1"/>
    </xf>
    <xf numFmtId="0" fontId="8" fillId="11" borderId="9" xfId="0" applyFont="1" applyFill="1" applyBorder="1" applyAlignment="1">
      <alignment horizontal="center" vertical="center" wrapText="1"/>
    </xf>
    <xf numFmtId="0" fontId="8" fillId="11" borderId="5" xfId="0" applyFont="1" applyFill="1" applyBorder="1" applyAlignment="1">
      <alignment horizontal="center" vertical="center" wrapText="1"/>
    </xf>
    <xf numFmtId="1" fontId="8" fillId="11" borderId="5" xfId="0" applyNumberFormat="1" applyFont="1" applyFill="1" applyBorder="1" applyAlignment="1">
      <alignment horizontal="center" vertical="center" wrapText="1"/>
    </xf>
    <xf numFmtId="1" fontId="8" fillId="11" borderId="5" xfId="0" applyNumberFormat="1" applyFont="1" applyFill="1" applyBorder="1" applyAlignment="1">
      <alignment horizontal="justify" vertical="center" wrapText="1"/>
    </xf>
    <xf numFmtId="9" fontId="8" fillId="11" borderId="9" xfId="2" applyFont="1" applyFill="1" applyBorder="1" applyAlignment="1" applyProtection="1">
      <alignment horizontal="center" vertical="center" wrapText="1"/>
    </xf>
    <xf numFmtId="0" fontId="8" fillId="0" borderId="15" xfId="0" applyFont="1" applyBorder="1" applyAlignment="1">
      <alignment horizontal="justify" vertical="center" wrapText="1"/>
    </xf>
    <xf numFmtId="0" fontId="32" fillId="0" borderId="5" xfId="25" applyFont="1" applyBorder="1" applyAlignment="1" applyProtection="1">
      <alignment horizontal="left" vertical="center"/>
    </xf>
    <xf numFmtId="9" fontId="8" fillId="11" borderId="12" xfId="2" applyFont="1" applyFill="1" applyBorder="1" applyAlignment="1" applyProtection="1">
      <alignment horizontal="center" vertical="center" wrapText="1"/>
    </xf>
    <xf numFmtId="167" fontId="8" fillId="11" borderId="5" xfId="0" applyNumberFormat="1" applyFont="1" applyFill="1" applyBorder="1" applyAlignment="1">
      <alignment horizontal="justify" vertical="center" wrapText="1"/>
    </xf>
    <xf numFmtId="179" fontId="3" fillId="7" borderId="20" xfId="0" applyNumberFormat="1" applyFont="1" applyFill="1" applyBorder="1" applyAlignment="1">
      <alignment vertical="center"/>
    </xf>
    <xf numFmtId="181" fontId="8" fillId="0" borderId="12" xfId="28" applyNumberFormat="1" applyFont="1" applyFill="1" applyBorder="1" applyAlignment="1" applyProtection="1">
      <alignment horizontal="center" vertical="center" wrapText="1"/>
    </xf>
    <xf numFmtId="0" fontId="5" fillId="21" borderId="28" xfId="0" applyFont="1" applyFill="1" applyBorder="1" applyAlignment="1">
      <alignment vertical="center" wrapText="1"/>
    </xf>
    <xf numFmtId="0" fontId="5" fillId="21" borderId="16" xfId="0" applyFont="1" applyFill="1" applyBorder="1" applyAlignment="1">
      <alignment vertical="center" wrapText="1"/>
    </xf>
    <xf numFmtId="168" fontId="8" fillId="0" borderId="17" xfId="0" applyNumberFormat="1" applyFont="1" applyBorder="1" applyAlignment="1">
      <alignment horizontal="center" vertical="center" wrapText="1"/>
    </xf>
    <xf numFmtId="168" fontId="8" fillId="0" borderId="25" xfId="0" applyNumberFormat="1" applyFont="1" applyBorder="1" applyAlignment="1">
      <alignment horizontal="center" vertical="center" wrapText="1"/>
    </xf>
    <xf numFmtId="168" fontId="8" fillId="0" borderId="33" xfId="0" applyNumberFormat="1" applyFont="1" applyBorder="1" applyAlignment="1">
      <alignment horizontal="center" vertical="center" wrapText="1"/>
    </xf>
    <xf numFmtId="0" fontId="8" fillId="0" borderId="12" xfId="4" applyFont="1" applyBorder="1" applyAlignment="1" applyProtection="1">
      <alignment horizontal="left" vertical="center" wrapText="1"/>
      <protection locked="0"/>
    </xf>
    <xf numFmtId="168" fontId="8" fillId="0" borderId="33" xfId="0" applyNumberFormat="1" applyFont="1" applyBorder="1" applyAlignment="1">
      <alignment horizontal="center" vertical="center"/>
    </xf>
    <xf numFmtId="168" fontId="8" fillId="0" borderId="35" xfId="0" applyNumberFormat="1" applyFont="1" applyBorder="1" applyAlignment="1">
      <alignment horizontal="center" vertical="center" wrapText="1"/>
    </xf>
    <xf numFmtId="44" fontId="22" fillId="7" borderId="32" xfId="29" applyFont="1" applyFill="1" applyBorder="1" applyAlignment="1">
      <alignment horizontal="center" vertical="center"/>
    </xf>
    <xf numFmtId="1" fontId="20" fillId="22" borderId="5" xfId="3" applyNumberFormat="1" applyFont="1" applyFill="1" applyBorder="1" applyAlignment="1">
      <alignment horizontal="center" vertical="center" wrapText="1"/>
    </xf>
    <xf numFmtId="44" fontId="3" fillId="7" borderId="19" xfId="21" applyFont="1" applyFill="1" applyBorder="1" applyAlignment="1">
      <alignment vertical="center"/>
    </xf>
    <xf numFmtId="0" fontId="5" fillId="3" borderId="16" xfId="0" applyFont="1" applyFill="1" applyBorder="1" applyAlignment="1" applyProtection="1">
      <alignment horizontal="center" vertical="center"/>
      <protection locked="0"/>
    </xf>
    <xf numFmtId="0" fontId="3" fillId="0" borderId="33" xfId="0" applyFont="1" applyBorder="1" applyAlignment="1" applyProtection="1">
      <alignment horizontal="center" vertical="center"/>
      <protection locked="0"/>
    </xf>
    <xf numFmtId="0" fontId="5" fillId="3" borderId="33" xfId="0" applyFont="1" applyFill="1" applyBorder="1" applyAlignment="1" applyProtection="1">
      <alignment horizontal="center" vertical="center"/>
      <protection locked="0"/>
    </xf>
    <xf numFmtId="0" fontId="3" fillId="4" borderId="11" xfId="18" applyFont="1" applyFill="1" applyBorder="1" applyAlignment="1">
      <alignment horizontal="center" vertical="center" wrapText="1"/>
    </xf>
    <xf numFmtId="0" fontId="24" fillId="3" borderId="3" xfId="3" applyFont="1" applyFill="1" applyBorder="1" applyAlignment="1">
      <alignment horizontal="center" vertical="center"/>
    </xf>
    <xf numFmtId="0" fontId="24" fillId="3" borderId="1" xfId="3" applyFont="1" applyFill="1" applyBorder="1" applyAlignment="1">
      <alignment horizontal="center" vertical="center"/>
    </xf>
    <xf numFmtId="4" fontId="4" fillId="23" borderId="5" xfId="0" applyNumberFormat="1" applyFont="1" applyFill="1" applyBorder="1" applyAlignment="1">
      <alignment horizontal="right" vertical="center"/>
    </xf>
    <xf numFmtId="165" fontId="8" fillId="0" borderId="16" xfId="14" applyFont="1" applyFill="1" applyBorder="1" applyAlignment="1">
      <alignment horizontal="center" vertical="center" wrapText="1"/>
    </xf>
    <xf numFmtId="167" fontId="4" fillId="2" borderId="16" xfId="0" applyNumberFormat="1" applyFont="1" applyFill="1" applyBorder="1" applyAlignment="1" applyProtection="1">
      <alignment horizontal="center" vertical="center"/>
      <protection locked="0"/>
    </xf>
    <xf numFmtId="0" fontId="4" fillId="0" borderId="16" xfId="0" applyFont="1" applyBorder="1" applyProtection="1">
      <protection locked="0"/>
    </xf>
    <xf numFmtId="165" fontId="8" fillId="0" borderId="10" xfId="14" applyFont="1" applyFill="1" applyBorder="1" applyAlignment="1">
      <alignment horizontal="center" vertical="center" wrapText="1"/>
    </xf>
    <xf numFmtId="189" fontId="8" fillId="0" borderId="33" xfId="0" applyNumberFormat="1" applyFont="1" applyBorder="1" applyAlignment="1">
      <alignment horizontal="center" vertical="center" wrapText="1"/>
    </xf>
    <xf numFmtId="189" fontId="8" fillId="0" borderId="33" xfId="0" applyNumberFormat="1" applyFont="1" applyBorder="1" applyAlignment="1">
      <alignment horizontal="center" vertical="center"/>
    </xf>
    <xf numFmtId="167" fontId="8" fillId="0" borderId="33" xfId="0" applyNumberFormat="1" applyFont="1" applyBorder="1" applyAlignment="1">
      <alignment horizontal="center" vertical="center"/>
    </xf>
    <xf numFmtId="181" fontId="8" fillId="0" borderId="33" xfId="0" applyNumberFormat="1" applyFont="1" applyBorder="1" applyAlignment="1">
      <alignment horizontal="center" vertical="center"/>
    </xf>
    <xf numFmtId="176" fontId="5" fillId="14" borderId="33" xfId="0" applyNumberFormat="1" applyFont="1" applyFill="1" applyBorder="1" applyAlignment="1" applyProtection="1">
      <alignment horizontal="center" vertical="center"/>
      <protection locked="0"/>
    </xf>
    <xf numFmtId="165" fontId="8" fillId="0" borderId="33" xfId="14" applyFont="1" applyFill="1" applyBorder="1" applyAlignment="1">
      <alignment horizontal="center" vertical="center" wrapText="1"/>
    </xf>
    <xf numFmtId="167" fontId="4" fillId="2" borderId="33" xfId="0" applyNumberFormat="1" applyFont="1" applyFill="1" applyBorder="1" applyAlignment="1" applyProtection="1">
      <alignment horizontal="center" vertical="center"/>
      <protection locked="0"/>
    </xf>
    <xf numFmtId="0" fontId="4" fillId="0" borderId="33" xfId="0" applyFont="1" applyBorder="1" applyProtection="1">
      <protection locked="0"/>
    </xf>
    <xf numFmtId="0" fontId="5" fillId="6" borderId="28" xfId="0" applyFont="1" applyFill="1" applyBorder="1" applyAlignment="1" applyProtection="1">
      <alignment horizontal="center" vertical="center" wrapText="1"/>
      <protection locked="0"/>
    </xf>
    <xf numFmtId="0" fontId="8" fillId="0" borderId="28" xfId="4" applyFont="1" applyBorder="1" applyAlignment="1">
      <alignment horizontal="center" vertical="center" wrapText="1"/>
    </xf>
    <xf numFmtId="0" fontId="14" fillId="0" borderId="28" xfId="4" applyFont="1" applyBorder="1" applyAlignment="1">
      <alignment horizontal="center" vertical="center" wrapText="1"/>
    </xf>
    <xf numFmtId="176" fontId="5" fillId="14" borderId="28" xfId="0" applyNumberFormat="1" applyFont="1" applyFill="1" applyBorder="1" applyAlignment="1" applyProtection="1">
      <alignment horizontal="center" vertical="center" wrapText="1"/>
      <protection locked="0"/>
    </xf>
    <xf numFmtId="167" fontId="5" fillId="6" borderId="16" xfId="3" applyNumberFormat="1" applyFont="1" applyFill="1" applyBorder="1" applyAlignment="1">
      <alignment horizontal="center" vertical="center" wrapText="1"/>
    </xf>
    <xf numFmtId="0" fontId="5" fillId="6" borderId="10" xfId="3" applyFont="1" applyFill="1" applyBorder="1" applyAlignment="1">
      <alignment horizontal="center" vertical="center" wrapText="1"/>
    </xf>
    <xf numFmtId="165" fontId="8" fillId="9" borderId="10" xfId="0" applyNumberFormat="1" applyFont="1" applyFill="1" applyBorder="1" applyAlignment="1">
      <alignment horizontal="justify" vertical="center" wrapText="1"/>
    </xf>
    <xf numFmtId="6" fontId="4" fillId="0" borderId="33" xfId="0" applyNumberFormat="1" applyFont="1" applyBorder="1" applyAlignment="1">
      <alignment vertical="center"/>
    </xf>
    <xf numFmtId="44" fontId="8" fillId="9" borderId="15" xfId="21" applyFont="1" applyFill="1" applyBorder="1" applyAlignment="1">
      <alignment horizontal="justify" vertical="center" wrapText="1"/>
    </xf>
    <xf numFmtId="6" fontId="4" fillId="0" borderId="13" xfId="0" applyNumberFormat="1" applyFont="1" applyBorder="1" applyAlignment="1">
      <alignment vertical="center"/>
    </xf>
    <xf numFmtId="44" fontId="4" fillId="0" borderId="15" xfId="21" applyFont="1" applyBorder="1" applyAlignment="1">
      <alignment vertical="center"/>
    </xf>
    <xf numFmtId="0" fontId="4" fillId="0" borderId="12" xfId="0" applyFont="1" applyBorder="1" applyAlignment="1">
      <alignment vertical="center"/>
    </xf>
    <xf numFmtId="0" fontId="5" fillId="4" borderId="10" xfId="13" applyFont="1" applyFill="1" applyBorder="1" applyAlignment="1" applyProtection="1">
      <alignment horizontal="center" vertical="center"/>
      <protection locked="0"/>
    </xf>
    <xf numFmtId="44" fontId="4" fillId="9" borderId="15" xfId="17" applyFont="1" applyFill="1" applyBorder="1" applyAlignment="1">
      <alignment horizontal="center" vertical="center"/>
    </xf>
    <xf numFmtId="8" fontId="8" fillId="9" borderId="23" xfId="13" applyNumberFormat="1" applyFont="1" applyFill="1" applyBorder="1" applyAlignment="1">
      <alignment horizontal="center" vertical="center" wrapText="1"/>
    </xf>
    <xf numFmtId="167" fontId="5" fillId="6" borderId="10" xfId="3" applyNumberFormat="1" applyFont="1" applyFill="1" applyBorder="1" applyAlignment="1">
      <alignment horizontal="center" vertical="center" wrapText="1"/>
    </xf>
    <xf numFmtId="0" fontId="5" fillId="4" borderId="2" xfId="13" applyFont="1" applyFill="1" applyBorder="1" applyAlignment="1" applyProtection="1">
      <alignment horizontal="center" vertical="center"/>
      <protection locked="0"/>
    </xf>
    <xf numFmtId="44" fontId="14" fillId="9" borderId="15" xfId="15" applyFont="1" applyFill="1" applyBorder="1" applyAlignment="1">
      <alignment vertical="center" wrapText="1"/>
    </xf>
    <xf numFmtId="185" fontId="14" fillId="0" borderId="13" xfId="7" applyNumberFormat="1" applyFont="1" applyFill="1" applyBorder="1" applyAlignment="1">
      <alignment horizontal="center" vertical="center" wrapText="1"/>
    </xf>
    <xf numFmtId="172" fontId="4" fillId="0" borderId="2" xfId="7" applyFont="1" applyFill="1" applyBorder="1" applyAlignment="1">
      <alignment horizontal="center" vertical="center" wrapText="1"/>
    </xf>
    <xf numFmtId="172" fontId="14" fillId="0" borderId="13" xfId="7" applyFont="1" applyFill="1" applyBorder="1" applyAlignment="1">
      <alignment horizontal="center" vertical="center" wrapText="1"/>
    </xf>
    <xf numFmtId="172" fontId="14" fillId="0" borderId="14" xfId="7" applyFont="1" applyFill="1" applyBorder="1" applyAlignment="1">
      <alignment horizontal="center" vertical="center" wrapText="1"/>
    </xf>
    <xf numFmtId="44" fontId="14" fillId="0" borderId="13" xfId="35" applyFont="1" applyFill="1" applyBorder="1" applyAlignment="1">
      <alignment horizontal="center" vertical="center" wrapText="1"/>
    </xf>
    <xf numFmtId="2" fontId="4" fillId="7" borderId="32" xfId="0" applyNumberFormat="1" applyFont="1" applyFill="1" applyBorder="1" applyAlignment="1">
      <alignment vertical="center"/>
    </xf>
    <xf numFmtId="43" fontId="25" fillId="7" borderId="19" xfId="28" applyFont="1" applyFill="1" applyBorder="1" applyAlignment="1">
      <alignment vertical="center"/>
    </xf>
    <xf numFmtId="178" fontId="15" fillId="0" borderId="15" xfId="24" applyFont="1" applyFill="1" applyBorder="1" applyAlignment="1">
      <alignment horizontal="center" vertical="center"/>
    </xf>
    <xf numFmtId="179" fontId="3" fillId="7" borderId="19" xfId="0" applyNumberFormat="1" applyFont="1" applyFill="1" applyBorder="1" applyAlignment="1">
      <alignment vertical="center"/>
    </xf>
    <xf numFmtId="165" fontId="4" fillId="0" borderId="5" xfId="0" applyNumberFormat="1" applyFont="1" applyBorder="1" applyAlignment="1">
      <alignment horizontal="justify" vertical="center"/>
    </xf>
    <xf numFmtId="183" fontId="4" fillId="0" borderId="5" xfId="0" applyNumberFormat="1" applyFont="1" applyBorder="1" applyAlignment="1">
      <alignment horizontal="justify" vertical="center"/>
    </xf>
    <xf numFmtId="185" fontId="14" fillId="0" borderId="16" xfId="7" applyNumberFormat="1" applyFont="1" applyFill="1" applyBorder="1" applyAlignment="1">
      <alignment horizontal="center" vertical="center" wrapText="1"/>
    </xf>
    <xf numFmtId="4" fontId="35" fillId="0" borderId="5" xfId="0" applyNumberFormat="1" applyFont="1" applyBorder="1" applyAlignment="1">
      <alignment horizontal="right" vertical="center"/>
    </xf>
    <xf numFmtId="4" fontId="35" fillId="23" borderId="5" xfId="0" applyNumberFormat="1" applyFont="1" applyFill="1" applyBorder="1" applyAlignment="1">
      <alignment horizontal="right" vertical="center"/>
    </xf>
    <xf numFmtId="181" fontId="4" fillId="24" borderId="5" xfId="0" applyNumberFormat="1" applyFont="1" applyFill="1" applyBorder="1" applyAlignment="1">
      <alignment horizontal="justify" vertical="center"/>
    </xf>
    <xf numFmtId="44" fontId="4" fillId="23" borderId="5" xfId="29" applyFont="1" applyFill="1" applyBorder="1" applyAlignment="1">
      <alignment horizontal="right" vertical="center"/>
    </xf>
    <xf numFmtId="3" fontId="8" fillId="0" borderId="16" xfId="28" applyNumberFormat="1" applyFont="1" applyFill="1" applyBorder="1" applyAlignment="1" applyProtection="1">
      <alignment horizontal="center" vertical="center" wrapText="1"/>
    </xf>
    <xf numFmtId="44" fontId="35" fillId="0" borderId="5" xfId="0" applyNumberFormat="1" applyFont="1" applyBorder="1" applyAlignment="1">
      <alignment vertical="center"/>
    </xf>
    <xf numFmtId="0" fontId="35" fillId="0" borderId="5" xfId="0" applyFont="1" applyBorder="1" applyAlignment="1">
      <alignment horizontal="justify" vertical="center" wrapText="1"/>
    </xf>
    <xf numFmtId="0" fontId="35" fillId="0" borderId="5" xfId="0" applyFont="1" applyBorder="1" applyAlignment="1">
      <alignment horizontal="center" vertical="center"/>
    </xf>
    <xf numFmtId="0" fontId="34" fillId="0" borderId="13" xfId="0" applyFont="1" applyBorder="1" applyAlignment="1">
      <alignment horizontal="center" vertical="center"/>
    </xf>
    <xf numFmtId="1" fontId="34" fillId="0" borderId="13" xfId="0" applyNumberFormat="1" applyFont="1" applyBorder="1" applyAlignment="1">
      <alignment horizontal="center" vertical="center"/>
    </xf>
    <xf numFmtId="3" fontId="35" fillId="0" borderId="5" xfId="0" applyNumberFormat="1" applyFont="1" applyBorder="1" applyAlignment="1">
      <alignment horizontal="center" vertical="center"/>
    </xf>
    <xf numFmtId="1" fontId="35" fillId="0" borderId="5" xfId="0" applyNumberFormat="1" applyFont="1" applyBorder="1" applyAlignment="1">
      <alignment horizontal="center" vertical="center"/>
    </xf>
    <xf numFmtId="0" fontId="35" fillId="0" borderId="5" xfId="0" applyFont="1" applyBorder="1" applyAlignment="1">
      <alignment horizontal="justify" vertical="center"/>
    </xf>
    <xf numFmtId="3" fontId="35" fillId="0" borderId="5" xfId="0" applyNumberFormat="1" applyFont="1" applyBorder="1" applyAlignment="1">
      <alignment horizontal="right" vertical="center"/>
    </xf>
    <xf numFmtId="188" fontId="35" fillId="0" borderId="5" xfId="0" applyNumberFormat="1" applyFont="1" applyBorder="1" applyAlignment="1">
      <alignment horizontal="right" vertical="center"/>
    </xf>
    <xf numFmtId="0" fontId="35" fillId="0" borderId="0" xfId="0" applyFont="1"/>
    <xf numFmtId="0" fontId="35" fillId="23" borderId="5" xfId="0" applyFont="1" applyFill="1" applyBorder="1" applyAlignment="1">
      <alignment horizontal="justify" vertical="center"/>
    </xf>
    <xf numFmtId="178" fontId="35" fillId="0" borderId="5" xfId="0" applyNumberFormat="1" applyFont="1" applyBorder="1" applyAlignment="1">
      <alignment horizontal="center" vertical="center"/>
    </xf>
    <xf numFmtId="190" fontId="6" fillId="0" borderId="0" xfId="0" applyNumberFormat="1" applyFont="1"/>
    <xf numFmtId="44" fontId="4" fillId="25" borderId="5" xfId="29" applyFont="1" applyFill="1" applyBorder="1" applyAlignment="1">
      <alignment horizontal="right" vertical="center"/>
    </xf>
    <xf numFmtId="44" fontId="8" fillId="0" borderId="5" xfId="29" applyFont="1" applyFill="1" applyBorder="1" applyAlignment="1">
      <alignment horizontal="right" vertical="center"/>
    </xf>
    <xf numFmtId="183" fontId="36" fillId="0" borderId="0" xfId="0" applyNumberFormat="1" applyFont="1"/>
    <xf numFmtId="4" fontId="4" fillId="0" borderId="5" xfId="0" applyNumberFormat="1" applyFont="1" applyBorder="1" applyAlignment="1">
      <alignment horizontal="justify" vertical="center"/>
    </xf>
    <xf numFmtId="0" fontId="4" fillId="9" borderId="5" xfId="0" applyFont="1" applyFill="1" applyBorder="1" applyAlignment="1">
      <alignment horizontal="justify" vertical="center"/>
    </xf>
    <xf numFmtId="183" fontId="4" fillId="26" borderId="5" xfId="0" applyNumberFormat="1" applyFont="1" applyFill="1" applyBorder="1" applyAlignment="1">
      <alignment horizontal="justify" vertical="center"/>
    </xf>
    <xf numFmtId="183" fontId="37" fillId="9" borderId="5" xfId="0" applyNumberFormat="1" applyFont="1" applyFill="1" applyBorder="1" applyAlignment="1">
      <alignment horizontal="justify" vertical="center"/>
    </xf>
    <xf numFmtId="44" fontId="4" fillId="27" borderId="5" xfId="29" applyFont="1" applyFill="1" applyBorder="1" applyAlignment="1">
      <alignment horizontal="right" vertical="center"/>
    </xf>
    <xf numFmtId="0" fontId="8" fillId="0" borderId="6" xfId="0" applyFont="1" applyBorder="1" applyAlignment="1">
      <alignment horizontal="left" vertical="center" wrapText="1"/>
    </xf>
    <xf numFmtId="44" fontId="14" fillId="9" borderId="57" xfId="17" applyFont="1" applyFill="1" applyBorder="1" applyAlignment="1">
      <alignment horizontal="center" vertical="center"/>
    </xf>
    <xf numFmtId="181" fontId="0" fillId="0" borderId="0" xfId="0" applyNumberFormat="1"/>
    <xf numFmtId="4" fontId="4" fillId="9" borderId="5" xfId="0" applyNumberFormat="1" applyFont="1" applyFill="1" applyBorder="1" applyAlignment="1">
      <alignment horizontal="right" vertical="center"/>
    </xf>
    <xf numFmtId="183" fontId="4" fillId="0" borderId="5" xfId="0" applyNumberFormat="1" applyFont="1" applyBorder="1" applyAlignment="1">
      <alignment horizontal="center" vertical="center"/>
    </xf>
    <xf numFmtId="4" fontId="35" fillId="9" borderId="5" xfId="0" applyNumberFormat="1" applyFont="1" applyFill="1" applyBorder="1" applyAlignment="1">
      <alignment horizontal="right" vertical="center"/>
    </xf>
    <xf numFmtId="4" fontId="4" fillId="0" borderId="16" xfId="22" applyNumberFormat="1" applyFont="1" applyBorder="1" applyAlignment="1">
      <alignment horizontal="center" vertical="center"/>
    </xf>
    <xf numFmtId="4" fontId="14" fillId="0" borderId="16" xfId="6" applyNumberFormat="1" applyFont="1" applyFill="1" applyBorder="1" applyAlignment="1">
      <alignment horizontal="center" vertical="center" wrapText="1"/>
    </xf>
    <xf numFmtId="184" fontId="4" fillId="0" borderId="16" xfId="0" applyNumberFormat="1" applyFont="1" applyBorder="1" applyAlignment="1">
      <alignment horizontal="center" vertical="center"/>
    </xf>
    <xf numFmtId="4" fontId="4" fillId="0" borderId="2" xfId="22" applyNumberFormat="1" applyFont="1" applyBorder="1" applyAlignment="1">
      <alignment horizontal="center" vertical="center"/>
    </xf>
    <xf numFmtId="4" fontId="14" fillId="0" borderId="10" xfId="6" applyNumberFormat="1" applyFont="1" applyFill="1" applyBorder="1" applyAlignment="1">
      <alignment horizontal="center" vertical="center" wrapText="1"/>
    </xf>
    <xf numFmtId="184" fontId="4" fillId="0" borderId="10" xfId="0" applyNumberFormat="1" applyFont="1" applyBorder="1" applyAlignment="1">
      <alignment horizontal="center" vertical="center"/>
    </xf>
    <xf numFmtId="4" fontId="4" fillId="0" borderId="10" xfId="0" applyNumberFormat="1" applyFont="1" applyBorder="1" applyAlignment="1">
      <alignment horizontal="center" vertical="center" wrapText="1"/>
    </xf>
    <xf numFmtId="4" fontId="4" fillId="0" borderId="12" xfId="0" applyNumberFormat="1" applyFont="1" applyBorder="1" applyAlignment="1">
      <alignment horizontal="center" vertical="center" wrapText="1"/>
    </xf>
    <xf numFmtId="176" fontId="8" fillId="0" borderId="17" xfId="0" applyNumberFormat="1" applyFont="1" applyBorder="1" applyAlignment="1">
      <alignment horizontal="center" vertical="center" wrapText="1"/>
    </xf>
    <xf numFmtId="4" fontId="14" fillId="0" borderId="25" xfId="6" applyNumberFormat="1" applyFont="1" applyFill="1" applyBorder="1" applyAlignment="1">
      <alignment horizontal="center" vertical="center" wrapText="1"/>
    </xf>
    <xf numFmtId="4" fontId="4" fillId="0" borderId="17" xfId="0" applyNumberFormat="1" applyFont="1" applyBorder="1" applyAlignment="1">
      <alignment horizontal="center" vertical="center" wrapText="1"/>
    </xf>
    <xf numFmtId="183" fontId="4" fillId="0" borderId="16" xfId="22" applyNumberFormat="1" applyFont="1" applyBorder="1" applyAlignment="1">
      <alignment horizontal="center" vertical="center" wrapText="1"/>
    </xf>
    <xf numFmtId="4" fontId="4" fillId="0" borderId="15" xfId="0" applyNumberFormat="1" applyFont="1" applyBorder="1" applyAlignment="1">
      <alignment horizontal="center" vertical="center" wrapText="1"/>
    </xf>
    <xf numFmtId="0" fontId="8" fillId="0" borderId="33" xfId="0" applyFont="1" applyBorder="1" applyAlignment="1">
      <alignment horizontal="justify" vertical="center" wrapText="1"/>
    </xf>
    <xf numFmtId="183" fontId="4" fillId="0" borderId="28" xfId="22" applyNumberFormat="1" applyFont="1" applyBorder="1" applyAlignment="1">
      <alignment horizontal="center" vertical="center" wrapText="1"/>
    </xf>
    <xf numFmtId="185" fontId="14" fillId="0" borderId="14" xfId="7" applyNumberFormat="1" applyFont="1" applyFill="1" applyBorder="1" applyAlignment="1">
      <alignment horizontal="center" vertical="center" wrapText="1"/>
    </xf>
    <xf numFmtId="4" fontId="4" fillId="0" borderId="16" xfId="0" applyNumberFormat="1" applyFont="1" applyBorder="1" applyAlignment="1">
      <alignment horizontal="center" vertical="center" wrapText="1"/>
    </xf>
    <xf numFmtId="3" fontId="4" fillId="0" borderId="16" xfId="22" applyNumberFormat="1" applyFont="1" applyBorder="1" applyAlignment="1">
      <alignment horizontal="center" vertical="center" wrapText="1"/>
    </xf>
    <xf numFmtId="183" fontId="4" fillId="0" borderId="2" xfId="22" applyNumberFormat="1" applyFont="1" applyBorder="1" applyAlignment="1">
      <alignment horizontal="center" vertical="center" wrapText="1"/>
    </xf>
    <xf numFmtId="4" fontId="4" fillId="0" borderId="13" xfId="0" applyNumberFormat="1" applyFont="1" applyBorder="1" applyAlignment="1">
      <alignment horizontal="center" vertical="center" wrapText="1"/>
    </xf>
    <xf numFmtId="4" fontId="4" fillId="0" borderId="17" xfId="22" applyNumberFormat="1" applyFont="1" applyBorder="1" applyAlignment="1">
      <alignment horizontal="center" vertical="center"/>
    </xf>
    <xf numFmtId="4" fontId="4" fillId="0" borderId="9" xfId="0" applyNumberFormat="1" applyFont="1" applyBorder="1" applyAlignment="1">
      <alignment horizontal="center" vertical="center" wrapText="1"/>
    </xf>
    <xf numFmtId="0" fontId="8" fillId="0" borderId="17" xfId="4" applyFont="1" applyBorder="1" applyAlignment="1">
      <alignment horizontal="center" vertical="center" wrapText="1"/>
    </xf>
    <xf numFmtId="181" fontId="8" fillId="0" borderId="5" xfId="0" applyNumberFormat="1" applyFont="1" applyBorder="1" applyAlignment="1">
      <alignment horizontal="center" vertical="center" wrapText="1"/>
    </xf>
    <xf numFmtId="181" fontId="6" fillId="0" borderId="0" xfId="0" applyNumberFormat="1" applyFont="1"/>
    <xf numFmtId="191" fontId="6" fillId="0" borderId="0" xfId="0" applyNumberFormat="1" applyFont="1"/>
    <xf numFmtId="44" fontId="4" fillId="0" borderId="5" xfId="15" applyFont="1" applyFill="1" applyBorder="1" applyAlignment="1">
      <alignment horizontal="center" vertical="center" wrapText="1"/>
    </xf>
    <xf numFmtId="10" fontId="4" fillId="0" borderId="5" xfId="2" applyNumberFormat="1" applyFont="1" applyBorder="1" applyAlignment="1">
      <alignment horizontal="center" vertical="center"/>
    </xf>
    <xf numFmtId="9" fontId="4" fillId="0" borderId="5" xfId="2" applyFont="1" applyFill="1" applyBorder="1" applyAlignment="1">
      <alignment horizontal="center" vertical="center"/>
    </xf>
    <xf numFmtId="178" fontId="4" fillId="23" borderId="5" xfId="0" applyNumberFormat="1" applyFont="1" applyFill="1" applyBorder="1" applyAlignment="1">
      <alignment horizontal="center" vertical="center"/>
    </xf>
    <xf numFmtId="9" fontId="8" fillId="0" borderId="28" xfId="13" applyNumberFormat="1" applyFont="1" applyBorder="1" applyAlignment="1">
      <alignment horizontal="center" vertical="center" wrapText="1"/>
    </xf>
    <xf numFmtId="0" fontId="30" fillId="0" borderId="0" xfId="0" applyFont="1" applyAlignment="1">
      <alignment horizontal="center" vertical="center"/>
    </xf>
    <xf numFmtId="0" fontId="3" fillId="0" borderId="0" xfId="0" applyFont="1" applyAlignment="1">
      <alignment horizontal="center"/>
    </xf>
    <xf numFmtId="0" fontId="8" fillId="11" borderId="13" xfId="0" applyFont="1" applyFill="1" applyBorder="1" applyAlignment="1">
      <alignment vertical="center" wrapText="1"/>
    </xf>
    <xf numFmtId="0" fontId="15" fillId="28" borderId="5" xfId="3" applyFont="1" applyFill="1" applyBorder="1" applyAlignment="1" applyProtection="1">
      <alignment horizontal="center" vertical="center" wrapText="1"/>
      <protection locked="0"/>
    </xf>
    <xf numFmtId="9" fontId="26" fillId="0" borderId="5" xfId="2" applyFont="1" applyBorder="1"/>
    <xf numFmtId="0" fontId="4" fillId="0" borderId="13" xfId="0" applyFont="1" applyBorder="1" applyAlignment="1">
      <alignment vertical="center"/>
    </xf>
    <xf numFmtId="1" fontId="8" fillId="0" borderId="29" xfId="23" applyNumberFormat="1" applyFont="1" applyBorder="1" applyAlignment="1" applyProtection="1">
      <alignment vertical="center" wrapText="1"/>
    </xf>
    <xf numFmtId="178" fontId="14" fillId="0" borderId="5" xfId="24" applyFont="1" applyFill="1" applyBorder="1" applyAlignment="1">
      <alignment horizontal="justify" vertical="center"/>
    </xf>
    <xf numFmtId="178" fontId="14" fillId="0" borderId="5" xfId="24" applyFont="1" applyFill="1" applyBorder="1" applyAlignment="1">
      <alignment horizontal="center" vertical="center"/>
    </xf>
    <xf numFmtId="0" fontId="8" fillId="0" borderId="28" xfId="0" applyFont="1" applyBorder="1" applyAlignment="1">
      <alignment horizontal="justify" vertical="center" wrapText="1"/>
    </xf>
    <xf numFmtId="0" fontId="8" fillId="0" borderId="28" xfId="0" applyFont="1" applyBorder="1" applyAlignment="1">
      <alignment horizontal="center" vertical="center" wrapText="1"/>
    </xf>
    <xf numFmtId="0" fontId="4" fillId="0" borderId="5" xfId="3" applyFont="1" applyBorder="1" applyAlignment="1" applyProtection="1">
      <alignment horizontal="center" vertical="center" wrapText="1"/>
      <protection locked="0"/>
    </xf>
    <xf numFmtId="0" fontId="14" fillId="0" borderId="5" xfId="3" applyFont="1" applyBorder="1" applyAlignment="1" applyProtection="1">
      <alignment horizontal="center" vertical="center" wrapText="1"/>
      <protection locked="0"/>
    </xf>
    <xf numFmtId="0" fontId="14" fillId="0" borderId="28" xfId="0" applyFont="1" applyBorder="1" applyAlignment="1">
      <alignment horizontal="center" vertical="center" wrapText="1"/>
    </xf>
    <xf numFmtId="1" fontId="8" fillId="0" borderId="28" xfId="0" applyNumberFormat="1" applyFont="1" applyBorder="1" applyAlignment="1">
      <alignment horizontal="center" vertical="center" wrapText="1"/>
    </xf>
    <xf numFmtId="3" fontId="14" fillId="0" borderId="13" xfId="0" applyNumberFormat="1" applyFont="1" applyBorder="1" applyAlignment="1">
      <alignment horizontal="center" vertical="center" wrapText="1"/>
    </xf>
    <xf numFmtId="0" fontId="29" fillId="0" borderId="9" xfId="0" applyFont="1" applyBorder="1" applyAlignment="1">
      <alignment horizontal="center" vertical="center" wrapText="1"/>
    </xf>
    <xf numFmtId="14" fontId="8" fillId="0" borderId="15" xfId="3" applyNumberFormat="1" applyFont="1" applyBorder="1" applyAlignment="1">
      <alignment horizontal="center" vertical="center" wrapText="1"/>
    </xf>
    <xf numFmtId="0" fontId="14" fillId="0" borderId="23" xfId="0" applyFont="1" applyBorder="1" applyAlignment="1">
      <alignment horizontal="center" vertical="center" wrapText="1"/>
    </xf>
    <xf numFmtId="185" fontId="4" fillId="0" borderId="5" xfId="31" applyNumberFormat="1" applyFont="1" applyBorder="1" applyAlignment="1">
      <alignment horizontal="center" vertical="center" wrapText="1"/>
    </xf>
    <xf numFmtId="185" fontId="4" fillId="0" borderId="13" xfId="31" applyNumberFormat="1" applyFont="1" applyBorder="1" applyAlignment="1">
      <alignment horizontal="center" vertical="center" wrapText="1"/>
    </xf>
    <xf numFmtId="0" fontId="14" fillId="0" borderId="5" xfId="0" applyFont="1" applyBorder="1" applyAlignment="1">
      <alignment vertical="center" wrapText="1"/>
    </xf>
    <xf numFmtId="0" fontId="14" fillId="0" borderId="5" xfId="8" applyFont="1" applyBorder="1" applyAlignment="1">
      <alignment vertical="center" wrapText="1"/>
    </xf>
    <xf numFmtId="0" fontId="8" fillId="0" borderId="42" xfId="0" applyFont="1" applyBorder="1" applyAlignment="1">
      <alignment horizontal="justify" vertical="center" wrapText="1"/>
    </xf>
    <xf numFmtId="3" fontId="14" fillId="0" borderId="16" xfId="0" applyNumberFormat="1" applyFont="1" applyBorder="1" applyAlignment="1">
      <alignment horizontal="center" vertical="center" wrapText="1"/>
    </xf>
    <xf numFmtId="185" fontId="4" fillId="0" borderId="15" xfId="31" applyNumberFormat="1" applyFont="1" applyBorder="1" applyAlignment="1">
      <alignment horizontal="center" vertical="center" wrapText="1"/>
    </xf>
    <xf numFmtId="185" fontId="4" fillId="0" borderId="14" xfId="31" applyNumberFormat="1" applyFont="1" applyBorder="1" applyAlignment="1">
      <alignment horizontal="center" vertical="center" wrapText="1"/>
    </xf>
    <xf numFmtId="3" fontId="14" fillId="0" borderId="14" xfId="0" applyNumberFormat="1" applyFont="1" applyBorder="1" applyAlignment="1">
      <alignment horizontal="center" vertical="center" wrapText="1"/>
    </xf>
    <xf numFmtId="0" fontId="8" fillId="0" borderId="34" xfId="0" applyFont="1" applyBorder="1" applyAlignment="1">
      <alignment horizontal="justify" vertical="center" wrapText="1"/>
    </xf>
    <xf numFmtId="0" fontId="4" fillId="0" borderId="13" xfId="3" applyFont="1" applyBorder="1" applyAlignment="1" applyProtection="1">
      <alignment horizontal="center" vertical="center" wrapText="1"/>
      <protection locked="0"/>
    </xf>
    <xf numFmtId="0" fontId="8" fillId="0" borderId="24" xfId="0" applyFont="1" applyBorder="1" applyAlignment="1">
      <alignment horizontal="center" vertical="center" wrapText="1"/>
    </xf>
    <xf numFmtId="0" fontId="14" fillId="0" borderId="13" xfId="3" applyFont="1" applyBorder="1" applyAlignment="1" applyProtection="1">
      <alignment horizontal="center" vertical="center" wrapText="1"/>
      <protection locked="0"/>
    </xf>
    <xf numFmtId="0" fontId="14" fillId="0" borderId="24" xfId="0" applyFont="1" applyBorder="1" applyAlignment="1">
      <alignment horizontal="center" vertical="center" wrapText="1"/>
    </xf>
    <xf numFmtId="1" fontId="8" fillId="0" borderId="34" xfId="0" applyNumberFormat="1" applyFont="1" applyBorder="1" applyAlignment="1">
      <alignment horizontal="center" vertical="center" wrapText="1"/>
    </xf>
    <xf numFmtId="185" fontId="4" fillId="0" borderId="13" xfId="31" applyNumberFormat="1" applyFont="1" applyBorder="1" applyAlignment="1">
      <alignment horizontal="justify" vertical="center" wrapText="1"/>
    </xf>
    <xf numFmtId="0" fontId="29" fillId="0" borderId="7" xfId="0" applyFont="1" applyBorder="1" applyAlignment="1">
      <alignment horizontal="center" vertical="center" wrapText="1"/>
    </xf>
    <xf numFmtId="0" fontId="8" fillId="0" borderId="13" xfId="3" applyFont="1" applyBorder="1" applyAlignment="1">
      <alignment horizontal="center" vertical="center" wrapText="1"/>
    </xf>
    <xf numFmtId="0" fontId="8" fillId="0" borderId="34" xfId="0" applyFont="1" applyBorder="1" applyAlignment="1">
      <alignment horizontal="center" vertical="center" wrapText="1"/>
    </xf>
    <xf numFmtId="185" fontId="4" fillId="0" borderId="10" xfId="31" applyNumberFormat="1" applyFont="1" applyBorder="1" applyAlignment="1">
      <alignment horizontal="center" vertical="center" wrapText="1"/>
    </xf>
    <xf numFmtId="185" fontId="4" fillId="0" borderId="16" xfId="31" applyNumberFormat="1" applyFont="1" applyBorder="1" applyAlignment="1">
      <alignment horizontal="center" vertical="center" wrapText="1"/>
    </xf>
    <xf numFmtId="3" fontId="14" fillId="0" borderId="4" xfId="0" applyNumberFormat="1" applyFont="1" applyBorder="1" applyAlignment="1">
      <alignment horizontal="center" vertical="center" wrapText="1"/>
    </xf>
    <xf numFmtId="0" fontId="29" fillId="0" borderId="5" xfId="0" applyFont="1" applyBorder="1" applyAlignment="1">
      <alignment horizontal="center" vertical="center" wrapText="1"/>
    </xf>
    <xf numFmtId="0" fontId="8" fillId="0" borderId="23" xfId="0" applyFont="1" applyBorder="1" applyAlignment="1">
      <alignment horizontal="justify" vertical="center" wrapText="1"/>
    </xf>
    <xf numFmtId="1" fontId="8" fillId="0" borderId="23" xfId="0" applyNumberFormat="1" applyFont="1" applyBorder="1" applyAlignment="1">
      <alignment horizontal="center" vertical="center" wrapText="1"/>
    </xf>
    <xf numFmtId="0" fontId="8" fillId="0" borderId="23" xfId="0" applyFont="1" applyBorder="1" applyAlignment="1">
      <alignment horizontal="center" vertical="center"/>
    </xf>
    <xf numFmtId="0" fontId="29" fillId="0" borderId="9"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horizontal="center" vertical="center" wrapText="1"/>
    </xf>
    <xf numFmtId="0" fontId="8" fillId="0" borderId="24" xfId="0" applyFont="1" applyBorder="1" applyAlignment="1">
      <alignment horizontal="justify" vertical="center" wrapText="1"/>
    </xf>
    <xf numFmtId="1" fontId="8" fillId="0" borderId="24" xfId="0" applyNumberFormat="1" applyFont="1" applyBorder="1" applyAlignment="1">
      <alignment horizontal="center" vertical="center" wrapText="1"/>
    </xf>
    <xf numFmtId="0" fontId="8" fillId="0" borderId="24" xfId="0" applyFont="1" applyBorder="1" applyAlignment="1">
      <alignment vertical="center" wrapText="1"/>
    </xf>
    <xf numFmtId="0" fontId="8" fillId="0" borderId="13" xfId="0" applyFont="1" applyBorder="1" applyAlignment="1">
      <alignment vertical="center" wrapText="1"/>
    </xf>
    <xf numFmtId="0" fontId="8" fillId="0" borderId="24" xfId="0" applyFont="1" applyBorder="1" applyAlignment="1">
      <alignment horizontal="center" vertical="center"/>
    </xf>
    <xf numFmtId="0" fontId="4" fillId="0" borderId="15" xfId="3" applyFont="1" applyBorder="1" applyAlignment="1" applyProtection="1">
      <alignment horizontal="center" vertical="center" wrapText="1"/>
      <protection locked="0"/>
    </xf>
    <xf numFmtId="0" fontId="14" fillId="0" borderId="15" xfId="3" applyFont="1" applyBorder="1" applyAlignment="1" applyProtection="1">
      <alignment horizontal="center" vertical="center" wrapText="1"/>
      <protection locked="0"/>
    </xf>
    <xf numFmtId="9" fontId="8" fillId="0" borderId="15" xfId="2" applyFont="1" applyFill="1" applyBorder="1" applyAlignment="1">
      <alignment horizontal="center" vertical="center" wrapText="1"/>
    </xf>
    <xf numFmtId="0" fontId="8" fillId="0" borderId="15" xfId="0" applyFont="1" applyBorder="1" applyAlignment="1">
      <alignment vertical="center" wrapText="1"/>
    </xf>
    <xf numFmtId="0" fontId="8" fillId="0" borderId="15" xfId="3" applyFont="1" applyBorder="1" applyAlignment="1">
      <alignment horizontal="center" vertical="center" wrapText="1"/>
    </xf>
    <xf numFmtId="0" fontId="4" fillId="0" borderId="5" xfId="3" applyFont="1" applyBorder="1" applyAlignment="1">
      <alignment horizontal="center"/>
    </xf>
    <xf numFmtId="0" fontId="4" fillId="0" borderId="5" xfId="0" applyFont="1" applyBorder="1" applyAlignment="1">
      <alignment horizontal="center"/>
    </xf>
    <xf numFmtId="14" fontId="8" fillId="0" borderId="5" xfId="0" applyNumberFormat="1" applyFont="1" applyBorder="1" applyAlignment="1">
      <alignment horizontal="center" vertical="center"/>
    </xf>
    <xf numFmtId="186" fontId="4" fillId="0" borderId="5" xfId="30" applyNumberFormat="1" applyFont="1" applyFill="1" applyBorder="1" applyAlignment="1">
      <alignment horizontal="center" vertical="center" wrapText="1"/>
    </xf>
    <xf numFmtId="3" fontId="14" fillId="0" borderId="5" xfId="0" quotePrefix="1" applyNumberFormat="1" applyFont="1" applyBorder="1" applyAlignment="1">
      <alignment horizontal="center" vertical="center" wrapText="1"/>
    </xf>
    <xf numFmtId="0" fontId="8" fillId="0" borderId="13" xfId="0" applyFont="1" applyBorder="1" applyAlignment="1">
      <alignment horizontal="center" vertical="center" wrapText="1"/>
    </xf>
    <xf numFmtId="0" fontId="14" fillId="0" borderId="13" xfId="8" applyFont="1" applyBorder="1" applyAlignment="1">
      <alignment horizontal="center" vertical="center" wrapText="1"/>
    </xf>
    <xf numFmtId="172" fontId="4" fillId="0" borderId="5" xfId="7" quotePrefix="1" applyFont="1" applyFill="1" applyBorder="1" applyAlignment="1">
      <alignment horizontal="center" vertical="center" wrapText="1"/>
    </xf>
    <xf numFmtId="167" fontId="4" fillId="0" borderId="5" xfId="33" applyNumberFormat="1" applyFont="1" applyBorder="1" applyAlignment="1">
      <alignment horizontal="center" vertical="center" wrapText="1"/>
    </xf>
    <xf numFmtId="3" fontId="14" fillId="0" borderId="5" xfId="33" applyNumberFormat="1" applyBorder="1" applyAlignment="1">
      <alignment horizontal="center" vertical="center" wrapText="1"/>
    </xf>
    <xf numFmtId="176" fontId="4" fillId="0" borderId="5" xfId="33" applyNumberFormat="1" applyFont="1" applyBorder="1" applyAlignment="1">
      <alignment horizontal="center" vertical="center" wrapText="1"/>
    </xf>
    <xf numFmtId="0" fontId="4" fillId="0" borderId="5" xfId="33" applyFont="1" applyBorder="1" applyAlignment="1">
      <alignment horizontal="center" vertical="center" wrapText="1"/>
    </xf>
    <xf numFmtId="0" fontId="4" fillId="0" borderId="5" xfId="33" quotePrefix="1" applyFont="1" applyBorder="1" applyAlignment="1">
      <alignment horizontal="center" vertical="center" wrapText="1"/>
    </xf>
    <xf numFmtId="178" fontId="4" fillId="0" borderId="5" xfId="24" applyFont="1" applyFill="1" applyBorder="1" applyAlignment="1">
      <alignment horizontal="center" vertical="center" wrapText="1"/>
    </xf>
    <xf numFmtId="44" fontId="4" fillId="0" borderId="5" xfId="17" applyFont="1" applyFill="1" applyBorder="1" applyAlignment="1">
      <alignment horizontal="center" vertical="center" wrapText="1"/>
    </xf>
    <xf numFmtId="44" fontId="14" fillId="0" borderId="5" xfId="17" applyFont="1" applyFill="1" applyBorder="1" applyAlignment="1">
      <alignment horizontal="center" vertical="center" wrapText="1"/>
    </xf>
    <xf numFmtId="3" fontId="14" fillId="0" borderId="5" xfId="33" quotePrefix="1" applyNumberFormat="1" applyBorder="1" applyAlignment="1">
      <alignment horizontal="center" vertical="center" wrapText="1"/>
    </xf>
    <xf numFmtId="44" fontId="4" fillId="0" borderId="5" xfId="35" applyFont="1" applyFill="1" applyBorder="1" applyAlignment="1">
      <alignment horizontal="center" vertical="center" wrapText="1"/>
    </xf>
    <xf numFmtId="44" fontId="4" fillId="0" borderId="5" xfId="0" applyNumberFormat="1" applyFont="1" applyBorder="1" applyAlignment="1">
      <alignment horizontal="center" vertical="center"/>
    </xf>
    <xf numFmtId="187" fontId="4" fillId="0" borderId="5" xfId="0" applyNumberFormat="1" applyFont="1" applyBorder="1" applyAlignment="1">
      <alignment horizontal="center" vertical="center"/>
    </xf>
    <xf numFmtId="3" fontId="4" fillId="0" borderId="5" xfId="0" applyNumberFormat="1" applyFont="1" applyBorder="1" applyAlignment="1">
      <alignment horizontal="center" vertical="center" wrapText="1"/>
    </xf>
    <xf numFmtId="0" fontId="16" fillId="0" borderId="5" xfId="0" applyFont="1" applyBorder="1" applyAlignment="1">
      <alignment horizontal="center" vertical="center"/>
    </xf>
    <xf numFmtId="180" fontId="4" fillId="0" borderId="5" xfId="30" applyNumberFormat="1" applyFont="1" applyFill="1" applyBorder="1" applyAlignment="1">
      <alignment horizontal="center" vertical="center"/>
    </xf>
    <xf numFmtId="0" fontId="14" fillId="0" borderId="13" xfId="0" applyFont="1" applyBorder="1" applyAlignment="1">
      <alignment horizontal="center" vertical="center" wrapText="1"/>
    </xf>
    <xf numFmtId="8" fontId="40" fillId="0" borderId="16" xfId="0" applyNumberFormat="1" applyFont="1" applyBorder="1"/>
    <xf numFmtId="0" fontId="14" fillId="0" borderId="16" xfId="0" applyFont="1" applyBorder="1" applyAlignment="1">
      <alignment horizontal="center" wrapText="1"/>
    </xf>
    <xf numFmtId="8" fontId="40" fillId="0" borderId="17" xfId="0" applyNumberFormat="1" applyFont="1" applyBorder="1"/>
    <xf numFmtId="0" fontId="14" fillId="0" borderId="17" xfId="0" applyFont="1" applyBorder="1" applyAlignment="1">
      <alignment horizontal="center" wrapText="1"/>
    </xf>
    <xf numFmtId="44" fontId="4" fillId="0" borderId="5" xfId="36" applyFont="1" applyFill="1" applyBorder="1" applyAlignment="1">
      <alignment horizontal="center" vertical="center" wrapText="1"/>
    </xf>
    <xf numFmtId="43" fontId="8" fillId="0" borderId="5" xfId="28" applyFont="1" applyFill="1" applyBorder="1" applyAlignment="1">
      <alignment horizontal="center" vertical="center"/>
    </xf>
    <xf numFmtId="172" fontId="14" fillId="0" borderId="5" xfId="37" applyFont="1" applyFill="1" applyBorder="1" applyAlignment="1">
      <alignment horizontal="center" vertical="center" wrapText="1"/>
    </xf>
    <xf numFmtId="0" fontId="4" fillId="0" borderId="5" xfId="0" applyFont="1" applyBorder="1" applyAlignment="1">
      <alignment horizontal="left"/>
    </xf>
    <xf numFmtId="0" fontId="14" fillId="0" borderId="5" xfId="0" applyFont="1" applyBorder="1" applyAlignment="1">
      <alignment horizontal="left"/>
    </xf>
    <xf numFmtId="177" fontId="14" fillId="0" borderId="5" xfId="0" applyNumberFormat="1" applyFont="1" applyBorder="1" applyAlignment="1">
      <alignment horizontal="left"/>
    </xf>
    <xf numFmtId="14" fontId="4" fillId="0" borderId="5" xfId="0" applyNumberFormat="1" applyFont="1" applyBorder="1" applyAlignment="1">
      <alignment horizontal="left"/>
    </xf>
    <xf numFmtId="0" fontId="4" fillId="0" borderId="0" xfId="0" applyFont="1" applyAlignment="1">
      <alignment horizontal="left"/>
    </xf>
    <xf numFmtId="0" fontId="5" fillId="6" borderId="5" xfId="3" applyFont="1" applyFill="1" applyBorder="1" applyAlignment="1">
      <alignment horizontal="justify" vertical="center" wrapText="1"/>
    </xf>
    <xf numFmtId="0" fontId="3" fillId="6" borderId="5" xfId="3" applyFont="1" applyFill="1" applyBorder="1" applyAlignment="1" applyProtection="1">
      <alignment horizontal="justify" vertical="center" wrapText="1"/>
      <protection locked="0"/>
    </xf>
    <xf numFmtId="0" fontId="20" fillId="6" borderId="5" xfId="3" applyFont="1" applyFill="1" applyBorder="1" applyAlignment="1">
      <alignment horizontal="justify" vertical="center" wrapText="1"/>
    </xf>
    <xf numFmtId="1" fontId="8" fillId="0" borderId="5" xfId="0" applyNumberFormat="1" applyFont="1" applyBorder="1" applyAlignment="1">
      <alignment horizontal="justify" vertical="center" wrapText="1"/>
    </xf>
    <xf numFmtId="0" fontId="6" fillId="0" borderId="0" xfId="0" applyFont="1" applyAlignment="1">
      <alignment horizontal="justify"/>
    </xf>
    <xf numFmtId="0" fontId="0" fillId="0" borderId="0" xfId="0" applyAlignment="1">
      <alignment horizontal="justify"/>
    </xf>
    <xf numFmtId="0" fontId="19" fillId="0" borderId="0" xfId="0" applyFont="1" applyAlignment="1">
      <alignment horizontal="justify"/>
    </xf>
    <xf numFmtId="0" fontId="18" fillId="6" borderId="5" xfId="3" applyFont="1" applyFill="1" applyBorder="1" applyAlignment="1" applyProtection="1">
      <alignment horizontal="justify" vertical="center" wrapText="1"/>
      <protection locked="0"/>
    </xf>
    <xf numFmtId="0" fontId="8" fillId="0" borderId="5" xfId="3" applyFont="1" applyBorder="1" applyAlignment="1">
      <alignment horizontal="justify" vertical="center" wrapText="1"/>
    </xf>
    <xf numFmtId="0" fontId="0" fillId="0" borderId="5" xfId="0" applyBorder="1" applyAlignment="1">
      <alignment horizontal="justify" vertical="center"/>
    </xf>
    <xf numFmtId="0" fontId="0" fillId="0" borderId="5" xfId="0" applyBorder="1" applyAlignment="1">
      <alignment horizontal="justify" vertical="center" wrapText="1"/>
    </xf>
    <xf numFmtId="0" fontId="19" fillId="0" borderId="0" xfId="0" applyFont="1" applyAlignment="1">
      <alignment horizontal="center"/>
    </xf>
    <xf numFmtId="0" fontId="4" fillId="7" borderId="19" xfId="0" applyFont="1" applyFill="1" applyBorder="1" applyAlignment="1">
      <alignment horizontal="justify"/>
    </xf>
    <xf numFmtId="0" fontId="4" fillId="0" borderId="0" xfId="0" applyFont="1" applyAlignment="1">
      <alignment horizontal="justify"/>
    </xf>
    <xf numFmtId="0" fontId="3" fillId="0" borderId="1" xfId="0" applyFont="1" applyBorder="1" applyAlignment="1" applyProtection="1">
      <alignment horizontal="justify" vertical="center"/>
      <protection locked="0"/>
    </xf>
    <xf numFmtId="0" fontId="30" fillId="0" borderId="0" xfId="0" applyFont="1" applyAlignment="1">
      <alignment horizontal="justify" vertical="center"/>
    </xf>
    <xf numFmtId="0" fontId="3" fillId="7" borderId="19" xfId="0" applyFont="1" applyFill="1" applyBorder="1" applyAlignment="1">
      <alignment horizontal="justify" vertical="center"/>
    </xf>
    <xf numFmtId="0" fontId="4" fillId="7" borderId="18" xfId="0" applyFont="1" applyFill="1" applyBorder="1" applyAlignment="1">
      <alignment horizontal="center"/>
    </xf>
    <xf numFmtId="0" fontId="4" fillId="0" borderId="0" xfId="0" applyFont="1" applyAlignment="1">
      <alignment horizontal="center"/>
    </xf>
    <xf numFmtId="0" fontId="4" fillId="7" borderId="19" xfId="0" applyFont="1" applyFill="1" applyBorder="1" applyAlignment="1">
      <alignment horizontal="center"/>
    </xf>
    <xf numFmtId="0" fontId="4" fillId="7" borderId="5" xfId="0" applyFont="1" applyFill="1" applyBorder="1" applyAlignment="1">
      <alignment horizontal="justify"/>
    </xf>
    <xf numFmtId="0" fontId="4" fillId="9" borderId="0" xfId="0" applyFont="1" applyFill="1" applyAlignment="1">
      <alignment horizontal="justify"/>
    </xf>
    <xf numFmtId="0" fontId="3" fillId="7" borderId="5" xfId="0" applyFont="1" applyFill="1" applyBorder="1" applyAlignment="1">
      <alignment horizontal="justify"/>
    </xf>
    <xf numFmtId="0" fontId="4" fillId="9" borderId="0" xfId="0" applyFont="1" applyFill="1" applyAlignment="1">
      <alignment horizontal="justify" vertical="center" wrapText="1"/>
    </xf>
    <xf numFmtId="0" fontId="33" fillId="21" borderId="16" xfId="0" applyFont="1" applyFill="1" applyBorder="1" applyAlignment="1">
      <alignment horizontal="center" vertical="center" wrapText="1"/>
    </xf>
    <xf numFmtId="0" fontId="33" fillId="21" borderId="28" xfId="0" applyFont="1" applyFill="1" applyBorder="1" applyAlignment="1">
      <alignment horizontal="center" vertical="center" wrapText="1"/>
    </xf>
    <xf numFmtId="0" fontId="4" fillId="7" borderId="5" xfId="0" applyFont="1" applyFill="1" applyBorder="1" applyAlignment="1">
      <alignment horizontal="center"/>
    </xf>
    <xf numFmtId="0" fontId="4" fillId="9" borderId="0" xfId="0" applyFont="1" applyFill="1" applyAlignment="1">
      <alignment horizontal="center"/>
    </xf>
    <xf numFmtId="0" fontId="14" fillId="0" borderId="5" xfId="11" applyFont="1" applyFill="1" applyBorder="1">
      <alignment horizontal="center" vertical="center" wrapText="1"/>
    </xf>
    <xf numFmtId="0" fontId="8" fillId="0" borderId="5" xfId="5" applyNumberFormat="1" applyFont="1" applyFill="1" applyBorder="1">
      <alignment horizontal="center" vertical="center" wrapText="1"/>
    </xf>
    <xf numFmtId="0" fontId="8" fillId="0" borderId="16" xfId="0" applyFont="1" applyBorder="1" applyAlignment="1">
      <alignment horizontal="justify" vertical="center"/>
    </xf>
    <xf numFmtId="0" fontId="5" fillId="21" borderId="16" xfId="0" applyFont="1" applyFill="1" applyBorder="1" applyAlignment="1">
      <alignment horizontal="center" vertical="center" wrapText="1"/>
    </xf>
    <xf numFmtId="0" fontId="5" fillId="21" borderId="28" xfId="0" applyFont="1" applyFill="1" applyBorder="1" applyAlignment="1">
      <alignment horizontal="center" vertical="center" wrapText="1"/>
    </xf>
    <xf numFmtId="10" fontId="4" fillId="0" borderId="0" xfId="0" applyNumberFormat="1" applyFont="1" applyAlignment="1">
      <alignment horizontal="center"/>
    </xf>
    <xf numFmtId="0" fontId="4" fillId="7" borderId="32" xfId="0" applyFont="1" applyFill="1" applyBorder="1" applyAlignment="1">
      <alignment horizontal="justify"/>
    </xf>
    <xf numFmtId="0" fontId="3" fillId="7" borderId="19" xfId="0" applyFont="1" applyFill="1" applyBorder="1" applyAlignment="1">
      <alignment horizontal="justify"/>
    </xf>
    <xf numFmtId="0" fontId="3" fillId="0" borderId="0" xfId="0" applyFont="1" applyAlignment="1">
      <alignment horizontal="justify"/>
    </xf>
    <xf numFmtId="0" fontId="14" fillId="0" borderId="13" xfId="0" applyFont="1" applyBorder="1" applyAlignment="1">
      <alignment horizontal="justify" vertical="center" wrapText="1"/>
    </xf>
    <xf numFmtId="0" fontId="14" fillId="0" borderId="15" xfId="0" applyFont="1" applyBorder="1" applyAlignment="1">
      <alignment horizontal="justify" vertical="center" wrapText="1"/>
    </xf>
    <xf numFmtId="0" fontId="8" fillId="14" borderId="16" xfId="0" applyFont="1" applyFill="1" applyBorder="1" applyAlignment="1" applyProtection="1">
      <alignment horizontal="justify" vertical="center"/>
      <protection locked="0"/>
    </xf>
    <xf numFmtId="0" fontId="4" fillId="0" borderId="0" xfId="0" applyFont="1" applyAlignment="1" applyProtection="1">
      <alignment horizontal="justify" vertical="center"/>
      <protection locked="0"/>
    </xf>
    <xf numFmtId="0" fontId="4" fillId="0" borderId="0" xfId="0" applyFont="1" applyAlignment="1" applyProtection="1">
      <alignment horizontal="justify"/>
      <protection locked="0"/>
    </xf>
    <xf numFmtId="0" fontId="3" fillId="0" borderId="0" xfId="0" applyFont="1" applyAlignment="1" applyProtection="1">
      <alignment horizontal="justify" vertical="center"/>
      <protection locked="0"/>
    </xf>
    <xf numFmtId="0" fontId="4" fillId="2" borderId="0" xfId="0" applyFont="1" applyFill="1" applyAlignment="1" applyProtection="1">
      <alignment horizontal="justify" vertical="center"/>
      <protection locked="0"/>
    </xf>
    <xf numFmtId="0" fontId="3" fillId="2" borderId="0" xfId="0" applyFont="1" applyFill="1" applyAlignment="1" applyProtection="1">
      <alignment horizontal="justify" vertical="center"/>
      <protection locked="0"/>
    </xf>
    <xf numFmtId="0" fontId="5" fillId="14" borderId="16" xfId="0" applyFont="1" applyFill="1" applyBorder="1" applyAlignment="1" applyProtection="1">
      <alignment horizontal="justify" vertical="center"/>
      <protection locked="0"/>
    </xf>
    <xf numFmtId="0" fontId="5" fillId="21" borderId="42" xfId="0" applyFont="1" applyFill="1" applyBorder="1" applyAlignment="1">
      <alignment horizontal="center" vertical="center" wrapText="1"/>
    </xf>
    <xf numFmtId="0" fontId="4" fillId="0" borderId="0" xfId="0" applyFont="1" applyAlignment="1" applyProtection="1">
      <alignment horizontal="center"/>
      <protection locked="0"/>
    </xf>
    <xf numFmtId="0" fontId="8" fillId="0" borderId="25" xfId="13" applyFont="1" applyBorder="1" applyAlignment="1" applyProtection="1">
      <alignment horizontal="justify" vertical="center"/>
      <protection locked="0"/>
    </xf>
    <xf numFmtId="0" fontId="5" fillId="14" borderId="16" xfId="13" applyFont="1" applyFill="1" applyBorder="1" applyAlignment="1" applyProtection="1">
      <alignment horizontal="justify" vertical="center" wrapText="1"/>
      <protection locked="0"/>
    </xf>
    <xf numFmtId="0" fontId="4" fillId="0" borderId="0" xfId="13" applyFont="1" applyAlignment="1" applyProtection="1">
      <alignment horizontal="justify" vertical="center" wrapText="1"/>
      <protection locked="0"/>
    </xf>
    <xf numFmtId="0" fontId="8" fillId="0" borderId="16" xfId="13" applyFont="1" applyBorder="1" applyAlignment="1" applyProtection="1">
      <alignment horizontal="justify" vertical="center"/>
      <protection locked="0"/>
    </xf>
    <xf numFmtId="0" fontId="4" fillId="2" borderId="0" xfId="13" applyFont="1" applyFill="1" applyAlignment="1" applyProtection="1">
      <alignment horizontal="justify" vertical="center" wrapText="1"/>
      <protection locked="0"/>
    </xf>
    <xf numFmtId="0" fontId="3" fillId="2" borderId="0" xfId="13" applyFont="1" applyFill="1" applyAlignment="1" applyProtection="1">
      <alignment horizontal="justify" vertical="center"/>
      <protection locked="0"/>
    </xf>
    <xf numFmtId="0" fontId="3" fillId="2" borderId="0" xfId="13" applyFont="1" applyFill="1" applyAlignment="1" applyProtection="1">
      <alignment horizontal="justify" vertical="center" wrapText="1"/>
      <protection locked="0"/>
    </xf>
    <xf numFmtId="0" fontId="5" fillId="14" borderId="16" xfId="13" applyFont="1" applyFill="1" applyBorder="1" applyAlignment="1" applyProtection="1">
      <alignment horizontal="justify" vertical="center"/>
      <protection locked="0"/>
    </xf>
    <xf numFmtId="0" fontId="8" fillId="0" borderId="0" xfId="0" applyFont="1" applyAlignment="1">
      <alignment horizontal="justify" vertical="center" wrapText="1"/>
    </xf>
    <xf numFmtId="49" fontId="14" fillId="9" borderId="0" xfId="2" applyNumberFormat="1" applyFont="1" applyFill="1" applyBorder="1" applyAlignment="1">
      <alignment horizontal="justify" vertical="center" wrapText="1"/>
    </xf>
    <xf numFmtId="0" fontId="15" fillId="9" borderId="1" xfId="0" applyFont="1" applyFill="1" applyBorder="1" applyAlignment="1" applyProtection="1">
      <alignment horizontal="justify" vertical="center"/>
      <protection locked="0"/>
    </xf>
    <xf numFmtId="0" fontId="15" fillId="28" borderId="5" xfId="3" applyFont="1" applyFill="1" applyBorder="1" applyAlignment="1" applyProtection="1">
      <alignment horizontal="justify" vertical="center" wrapText="1"/>
      <protection locked="0"/>
    </xf>
    <xf numFmtId="0" fontId="14" fillId="9" borderId="0" xfId="0" applyFont="1" applyFill="1" applyAlignment="1">
      <alignment horizontal="justify" vertical="center" wrapText="1"/>
    </xf>
    <xf numFmtId="0" fontId="14" fillId="9" borderId="32" xfId="0" applyFont="1" applyFill="1" applyBorder="1" applyAlignment="1">
      <alignment horizontal="justify"/>
    </xf>
    <xf numFmtId="0" fontId="14" fillId="9" borderId="0" xfId="0" applyFont="1" applyFill="1" applyAlignment="1">
      <alignment horizontal="justify"/>
    </xf>
    <xf numFmtId="0" fontId="3" fillId="7" borderId="32" xfId="0" applyFont="1" applyFill="1" applyBorder="1" applyAlignment="1">
      <alignment horizontal="justify" vertical="center"/>
    </xf>
    <xf numFmtId="0" fontId="3" fillId="4" borderId="11" xfId="18" applyFont="1" applyFill="1" applyBorder="1" applyAlignment="1">
      <alignment vertical="center" wrapText="1"/>
    </xf>
    <xf numFmtId="0" fontId="4" fillId="0" borderId="35" xfId="18" applyFont="1" applyBorder="1" applyAlignment="1">
      <alignment horizontal="center" vertical="center" wrapText="1"/>
    </xf>
    <xf numFmtId="0" fontId="3" fillId="19" borderId="5" xfId="18" applyFont="1" applyFill="1" applyBorder="1" applyAlignment="1">
      <alignment horizontal="center" vertical="center" wrapText="1"/>
    </xf>
    <xf numFmtId="0" fontId="15" fillId="0" borderId="1" xfId="0" applyFont="1" applyBorder="1" applyAlignment="1" applyProtection="1">
      <alignment horizontal="center" vertical="center"/>
      <protection locked="0"/>
    </xf>
    <xf numFmtId="0" fontId="14" fillId="0" borderId="5" xfId="0" applyFont="1" applyBorder="1" applyAlignment="1">
      <alignment horizontal="center"/>
    </xf>
    <xf numFmtId="0" fontId="14" fillId="7" borderId="19" xfId="0" applyFont="1" applyFill="1" applyBorder="1" applyAlignment="1">
      <alignment horizontal="center"/>
    </xf>
    <xf numFmtId="0" fontId="14" fillId="0" borderId="0" xfId="0" applyFont="1" applyAlignment="1">
      <alignment horizontal="center"/>
    </xf>
    <xf numFmtId="9" fontId="4" fillId="0" borderId="5" xfId="2" applyFont="1" applyFill="1" applyBorder="1" applyAlignment="1">
      <alignment horizontal="center"/>
    </xf>
    <xf numFmtId="0" fontId="15" fillId="0" borderId="1" xfId="0" applyFont="1" applyBorder="1" applyAlignment="1" applyProtection="1">
      <alignment horizontal="justify" vertical="center"/>
      <protection locked="0"/>
    </xf>
    <xf numFmtId="0" fontId="15" fillId="6" borderId="5" xfId="3" applyFont="1" applyFill="1" applyBorder="1" applyAlignment="1" applyProtection="1">
      <alignment horizontal="justify" vertical="center" wrapText="1"/>
      <protection locked="0"/>
    </xf>
    <xf numFmtId="0" fontId="14" fillId="7" borderId="19" xfId="0" applyFont="1" applyFill="1" applyBorder="1" applyAlignment="1">
      <alignment horizontal="justify"/>
    </xf>
    <xf numFmtId="0" fontId="14" fillId="0" borderId="0" xfId="0" applyFont="1" applyAlignment="1">
      <alignment horizontal="justify"/>
    </xf>
    <xf numFmtId="177" fontId="3" fillId="0" borderId="1" xfId="0" applyNumberFormat="1" applyFont="1" applyBorder="1" applyAlignment="1" applyProtection="1">
      <alignment horizontal="justify" vertical="center"/>
      <protection locked="0"/>
    </xf>
    <xf numFmtId="177" fontId="5" fillId="6" borderId="13" xfId="3" applyNumberFormat="1" applyFont="1" applyFill="1" applyBorder="1" applyAlignment="1">
      <alignment horizontal="justify" vertical="center" wrapText="1"/>
    </xf>
    <xf numFmtId="177" fontId="3" fillId="7" borderId="19" xfId="0" applyNumberFormat="1" applyFont="1" applyFill="1" applyBorder="1" applyAlignment="1">
      <alignment horizontal="justify" vertical="center"/>
    </xf>
    <xf numFmtId="177" fontId="4" fillId="0" borderId="0" xfId="0" applyNumberFormat="1" applyFont="1" applyAlignment="1">
      <alignment horizontal="justify"/>
    </xf>
    <xf numFmtId="1" fontId="5" fillId="6" borderId="5" xfId="3" applyNumberFormat="1" applyFont="1" applyFill="1" applyBorder="1" applyAlignment="1">
      <alignment horizontal="center" vertical="top" wrapText="1"/>
    </xf>
    <xf numFmtId="0" fontId="4" fillId="7" borderId="18" xfId="0" applyFont="1" applyFill="1" applyBorder="1" applyAlignment="1">
      <alignment horizontal="center" vertical="top"/>
    </xf>
    <xf numFmtId="0" fontId="4" fillId="0" borderId="0" xfId="0" applyFont="1" applyAlignment="1">
      <alignment horizontal="center" vertical="top"/>
    </xf>
    <xf numFmtId="1" fontId="14" fillId="23" borderId="5" xfId="28" applyNumberFormat="1" applyFont="1" applyFill="1" applyBorder="1" applyAlignment="1">
      <alignment horizontal="center" vertical="center"/>
    </xf>
    <xf numFmtId="0" fontId="35" fillId="0" borderId="5" xfId="0" applyFont="1" applyBorder="1" applyAlignment="1">
      <alignment horizontal="center" vertical="center" wrapText="1"/>
    </xf>
    <xf numFmtId="0" fontId="8" fillId="0" borderId="30" xfId="0" applyFont="1" applyBorder="1" applyAlignment="1">
      <alignment vertical="center" wrapText="1"/>
    </xf>
    <xf numFmtId="0" fontId="14" fillId="0" borderId="13" xfId="0" applyFont="1" applyBorder="1" applyAlignment="1">
      <alignment vertical="center" wrapText="1"/>
    </xf>
    <xf numFmtId="178" fontId="14" fillId="0" borderId="15" xfId="24" applyFont="1" applyFill="1" applyBorder="1" applyAlignment="1">
      <alignment horizontal="center" vertical="center"/>
    </xf>
    <xf numFmtId="179" fontId="3" fillId="7" borderId="32" xfId="0" applyNumberFormat="1" applyFont="1" applyFill="1" applyBorder="1" applyAlignment="1">
      <alignment vertical="center"/>
    </xf>
    <xf numFmtId="1" fontId="5" fillId="3" borderId="2" xfId="3" applyNumberFormat="1" applyFont="1" applyFill="1" applyBorder="1" applyAlignment="1">
      <alignment horizontal="center" vertical="center" wrapText="1"/>
    </xf>
    <xf numFmtId="1" fontId="5" fillId="3" borderId="4" xfId="3" applyNumberFormat="1" applyFont="1" applyFill="1" applyBorder="1" applyAlignment="1">
      <alignment horizontal="center" vertical="center" wrapText="1"/>
    </xf>
    <xf numFmtId="1" fontId="5" fillId="3" borderId="8" xfId="3" applyNumberFormat="1" applyFont="1" applyFill="1" applyBorder="1" applyAlignment="1">
      <alignment horizontal="center" vertical="center" wrapText="1"/>
    </xf>
    <xf numFmtId="1" fontId="5" fillId="3" borderId="9" xfId="3" applyNumberFormat="1" applyFont="1" applyFill="1" applyBorder="1" applyAlignment="1">
      <alignment horizontal="center" vertical="center" wrapText="1"/>
    </xf>
    <xf numFmtId="1" fontId="5" fillId="3" borderId="3" xfId="3" applyNumberFormat="1" applyFont="1" applyFill="1" applyBorder="1" applyAlignment="1">
      <alignment horizontal="center" vertical="center" wrapText="1"/>
    </xf>
    <xf numFmtId="1" fontId="5" fillId="3" borderId="1" xfId="3" applyNumberFormat="1"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2" fillId="0" borderId="0" xfId="0" applyFont="1" applyAlignment="1">
      <alignment horizontal="center" vertical="center"/>
    </xf>
    <xf numFmtId="0" fontId="2" fillId="0" borderId="1" xfId="0" applyFont="1" applyBorder="1" applyAlignment="1">
      <alignment horizontal="center" vertical="center"/>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5" fillId="3" borderId="13" xfId="3" applyFont="1" applyFill="1" applyBorder="1" applyAlignment="1">
      <alignment horizontal="center" vertical="center" wrapText="1"/>
    </xf>
    <xf numFmtId="0" fontId="5" fillId="3" borderId="14" xfId="3" applyFont="1" applyFill="1" applyBorder="1" applyAlignment="1">
      <alignment horizontal="center" vertical="center" wrapText="1"/>
    </xf>
    <xf numFmtId="0" fontId="5" fillId="3" borderId="15" xfId="3" applyFont="1" applyFill="1" applyBorder="1" applyAlignment="1">
      <alignment horizontal="center" vertical="center" wrapText="1"/>
    </xf>
    <xf numFmtId="3" fontId="5" fillId="3" borderId="5" xfId="3" applyNumberFormat="1" applyFont="1" applyFill="1" applyBorder="1" applyAlignment="1">
      <alignment horizontal="center" vertical="center" wrapText="1"/>
    </xf>
    <xf numFmtId="0" fontId="8" fillId="0" borderId="5" xfId="3" applyFont="1" applyBorder="1" applyAlignment="1">
      <alignment horizontal="center" vertical="center"/>
    </xf>
    <xf numFmtId="0" fontId="5" fillId="3" borderId="5" xfId="3" applyFont="1" applyFill="1" applyBorder="1" applyAlignment="1">
      <alignment horizontal="center" vertical="center" wrapText="1"/>
    </xf>
    <xf numFmtId="0" fontId="5" fillId="3" borderId="5" xfId="3" applyFont="1" applyFill="1" applyBorder="1" applyAlignment="1">
      <alignment horizontal="center" vertical="center"/>
    </xf>
    <xf numFmtId="0" fontId="5" fillId="3" borderId="5" xfId="3" applyFont="1" applyFill="1" applyBorder="1" applyAlignment="1">
      <alignment horizontal="center" vertical="center" textRotation="90" wrapText="1"/>
    </xf>
    <xf numFmtId="0" fontId="3" fillId="5" borderId="10" xfId="0" applyFont="1" applyFill="1" applyBorder="1" applyAlignment="1" applyProtection="1">
      <alignment horizontal="center" vertical="center"/>
      <protection locked="0"/>
    </xf>
    <xf numFmtId="0" fontId="3" fillId="5" borderId="11" xfId="0" applyFont="1" applyFill="1" applyBorder="1" applyAlignment="1" applyProtection="1">
      <alignment horizontal="center" vertical="center"/>
      <protection locked="0"/>
    </xf>
    <xf numFmtId="0" fontId="3" fillId="5" borderId="12" xfId="0" applyFont="1" applyFill="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2" xfId="0" applyFont="1" applyBorder="1" applyAlignment="1">
      <alignment horizontal="center" vertical="center" wrapText="1"/>
    </xf>
    <xf numFmtId="0" fontId="5" fillId="3" borderId="3" xfId="3" applyFont="1" applyFill="1" applyBorder="1" applyAlignment="1">
      <alignment horizontal="center" vertical="center"/>
    </xf>
    <xf numFmtId="0" fontId="5" fillId="3" borderId="1" xfId="3" applyFont="1" applyFill="1" applyBorder="1" applyAlignment="1">
      <alignment horizontal="center" vertical="center"/>
    </xf>
    <xf numFmtId="0" fontId="7" fillId="0" borderId="3" xfId="0" applyFont="1" applyBorder="1" applyAlignment="1">
      <alignment horizontal="center" vertical="center" wrapText="1"/>
    </xf>
    <xf numFmtId="0" fontId="7" fillId="0" borderId="0" xfId="0" applyFont="1" applyAlignment="1">
      <alignment horizontal="center" vertical="center"/>
    </xf>
    <xf numFmtId="0" fontId="11" fillId="0" borderId="5" xfId="0" applyFont="1" applyBorder="1" applyAlignment="1">
      <alignment horizontal="justify" vertical="center" wrapText="1"/>
    </xf>
    <xf numFmtId="0" fontId="11" fillId="0" borderId="12" xfId="0" applyFont="1" applyBorder="1" applyAlignment="1">
      <alignment horizontal="justify" vertical="center" wrapText="1"/>
    </xf>
    <xf numFmtId="0" fontId="7" fillId="0" borderId="3" xfId="0" applyFont="1" applyBorder="1" applyAlignment="1">
      <alignment horizontal="center" wrapText="1"/>
    </xf>
    <xf numFmtId="0" fontId="7" fillId="0" borderId="3" xfId="0" applyFont="1" applyBorder="1" applyAlignment="1">
      <alignment horizontal="justify" wrapText="1"/>
    </xf>
    <xf numFmtId="0" fontId="20" fillId="3" borderId="3" xfId="3" applyFont="1" applyFill="1" applyBorder="1" applyAlignment="1">
      <alignment horizontal="justify" vertical="center"/>
    </xf>
    <xf numFmtId="0" fontId="20" fillId="3" borderId="3" xfId="3" applyFont="1" applyFill="1" applyBorder="1" applyAlignment="1">
      <alignment horizontal="center" vertical="center"/>
    </xf>
    <xf numFmtId="0" fontId="20" fillId="3" borderId="1" xfId="3" applyFont="1" applyFill="1" applyBorder="1" applyAlignment="1">
      <alignment horizontal="justify" vertical="center"/>
    </xf>
    <xf numFmtId="0" fontId="20" fillId="3" borderId="1" xfId="3" applyFont="1" applyFill="1" applyBorder="1" applyAlignment="1">
      <alignment horizontal="center" vertical="center"/>
    </xf>
    <xf numFmtId="0" fontId="18" fillId="5" borderId="10" xfId="0" applyFont="1" applyFill="1" applyBorder="1" applyAlignment="1" applyProtection="1">
      <alignment horizontal="center" vertical="center"/>
      <protection locked="0"/>
    </xf>
    <xf numFmtId="0" fontId="18" fillId="5" borderId="11" xfId="0" applyFont="1" applyFill="1" applyBorder="1" applyAlignment="1" applyProtection="1">
      <alignment horizontal="center" vertical="center"/>
      <protection locked="0"/>
    </xf>
    <xf numFmtId="0" fontId="18" fillId="5" borderId="12" xfId="0" applyFont="1" applyFill="1" applyBorder="1" applyAlignment="1" applyProtection="1">
      <alignment horizontal="center" vertical="center"/>
      <protection locked="0"/>
    </xf>
    <xf numFmtId="0" fontId="20" fillId="3" borderId="13" xfId="3" applyFont="1" applyFill="1" applyBorder="1" applyAlignment="1">
      <alignment horizontal="center" vertical="center" wrapText="1"/>
    </xf>
    <xf numFmtId="0" fontId="20" fillId="3" borderId="14" xfId="3" applyFont="1" applyFill="1" applyBorder="1" applyAlignment="1">
      <alignment horizontal="center" vertical="center" wrapText="1"/>
    </xf>
    <xf numFmtId="0" fontId="20" fillId="3" borderId="15" xfId="3" applyFont="1" applyFill="1" applyBorder="1" applyAlignment="1">
      <alignment horizontal="center" vertical="center" wrapText="1"/>
    </xf>
    <xf numFmtId="0" fontId="18" fillId="0" borderId="0" xfId="0" applyFont="1" applyAlignment="1">
      <alignment horizontal="center"/>
    </xf>
    <xf numFmtId="0" fontId="18" fillId="0" borderId="1" xfId="0" applyFont="1" applyBorder="1" applyAlignment="1">
      <alignment horizontal="center"/>
    </xf>
    <xf numFmtId="0" fontId="18" fillId="0" borderId="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4" xfId="0" applyFont="1" applyBorder="1" applyAlignment="1" applyProtection="1">
      <alignment horizontal="center" vertical="center" wrapText="1"/>
      <protection locked="0"/>
    </xf>
    <xf numFmtId="0" fontId="18" fillId="0" borderId="6" xfId="0"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18" fillId="0" borderId="7" xfId="0" applyFont="1" applyBorder="1" applyAlignment="1" applyProtection="1">
      <alignment horizontal="center" vertical="center" wrapText="1"/>
      <protection locked="0"/>
    </xf>
    <xf numFmtId="0" fontId="18" fillId="0" borderId="8"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18" fillId="0" borderId="10" xfId="0" applyFont="1" applyBorder="1" applyAlignment="1" applyProtection="1">
      <alignment horizontal="center" vertical="center"/>
      <protection locked="0"/>
    </xf>
    <xf numFmtId="0" fontId="18" fillId="0" borderId="11" xfId="0" applyFont="1" applyBorder="1" applyAlignment="1" applyProtection="1">
      <alignment horizontal="center" vertical="center"/>
      <protection locked="0"/>
    </xf>
    <xf numFmtId="0" fontId="18" fillId="0" borderId="12" xfId="0" applyFont="1" applyBorder="1" applyAlignment="1" applyProtection="1">
      <alignment horizontal="center" vertical="center"/>
      <protection locked="0"/>
    </xf>
    <xf numFmtId="0" fontId="18" fillId="0" borderId="2" xfId="0" applyFont="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8" fillId="4" borderId="2"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18" fillId="4" borderId="9" xfId="0" applyFont="1" applyFill="1" applyBorder="1" applyAlignment="1">
      <alignment horizontal="center" vertical="center" wrapText="1"/>
    </xf>
    <xf numFmtId="1" fontId="20" fillId="3" borderId="2" xfId="3" applyNumberFormat="1" applyFont="1" applyFill="1" applyBorder="1" applyAlignment="1">
      <alignment horizontal="center" vertical="center" wrapText="1"/>
    </xf>
    <xf numFmtId="1" fontId="20" fillId="3" borderId="4" xfId="3" applyNumberFormat="1" applyFont="1" applyFill="1" applyBorder="1" applyAlignment="1">
      <alignment horizontal="justify" vertical="center" wrapText="1"/>
    </xf>
    <xf numFmtId="1" fontId="20" fillId="3" borderId="8" xfId="3" applyNumberFormat="1" applyFont="1" applyFill="1" applyBorder="1" applyAlignment="1">
      <alignment horizontal="center" vertical="center" wrapText="1"/>
    </xf>
    <xf numFmtId="1" fontId="20" fillId="3" borderId="9" xfId="3" applyNumberFormat="1" applyFont="1" applyFill="1" applyBorder="1" applyAlignment="1">
      <alignment horizontal="justify" vertical="center" wrapText="1"/>
    </xf>
    <xf numFmtId="1" fontId="20" fillId="3" borderId="4" xfId="3" applyNumberFormat="1" applyFont="1" applyFill="1" applyBorder="1" applyAlignment="1">
      <alignment horizontal="center" vertical="center" wrapText="1"/>
    </xf>
    <xf numFmtId="1" fontId="20" fillId="3" borderId="9" xfId="3" applyNumberFormat="1" applyFont="1" applyFill="1" applyBorder="1" applyAlignment="1">
      <alignment horizontal="center" vertical="center" wrapText="1"/>
    </xf>
    <xf numFmtId="1" fontId="20" fillId="3" borderId="3" xfId="3" applyNumberFormat="1" applyFont="1" applyFill="1" applyBorder="1" applyAlignment="1">
      <alignment horizontal="justify" vertical="center" wrapText="1"/>
    </xf>
    <xf numFmtId="1" fontId="20" fillId="3" borderId="3" xfId="3" applyNumberFormat="1" applyFont="1" applyFill="1" applyBorder="1" applyAlignment="1">
      <alignment horizontal="center" vertical="center" wrapText="1"/>
    </xf>
    <xf numFmtId="1" fontId="20" fillId="3" borderId="1" xfId="3" applyNumberFormat="1" applyFont="1" applyFill="1" applyBorder="1" applyAlignment="1">
      <alignment horizontal="justify" vertical="center" wrapText="1"/>
    </xf>
    <xf numFmtId="1" fontId="20" fillId="3" borderId="1" xfId="3" applyNumberFormat="1" applyFont="1" applyFill="1" applyBorder="1" applyAlignment="1">
      <alignment horizontal="center" vertical="center" wrapText="1"/>
    </xf>
    <xf numFmtId="0" fontId="18" fillId="4" borderId="3" xfId="0" applyFont="1" applyFill="1" applyBorder="1" applyAlignment="1">
      <alignment horizontal="justify" vertical="center" wrapText="1"/>
    </xf>
    <xf numFmtId="0" fontId="18" fillId="4" borderId="4" xfId="0" applyFont="1" applyFill="1" applyBorder="1" applyAlignment="1">
      <alignment horizontal="justify" vertical="center" wrapText="1"/>
    </xf>
    <xf numFmtId="0" fontId="18" fillId="4" borderId="1" xfId="0" applyFont="1" applyFill="1" applyBorder="1" applyAlignment="1">
      <alignment horizontal="justify" vertical="center" wrapText="1"/>
    </xf>
    <xf numFmtId="0" fontId="18" fillId="4" borderId="9" xfId="0" applyFont="1" applyFill="1" applyBorder="1" applyAlignment="1">
      <alignment horizontal="justify" vertical="center" wrapText="1"/>
    </xf>
    <xf numFmtId="3" fontId="20" fillId="3" borderId="5" xfId="3" applyNumberFormat="1" applyFont="1" applyFill="1" applyBorder="1" applyAlignment="1">
      <alignment horizontal="center" vertical="center" wrapText="1"/>
    </xf>
    <xf numFmtId="0" fontId="21" fillId="0" borderId="5" xfId="3" applyFont="1" applyBorder="1"/>
    <xf numFmtId="0" fontId="20" fillId="3" borderId="5" xfId="3" applyFont="1" applyFill="1" applyBorder="1" applyAlignment="1">
      <alignment horizontal="center" vertical="center" wrapText="1"/>
    </xf>
    <xf numFmtId="0" fontId="20" fillId="3" borderId="5" xfId="3" applyFont="1" applyFill="1" applyBorder="1" applyAlignment="1">
      <alignment horizontal="center" vertical="center"/>
    </xf>
    <xf numFmtId="0" fontId="20" fillId="3" borderId="5" xfId="3" applyFont="1" applyFill="1" applyBorder="1" applyAlignment="1">
      <alignment horizontal="center" vertical="center" textRotation="90"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0" fontId="8" fillId="0" borderId="5" xfId="3" applyFont="1" applyBorder="1"/>
    <xf numFmtId="0" fontId="4" fillId="0" borderId="5"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2" xfId="0" applyFont="1" applyBorder="1" applyAlignment="1">
      <alignment horizontal="center" vertical="center" wrapText="1"/>
    </xf>
    <xf numFmtId="0" fontId="15" fillId="0" borderId="1" xfId="0" applyFont="1" applyBorder="1" applyAlignment="1">
      <alignment horizontal="center" vertical="center"/>
    </xf>
    <xf numFmtId="0" fontId="3" fillId="0" borderId="3" xfId="0" applyFont="1" applyBorder="1" applyAlignment="1">
      <alignment horizontal="center" wrapText="1"/>
    </xf>
    <xf numFmtId="0" fontId="30" fillId="0" borderId="0" xfId="0" applyFont="1" applyAlignment="1">
      <alignment horizontal="center" vertical="center"/>
    </xf>
    <xf numFmtId="3" fontId="5" fillId="3" borderId="10" xfId="3" applyNumberFormat="1" applyFont="1" applyFill="1" applyBorder="1" applyAlignment="1">
      <alignment horizontal="center" vertical="center" wrapText="1"/>
    </xf>
    <xf numFmtId="3" fontId="5" fillId="3" borderId="11" xfId="3" applyNumberFormat="1" applyFont="1" applyFill="1" applyBorder="1" applyAlignment="1">
      <alignment horizontal="center" vertical="center" wrapText="1"/>
    </xf>
    <xf numFmtId="3" fontId="5" fillId="3" borderId="12" xfId="3" applyNumberFormat="1" applyFont="1" applyFill="1" applyBorder="1" applyAlignment="1">
      <alignment horizontal="center" vertical="center" wrapText="1"/>
    </xf>
    <xf numFmtId="0" fontId="5" fillId="3" borderId="10" xfId="3" applyFont="1" applyFill="1" applyBorder="1" applyAlignment="1">
      <alignment horizontal="center" vertical="center" wrapText="1"/>
    </xf>
    <xf numFmtId="0" fontId="5" fillId="3" borderId="11" xfId="3" applyFont="1" applyFill="1" applyBorder="1" applyAlignment="1">
      <alignment horizontal="center" vertical="center" wrapText="1"/>
    </xf>
    <xf numFmtId="0" fontId="5" fillId="3" borderId="12" xfId="3" applyFont="1" applyFill="1" applyBorder="1" applyAlignment="1">
      <alignment horizontal="center" vertical="center" wrapText="1"/>
    </xf>
    <xf numFmtId="0" fontId="5" fillId="3" borderId="10" xfId="3" applyFont="1" applyFill="1" applyBorder="1" applyAlignment="1">
      <alignment horizontal="center" vertical="center"/>
    </xf>
    <xf numFmtId="0" fontId="5" fillId="3" borderId="11" xfId="3" applyFont="1" applyFill="1" applyBorder="1" applyAlignment="1">
      <alignment horizontal="center" vertical="center"/>
    </xf>
    <xf numFmtId="0" fontId="5" fillId="3" borderId="12" xfId="3" applyFont="1" applyFill="1" applyBorder="1" applyAlignment="1">
      <alignment horizontal="center" vertical="center"/>
    </xf>
    <xf numFmtId="0" fontId="5" fillId="3" borderId="13" xfId="3" applyFont="1" applyFill="1" applyBorder="1" applyAlignment="1">
      <alignment horizontal="center" vertical="center" textRotation="90" wrapText="1"/>
    </xf>
    <xf numFmtId="0" fontId="5" fillId="3" borderId="49" xfId="3" applyFont="1" applyFill="1" applyBorder="1" applyAlignment="1">
      <alignment horizontal="center" vertical="center" textRotation="90" wrapText="1"/>
    </xf>
    <xf numFmtId="0" fontId="5" fillId="3" borderId="49" xfId="3" applyFont="1" applyFill="1" applyBorder="1" applyAlignment="1">
      <alignment horizontal="center" vertical="center" wrapText="1"/>
    </xf>
    <xf numFmtId="0" fontId="5" fillId="3" borderId="2" xfId="3" applyFont="1" applyFill="1" applyBorder="1" applyAlignment="1">
      <alignment horizontal="center" vertical="center"/>
    </xf>
    <xf numFmtId="0" fontId="5" fillId="3" borderId="8" xfId="3" applyFont="1" applyFill="1" applyBorder="1" applyAlignment="1">
      <alignment horizontal="center" vertical="center"/>
    </xf>
    <xf numFmtId="0" fontId="3" fillId="9" borderId="1" xfId="0" applyFont="1" applyFill="1" applyBorder="1" applyAlignment="1">
      <alignment horizontal="center"/>
    </xf>
    <xf numFmtId="0" fontId="5" fillId="3" borderId="15" xfId="3" applyFont="1" applyFill="1" applyBorder="1" applyAlignment="1">
      <alignment horizontal="center" vertical="center" textRotation="90" wrapText="1"/>
    </xf>
    <xf numFmtId="1" fontId="5" fillId="3" borderId="4" xfId="3" applyNumberFormat="1" applyFont="1" applyFill="1" applyBorder="1" applyAlignment="1">
      <alignment horizontal="justify" vertical="center" wrapText="1"/>
    </xf>
    <xf numFmtId="1" fontId="5" fillId="3" borderId="9" xfId="3" applyNumberFormat="1" applyFont="1" applyFill="1" applyBorder="1" applyAlignment="1">
      <alignment horizontal="justify" vertical="center" wrapText="1"/>
    </xf>
    <xf numFmtId="0" fontId="3" fillId="4" borderId="3"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 xfId="0" applyFont="1" applyFill="1" applyBorder="1" applyAlignment="1">
      <alignment horizontal="justify" vertical="center" wrapText="1"/>
    </xf>
    <xf numFmtId="0" fontId="3" fillId="4" borderId="9" xfId="0" applyFont="1" applyFill="1" applyBorder="1" applyAlignment="1">
      <alignment horizontal="justify" vertical="center" wrapText="1"/>
    </xf>
    <xf numFmtId="0" fontId="3" fillId="0" borderId="1" xfId="0" applyFont="1" applyBorder="1" applyAlignment="1">
      <alignment horizontal="justify"/>
    </xf>
    <xf numFmtId="0" fontId="3" fillId="0" borderId="2" xfId="0" applyFont="1" applyBorder="1" applyAlignment="1" applyProtection="1">
      <alignment horizontal="justify" vertical="center" wrapText="1"/>
      <protection locked="0"/>
    </xf>
    <xf numFmtId="0" fontId="3" fillId="0" borderId="3" xfId="0" applyFont="1" applyBorder="1" applyAlignment="1" applyProtection="1">
      <alignment horizontal="justify" vertical="center" wrapText="1"/>
      <protection locked="0"/>
    </xf>
    <xf numFmtId="0" fontId="3" fillId="0" borderId="4" xfId="0" applyFont="1" applyBorder="1" applyAlignment="1" applyProtection="1">
      <alignment horizontal="justify" vertical="center" wrapText="1"/>
      <protection locked="0"/>
    </xf>
    <xf numFmtId="0" fontId="3" fillId="0" borderId="6" xfId="0" applyFont="1" applyBorder="1" applyAlignment="1" applyProtection="1">
      <alignment horizontal="justify" vertical="center" wrapText="1"/>
      <protection locked="0"/>
    </xf>
    <xf numFmtId="0" fontId="3" fillId="0" borderId="0" xfId="0" applyFont="1" applyAlignment="1" applyProtection="1">
      <alignment horizontal="justify" vertical="center" wrapText="1"/>
      <protection locked="0"/>
    </xf>
    <xf numFmtId="0" fontId="3" fillId="0" borderId="7" xfId="0" applyFont="1" applyBorder="1" applyAlignment="1" applyProtection="1">
      <alignment horizontal="justify" vertical="center" wrapText="1"/>
      <protection locked="0"/>
    </xf>
    <xf numFmtId="0" fontId="3" fillId="0" borderId="8" xfId="0" applyFont="1" applyBorder="1" applyAlignment="1" applyProtection="1">
      <alignment horizontal="justify" vertical="center" wrapText="1"/>
      <protection locked="0"/>
    </xf>
    <xf numFmtId="0" fontId="3" fillId="0" borderId="1" xfId="0" applyFont="1" applyBorder="1" applyAlignment="1" applyProtection="1">
      <alignment horizontal="justify" vertical="center" wrapText="1"/>
      <protection locked="0"/>
    </xf>
    <xf numFmtId="0" fontId="3" fillId="0" borderId="9" xfId="0" applyFont="1" applyBorder="1" applyAlignment="1" applyProtection="1">
      <alignment horizontal="justify" vertical="center" wrapText="1"/>
      <protection locked="0"/>
    </xf>
    <xf numFmtId="0" fontId="3" fillId="0" borderId="11" xfId="0" applyFont="1" applyBorder="1" applyAlignment="1" applyProtection="1">
      <alignment horizontal="justify" vertical="center"/>
      <protection locked="0"/>
    </xf>
    <xf numFmtId="0" fontId="3" fillId="0" borderId="3" xfId="0" applyFont="1" applyBorder="1" applyAlignment="1" applyProtection="1">
      <alignment horizontal="justify" vertical="center"/>
      <protection locked="0"/>
    </xf>
    <xf numFmtId="0" fontId="3" fillId="0" borderId="3" xfId="0" applyFont="1" applyBorder="1" applyAlignment="1">
      <alignment horizontal="justify" wrapText="1"/>
    </xf>
    <xf numFmtId="0" fontId="4" fillId="0" borderId="5" xfId="0" applyFont="1" applyBorder="1" applyAlignment="1">
      <alignment horizontal="justify" vertical="center" wrapText="1"/>
    </xf>
    <xf numFmtId="0" fontId="4" fillId="0" borderId="12" xfId="0" applyFont="1" applyBorder="1" applyAlignment="1">
      <alignment horizontal="justify" vertical="center" wrapText="1"/>
    </xf>
    <xf numFmtId="0" fontId="5" fillId="3" borderId="3" xfId="3" applyFont="1" applyFill="1" applyBorder="1" applyAlignment="1">
      <alignment horizontal="justify" vertical="center"/>
    </xf>
    <xf numFmtId="0" fontId="5" fillId="3" borderId="1" xfId="3" applyFont="1" applyFill="1" applyBorder="1" applyAlignment="1">
      <alignment horizontal="justify" vertical="center"/>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1" xfId="0" applyFont="1" applyBorder="1" applyAlignment="1">
      <alignment horizontal="center" vertical="center"/>
    </xf>
    <xf numFmtId="0" fontId="31" fillId="0" borderId="5"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12" xfId="0" applyFont="1" applyBorder="1" applyAlignment="1">
      <alignment horizontal="center" vertical="center" wrapText="1"/>
    </xf>
    <xf numFmtId="0" fontId="5" fillId="3" borderId="0" xfId="3" applyFont="1" applyFill="1" applyAlignment="1">
      <alignment horizontal="center" vertical="center"/>
    </xf>
    <xf numFmtId="3" fontId="5" fillId="3" borderId="5" xfId="3" applyNumberFormat="1" applyFont="1" applyFill="1" applyBorder="1" applyAlignment="1">
      <alignment horizontal="center" vertical="center"/>
    </xf>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1" xfId="0" applyFont="1" applyFill="1" applyBorder="1" applyAlignment="1">
      <alignment horizontal="center" vertical="center"/>
    </xf>
    <xf numFmtId="0" fontId="3" fillId="4" borderId="9" xfId="0" applyFont="1" applyFill="1" applyBorder="1" applyAlignment="1">
      <alignment horizontal="center" vertical="center"/>
    </xf>
    <xf numFmtId="0" fontId="5" fillId="3" borderId="4" xfId="3" applyFont="1" applyFill="1" applyBorder="1" applyAlignment="1">
      <alignment horizontal="center" vertical="center" textRotation="90"/>
    </xf>
    <xf numFmtId="0" fontId="5" fillId="3" borderId="7" xfId="3" applyFont="1" applyFill="1" applyBorder="1" applyAlignment="1">
      <alignment horizontal="center" vertical="center" textRotation="90"/>
    </xf>
    <xf numFmtId="0" fontId="5" fillId="3" borderId="9" xfId="3" applyFont="1" applyFill="1" applyBorder="1" applyAlignment="1">
      <alignment horizontal="center" vertical="center" textRotation="90"/>
    </xf>
    <xf numFmtId="0" fontId="3" fillId="0" borderId="4"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1" fontId="5" fillId="3" borderId="2" xfId="3" applyNumberFormat="1" applyFont="1" applyFill="1" applyBorder="1" applyAlignment="1">
      <alignment horizontal="center" vertical="center"/>
    </xf>
    <xf numFmtId="1" fontId="5" fillId="3" borderId="4" xfId="3" applyNumberFormat="1" applyFont="1" applyFill="1" applyBorder="1" applyAlignment="1">
      <alignment horizontal="center" vertical="center"/>
    </xf>
    <xf numFmtId="1" fontId="5" fillId="3" borderId="8" xfId="3" applyNumberFormat="1" applyFont="1" applyFill="1" applyBorder="1" applyAlignment="1">
      <alignment horizontal="center" vertical="center"/>
    </xf>
    <xf numFmtId="1" fontId="5" fillId="3" borderId="9" xfId="3" applyNumberFormat="1" applyFont="1" applyFill="1" applyBorder="1" applyAlignment="1">
      <alignment horizontal="center" vertical="center"/>
    </xf>
    <xf numFmtId="1" fontId="5" fillId="3" borderId="3" xfId="3" applyNumberFormat="1" applyFont="1" applyFill="1" applyBorder="1" applyAlignment="1">
      <alignment horizontal="center" vertical="center"/>
    </xf>
    <xf numFmtId="1" fontId="5" fillId="3" borderId="1" xfId="3" applyNumberFormat="1" applyFont="1" applyFill="1" applyBorder="1" applyAlignment="1">
      <alignment horizontal="center" vertical="center"/>
    </xf>
    <xf numFmtId="0" fontId="4" fillId="0" borderId="0" xfId="0" applyFont="1" applyProtection="1">
      <protection locked="0"/>
    </xf>
    <xf numFmtId="0" fontId="14" fillId="0" borderId="24" xfId="0" applyFont="1" applyBorder="1" applyProtection="1">
      <protection locked="0"/>
    </xf>
    <xf numFmtId="0" fontId="14" fillId="0" borderId="26" xfId="0" applyFont="1" applyBorder="1" applyProtection="1">
      <protection locked="0"/>
    </xf>
    <xf numFmtId="0" fontId="14" fillId="0" borderId="23" xfId="0" applyFont="1" applyBorder="1" applyProtection="1">
      <protection locked="0"/>
    </xf>
    <xf numFmtId="0" fontId="3" fillId="0" borderId="41" xfId="0" applyFont="1" applyBorder="1" applyAlignment="1" applyProtection="1">
      <alignment horizontal="center" vertical="center"/>
      <protection locked="0"/>
    </xf>
    <xf numFmtId="0" fontId="14" fillId="0" borderId="41" xfId="0" applyFont="1" applyBorder="1" applyProtection="1">
      <protection locked="0"/>
    </xf>
    <xf numFmtId="0" fontId="3" fillId="0" borderId="33" xfId="0" applyFont="1" applyBorder="1" applyAlignment="1" applyProtection="1">
      <alignment horizontal="center" vertical="center"/>
      <protection locked="0"/>
    </xf>
    <xf numFmtId="0" fontId="14" fillId="0" borderId="42" xfId="0" applyFont="1" applyBorder="1" applyProtection="1">
      <protection locked="0"/>
    </xf>
    <xf numFmtId="0" fontId="14" fillId="0" borderId="28" xfId="0" applyFont="1" applyBorder="1" applyProtection="1">
      <protection locked="0"/>
    </xf>
    <xf numFmtId="0" fontId="3" fillId="18" borderId="36" xfId="0" applyFont="1" applyFill="1" applyBorder="1" applyAlignment="1" applyProtection="1">
      <alignment horizontal="center" vertical="center"/>
      <protection locked="0"/>
    </xf>
    <xf numFmtId="0" fontId="14" fillId="18" borderId="0" xfId="0" applyFont="1" applyFill="1" applyProtection="1">
      <protection locked="0"/>
    </xf>
    <xf numFmtId="0" fontId="14" fillId="18" borderId="24" xfId="0" applyFont="1" applyFill="1" applyBorder="1" applyProtection="1">
      <protection locked="0"/>
    </xf>
    <xf numFmtId="0" fontId="5" fillId="3" borderId="43" xfId="0" applyFont="1" applyFill="1" applyBorder="1" applyAlignment="1" applyProtection="1">
      <alignment horizontal="center" vertical="center" textRotation="90" wrapText="1"/>
      <protection locked="0"/>
    </xf>
    <xf numFmtId="0" fontId="5" fillId="3" borderId="46" xfId="0" applyFont="1" applyFill="1" applyBorder="1" applyAlignment="1" applyProtection="1">
      <alignment horizontal="center" vertical="center" textRotation="90" wrapText="1"/>
      <protection locked="0"/>
    </xf>
    <xf numFmtId="0" fontId="5" fillId="3" borderId="48" xfId="0" applyFont="1" applyFill="1" applyBorder="1" applyAlignment="1" applyProtection="1">
      <alignment horizontal="center" vertical="center" textRotation="90" wrapText="1"/>
      <protection locked="0"/>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49" xfId="0" applyFont="1" applyFill="1" applyBorder="1" applyAlignment="1">
      <alignment horizontal="center" vertical="center" wrapText="1"/>
    </xf>
    <xf numFmtId="1" fontId="5" fillId="3" borderId="16" xfId="0" applyNumberFormat="1" applyFont="1" applyFill="1" applyBorder="1" applyAlignment="1" applyProtection="1">
      <alignment horizontal="center" vertical="center" wrapText="1"/>
      <protection locked="0"/>
    </xf>
    <xf numFmtId="0" fontId="8" fillId="0" borderId="16" xfId="0" applyFont="1" applyBorder="1" applyAlignment="1" applyProtection="1">
      <alignment horizontal="center" vertical="center"/>
      <protection locked="0"/>
    </xf>
    <xf numFmtId="1" fontId="5" fillId="3" borderId="44" xfId="0" applyNumberFormat="1" applyFont="1" applyFill="1" applyBorder="1" applyAlignment="1" applyProtection="1">
      <alignment horizontal="center" vertical="center" wrapText="1"/>
      <protection locked="0"/>
    </xf>
    <xf numFmtId="1" fontId="5" fillId="3" borderId="45" xfId="0" applyNumberFormat="1" applyFont="1" applyFill="1" applyBorder="1" applyAlignment="1" applyProtection="1">
      <alignment horizontal="center" vertical="center" wrapText="1"/>
      <protection locked="0"/>
    </xf>
    <xf numFmtId="0" fontId="5" fillId="3" borderId="33" xfId="0" applyFont="1" applyFill="1" applyBorder="1" applyAlignment="1" applyProtection="1">
      <alignment horizontal="center" vertical="center"/>
      <protection locked="0"/>
    </xf>
    <xf numFmtId="0" fontId="5" fillId="3" borderId="42" xfId="0" applyFont="1" applyFill="1" applyBorder="1" applyAlignment="1" applyProtection="1">
      <alignment horizontal="center" vertical="center"/>
      <protection locked="0"/>
    </xf>
    <xf numFmtId="0" fontId="5" fillId="3" borderId="28" xfId="0" applyFont="1" applyFill="1" applyBorder="1" applyAlignment="1" applyProtection="1">
      <alignment horizontal="center" vertical="center"/>
      <protection locked="0"/>
    </xf>
    <xf numFmtId="3" fontId="5" fillId="3" borderId="16" xfId="0" applyNumberFormat="1" applyFont="1" applyFill="1" applyBorder="1" applyAlignment="1" applyProtection="1">
      <alignment horizontal="center" vertical="center" wrapText="1"/>
      <protection locked="0"/>
    </xf>
    <xf numFmtId="0" fontId="5" fillId="3" borderId="16" xfId="0" applyFont="1" applyFill="1" applyBorder="1" applyAlignment="1" applyProtection="1">
      <alignment horizontal="center" vertical="center" wrapText="1"/>
      <protection locked="0"/>
    </xf>
    <xf numFmtId="0" fontId="5" fillId="3" borderId="16" xfId="0" applyFont="1" applyFill="1" applyBorder="1" applyAlignment="1" applyProtection="1">
      <alignment horizontal="center" vertical="center"/>
      <protection locked="0"/>
    </xf>
    <xf numFmtId="0" fontId="4" fillId="2" borderId="0" xfId="0" applyFont="1" applyFill="1" applyAlignment="1" applyProtection="1">
      <alignment horizontal="justify" vertical="center"/>
      <protection locked="0"/>
    </xf>
    <xf numFmtId="1" fontId="5" fillId="3" borderId="10" xfId="0" applyNumberFormat="1" applyFont="1" applyFill="1" applyBorder="1" applyAlignment="1" applyProtection="1">
      <alignment horizontal="center" vertical="center" wrapText="1"/>
      <protection locked="0"/>
    </xf>
    <xf numFmtId="1" fontId="5" fillId="3" borderId="11" xfId="0" applyNumberFormat="1" applyFont="1" applyFill="1" applyBorder="1" applyAlignment="1" applyProtection="1">
      <alignment horizontal="center" vertical="center" wrapText="1"/>
      <protection locked="0"/>
    </xf>
    <xf numFmtId="1" fontId="5" fillId="3" borderId="12" xfId="0" applyNumberFormat="1" applyFont="1" applyFill="1" applyBorder="1" applyAlignment="1" applyProtection="1">
      <alignment horizontal="center" vertical="center" wrapText="1"/>
      <protection locked="0"/>
    </xf>
    <xf numFmtId="0" fontId="3" fillId="0" borderId="0" xfId="13" applyFont="1" applyAlignment="1" applyProtection="1">
      <alignment horizontal="center" vertical="center"/>
      <protection locked="0"/>
    </xf>
    <xf numFmtId="0" fontId="4" fillId="0" borderId="0" xfId="13" applyFont="1" applyAlignment="1" applyProtection="1">
      <alignment horizontal="center" vertical="center"/>
      <protection locked="0"/>
    </xf>
    <xf numFmtId="0" fontId="14" fillId="0" borderId="24" xfId="13" applyFont="1" applyBorder="1" applyAlignment="1" applyProtection="1">
      <alignment horizontal="center" vertical="center"/>
      <protection locked="0"/>
    </xf>
    <xf numFmtId="0" fontId="14" fillId="0" borderId="0" xfId="13" applyFont="1" applyAlignment="1" applyProtection="1">
      <alignment horizontal="center" vertical="center"/>
      <protection locked="0"/>
    </xf>
    <xf numFmtId="0" fontId="5" fillId="0" borderId="16" xfId="13" applyFont="1" applyBorder="1" applyAlignment="1" applyProtection="1">
      <alignment horizontal="center" vertical="center"/>
      <protection locked="0"/>
    </xf>
    <xf numFmtId="0" fontId="8" fillId="0" borderId="16" xfId="13" applyFont="1" applyBorder="1" applyAlignment="1" applyProtection="1">
      <alignment horizontal="center" vertical="center"/>
      <protection locked="0"/>
    </xf>
    <xf numFmtId="0" fontId="8" fillId="0" borderId="25" xfId="13" applyFont="1" applyBorder="1" applyAlignment="1" applyProtection="1">
      <alignment horizontal="center" vertical="center"/>
      <protection locked="0"/>
    </xf>
    <xf numFmtId="0" fontId="5" fillId="0" borderId="5" xfId="13" applyFont="1" applyBorder="1" applyAlignment="1" applyProtection="1">
      <alignment horizontal="center" vertical="center"/>
      <protection locked="0"/>
    </xf>
    <xf numFmtId="0" fontId="8" fillId="0" borderId="0" xfId="13" applyFont="1" applyAlignment="1" applyProtection="1">
      <alignment horizontal="center" vertical="center"/>
      <protection locked="0"/>
    </xf>
    <xf numFmtId="0" fontId="8" fillId="0" borderId="7" xfId="13" applyFont="1" applyBorder="1" applyAlignment="1" applyProtection="1">
      <alignment horizontal="center" vertical="center"/>
      <protection locked="0"/>
    </xf>
    <xf numFmtId="0" fontId="5" fillId="0" borderId="6" xfId="13" applyFont="1" applyBorder="1" applyAlignment="1" applyProtection="1">
      <alignment horizontal="center" vertical="center" wrapText="1"/>
      <protection locked="0"/>
    </xf>
    <xf numFmtId="0" fontId="5" fillId="0" borderId="0" xfId="13" applyFont="1" applyAlignment="1" applyProtection="1">
      <alignment horizontal="center" vertical="center" wrapText="1"/>
      <protection locked="0"/>
    </xf>
    <xf numFmtId="0" fontId="5" fillId="0" borderId="7" xfId="13" applyFont="1" applyBorder="1" applyAlignment="1" applyProtection="1">
      <alignment horizontal="center" vertical="center" wrapText="1"/>
      <protection locked="0"/>
    </xf>
    <xf numFmtId="0" fontId="5" fillId="0" borderId="6" xfId="13" applyFont="1" applyBorder="1" applyAlignment="1" applyProtection="1">
      <alignment horizontal="center" vertical="center"/>
      <protection locked="0"/>
    </xf>
    <xf numFmtId="0" fontId="5" fillId="0" borderId="0" xfId="13" applyFont="1" applyAlignment="1" applyProtection="1">
      <alignment horizontal="center" vertical="center"/>
      <protection locked="0"/>
    </xf>
    <xf numFmtId="0" fontId="5" fillId="0" borderId="7" xfId="13" applyFont="1" applyBorder="1" applyAlignment="1" applyProtection="1">
      <alignment horizontal="center" vertical="center"/>
      <protection locked="0"/>
    </xf>
    <xf numFmtId="1" fontId="5" fillId="3" borderId="0" xfId="13" applyNumberFormat="1" applyFont="1" applyFill="1" applyAlignment="1" applyProtection="1">
      <alignment horizontal="center" vertical="center"/>
      <protection locked="0"/>
    </xf>
    <xf numFmtId="1" fontId="5" fillId="3" borderId="26" xfId="13" applyNumberFormat="1" applyFont="1" applyFill="1" applyBorder="1" applyAlignment="1" applyProtection="1">
      <alignment horizontal="center" vertical="center"/>
      <protection locked="0"/>
    </xf>
    <xf numFmtId="1" fontId="5" fillId="3" borderId="5" xfId="13" applyNumberFormat="1" applyFont="1" applyFill="1" applyBorder="1" applyAlignment="1" applyProtection="1">
      <alignment horizontal="center" vertical="center" wrapText="1"/>
      <protection locked="0"/>
    </xf>
    <xf numFmtId="0" fontId="3" fillId="2" borderId="0" xfId="13" applyFont="1" applyFill="1" applyAlignment="1" applyProtection="1">
      <alignment horizontal="center" vertical="center" wrapText="1"/>
      <protection locked="0"/>
    </xf>
    <xf numFmtId="3" fontId="5" fillId="10" borderId="10" xfId="13" applyNumberFormat="1" applyFont="1" applyFill="1" applyBorder="1" applyAlignment="1" applyProtection="1">
      <alignment horizontal="center" vertical="center" wrapText="1"/>
      <protection locked="0"/>
    </xf>
    <xf numFmtId="3" fontId="5" fillId="10" borderId="11" xfId="13" applyNumberFormat="1" applyFont="1" applyFill="1" applyBorder="1" applyAlignment="1" applyProtection="1">
      <alignment horizontal="center" vertical="center" wrapText="1"/>
      <protection locked="0"/>
    </xf>
    <xf numFmtId="3" fontId="5" fillId="10" borderId="12" xfId="13" applyNumberFormat="1" applyFont="1" applyFill="1" applyBorder="1" applyAlignment="1" applyProtection="1">
      <alignment horizontal="center" vertical="center" wrapText="1"/>
      <protection locked="0"/>
    </xf>
    <xf numFmtId="3" fontId="5" fillId="10" borderId="5" xfId="3" applyNumberFormat="1" applyFont="1" applyFill="1" applyBorder="1" applyAlignment="1">
      <alignment horizontal="center" vertical="center" wrapText="1"/>
    </xf>
    <xf numFmtId="0" fontId="8" fillId="7" borderId="5" xfId="3" applyFont="1" applyFill="1" applyBorder="1"/>
    <xf numFmtId="0" fontId="5" fillId="10" borderId="5" xfId="3" applyFont="1" applyFill="1" applyBorder="1" applyAlignment="1">
      <alignment horizontal="center" vertical="center" wrapText="1"/>
    </xf>
    <xf numFmtId="0" fontId="5" fillId="10" borderId="5" xfId="3" applyFont="1" applyFill="1" applyBorder="1" applyAlignment="1">
      <alignment horizontal="center" vertical="center"/>
    </xf>
    <xf numFmtId="0" fontId="5" fillId="4" borderId="5" xfId="13" applyFont="1" applyFill="1" applyBorder="1" applyAlignment="1" applyProtection="1">
      <alignment horizontal="center" vertical="center"/>
      <protection locked="0"/>
    </xf>
    <xf numFmtId="165" fontId="5" fillId="7" borderId="23" xfId="14" applyFont="1" applyFill="1" applyBorder="1" applyAlignment="1" applyProtection="1">
      <alignment horizontal="center" vertical="center"/>
      <protection locked="0"/>
    </xf>
    <xf numFmtId="165" fontId="8" fillId="7" borderId="17" xfId="14" applyFont="1" applyFill="1" applyBorder="1" applyAlignment="1" applyProtection="1">
      <alignment horizontal="center" vertical="center"/>
      <protection locked="0"/>
    </xf>
    <xf numFmtId="0" fontId="5" fillId="3" borderId="4" xfId="13" applyFont="1" applyFill="1" applyBorder="1" applyAlignment="1" applyProtection="1">
      <alignment horizontal="center" vertical="center" textRotation="90" wrapText="1"/>
      <protection locked="0"/>
    </xf>
    <xf numFmtId="0" fontId="5" fillId="3" borderId="7" xfId="13" applyFont="1" applyFill="1" applyBorder="1" applyAlignment="1" applyProtection="1">
      <alignment horizontal="center" vertical="center" textRotation="90" wrapText="1"/>
      <protection locked="0"/>
    </xf>
    <xf numFmtId="0" fontId="5" fillId="3" borderId="27" xfId="13" applyFont="1" applyFill="1" applyBorder="1" applyAlignment="1" applyProtection="1">
      <alignment horizontal="center" vertical="center" textRotation="90" wrapText="1"/>
      <protection locked="0"/>
    </xf>
    <xf numFmtId="0" fontId="4" fillId="0" borderId="13" xfId="30" applyNumberFormat="1" applyFont="1" applyFill="1" applyBorder="1" applyAlignment="1">
      <alignment horizontal="center" vertical="center"/>
    </xf>
    <xf numFmtId="0" fontId="4" fillId="0" borderId="15" xfId="30" applyNumberFormat="1" applyFont="1" applyFill="1" applyBorder="1" applyAlignment="1">
      <alignment horizontal="center" vertical="center"/>
    </xf>
    <xf numFmtId="0" fontId="3" fillId="16" borderId="1" xfId="3" applyFont="1" applyFill="1" applyBorder="1" applyAlignment="1" applyProtection="1">
      <alignment horizontal="center" vertical="center" wrapText="1"/>
      <protection locked="0"/>
    </xf>
    <xf numFmtId="0" fontId="14" fillId="9" borderId="10"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3" fillId="0" borderId="13" xfId="18" applyFont="1" applyBorder="1" applyAlignment="1">
      <alignment horizontal="center" vertical="center" wrapText="1"/>
    </xf>
    <xf numFmtId="0" fontId="3" fillId="0" borderId="14" xfId="18" applyFont="1" applyBorder="1" applyAlignment="1">
      <alignment horizontal="center" vertical="center" wrapText="1"/>
    </xf>
    <xf numFmtId="0" fontId="3" fillId="0" borderId="15" xfId="18" applyFont="1" applyBorder="1" applyAlignment="1">
      <alignment horizontal="center" vertical="center" wrapText="1"/>
    </xf>
    <xf numFmtId="0" fontId="3" fillId="0" borderId="6" xfId="18" applyFont="1" applyBorder="1" applyAlignment="1">
      <alignment horizontal="center" vertical="center" wrapText="1"/>
    </xf>
    <xf numFmtId="0" fontId="3" fillId="0" borderId="0" xfId="18" applyFont="1" applyAlignment="1">
      <alignment horizontal="center" vertical="center" wrapText="1"/>
    </xf>
    <xf numFmtId="0" fontId="3" fillId="0" borderId="24" xfId="18" applyFont="1" applyBorder="1" applyAlignment="1">
      <alignment horizontal="center" vertical="center" wrapText="1"/>
    </xf>
    <xf numFmtId="0" fontId="3" fillId="0" borderId="8" xfId="18" applyFont="1" applyBorder="1" applyAlignment="1">
      <alignment horizontal="center" vertical="center" wrapText="1"/>
    </xf>
    <xf numFmtId="0" fontId="3" fillId="0" borderId="1" xfId="18" applyFont="1" applyBorder="1" applyAlignment="1">
      <alignment horizontal="center" vertical="center" wrapText="1"/>
    </xf>
    <xf numFmtId="0" fontId="3" fillId="0" borderId="50" xfId="18" applyFont="1" applyBorder="1" applyAlignment="1">
      <alignment horizontal="center" vertical="center" wrapText="1"/>
    </xf>
    <xf numFmtId="0" fontId="3" fillId="0" borderId="51" xfId="18" applyFont="1" applyBorder="1" applyAlignment="1">
      <alignment horizontal="center" vertical="center"/>
    </xf>
    <xf numFmtId="0" fontId="3" fillId="0" borderId="0" xfId="18" applyFont="1" applyAlignment="1">
      <alignment horizontal="center" vertical="center"/>
    </xf>
    <xf numFmtId="0" fontId="3" fillId="0" borderId="53" xfId="18" applyFont="1" applyBorder="1" applyAlignment="1">
      <alignment horizontal="center" vertical="center"/>
    </xf>
    <xf numFmtId="0" fontId="3" fillId="0" borderId="1" xfId="18" applyFont="1" applyBorder="1" applyAlignment="1">
      <alignment horizontal="center" vertical="center"/>
    </xf>
    <xf numFmtId="0" fontId="3" fillId="0" borderId="10" xfId="18" applyFont="1" applyBorder="1" applyAlignment="1">
      <alignment horizontal="center" vertical="center"/>
    </xf>
    <xf numFmtId="0" fontId="3" fillId="0" borderId="11" xfId="18" applyFont="1" applyBorder="1" applyAlignment="1">
      <alignment horizontal="center" vertical="center"/>
    </xf>
    <xf numFmtId="0" fontId="3" fillId="0" borderId="52" xfId="18" applyFont="1" applyBorder="1" applyAlignment="1">
      <alignment horizontal="center" vertical="center"/>
    </xf>
    <xf numFmtId="0" fontId="3" fillId="0" borderId="12" xfId="18" applyFont="1" applyBorder="1" applyAlignment="1">
      <alignment horizontal="center" vertical="center"/>
    </xf>
    <xf numFmtId="0" fontId="3" fillId="0" borderId="2" xfId="18" applyFont="1" applyBorder="1" applyAlignment="1">
      <alignment horizontal="center" vertical="center"/>
    </xf>
    <xf numFmtId="0" fontId="3" fillId="0" borderId="3" xfId="18" applyFont="1" applyBorder="1" applyAlignment="1">
      <alignment horizontal="center" vertical="center"/>
    </xf>
    <xf numFmtId="0" fontId="3" fillId="0" borderId="54" xfId="18" applyFont="1" applyBorder="1" applyAlignment="1">
      <alignment horizontal="center" vertical="center"/>
    </xf>
    <xf numFmtId="0" fontId="3" fillId="4" borderId="10" xfId="18" applyFont="1" applyFill="1" applyBorder="1" applyAlignment="1">
      <alignment horizontal="center" vertical="center" wrapText="1"/>
    </xf>
    <xf numFmtId="0" fontId="3" fillId="4" borderId="11" xfId="18" applyFont="1" applyFill="1" applyBorder="1" applyAlignment="1">
      <alignment horizontal="center" vertical="center" wrapText="1"/>
    </xf>
    <xf numFmtId="0" fontId="3" fillId="4" borderId="55" xfId="18" applyFont="1" applyFill="1" applyBorder="1" applyAlignment="1">
      <alignment horizontal="center" vertical="center" wrapText="1"/>
    </xf>
    <xf numFmtId="0" fontId="3" fillId="4" borderId="12" xfId="18" applyFont="1" applyFill="1" applyBorder="1" applyAlignment="1">
      <alignment horizontal="center" vertical="center" wrapText="1"/>
    </xf>
    <xf numFmtId="182" fontId="15" fillId="19" borderId="13" xfId="18" applyNumberFormat="1" applyFont="1" applyFill="1" applyBorder="1" applyAlignment="1">
      <alignment horizontal="center" vertical="center" wrapText="1"/>
    </xf>
    <xf numFmtId="182" fontId="15" fillId="19" borderId="49" xfId="18" applyNumberFormat="1" applyFont="1" applyFill="1" applyBorder="1" applyAlignment="1">
      <alignment horizontal="center" vertical="center" wrapText="1"/>
    </xf>
    <xf numFmtId="3" fontId="15" fillId="19" borderId="30" xfId="18" applyNumberFormat="1" applyFont="1" applyFill="1" applyBorder="1" applyAlignment="1">
      <alignment horizontal="center" vertical="center" wrapText="1"/>
    </xf>
    <xf numFmtId="3" fontId="15" fillId="19" borderId="56" xfId="18" applyNumberFormat="1" applyFont="1" applyFill="1" applyBorder="1" applyAlignment="1">
      <alignment horizontal="center" vertical="center" wrapText="1"/>
    </xf>
    <xf numFmtId="3" fontId="15" fillId="4" borderId="10" xfId="18" applyNumberFormat="1" applyFont="1" applyFill="1" applyBorder="1" applyAlignment="1">
      <alignment horizontal="center" vertical="center" wrapText="1"/>
    </xf>
    <xf numFmtId="3" fontId="15" fillId="4" borderId="11" xfId="18" applyNumberFormat="1" applyFont="1" applyFill="1" applyBorder="1" applyAlignment="1">
      <alignment horizontal="center" vertical="center" wrapText="1"/>
    </xf>
    <xf numFmtId="3" fontId="15" fillId="4" borderId="12" xfId="18" applyNumberFormat="1" applyFont="1" applyFill="1" applyBorder="1" applyAlignment="1">
      <alignment horizontal="center" vertical="center" wrapText="1"/>
    </xf>
    <xf numFmtId="0" fontId="15" fillId="4" borderId="10" xfId="18" applyFont="1" applyFill="1" applyBorder="1" applyAlignment="1">
      <alignment horizontal="center" vertical="center" wrapText="1"/>
    </xf>
    <xf numFmtId="0" fontId="15" fillId="4" borderId="11" xfId="18" applyFont="1" applyFill="1" applyBorder="1" applyAlignment="1">
      <alignment horizontal="center" vertical="center" wrapText="1"/>
    </xf>
    <xf numFmtId="0" fontId="15" fillId="4" borderId="10" xfId="18" applyFont="1" applyFill="1" applyBorder="1" applyAlignment="1">
      <alignment horizontal="center" vertical="center"/>
    </xf>
    <xf numFmtId="0" fontId="15" fillId="4" borderId="11" xfId="18" applyFont="1" applyFill="1" applyBorder="1" applyAlignment="1">
      <alignment horizontal="center" vertical="center"/>
    </xf>
    <xf numFmtId="0" fontId="15" fillId="4" borderId="13" xfId="18" applyFont="1" applyFill="1" applyBorder="1" applyAlignment="1">
      <alignment horizontal="center" vertical="center" textRotation="90" wrapText="1"/>
    </xf>
    <xf numFmtId="0" fontId="15" fillId="4" borderId="49" xfId="18" applyFont="1" applyFill="1" applyBorder="1" applyAlignment="1">
      <alignment horizontal="center" vertical="center" textRotation="90" wrapText="1"/>
    </xf>
    <xf numFmtId="1" fontId="15" fillId="3" borderId="2" xfId="3" applyNumberFormat="1" applyFont="1" applyFill="1" applyBorder="1" applyAlignment="1">
      <alignment horizontal="center" vertical="center" wrapText="1"/>
    </xf>
    <xf numFmtId="1" fontId="15" fillId="3" borderId="3" xfId="3" applyNumberFormat="1" applyFont="1" applyFill="1" applyBorder="1" applyAlignment="1">
      <alignment horizontal="center" vertical="center" wrapText="1"/>
    </xf>
    <xf numFmtId="1" fontId="15" fillId="3" borderId="4" xfId="3" applyNumberFormat="1" applyFont="1" applyFill="1" applyBorder="1" applyAlignment="1">
      <alignment horizontal="justify" vertical="center" wrapText="1"/>
    </xf>
    <xf numFmtId="1" fontId="15" fillId="3" borderId="8" xfId="3" applyNumberFormat="1" applyFont="1" applyFill="1" applyBorder="1" applyAlignment="1">
      <alignment horizontal="center" vertical="center" wrapText="1"/>
    </xf>
    <xf numFmtId="1" fontId="15" fillId="3" borderId="1" xfId="3" applyNumberFormat="1" applyFont="1" applyFill="1" applyBorder="1" applyAlignment="1">
      <alignment horizontal="center" vertical="center" wrapText="1"/>
    </xf>
    <xf numFmtId="1" fontId="15" fillId="3" borderId="9" xfId="3" applyNumberFormat="1" applyFont="1" applyFill="1" applyBorder="1" applyAlignment="1">
      <alignment horizontal="justify" vertical="center" wrapText="1"/>
    </xf>
    <xf numFmtId="0" fontId="14" fillId="0" borderId="5" xfId="0" applyFont="1" applyBorder="1" applyAlignment="1">
      <alignment horizontal="center" vertical="center" wrapText="1"/>
    </xf>
    <xf numFmtId="0" fontId="14" fillId="0" borderId="5" xfId="0" applyFont="1" applyBorder="1" applyAlignment="1">
      <alignment horizontal="justify" vertical="center" wrapText="1"/>
    </xf>
    <xf numFmtId="1" fontId="24" fillId="3" borderId="2" xfId="3" applyNumberFormat="1" applyFont="1" applyFill="1" applyBorder="1" applyAlignment="1">
      <alignment horizontal="center" vertical="center" wrapText="1"/>
    </xf>
    <xf numFmtId="1" fontId="24" fillId="3" borderId="4" xfId="3" applyNumberFormat="1" applyFont="1" applyFill="1" applyBorder="1" applyAlignment="1">
      <alignment horizontal="center" vertical="center" wrapText="1"/>
    </xf>
    <xf numFmtId="1" fontId="24" fillId="3" borderId="8" xfId="3" applyNumberFormat="1" applyFont="1" applyFill="1" applyBorder="1" applyAlignment="1">
      <alignment horizontal="center" vertical="center" wrapText="1"/>
    </xf>
    <xf numFmtId="1" fontId="24" fillId="3" borderId="9" xfId="3" applyNumberFormat="1" applyFont="1" applyFill="1" applyBorder="1" applyAlignment="1">
      <alignment horizontal="center" vertical="center" wrapText="1"/>
    </xf>
    <xf numFmtId="1" fontId="24" fillId="3" borderId="3" xfId="3" applyNumberFormat="1" applyFont="1" applyFill="1" applyBorder="1" applyAlignment="1">
      <alignment horizontal="center" vertical="center" wrapText="1"/>
    </xf>
    <xf numFmtId="1" fontId="24" fillId="3" borderId="1" xfId="3" applyNumberFormat="1" applyFont="1" applyFill="1" applyBorder="1" applyAlignment="1">
      <alignment horizontal="center" vertical="center" wrapText="1"/>
    </xf>
    <xf numFmtId="0" fontId="25" fillId="4" borderId="2" xfId="0" applyFont="1" applyFill="1" applyBorder="1" applyAlignment="1">
      <alignment horizontal="center" vertical="center" wrapText="1"/>
    </xf>
    <xf numFmtId="0" fontId="25" fillId="4" borderId="3" xfId="0" applyFont="1" applyFill="1" applyBorder="1" applyAlignment="1">
      <alignment horizontal="center" vertical="center" wrapText="1"/>
    </xf>
    <xf numFmtId="0" fontId="25" fillId="4" borderId="4" xfId="0" applyFont="1" applyFill="1" applyBorder="1" applyAlignment="1">
      <alignment horizontal="center" vertical="center" wrapText="1"/>
    </xf>
    <xf numFmtId="0" fontId="25" fillId="4" borderId="8"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25" fillId="4" borderId="9" xfId="0" applyFont="1" applyFill="1" applyBorder="1" applyAlignment="1">
      <alignment horizontal="center" vertical="center" wrapText="1"/>
    </xf>
    <xf numFmtId="0" fontId="2" fillId="0" borderId="0" xfId="0" applyFont="1" applyAlignment="1">
      <alignment horizontal="center"/>
    </xf>
    <xf numFmtId="0" fontId="2" fillId="0" borderId="1" xfId="0" applyFont="1" applyBorder="1" applyAlignment="1">
      <alignment horizontal="center"/>
    </xf>
    <xf numFmtId="0" fontId="24" fillId="3" borderId="13" xfId="3" applyFont="1" applyFill="1" applyBorder="1" applyAlignment="1">
      <alignment horizontal="center" vertical="center" wrapText="1"/>
    </xf>
    <xf numFmtId="0" fontId="24" fillId="3" borderId="14" xfId="3" applyFont="1" applyFill="1" applyBorder="1" applyAlignment="1">
      <alignment horizontal="center" vertical="center" wrapText="1"/>
    </xf>
    <xf numFmtId="0" fontId="24" fillId="3" borderId="15" xfId="3" applyFont="1" applyFill="1" applyBorder="1" applyAlignment="1">
      <alignment horizontal="center" vertical="center" wrapText="1"/>
    </xf>
    <xf numFmtId="3" fontId="24" fillId="3" borderId="5" xfId="3" applyNumberFormat="1" applyFont="1" applyFill="1" applyBorder="1" applyAlignment="1">
      <alignment horizontal="center" vertical="center" wrapText="1"/>
    </xf>
    <xf numFmtId="0" fontId="27" fillId="0" borderId="5" xfId="3" applyFont="1" applyBorder="1"/>
    <xf numFmtId="0" fontId="24" fillId="3" borderId="5" xfId="3" applyFont="1" applyFill="1" applyBorder="1" applyAlignment="1">
      <alignment horizontal="center" vertical="center" wrapText="1"/>
    </xf>
    <xf numFmtId="0" fontId="24" fillId="3" borderId="5" xfId="3" applyFont="1" applyFill="1" applyBorder="1" applyAlignment="1">
      <alignment horizontal="center" vertical="center"/>
    </xf>
    <xf numFmtId="0" fontId="24" fillId="3" borderId="5" xfId="3" applyFont="1" applyFill="1" applyBorder="1" applyAlignment="1">
      <alignment horizontal="center" vertical="center" textRotation="90" wrapText="1"/>
    </xf>
    <xf numFmtId="0" fontId="25" fillId="5" borderId="10" xfId="0" applyFont="1" applyFill="1" applyBorder="1" applyAlignment="1" applyProtection="1">
      <alignment horizontal="center" vertical="center"/>
      <protection locked="0"/>
    </xf>
    <xf numFmtId="0" fontId="25" fillId="5" borderId="11" xfId="0" applyFont="1" applyFill="1" applyBorder="1" applyAlignment="1" applyProtection="1">
      <alignment horizontal="center" vertical="center"/>
      <protection locked="0"/>
    </xf>
    <xf numFmtId="0" fontId="25" fillId="5" borderId="12" xfId="0" applyFont="1" applyFill="1" applyBorder="1" applyAlignment="1" applyProtection="1">
      <alignment horizontal="center" vertical="center"/>
      <protection locked="0"/>
    </xf>
    <xf numFmtId="0" fontId="24" fillId="3" borderId="3" xfId="3" applyFont="1" applyFill="1" applyBorder="1" applyAlignment="1">
      <alignment horizontal="center" vertical="center"/>
    </xf>
    <xf numFmtId="0" fontId="24" fillId="3" borderId="1" xfId="3" applyFont="1" applyFill="1" applyBorder="1" applyAlignment="1">
      <alignment horizontal="center" vertical="center"/>
    </xf>
  </cellXfs>
  <cellStyles count="38">
    <cellStyle name="KPT04" xfId="5" xr:uid="{00000000-0005-0000-0000-000000000000}"/>
    <cellStyle name="KPT04 2" xfId="11" xr:uid="{00000000-0005-0000-0000-000001000000}"/>
    <cellStyle name="Millares" xfId="1" builtinId="3"/>
    <cellStyle name="Millares 2" xfId="28" xr:uid="{00000000-0005-0000-0000-000003000000}"/>
    <cellStyle name="Millares 2 2" xfId="12" xr:uid="{00000000-0005-0000-0000-000004000000}"/>
    <cellStyle name="Millares 2 2 2 2" xfId="30" xr:uid="{F94F6D81-7030-43E6-8B27-D378862E49F9}"/>
    <cellStyle name="Millares 2 2 4" xfId="14" xr:uid="{00000000-0005-0000-0000-000005000000}"/>
    <cellStyle name="Moneda" xfId="29" builtinId="4"/>
    <cellStyle name="Moneda [0] 2" xfId="6" xr:uid="{00000000-0005-0000-0000-000007000000}"/>
    <cellStyle name="Moneda 11" xfId="35" xr:uid="{E4D4E981-8CC9-448D-87EE-E776AFCDAFF0}"/>
    <cellStyle name="Moneda 13" xfId="36" xr:uid="{4112F145-58BC-4B3D-86E9-8EE6C4FB0793}"/>
    <cellStyle name="Moneda 19" xfId="37" xr:uid="{C7C63278-2F80-4574-886B-D693A480A643}"/>
    <cellStyle name="Moneda 2" xfId="7" xr:uid="{00000000-0005-0000-0000-000008000000}"/>
    <cellStyle name="Moneda 2 2" xfId="17" xr:uid="{00000000-0005-0000-0000-000009000000}"/>
    <cellStyle name="Moneda 2 3 2" xfId="21" xr:uid="{00000000-0005-0000-0000-00000A000000}"/>
    <cellStyle name="Moneda 3" xfId="15" xr:uid="{00000000-0005-0000-0000-00000B000000}"/>
    <cellStyle name="Moneda 4" xfId="24" xr:uid="{00000000-0005-0000-0000-00000C000000}"/>
    <cellStyle name="Moneda 8" xfId="34" xr:uid="{3D67F724-847F-46F8-9FE3-D6EA4B90417E}"/>
    <cellStyle name="Normal" xfId="0" builtinId="0"/>
    <cellStyle name="Normal 10" xfId="31" xr:uid="{951EE0CE-D4F7-4903-B0EB-2D13F75320A0}"/>
    <cellStyle name="Normal 100" xfId="13" xr:uid="{00000000-0005-0000-0000-00000E000000}"/>
    <cellStyle name="Normal 18" xfId="10" xr:uid="{00000000-0005-0000-0000-00000F000000}"/>
    <cellStyle name="Normal 2" xfId="8" xr:uid="{00000000-0005-0000-0000-000010000000}"/>
    <cellStyle name="Normal 2 2" xfId="19" xr:uid="{00000000-0005-0000-0000-000011000000}"/>
    <cellStyle name="Normal 2 2 2 2 2 2" xfId="16" xr:uid="{00000000-0005-0000-0000-000012000000}"/>
    <cellStyle name="Normal 2 3" xfId="20" xr:uid="{00000000-0005-0000-0000-000013000000}"/>
    <cellStyle name="Normal 2 8" xfId="22" xr:uid="{00000000-0005-0000-0000-000014000000}"/>
    <cellStyle name="Normal 20" xfId="4" xr:uid="{00000000-0005-0000-0000-000015000000}"/>
    <cellStyle name="Normal 28" xfId="9" xr:uid="{00000000-0005-0000-0000-000016000000}"/>
    <cellStyle name="Normal 3" xfId="33" xr:uid="{367289DD-3CEA-4A52-B68E-98CE899AA67E}"/>
    <cellStyle name="Normal 3 2" xfId="26" xr:uid="{00000000-0005-0000-0000-000017000000}"/>
    <cellStyle name="Normal 30" xfId="27" xr:uid="{00000000-0005-0000-0000-000018000000}"/>
    <cellStyle name="Normal 4" xfId="18" xr:uid="{00000000-0005-0000-0000-000019000000}"/>
    <cellStyle name="Normal 87" xfId="23" xr:uid="{00000000-0005-0000-0000-00001A000000}"/>
    <cellStyle name="Normal 90" xfId="25" xr:uid="{00000000-0005-0000-0000-00001B000000}"/>
    <cellStyle name="Normal 90 2" xfId="3" xr:uid="{00000000-0005-0000-0000-00001C000000}"/>
    <cellStyle name="Porcentaje" xfId="2" builtinId="5"/>
    <cellStyle name="Porcentaje 2" xfId="32" xr:uid="{FBD53F41-3D9A-4863-B49F-F46619AAE90F}"/>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152399</xdr:colOff>
      <xdr:row>0</xdr:row>
      <xdr:rowOff>107156</xdr:rowOff>
    </xdr:from>
    <xdr:ext cx="933450" cy="923925"/>
    <xdr:pic>
      <xdr:nvPicPr>
        <xdr:cNvPr id="2" name="image1.jpg" descr="C:\Users\AUXPLANEACION03\Desktop\Gobernacion_del_quindio.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52399" y="107156"/>
          <a:ext cx="933450" cy="92392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122465</xdr:colOff>
      <xdr:row>5</xdr:row>
      <xdr:rowOff>258536</xdr:rowOff>
    </xdr:from>
    <xdr:ext cx="1347106" cy="1347107"/>
    <xdr:pic>
      <xdr:nvPicPr>
        <xdr:cNvPr id="2" name="image1.jpg" descr="C:\Users\AUXPLANEACION03\Desktop\Gobernacion_del_quindio.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22465" y="1030061"/>
          <a:ext cx="1347106" cy="1347107"/>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152399</xdr:colOff>
      <xdr:row>0</xdr:row>
      <xdr:rowOff>107156</xdr:rowOff>
    </xdr:from>
    <xdr:ext cx="933450" cy="923925"/>
    <xdr:pic>
      <xdr:nvPicPr>
        <xdr:cNvPr id="2" name="image1.jpg" descr="C:\Users\AUXPLANEACION03\Desktop\Gobernacion_del_quindio.jpg">
          <a:extLst>
            <a:ext uri="{FF2B5EF4-FFF2-40B4-BE49-F238E27FC236}">
              <a16:creationId xmlns:a16="http://schemas.microsoft.com/office/drawing/2014/main" id="{9A0A9E2B-56CA-4CE0-BF31-0F077BADAA76}"/>
            </a:ext>
          </a:extLst>
        </xdr:cNvPr>
        <xdr:cNvPicPr preferRelativeResize="0"/>
      </xdr:nvPicPr>
      <xdr:blipFill>
        <a:blip xmlns:r="http://schemas.openxmlformats.org/officeDocument/2006/relationships" r:embed="rId1" cstate="print"/>
        <a:stretch>
          <a:fillRect/>
        </a:stretch>
      </xdr:blipFill>
      <xdr:spPr>
        <a:xfrm>
          <a:off x="152399" y="107156"/>
          <a:ext cx="933450" cy="9239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476950" cy="515471"/>
    <xdr:pic>
      <xdr:nvPicPr>
        <xdr:cNvPr id="2" name="Imagen 1" descr="C:\Users\AUXPLANEACION03\Desktop\Gobernacion_del_quindio.jpg">
          <a:extLst>
            <a:ext uri="{FF2B5EF4-FFF2-40B4-BE49-F238E27FC236}">
              <a16:creationId xmlns:a16="http://schemas.microsoft.com/office/drawing/2014/main" id="{C21E3627-2B05-4C57-A91E-A762AF9EFE5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76950" cy="515471"/>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152399</xdr:colOff>
      <xdr:row>0</xdr:row>
      <xdr:rowOff>107156</xdr:rowOff>
    </xdr:from>
    <xdr:ext cx="933450" cy="923925"/>
    <xdr:pic>
      <xdr:nvPicPr>
        <xdr:cNvPr id="2" name="image1.jpg" descr="C:\Users\AUXPLANEACION03\Desktop\Gobernacion_del_quindio.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52399" y="0"/>
          <a:ext cx="933450" cy="9239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634364</xdr:colOff>
      <xdr:row>0</xdr:row>
      <xdr:rowOff>0</xdr:rowOff>
    </xdr:from>
    <xdr:ext cx="933450" cy="923925"/>
    <xdr:pic>
      <xdr:nvPicPr>
        <xdr:cNvPr id="3" name="image1.jpg" descr="C:\Users\AUXPLANEACION03\Desktop\Gobernacion_del_quindio.jpg">
          <a:extLst>
            <a:ext uri="{FF2B5EF4-FFF2-40B4-BE49-F238E27FC236}">
              <a16:creationId xmlns:a16="http://schemas.microsoft.com/office/drawing/2014/main" id="{474E6564-FA69-4B5A-B87C-FA24FAA9D1A3}"/>
            </a:ext>
          </a:extLst>
        </xdr:cNvPr>
        <xdr:cNvPicPr preferRelativeResize="0"/>
      </xdr:nvPicPr>
      <xdr:blipFill>
        <a:blip xmlns:r="http://schemas.openxmlformats.org/officeDocument/2006/relationships" r:embed="rId1" cstate="print"/>
        <a:stretch>
          <a:fillRect/>
        </a:stretch>
      </xdr:blipFill>
      <xdr:spPr>
        <a:xfrm>
          <a:off x="2219324" y="0"/>
          <a:ext cx="933450" cy="9239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152399</xdr:colOff>
      <xdr:row>0</xdr:row>
      <xdr:rowOff>107156</xdr:rowOff>
    </xdr:from>
    <xdr:ext cx="933450" cy="923925"/>
    <xdr:pic>
      <xdr:nvPicPr>
        <xdr:cNvPr id="2" name="image1.jpg" descr="C:\Users\AUXPLANEACION03\Desktop\Gobernacion_del_quindio.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52399" y="107156"/>
          <a:ext cx="933450" cy="9239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152399</xdr:colOff>
      <xdr:row>0</xdr:row>
      <xdr:rowOff>107156</xdr:rowOff>
    </xdr:from>
    <xdr:ext cx="933450" cy="923925"/>
    <xdr:pic>
      <xdr:nvPicPr>
        <xdr:cNvPr id="2" name="image1.jpg" descr="C:\Users\AUXPLANEACION03\Desktop\Gobernacion_del_quindio.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52399" y="107156"/>
          <a:ext cx="933450" cy="9239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152399</xdr:colOff>
      <xdr:row>0</xdr:row>
      <xdr:rowOff>107156</xdr:rowOff>
    </xdr:from>
    <xdr:ext cx="933450" cy="923925"/>
    <xdr:pic>
      <xdr:nvPicPr>
        <xdr:cNvPr id="2" name="image1.jpg" descr="C:\Users\AUXPLANEACION03\Desktop\Gobernacion_del_quindio.jpg">
          <a:extLst>
            <a:ext uri="{FF2B5EF4-FFF2-40B4-BE49-F238E27FC236}">
              <a16:creationId xmlns:a16="http://schemas.microsoft.com/office/drawing/2014/main" id="{6767C027-F3E7-4BC1-B597-00BD6183EECF}"/>
            </a:ext>
          </a:extLst>
        </xdr:cNvPr>
        <xdr:cNvPicPr preferRelativeResize="0"/>
      </xdr:nvPicPr>
      <xdr:blipFill>
        <a:blip xmlns:r="http://schemas.openxmlformats.org/officeDocument/2006/relationships" r:embed="rId1" cstate="print"/>
        <a:stretch>
          <a:fillRect/>
        </a:stretch>
      </xdr:blipFill>
      <xdr:spPr>
        <a:xfrm>
          <a:off x="561974" y="107156"/>
          <a:ext cx="933450" cy="9239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152399</xdr:colOff>
      <xdr:row>0</xdr:row>
      <xdr:rowOff>107156</xdr:rowOff>
    </xdr:from>
    <xdr:ext cx="933450" cy="923925"/>
    <xdr:pic>
      <xdr:nvPicPr>
        <xdr:cNvPr id="2" name="image1.jpg" descr="C:\Users\AUXPLANEACION03\Desktop\Gobernacion_del_quindio.jpg">
          <a:extLst>
            <a:ext uri="{FF2B5EF4-FFF2-40B4-BE49-F238E27FC236}">
              <a16:creationId xmlns:a16="http://schemas.microsoft.com/office/drawing/2014/main" id="{1E713026-1837-4221-A4AE-BF6570F8632A}"/>
            </a:ext>
          </a:extLst>
        </xdr:cNvPr>
        <xdr:cNvPicPr preferRelativeResize="0"/>
      </xdr:nvPicPr>
      <xdr:blipFill>
        <a:blip xmlns:r="http://schemas.openxmlformats.org/officeDocument/2006/relationships" r:embed="rId1" cstate="print"/>
        <a:stretch>
          <a:fillRect/>
        </a:stretch>
      </xdr:blipFill>
      <xdr:spPr>
        <a:xfrm>
          <a:off x="152399" y="107156"/>
          <a:ext cx="933450" cy="9239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559084</xdr:colOff>
      <xdr:row>0</xdr:row>
      <xdr:rowOff>117858</xdr:rowOff>
    </xdr:from>
    <xdr:ext cx="933450" cy="923925"/>
    <xdr:pic>
      <xdr:nvPicPr>
        <xdr:cNvPr id="2" name="image1.jpg" descr="C:\Users\AUXPLANEACION03\Desktop\Gobernacion_del_quindio.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559084" y="117858"/>
          <a:ext cx="933450" cy="9239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469142</xdr:colOff>
      <xdr:row>0</xdr:row>
      <xdr:rowOff>114905</xdr:rowOff>
    </xdr:from>
    <xdr:ext cx="1076024" cy="1012976"/>
    <xdr:pic>
      <xdr:nvPicPr>
        <xdr:cNvPr id="2" name="image1.jpg" descr="C:\Users\AUXPLANEACION03\Desktop\Gobernacion_del_quindio.jpg">
          <a:extLst>
            <a:ext uri="{FF2B5EF4-FFF2-40B4-BE49-F238E27FC236}">
              <a16:creationId xmlns:a16="http://schemas.microsoft.com/office/drawing/2014/main" id="{8FDFF17C-E4E2-4D7F-B868-9186B75CA956}"/>
            </a:ext>
          </a:extLst>
        </xdr:cNvPr>
        <xdr:cNvPicPr preferRelativeResize="0"/>
      </xdr:nvPicPr>
      <xdr:blipFill>
        <a:blip xmlns:r="http://schemas.openxmlformats.org/officeDocument/2006/relationships" r:embed="rId1" cstate="print"/>
        <a:stretch>
          <a:fillRect/>
        </a:stretch>
      </xdr:blipFill>
      <xdr:spPr>
        <a:xfrm>
          <a:off x="469142" y="114905"/>
          <a:ext cx="1076024" cy="1012976"/>
        </a:xfrm>
        <a:prstGeom prst="rect">
          <a:avLst/>
        </a:prstGeom>
        <a:noFill/>
      </xdr:spPr>
    </xdr:pic>
    <xdr:clientData fLocksWithSheet="0"/>
  </xdr:oneCellAnchor>
  <xdr:oneCellAnchor>
    <xdr:from>
      <xdr:col>0</xdr:col>
      <xdr:colOff>469142</xdr:colOff>
      <xdr:row>0</xdr:row>
      <xdr:rowOff>114905</xdr:rowOff>
    </xdr:from>
    <xdr:ext cx="1076024" cy="1012976"/>
    <xdr:pic>
      <xdr:nvPicPr>
        <xdr:cNvPr id="3" name="image1.jpg" descr="C:\Users\AUXPLANEACION03\Desktop\Gobernacion_del_quindio.jpg">
          <a:extLst>
            <a:ext uri="{FF2B5EF4-FFF2-40B4-BE49-F238E27FC236}">
              <a16:creationId xmlns:a16="http://schemas.microsoft.com/office/drawing/2014/main" id="{48DA0226-3280-4E1F-99DD-82DF55960D40}"/>
            </a:ext>
          </a:extLst>
        </xdr:cNvPr>
        <xdr:cNvPicPr preferRelativeResize="0"/>
      </xdr:nvPicPr>
      <xdr:blipFill>
        <a:blip xmlns:r="http://schemas.openxmlformats.org/officeDocument/2006/relationships" r:embed="rId1" cstate="print"/>
        <a:stretch>
          <a:fillRect/>
        </a:stretch>
      </xdr:blipFill>
      <xdr:spPr>
        <a:xfrm>
          <a:off x="469142" y="114905"/>
          <a:ext cx="1076024" cy="1012976"/>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047750" cy="933450"/>
    <xdr:pic>
      <xdr:nvPicPr>
        <xdr:cNvPr id="3" name="image1.jpg">
          <a:extLst>
            <a:ext uri="{FF2B5EF4-FFF2-40B4-BE49-F238E27FC236}">
              <a16:creationId xmlns:a16="http://schemas.microsoft.com/office/drawing/2014/main" id="{C9CD3441-7834-4F29-8DE0-1A040B690D64}"/>
            </a:ext>
          </a:extLst>
        </xdr:cNvPr>
        <xdr:cNvPicPr preferRelativeResize="0"/>
      </xdr:nvPicPr>
      <xdr:blipFill>
        <a:blip xmlns:r="http://schemas.openxmlformats.org/officeDocument/2006/relationships" r:embed="rId1" cstate="print"/>
        <a:stretch>
          <a:fillRect/>
        </a:stretch>
      </xdr:blipFill>
      <xdr:spPr>
        <a:xfrm>
          <a:off x="0" y="0"/>
          <a:ext cx="1047750" cy="933450"/>
        </a:xfrm>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person displayName="Guest User" id="{D25C7177-2A8B-4CA4-BA3A-DE8F5E20A891}" userId="" providerId="Windows Live"/>
  <person displayName="Usuario invitado" id="{B8E08E75-1203-4E19-8985-65435C84DA25}" userId="" providerId="Windows Live"/>
  <person displayName="Proyectos gobernación Quindío" id="{81A6CEBD-CF32-485E-AB82-56D0B0E190C3}" userId="1c0fbb59ec2923d2" providerId="Windows Live"/>
  <person displayName="Hellen Tabares" id="{1AA6CF86-CC5E-4BD9-BDC8-1A2B52DD1D2B}" userId="d6c0ee6b7a8bfbd5"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Y11" dT="2024-01-19T21:55:58.58" personId="{B8E08E75-1203-4E19-8985-65435C84DA25}" id="{F57B43F7-4085-4E36-A01D-191C15B35C7A}">
    <text>PP                Valor
287              12.900.000</text>
  </threadedComment>
  <threadedComment ref="Y13" dT="2024-01-18T17:09:58.35" personId="{B8E08E75-1203-4E19-8985-65435C84DA25}" id="{1821E402-ACAE-47CD-AA85-1AA64B029249}">
    <text>PP                Valor
290              12.900.000
289               8.100.000</text>
  </threadedComment>
  <threadedComment ref="Y14" dT="2024-01-18T17:05:16.34" personId="{B8E08E75-1203-4E19-8985-65435C84DA25}" id="{F78B3D04-3B68-470A-B90D-64D93354DB7A}">
    <text>PP                 Valor
298              12.900.000</text>
  </threadedComment>
  <threadedComment ref="Y15" dT="2024-01-17T20:25:54.17" personId="{B8E08E75-1203-4E19-8985-65435C84DA25}" id="{A4B2017A-0348-4564-BC47-110FA9BC0931}">
    <text>PP                      Valor
293                   12.900.000
291                   11.100.000
291                   11.100.000</text>
  </threadedComment>
  <threadedComment ref="Y18" dT="2024-01-19T13:42:27.18" personId="{B8E08E75-1203-4E19-8985-65435C84DA25}" id="{68B90427-2F3F-4DBD-AE94-C9C5D27F1E31}">
    <text>PP               Valor
301            11.100.000</text>
  </threadedComment>
</ThreadedComments>
</file>

<file path=xl/threadedComments/threadedComment10.xml><?xml version="1.0" encoding="utf-8"?>
<ThreadedComments xmlns="http://schemas.microsoft.com/office/spreadsheetml/2018/threadedcomments" xmlns:x="http://schemas.openxmlformats.org/spreadsheetml/2006/main">
  <threadedComment ref="X9" dT="2024-01-23T21:21:21.57" personId="{B8E08E75-1203-4E19-8985-65435C84DA25}" id="{6085B0D3-A1D6-4032-A47D-7601497BFCB5}">
    <text>PP                 VALOR
384              $ 17.200.000
533                 14.800.000</text>
  </threadedComment>
  <threadedComment ref="X17" dT="2024-01-18T13:52:39.60" personId="{B8E08E75-1203-4E19-8985-65435C84DA25}" id="{1BAC74D2-3615-48AF-86AA-08D8C29BE7B2}">
    <text>PP                     Valor
373                 17.200.000</text>
  </threadedComment>
  <threadedComment ref="X18" dT="2024-01-17T20:07:33.29" personId="{B8E08E75-1203-4E19-8985-65435C84DA25}" id="{328A522A-E22D-4F3C-B1FC-72B4BEC0202E}">
    <text>PP                   Valor
376                14.800.000</text>
  </threadedComment>
  <threadedComment ref="X20" dT="2024-01-31T15:19:17.23" personId="{B8E08E75-1203-4E19-8985-65435C84DA25}" id="{014F8234-1341-4990-96C5-C75891647114}">
    <text>PP                   Valor
628                14.800.000</text>
  </threadedComment>
  <threadedComment ref="X24" dT="2024-01-30T14:23:06.69" personId="{1AA6CF86-CC5E-4BD9-BDC8-1A2B52DD1D2B}" id="{5D92617B-AE05-4EBB-A1A8-D73653FE06F0}">
    <text>PP        VALOR 
616       14.800.000</text>
  </threadedComment>
  <threadedComment ref="X25" dT="2024-01-18T13:26:33.54" personId="{B8E08E75-1203-4E19-8985-65435C84DA25}" id="{36734499-C953-4199-915D-EEAF8AC3ACA5}">
    <text>PP                 Valor
375                 17.200.000
388                 17.200.000
608                 16.000.000</text>
  </threadedComment>
  <threadedComment ref="X35" dT="2024-01-26T13:23:03.34" personId="{1AA6CF86-CC5E-4BD9-BDC8-1A2B52DD1D2B}" id="{EE4F4EB9-32C1-4DA5-85E6-46A6BF8B3802}">
    <text>PP                VALOR 
549            17.200.000</text>
  </threadedComment>
  <threadedComment ref="X39" dT="2024-01-30T19:51:52.75" personId="{B8E08E75-1203-4E19-8985-65435C84DA25}" id="{586D73D5-B691-49DA-8567-6F92D2B4937E}">
    <text>PP                 Valor
633              17.200.000</text>
  </threadedComment>
  <threadedComment ref="X43" dT="2024-01-24T15:49:47.56" personId="{B8E08E75-1203-4E19-8985-65435C84DA25}" id="{FEED4CD2-75C1-4CCA-8726-0DCB3862D982}">
    <text>PP             VLR
417           14.800.000</text>
  </threadedComment>
</ThreadedComments>
</file>

<file path=xl/threadedComments/threadedComment11.xml><?xml version="1.0" encoding="utf-8"?>
<ThreadedComments xmlns="http://schemas.microsoft.com/office/spreadsheetml/2018/threadedcomments" xmlns:x="http://schemas.openxmlformats.org/spreadsheetml/2006/main">
  <threadedComment ref="Y15" dT="2024-01-25T16:57:46.42" personId="{B8E08E75-1203-4E19-8985-65435C84DA25}" id="{EDBF6A2D-CFFE-4848-A41D-C66417D9F514}">
    <text>PP                  Valor
586                8.000.000</text>
  </threadedComment>
  <threadedComment ref="Y15" dT="2024-01-25T21:07:41.97" personId="{D25C7177-2A8B-4CA4-BA3A-DE8F5E20A891}" id="{2C3D78CC-2317-4308-B724-97522AF78A3B}" parentId="{EDBF6A2D-CFFE-4848-A41D-C66417D9F514}">
    <text/>
  </threadedComment>
  <threadedComment ref="Y18" dT="2024-01-23T15:37:22.95" personId="{B8E08E75-1203-4E19-8985-65435C84DA25}" id="{86A36F77-0885-439A-8EEE-4F0A31E06A1A}">
    <text>PP                Valor
494             4.800.000</text>
  </threadedComment>
  <threadedComment ref="Y19" dT="2024-01-24T20:48:40.25" personId="{B8E08E75-1203-4E19-8985-65435C84DA25}" id="{66A11A82-CA30-4701-BE1F-BCF419DE1D6D}">
    <text>PP                  Valor
516               5.800.000
603               5.400.000</text>
  </threadedComment>
  <threadedComment ref="Y19" dT="2024-01-25T21:25:05.08" personId="{D25C7177-2A8B-4CA4-BA3A-DE8F5E20A891}" id="{D6DCDB1D-CBA8-49E0-9416-2C38D7A7AB91}" parentId="{66A11A82-CA30-4701-BE1F-BCF419DE1D6D}">
    <text>585             8.000.000</text>
  </threadedComment>
  <threadedComment ref="Z19" dT="2024-01-26T15:59:25.55" personId="{B8E08E75-1203-4E19-8985-65435C84DA25}" id="{DCD7876F-DD9E-43B0-B77D-39A73B00C4FA}">
    <text>PP           Banco              Valor
516        281                  5.800.000</text>
  </threadedComment>
  <threadedComment ref="Y20" dT="2024-01-25T20:49:31.61" personId="{D25C7177-2A8B-4CA4-BA3A-DE8F5E20A891}" id="{ED152997-315B-4B0C-B7F4-ADCE9E201E17}">
    <text xml:space="preserve">PP           VALOR 
</text>
  </threadedComment>
  <threadedComment ref="Y26" dT="2024-01-23T16:28:27.80" personId="{B8E08E75-1203-4E19-8985-65435C84DA25}" id="{198B0932-7CD7-4483-8760-3615DD5D3F70}">
    <text>PP             VLR
479           2.800.000
464           3.300.000
522           2.500.000
686           3.300.000</text>
  </threadedComment>
  <threadedComment ref="Y27" dT="2024-01-23T16:04:08.85" personId="{B8E08E75-1203-4E19-8985-65435C84DA25}" id="{CF7E6AE5-3A4A-4659-BFE3-A5C8D36B536C}">
    <text>PP         VLR
414        7.400.000
501        7.400.000
523        8.400.000
586       1.050.000
576     5.600.000</text>
  </threadedComment>
  <threadedComment ref="Y27" dT="2024-01-25T21:15:35.51" personId="{D25C7177-2A8B-4CA4-BA3A-DE8F5E20A891}" id="{BBF8B21B-A184-46E3-90C1-E04D693488B9}" parentId="{CF7E6AE5-3A4A-4659-BFE3-A5C8D36B536C}">
    <text>585      1.050.000</text>
  </threadedComment>
  <threadedComment ref="Y29" dT="2024-01-23T16:29:41.55" personId="{B8E08E75-1203-4E19-8985-65435C84DA25}" id="{EF00DF59-BEED-4052-8DFB-D613147007F6}">
    <text>PP          VLR
479        2.800.000
502        4.800.000
464        3.300.000
460        5.600.000
522        2.500.000
586       1.050.000
686        3.300.000</text>
  </threadedComment>
  <threadedComment ref="Y29" dT="2024-01-25T21:10:48.79" personId="{D25C7177-2A8B-4CA4-BA3A-DE8F5E20A891}" id="{5C31C4BF-B18A-45E2-A00C-144A19361C44}" parentId="{EF00DF59-BEED-4052-8DFB-D613147007F6}">
    <text>585      1.050.000</text>
  </threadedComment>
  <threadedComment ref="Y30" dT="2024-01-23T13:27:44.71" personId="{B8E08E75-1203-4E19-8985-65435C84DA25}" id="{64232F9F-809C-4BCE-9970-D95A7CA4B475}">
    <text>PP                Valor
492             7.400.000
414             3.700.000</text>
  </threadedComment>
  <threadedComment ref="Y31" dT="2024-01-23T13:28:47.32" personId="{B8E08E75-1203-4E19-8985-65435C84DA25}" id="{6FDCA5D2-7D76-42AB-81B8-1FF9AFEB0EDC}">
    <text>PP                 Valor
492               7.400.000
414               3.700.000
501              7.400.000
502              6.000.000
498              14.800.000
576                5.600.000</text>
  </threadedComment>
  <threadedComment ref="Y32" dT="2024-01-23T16:37:43.86" personId="{B8E08E75-1203-4E19-8985-65435C84DA25}" id="{193D9E14-7F9C-4040-B4A8-3AEAA23BC1F2}">
    <text>PP                Valor
502             4.000.000</text>
  </threadedComment>
  <threadedComment ref="Y36" dT="2024-01-24T21:07:23.96" personId="{B8E08E75-1203-4E19-8985-65435C84DA25}" id="{40F9810A-9718-4587-A87A-47BEE070A15B}">
    <text>PP             VLR
564         10.000.000
586         1.050.000
632        11.000.000</text>
  </threadedComment>
  <threadedComment ref="Y36" dT="2024-01-25T21:04:23.05" personId="{D25C7177-2A8B-4CA4-BA3A-DE8F5E20A891}" id="{9E70F18F-7B74-46F7-9831-13E283517CB3}" parentId="{40F9810A-9718-4587-A87A-47BEE070A15B}">
    <text>585         1.050.000</text>
  </threadedComment>
  <threadedComment ref="Y36" dT="2024-01-26T13:01:12.63" personId="{D25C7177-2A8B-4CA4-BA3A-DE8F5E20A891}" id="{4DBC4AAF-3D41-4E8E-825F-4D2FBD005FC7}" parentId="{40F9810A-9718-4587-A87A-47BEE070A15B}">
    <text>562               10.000.000</text>
  </threadedComment>
  <threadedComment ref="Y37" dT="2024-01-23T16:30:40.16" personId="{B8E08E75-1203-4E19-8985-65435C84DA25}" id="{2C5E5D1D-F242-46D3-A2E0-B71369656AC0}">
    <text>PP         VLR
479      2.800.000
464       3.300.000
522       3.000.000
686       3.300.000
632       3.000.000</text>
  </threadedComment>
  <threadedComment ref="Y37" dT="2024-01-26T13:10:25.09" personId="{1AA6CF86-CC5E-4BD9-BDC8-1A2B52DD1D2B}" id="{6B127FDE-2D9B-4433-A3DE-5EB462FEEE85}" parentId="{2C5E5D1D-F242-46D3-A2E0-B71369656AC0}">
    <text>562     2.000.000</text>
  </threadedComment>
  <threadedComment ref="Y38" dT="2024-01-24T20:58:37.51" personId="{B8E08E75-1203-4E19-8985-65435C84DA25}" id="{E6DE23EA-A62E-4D35-8680-0878643C770A}">
    <text>PP         VLR
563       7.000.000
564       4.000.000</text>
  </threadedComment>
  <threadedComment ref="Y38" dT="2024-01-26T13:11:58.71" personId="{1AA6CF86-CC5E-4BD9-BDC8-1A2B52DD1D2B}" id="{B7C3B37D-BC8B-4DEB-B3DF-CBA93321D05A}" parentId="{E6DE23EA-A62E-4D35-8680-0878643C770A}">
    <text>562        2.000.000</text>
  </threadedComment>
  <threadedComment ref="Y39" dT="2024-01-24T21:04:28.85" personId="{B8E08E75-1203-4E19-8985-65435C84DA25}" id="{B7BFAF43-A719-4030-B8ED-AD7DD6D86BA0}">
    <text>PP            VLR
563        7.800.000
564           800.000
632           800.000</text>
  </threadedComment>
  <threadedComment ref="Y39" dT="2024-01-26T13:12:43.82" personId="{1AA6CF86-CC5E-4BD9-BDC8-1A2B52DD1D2B}" id="{02A16AAE-04DE-489F-97AB-E9AC557DA16D}" parentId="{B7BFAF43-A719-4030-B8ED-AD7DD6D86BA0}">
    <text>562         2.800.000</text>
  </threadedComment>
  <threadedComment ref="Y44" dT="2024-01-24T14:34:58.26" personId="{B8E08E75-1203-4E19-8985-65435C84DA25}" id="{35951D74-D413-4CFC-9FD3-045F3EDE3303}">
    <text>PP                  Valor
523                8.400.000
516               5.800.000
603               5.400.000</text>
  </threadedComment>
  <threadedComment ref="Z44" dT="2024-01-26T16:41:53.28" personId="{B8E08E75-1203-4E19-8985-65435C84DA25}" id="{1A3F11DA-444B-4963-B7D6-1E10D5C5500C}">
    <text>516              281             5.800.000</text>
  </threadedComment>
  <threadedComment ref="Y48" dT="2024-01-24T21:00:19.37" personId="{B8E08E75-1203-4E19-8985-65435C84DA25}" id="{5A8F3F28-0920-4947-BB1B-AA5E39C67CE3}">
    <text>PP                 Valor
568              8.000.000</text>
  </threadedComment>
  <threadedComment ref="Y48" dT="2024-01-30T14:37:12.13" personId="{1AA6CF86-CC5E-4BD9-BDC8-1A2B52DD1D2B}" id="{66C58DE1-E147-4681-AC92-19A209E45150}" parentId="{5A8F3F28-0920-4947-BB1B-AA5E39C67CE3}">
    <text>657           8.150.000</text>
  </threadedComment>
  <threadedComment ref="Y49" dT="2024-01-24T21:01:50.14" personId="{B8E08E75-1203-4E19-8985-65435C84DA25}" id="{25F3F5BF-7DA2-42D3-ABD6-5F6AFA7A613C}">
    <text>PP               Valor
568             3.000.000</text>
  </threadedComment>
  <threadedComment ref="Y49" dT="2024-01-30T14:38:11.73" personId="{1AA6CF86-CC5E-4BD9-BDC8-1A2B52DD1D2B}" id="{52AF4D5E-69FC-44A7-A3B9-DADCCCD77971}" parentId="{25F3F5BF-7DA2-42D3-ABD6-5F6AFA7A613C}">
    <text>567          3.150.000</text>
  </threadedComment>
  <threadedComment ref="Y50" dT="2024-01-24T21:02:37.94" personId="{B8E08E75-1203-4E19-8985-65435C84DA25}" id="{5C7C461F-BCE2-41D5-A4A2-70FD936EE55A}">
    <text>PP                Valor
568              2.000.000</text>
  </threadedComment>
  <threadedComment ref="Y50" dT="2024-01-30T14:38:59.81" personId="{1AA6CF86-CC5E-4BD9-BDC8-1A2B52DD1D2B}" id="{DCE97E4F-46DB-4896-BEF1-DE3B76089799}" parentId="{5C7C461F-BCE2-41D5-A4A2-70FD936EE55A}">
    <text>567           2.500.0000</text>
  </threadedComment>
  <threadedComment ref="Y51" dT="2024-01-24T21:03:40.18" personId="{B8E08E75-1203-4E19-8985-65435C84DA25}" id="{D46AC2BC-F427-429F-AF7F-55ECCAAA75AF}">
    <text>PP                Valor
568              1.800.000</text>
  </threadedComment>
  <threadedComment ref="Y51" dT="2024-01-30T14:40:08.82" personId="{1AA6CF86-CC5E-4BD9-BDC8-1A2B52DD1D2B}" id="{685CC4A8-750E-4DDC-B070-42510735BB92}" parentId="{D46AC2BC-F427-429F-AF7F-55ECCAAA75AF}">
    <text>567             1.000.000</text>
  </threadedComment>
  <threadedComment ref="Y52" dT="2024-01-30T13:31:38.92" personId="{B8E08E75-1203-4E19-8985-65435C84DA25}" id="{93BE3A3C-B5FD-4F99-9818-919B8E258259}">
    <text>PP                  Valor
636               10.800.000</text>
  </threadedComment>
  <threadedComment ref="Y53" dT="2024-01-23T17:20:42.59" personId="{B8E08E75-1203-4E19-8985-65435C84DA25}" id="{BA68B1D1-6BCD-457B-AD00-10851FA964D1}">
    <text>PP                   VALOR
475                4.800.000
586                   500.000</text>
  </threadedComment>
  <threadedComment ref="Y66" dT="2024-01-24T14:15:24.18" personId="{B8E08E75-1203-4E19-8985-65435C84DA25}" id="{09690D20-4343-4D31-8158-B4AB9961F832}">
    <text>PP                  Valor
522               2.500.000
639             14.800.000</text>
  </threadedComment>
  <threadedComment ref="Y70" dT="2024-01-23T16:24:14.03" personId="{B8E08E75-1203-4E19-8985-65435C84DA25}" id="{1AB8FC2C-88A1-457B-9604-B5E4AD642365}">
    <text>PP         VLR
479      2.800.000
464      3.500.000
460      5.600.000
505      7.400.000
522      2.500.000
488     10.000.000
586     1.050.000
686     3.500.000</text>
  </threadedComment>
  <threadedComment ref="Y70" dT="2024-01-25T21:36:38.80" personId="{D25C7177-2A8B-4CA4-BA3A-DE8F5E20A891}" id="{9B00D870-2166-4E4B-B48C-5389BA11CD44}" parentId="{1AB8FC2C-88A1-457B-9604-B5E4AD642365}">
    <text>585    1.050.000</text>
  </threadedComment>
  <threadedComment ref="Y75" dT="2024-01-23T19:36:56.86" personId="{B8E08E75-1203-4E19-8985-65435C84DA25}" id="{81BC3214-8CD6-433F-B727-76AFBB3FB156}">
    <text>PP                   Valor
505                 7.400.000</text>
  </threadedComment>
  <threadedComment ref="Y76" dT="2024-01-23T15:39:38.05" personId="{B8E08E75-1203-4E19-8985-65435C84DA25}" id="{7A0DE695-D31E-42F9-A6A7-883D6E906354}">
    <text>PP                Valor
494              10.000.000</text>
  </threadedComment>
  <threadedComment ref="Y76" dT="2024-01-25T21:25:55.79" personId="{D25C7177-2A8B-4CA4-BA3A-DE8F5E20A891}" id="{E9BE1088-C990-4A6E-8DA0-A1330A87C439}" parentId="{7A0DE695-D31E-42F9-A6A7-883D6E906354}">
    <text>585               500.000</text>
  </threadedComment>
  <threadedComment ref="Y79" dT="2024-01-24T19:40:08.10" personId="{B8E08E75-1203-4E19-8985-65435C84DA25}" id="{52D9DBB8-32D8-4292-AF2B-9CDB81148C87}">
    <text>PP            VLR
488        3.000.000</text>
  </threadedComment>
  <threadedComment ref="Y80" dT="2024-01-24T19:40:38.48" personId="{B8E08E75-1203-4E19-8985-65435C84DA25}" id="{12DE3559-F612-44C1-8693-2EF74E27F418}">
    <text>PP          VLR
488       3.800.000</text>
  </threadedComment>
  <threadedComment ref="Y81" dT="2024-01-23T16:56:12.52" personId="{B8E08E75-1203-4E19-8985-65435C84DA25}" id="{124A9D81-4C15-42DF-8F74-1E1F0F403453}">
    <text>PP                 Valor
109              14.800.000
504             $14.800.000</text>
  </threadedComment>
  <threadedComment ref="Y83" dT="2024-01-23T16:47:13.45" personId="{B8E08E75-1203-4E19-8985-65435C84DA25}" id="{10BE72C4-514F-436E-95F4-3ACABCF07095}">
    <text>PP                      Valor
503                   13.800.000</text>
  </threadedComment>
  <threadedComment ref="Y84" dT="2024-01-23T16:48:31.53" personId="{B8E08E75-1203-4E19-8985-65435C84DA25}" id="{10CC4627-7A94-41EA-85D1-B229DFC8154E}">
    <text>PP               Valor
503             3.000.000</text>
  </threadedComment>
  <threadedComment ref="Y106" dT="2024-01-24T15:56:41.24" personId="{B8E08E75-1203-4E19-8985-65435C84DA25}" id="{DE61AAD8-51FD-4311-A5C6-1D8C028CD30B}">
    <text>PP                 Valor
526              6.800.000</text>
  </threadedComment>
  <threadedComment ref="Y111" dT="2024-01-23T16:51:54.62" personId="{B8E08E75-1203-4E19-8985-65435C84DA25}" id="{9DD624D6-E682-48D9-A362-B90E63BC507E}">
    <text>PP      VLR
464     3.300.000
475     5.000.000
522     2.500.000
526     10.000.000
556      7.400.000
586     1.050.000
576     5.600.000
686     3.300.000</text>
  </threadedComment>
  <threadedComment ref="Y111" dT="2024-01-25T21:20:54.72" personId="{D25C7177-2A8B-4CA4-BA3A-DE8F5E20A891}" id="{2B96E009-0E2E-492A-B039-AD636FACEFA8}" parentId="{9DD624D6-E682-48D9-A362-B90E63BC507E}">
    <text>585    1.050.000</text>
  </threadedComment>
  <threadedComment ref="Y111" dT="2024-01-25T22:29:55.34" personId="{D25C7177-2A8B-4CA4-BA3A-DE8F5E20A891}" id="{D7B77FF7-7B90-469C-A8F3-BD17C81EBBB7}" parentId="{9DD624D6-E682-48D9-A362-B90E63BC507E}">
    <text>538          10.000.000</text>
  </threadedComment>
  <threadedComment ref="Y112" dT="2024-01-23T16:26:41.64" personId="{B8E08E75-1203-4E19-8985-65435C84DA25}" id="{4972808B-87D9-4911-930B-BFDDDB6BB9B1}">
    <text>PP            VLR
479          2.800.000
460          5.600.000
556          7.400.000</text>
  </threadedComment>
  <threadedComment ref="Y114" dT="2024-01-24T16:04:23.71" personId="{B8E08E75-1203-4E19-8985-65435C84DA25}" id="{DB0D40A1-CEDA-44FD-81C2-56A88F5197C3}">
    <text>PP            VLR
529           16.800.000</text>
  </threadedComment>
  <threadedComment ref="Y116" dT="2024-01-23T16:25:07.00" personId="{B8E08E75-1203-4E19-8985-65435C84DA25}" id="{67DF00E7-FE93-4066-BDFF-C0394FB75E11}">
    <text>PP          VLR
479        2.800.000
464        3.300.000
475        5.000.000
522        2.500.000
545       14.800.000
686         3.300.000</text>
  </threadedComment>
  <threadedComment ref="Y117" dT="2024-01-24T16:10:05.74" personId="{B8E08E75-1203-4E19-8985-65435C84DA25}" id="{61B4D6D7-F784-485E-94CA-522643BDECC7}">
    <text>PP               Valor
554            16.800.000</text>
  </threadedComment>
  <threadedComment ref="Y118" dT="2024-01-25T16:38:01.57" personId="{B8E08E75-1203-4E19-8985-65435C84DA25}" id="{F2390577-7B04-4113-9C01-F0329FFFE764}">
    <text>PP                    Valor
586                  1.050.000</text>
  </threadedComment>
  <threadedComment ref="Y118" dT="2024-01-25T21:31:18.56" personId="{D25C7177-2A8B-4CA4-BA3A-DE8F5E20A891}" id="{8F8CA7C1-1063-4506-ABC5-1AD034903087}" parentId="{F2390577-7B04-4113-9C01-F0329FFFE764}">
    <text>585              1.050.000</text>
  </threadedComment>
  <threadedComment ref="Y122" dT="2024-01-25T22:25:00.38" personId="{D25C7177-2A8B-4CA4-BA3A-DE8F5E20A891}" id="{21546530-32E7-4CBC-B92F-A73B17F9FAAB}">
    <text xml:space="preserve">PP               VALOR 
  538              4.800.000    </text>
  </threadedComment>
  <threadedComment ref="Y125" dT="2024-01-22T15:25:03.10" personId="{B8E08E75-1203-4E19-8985-65435C84DA25}" id="{775E2057-FDBC-4F5B-BF33-235F7B7081D7}">
    <text>PP                  Valor
N/A               1.300.000
N/A               1.300.000
N/A               1.300.000
N/A               1.300.000</text>
  </threadedComment>
  <threadedComment ref="Z125" dT="2024-01-23T13:16:59.61" personId="{B8E08E75-1203-4E19-8985-65435C84DA25}" id="{451B41FE-AB5C-490E-91DD-05264C59E8B0}">
    <text>PP                Banco          Valor
N/A             194             1.300.000
N/A              198             1.300.000</text>
  </threadedComment>
</ThreadedComments>
</file>

<file path=xl/threadedComments/threadedComment12.xml><?xml version="1.0" encoding="utf-8"?>
<ThreadedComments xmlns="http://schemas.microsoft.com/office/spreadsheetml/2018/threadedcomments" xmlns:x="http://schemas.openxmlformats.org/spreadsheetml/2006/main">
  <threadedComment ref="Y14" dT="2024-01-31T21:31:36.97" personId="{B8E08E75-1203-4E19-8985-65435C84DA25}" id="{181B7B9B-67FC-43E3-83C0-46D98F5D0FB0}">
    <text>PP                  Valor
443               16.200.000</text>
  </threadedComment>
  <threadedComment ref="Y21" dT="2024-01-15T19:52:47.43" personId="{B8E08E75-1203-4E19-8985-65435C84DA25}" id="{1165BE5A-C3AA-4A43-93B0-627378AF3336}">
    <text>PP               Valor
N/A             30.000.000</text>
  </threadedComment>
  <threadedComment ref="X123" dT="2024-01-25T17:01:24.33" personId="{B8E08E75-1203-4E19-8985-65435C84DA25}" id="{CE4D9D8C-159C-432F-A0EF-85DBB2068E20}">
    <text>PP               VALOR 
559               14.400.000</text>
  </threadedComment>
  <threadedComment ref="Z123" dT="2024-01-25T22:55:44.68" personId="{D25C7177-2A8B-4CA4-BA3A-DE8F5E20A891}" id="{F913260A-CFB8-4952-9096-F2A139369D18}">
    <text xml:space="preserve">PP             VALOR 
559           14.400.000  </text>
  </threadedComment>
  <threadedComment ref="Y154" dT="2024-01-12T15:36:37.46" personId="{B8E08E75-1203-4E19-8985-65435C84DA25}" id="{CEA80916-ED81-40A7-9E7B-53B80E78D2DE}">
    <text>PP                    Valor
N/A                  140.000.000</text>
  </threadedComment>
  <threadedComment ref="Z189" dT="2024-01-25T20:40:48.58" personId="{B8E08E75-1203-4E19-8985-65435C84DA25}" id="{8D8652D6-34EE-4279-B99C-73AE893CB2C2}">
    <text>pp                   Valor
570                 22.200.000</text>
  </threadedComment>
  <threadedComment ref="Z189" dT="2024-01-25T22:53:51.79" personId="{D25C7177-2A8B-4CA4-BA3A-DE8F5E20A891}" id="{A39DE0F1-D1A4-438E-A061-538842A45C48}" parentId="{8D8652D6-34EE-4279-B99C-73AE893CB2C2}">
    <text>570                22.200.000</text>
  </threadedComment>
  <threadedComment ref="X194" dT="2024-01-25T16:51:33.13" personId="{B8E08E75-1203-4E19-8985-65435C84DA25}" id="{99D1905D-B723-497F-B910-056B3CFEB30A}">
    <text>PP                    VALOR 
570                     22.200.000</text>
  </threadedComment>
  <threadedComment ref="Y195" dT="2024-01-17T14:03:27.57" personId="{B8E08E75-1203-4E19-8985-65435C84DA25}" id="{CBA43008-9EC7-4EB4-8F80-73A29D58C448}">
    <text>PP                   Valor
308                8.100.000
281                8.100.000
296               15.000.000
294               8.100.000
304               8.100.000
283              18.000.000
284              18.000.000
280               18.000.000</text>
  </threadedComment>
  <threadedComment ref="X301" dT="2024-01-05T20:09:23.93" personId="{81A6CEBD-CF32-485E-AB82-56D0B0E190C3}" id="{EF24BF14-ABED-46A3-A9D0-A1D3F5AAB0A6}">
    <text>ADICION SEGÚN DECRETO 003 DE 01/01/2024</text>
  </threadedComment>
  <threadedComment ref="Y301" dT="2024-01-09T21:06:34.63" personId="{B8E08E75-1203-4E19-8985-65435C84DA25}" id="{0D426416-DB7A-45FC-98A7-477649FD1889}">
    <text>N/A  $1.374.833.727,62</text>
  </threadedComment>
  <threadedComment ref="X302" dT="2024-01-05T20:09:42.70" personId="{81A6CEBD-CF32-485E-AB82-56D0B0E190C3}" id="{B6751145-1AAD-49AD-A098-37BAE0BAEFF0}">
    <text>ADICION SEGÚN DECRETO 003 DE 01/01/2024</text>
  </threadedComment>
  <threadedComment ref="Y302" dT="2024-01-09T21:07:18.58" personId="{B8E08E75-1203-4E19-8985-65435C84DA25}" id="{1CD2504A-03A2-4D51-B076-B11D520416C7}">
    <text>N/A $19.917.628,79</text>
  </threadedComment>
  <threadedComment ref="X303" dT="2024-01-05T20:09:48.12" personId="{81A6CEBD-CF32-485E-AB82-56D0B0E190C3}" id="{79BD4D17-A777-4277-8392-84272A69BBD0}">
    <text>ADICION SEGÚN DECRETO 003 DE 01/01/2024</text>
  </threadedComment>
  <threadedComment ref="Y303" dT="2024-01-09T21:07:39.85" personId="{B8E08E75-1203-4E19-8985-65435C84DA25}" id="{46350F98-D9E0-485D-981C-66F503FBBF80}">
    <text>N/A $362.860.827,12</text>
  </threadedComment>
  <threadedComment ref="X304" dT="2024-01-05T20:09:53.85" personId="{81A6CEBD-CF32-485E-AB82-56D0B0E190C3}" id="{9DE39FB5-0FBD-4B5F-8996-C3C8153BAA7B}">
    <text>ADICION SEGÚN DECRETO 003 DE 01/01/2024</text>
  </threadedComment>
  <threadedComment ref="Y304" dT="2024-01-09T21:08:00.08" personId="{B8E08E75-1203-4E19-8985-65435C84DA25}" id="{C0E11CE6-1612-4418-A8BC-C2F1FD7B7BEC}">
    <text>N/A $154.016.729,13</text>
  </threadedComment>
  <threadedComment ref="X305" dT="2024-01-05T20:10:00.40" personId="{81A6CEBD-CF32-485E-AB82-56D0B0E190C3}" id="{1E9F24C5-32AA-4BAE-B43C-E8496537E815}">
    <text>ADICION SEGÚN DECRETO 003 DE 01/01/2024</text>
  </threadedComment>
  <threadedComment ref="Y305" dT="2024-01-09T21:08:43.41" personId="{B8E08E75-1203-4E19-8985-65435C84DA25}" id="{58B68A27-D3A5-478A-B737-48F7F9A5449D}">
    <text>N/A  $43.057.860,94</text>
  </threadedComment>
  <threadedComment ref="X306" dT="2024-01-05T20:10:07.71" personId="{81A6CEBD-CF32-485E-AB82-56D0B0E190C3}" id="{7BB19FB2-C4D1-4CF5-BFF8-0D4E88A8B0F0}">
    <text>ADICION SEGÚN DECRETO 003 DE 01/01/2024</text>
  </threadedComment>
  <threadedComment ref="Y306" dT="2024-01-09T21:09:10.88" personId="{B8E08E75-1203-4E19-8985-65435C84DA25}" id="{909E790B-86FD-43AC-9651-7B37AAF5515B}">
    <text>N/A  $79.929.185,67</text>
  </threadedComment>
  <threadedComment ref="X307" dT="2024-01-05T20:10:13.60" personId="{81A6CEBD-CF32-485E-AB82-56D0B0E190C3}" id="{338AB8B1-D1AA-43B3-A383-0A0028C8A94B}">
    <text>ADICION SEGÚN DECRETO 003 DE 01/01/2024</text>
  </threadedComment>
  <threadedComment ref="Y307" dT="2024-01-09T21:09:34.47" personId="{B8E08E75-1203-4E19-8985-65435C84DA25}" id="{391458EF-102F-4F12-B934-E6D9724E0AD4}">
    <text>N/A   $63.923.948,25</text>
  </threadedComment>
  <threadedComment ref="X308" dT="2024-01-05T20:10:19.62" personId="{81A6CEBD-CF32-485E-AB82-56D0B0E190C3}" id="{51649187-578A-4A1C-BF8D-B835FDE3A222}">
    <text>ADICION SEGÚN DECRETO 003 DE 01/01/2024</text>
  </threadedComment>
  <threadedComment ref="Y308" dT="2024-01-09T21:09:58.04" personId="{B8E08E75-1203-4E19-8985-65435C84DA25}" id="{5BE8984E-164D-476E-8B40-53F5F6B791F2}">
    <text>N/A   $239.000.767,56</text>
  </threadedComment>
  <threadedComment ref="X309" dT="2024-01-05T20:10:27.54" personId="{81A6CEBD-CF32-485E-AB82-56D0B0E190C3}" id="{06791325-8E83-4EA1-B62D-C3F028F6EC25}">
    <text>ADICION SEGÚN DECRETO 003 DE 01/01/2024</text>
  </threadedComment>
  <threadedComment ref="Y309" dT="2024-01-09T21:10:25.49" personId="{B8E08E75-1203-4E19-8985-65435C84DA25}" id="{84BF5C97-51BE-409A-84E5-0130DDD67233}">
    <text>N/A  $294.636.481,75</text>
  </threadedComment>
  <threadedComment ref="X310" dT="2024-01-05T20:10:32.95" personId="{81A6CEBD-CF32-485E-AB82-56D0B0E190C3}" id="{BA133088-EF54-45D5-A7FA-A5731C48BACD}">
    <text>ADICION SEGÚN DECRETO 003 DE 01/01/2024</text>
  </threadedComment>
  <threadedComment ref="Y310" dT="2024-01-09T21:10:48.51" personId="{B8E08E75-1203-4E19-8985-65435C84DA25}" id="{48606080-FBC3-4C3E-9D9D-7E812131EB49}">
    <text>N/A  $44.027.875,33</text>
  </threadedComment>
  <threadedComment ref="X311" dT="2024-01-05T20:10:38.15" personId="{81A6CEBD-CF32-485E-AB82-56D0B0E190C3}" id="{FF3B50DA-5C0E-4AFD-9B49-CA37F9B12227}">
    <text>ADICION SEGÚN DECRETO 003 DE 01/01/2024</text>
  </threadedComment>
  <threadedComment ref="Y311" dT="2024-01-09T21:11:11.05" personId="{B8E08E75-1203-4E19-8985-65435C84DA25}" id="{0130D106-16D2-456F-95E2-2EF9B3F7B099}">
    <text>N/A  $229.483.848,61</text>
  </threadedComment>
  <threadedComment ref="X312" dT="2024-01-05T20:10:43.64" personId="{81A6CEBD-CF32-485E-AB82-56D0B0E190C3}" id="{918F4E70-ADD2-4A63-8700-695B8A5F6906}">
    <text>ADICION SEGÚN DECRETO 003 DE 01/01/2024</text>
  </threadedComment>
  <threadedComment ref="Y312" dT="2024-01-09T21:11:40.21" personId="{B8E08E75-1203-4E19-8985-65435C84DA25}" id="{C752F776-7034-47BB-83A3-D3040ADA5E4D}">
    <text>N/A  $37.927.562,62</text>
  </threadedComment>
</ThreadedComments>
</file>

<file path=xl/threadedComments/threadedComment13.xml><?xml version="1.0" encoding="utf-8"?>
<ThreadedComments xmlns="http://schemas.microsoft.com/office/spreadsheetml/2018/threadedcomments" xmlns:x="http://schemas.openxmlformats.org/spreadsheetml/2006/main">
  <threadedComment ref="Z9" dT="2024-01-24T14:45:26.07" personId="{B8E08E75-1203-4E19-8985-65435C84DA25}" id="{FAAC1BAB-9E01-4C0E-A3FA-6CD9E55BA452}">
    <text>PP               Valor
15               9.600.000</text>
  </threadedComment>
  <threadedComment ref="Z9" dT="2024-01-26T16:14:51.32" personId="{1AA6CF86-CC5E-4BD9-BDC8-1A2B52DD1D2B}" id="{D7B4562F-7E84-4301-9300-ACE755A6F081}" parentId="{FAAC1BAB-9E01-4C0E-A3FA-6CD9E55BA452}">
    <text>184           12.000.000
612            12.000.000
596           10.800.000</text>
  </threadedComment>
  <threadedComment ref="Z15" dT="2024-01-12T20:53:08.41" personId="{B8E08E75-1203-4E19-8985-65435C84DA25}" id="{AD181F4F-C17D-434C-8A50-1F7DA83E7514}">
    <text>PP               Valor
10               17.200.000
19               14.800.000
17               10.800.000
20               14.800.000
629             7.400.000</text>
  </threadedComment>
  <threadedComment ref="Z15" dT="2024-01-26T15:01:55.54" personId="{1AA6CF86-CC5E-4BD9-BDC8-1A2B52DD1D2B}" id="{4EF245A4-4544-4B38-B14A-431DBAE9B22F}" parentId="{AD181F4F-C17D-434C-8A50-1F7DA83E7514}">
    <text>18            9.600.000
611          7.400.000
595           14.800.000</text>
  </threadedComment>
  <threadedComment ref="Z16" dT="2024-01-29T21:05:53.78" personId="{1AA6CF86-CC5E-4BD9-BDC8-1A2B52DD1D2B}" id="{D0876C33-ED83-4321-AB70-68F3C5BE3CE2}">
    <text>PP          VALOR 
611         7.400.000</text>
  </threadedComment>
  <threadedComment ref="Z16" dT="2024-01-30T16:16:58.01" personId="{B8E08E75-1203-4E19-8985-65435C84DA25}" id="{4360189A-B2D5-413E-9973-EE5EC61265DC}" parentId="{D0876C33-ED83-4321-AB70-68F3C5BE3CE2}">
    <text>629         7.400.000</text>
  </threadedComment>
  <threadedComment ref="Z25" dT="2024-01-26T16:04:14.53" personId="{1AA6CF86-CC5E-4BD9-BDC8-1A2B52DD1D2B}" id="{4231AF14-BACB-46B0-854A-B11A43A89040}">
    <text>PP              VALOR 
165             14.800.000
594             17.200.000</text>
  </threadedComment>
  <threadedComment ref="Z26" dT="2024-01-17T12:52:06.58" personId="{B8E08E75-1203-4E19-8985-65435C84DA25}" id="{13510EEF-A0F2-46BE-A773-6CCB8A9B3E8A}">
    <text>PP                   Valor
5                     12.000.000
7                     12.000.000</text>
  </threadedComment>
  <threadedComment ref="Z27" dT="2024-01-15T15:42:59.84" personId="{B8E08E75-1203-4E19-8985-65435C84DA25}" id="{428011C8-018E-43F9-9F04-2C5AD7D188B5}">
    <text>PP                  Valor
6                    7.400.000
9                    7.400.000</text>
  </threadedComment>
  <threadedComment ref="Z28" dT="2024-01-15T15:44:30.55" personId="{B8E08E75-1203-4E19-8985-65435C84DA25}" id="{521B327D-8058-4E5C-BD10-53996C42AE2B}">
    <text>PP                  Valor
6                    7.400.000
9                    7.400.000</text>
  </threadedComment>
</ThreadedComments>
</file>

<file path=xl/threadedComments/threadedComment2.xml><?xml version="1.0" encoding="utf-8"?>
<ThreadedComments xmlns="http://schemas.microsoft.com/office/spreadsheetml/2018/threadedcomments" xmlns:x="http://schemas.openxmlformats.org/spreadsheetml/2006/main">
  <threadedComment ref="Y57" dT="2024-01-26T21:21:56.20" personId="{B8E08E75-1203-4E19-8985-65435C84DA25}" id="{8ADBB074-CA48-42EE-BF9B-FB6D9F7D2D64}">
    <text>129            5.553.150
128            5.627.179</text>
  </threadedComment>
  <threadedComment ref="Y57" dT="2024-01-30T15:47:39.88" personId="{1AA6CF86-CC5E-4BD9-BDC8-1A2B52DD1D2B}" id="{4E4D64EE-2FD7-483A-8FBF-F0CCB4A10348}" parentId="{8ADBB074-CA48-42EE-BF9B-FB6D9F7D2D64}">
    <text>136         5.646.150</text>
  </threadedComment>
  <threadedComment ref="Y58" dT="2024-01-18T16:50:55.10" personId="{B8E08E75-1203-4E19-8985-65435C84DA25}" id="{9A1B2746-1380-49FF-A2F3-684B634F0B6E}">
    <text>PP                Valor
85                8.325.000
129             3.868.150
128             3.842.179</text>
  </threadedComment>
  <threadedComment ref="Y58" dT="2024-01-30T15:48:55.29" personId="{1AA6CF86-CC5E-4BD9-BDC8-1A2B52DD1D2B}" id="{9EBC2221-588C-47DA-ADDD-0427380DC040}" parentId="{9A1B2746-1380-49FF-A2F3-684B634F0B6E}">
    <text>136         3.861.150</text>
  </threadedComment>
  <threadedComment ref="Y59" dT="2024-01-18T16:52:07.63" personId="{B8E08E75-1203-4E19-8985-65435C84DA25}" id="{BFBD4D59-2E8C-4D1E-BED4-94C5BA9057D4}">
    <text>PP                 Valor
85                 1.110.000
129                3.683.150
128                3.657.179</text>
  </threadedComment>
  <threadedComment ref="Y59" dT="2024-01-30T15:49:40.02" personId="{1AA6CF86-CC5E-4BD9-BDC8-1A2B52DD1D2B}" id="{73086405-77B9-462A-BD7E-2D71C252F05B}" parentId="{BFBD4D59-2E8C-4D1E-BED4-94C5BA9057D4}">
    <text>136             3.676.150</text>
  </threadedComment>
  <threadedComment ref="Y60" dT="2024-01-18T16:53:44.80" personId="{B8E08E75-1203-4E19-8985-65435C84DA25}" id="{55EF5678-CA2A-40F2-9EC0-E9A2987DCBA8}">
    <text>PP                 Valor
85                 5.365.000
129                  908.150
128                  697.177</text>
  </threadedComment>
  <threadedComment ref="Y61" dT="2024-01-30T15:50:36.27" personId="{1AA6CF86-CC5E-4BD9-BDC8-1A2B52DD1D2B}" id="{92C94405-24D0-4F93-B147-004C1503F837}">
    <text>PP          VALOR 
136         936.150</text>
  </threadedComment>
  <threadedComment ref="Y63" dT="2024-01-26T21:25:52.85" personId="{B8E08E75-1203-4E19-8985-65435C84DA25}" id="{B7063E86-F688-4024-AE57-ECFEEBFE34CF}">
    <text>129                 1.887.400
128                 2.176.286</text>
  </threadedComment>
  <threadedComment ref="Y63" dT="2024-01-30T15:51:51.93" personId="{1AA6CF86-CC5E-4BD9-BDC8-1A2B52DD1D2B}" id="{B668334F-FF18-4B63-8057-1AE7A19EB540}" parentId="{B7063E86-F688-4024-AE57-ECFEEBFE34CF}">
    <text>136              1.880.400</text>
  </threadedComment>
  <threadedComment ref="X70" dT="2024-01-22T16:51:42.32" personId="{B8E08E75-1203-4E19-8985-65435C84DA25}" id="{08913DC8-3D45-44A5-8AB7-BA643ECCDF2A}">
    <text xml:space="preserve"> Reestribución interna entre actividades</text>
  </threadedComment>
  <threadedComment ref="X71" dT="2024-01-22T16:52:44.60" personId="{B8E08E75-1203-4E19-8985-65435C84DA25}" id="{365E5A3F-B3B3-4F8E-9A05-6C2E8B299F8F}">
    <text xml:space="preserve"> Reestribución interna entre actividades</text>
  </threadedComment>
  <threadedComment ref="X72" dT="2024-01-22T16:53:16.54" personId="{B8E08E75-1203-4E19-8985-65435C84DA25}" id="{2D05F987-B31A-4588-ADA9-D4204E8FEB54}">
    <text xml:space="preserve"> Reestribución interna entre actividades</text>
  </threadedComment>
  <threadedComment ref="X73" dT="2024-01-22T16:53:48.97" personId="{B8E08E75-1203-4E19-8985-65435C84DA25}" id="{C0CD254A-24F4-41EB-B550-E1F6269C9CDF}">
    <text xml:space="preserve"> Reestribución interna entre actividades</text>
  </threadedComment>
  <threadedComment ref="X74" dT="2024-01-22T16:54:08.13" personId="{B8E08E75-1203-4E19-8985-65435C84DA25}" id="{09F5527A-7902-48F3-9949-0F486E0320F9}">
    <text xml:space="preserve"> Reestribución interna entre actividades</text>
  </threadedComment>
  <threadedComment ref="X75" dT="2024-01-22T16:54:36.74" personId="{B8E08E75-1203-4E19-8985-65435C84DA25}" id="{09AEA5D7-4432-45F0-8BE2-89A6BED68738}">
    <text xml:space="preserve"> Reestribución interna entre actividades</text>
  </threadedComment>
  <threadedComment ref="X76" dT="2024-01-22T16:55:10.05" personId="{B8E08E75-1203-4E19-8985-65435C84DA25}" id="{84143978-7459-4797-835D-946C76F5CD54}">
    <text xml:space="preserve"> Reestribución interna entre actividades</text>
  </threadedComment>
  <threadedComment ref="X77" dT="2024-01-22T16:55:37.79" personId="{B8E08E75-1203-4E19-8985-65435C84DA25}" id="{D6AF7473-6B93-4120-BBE8-B2F6761F2908}">
    <text xml:space="preserve"> Reestribución interna entre actividades</text>
  </threadedComment>
  <threadedComment ref="X78" dT="2024-01-22T16:56:03.27" personId="{B8E08E75-1203-4E19-8985-65435C84DA25}" id="{3E66EF4A-5D5F-460B-A165-F8EAE5DD91E4}">
    <text xml:space="preserve"> Reestribución interna entre actividades</text>
  </threadedComment>
  <threadedComment ref="X79" dT="2024-01-22T16:56:28.71" personId="{B8E08E75-1203-4E19-8985-65435C84DA25}" id="{64F0C0F0-F80B-4ACD-992E-286E9FD748F6}">
    <text xml:space="preserve"> Reestribución interna entre actividades</text>
  </threadedComment>
  <threadedComment ref="X80" dT="2024-01-22T16:57:03.93" personId="{B8E08E75-1203-4E19-8985-65435C84DA25}" id="{46CC6CCC-445A-44CD-99A0-E1EFA0457313}">
    <text xml:space="preserve"> Reestribución interna entre actividades</text>
  </threadedComment>
  <threadedComment ref="X81" dT="2024-01-22T16:57:33.28" personId="{B8E08E75-1203-4E19-8985-65435C84DA25}" id="{C40CED4E-4BC6-4805-9A9E-F95B1139BC0B}">
    <text xml:space="preserve"> Reestribución interna entre actividades</text>
  </threadedComment>
  <threadedComment ref="X82" dT="2024-01-29T22:05:35.07" personId="{81A6CEBD-CF32-485E-AB82-56D0B0E190C3}" id="{6951ABE9-2512-4B47-B065-AC9A51756637}">
    <text>Contracredito segun Decreto 0346 25/01/2024</text>
  </threadedComment>
  <threadedComment ref="X83" dT="2024-01-29T22:06:29.50" personId="{81A6CEBD-CF32-485E-AB82-56D0B0E190C3}" id="{2EAC2E33-135B-4A08-A6C8-374D4650CF15}">
    <text>contracredito segun decreto 0346 25/01/2024</text>
  </threadedComment>
  <threadedComment ref="X84" dT="2024-01-22T16:58:24.42" personId="{B8E08E75-1203-4E19-8985-65435C84DA25}" id="{5A115B48-BD62-4DB0-B15A-ED1E3ED94EFE}">
    <text xml:space="preserve"> Reestribución interna entre actividades</text>
  </threadedComment>
  <threadedComment ref="Y84" dT="2024-01-25T21:47:30.84" personId="{B8E08E75-1203-4E19-8985-65435C84DA25}" id="{C1E41BC8-61BB-4210-AC1E-705AC6620AFC}">
    <text>135                 7.700.000
134                 5.000.000
138                 5.950.000</text>
  </threadedComment>
  <threadedComment ref="Y84" dT="2024-01-26T19:23:35.80" personId="{1AA6CF86-CC5E-4BD9-BDC8-1A2B52DD1D2B}" id="{B36737A1-DF54-43F0-82ED-92F51AE6A147}" parentId="{C1E41BC8-61BB-4210-AC1E-705AC6620AFC}">
    <text>131               4.300.000</text>
  </threadedComment>
  <threadedComment ref="Y84" dT="2024-01-26T21:57:29.21" personId="{1AA6CF86-CC5E-4BD9-BDC8-1A2B52DD1D2B}" id="{0E3E0258-DA89-4839-8285-20811629F192}" parentId="{C1E41BC8-61BB-4210-AC1E-705AC6620AFC}">
    <text>130               4.300.000</text>
  </threadedComment>
  <threadedComment ref="Y84" dT="2024-01-26T23:01:27.33" personId="{81A6CEBD-CF32-485E-AB82-56D0B0E190C3}" id="{826E8C3E-FC79-4B12-9557-EA456343AB6C}" parentId="{C1E41BC8-61BB-4210-AC1E-705AC6620AFC}">
    <text/>
  </threadedComment>
  <threadedComment ref="X85" dT="2024-01-22T16:58:24.42" personId="{B8E08E75-1203-4E19-8985-65435C84DA25}" id="{17FC4917-FC23-4E1E-A677-8700F78B9A1C}">
    <text xml:space="preserve"> Reestribución interna entre actividades</text>
  </threadedComment>
  <threadedComment ref="Y85" dT="2024-01-25T21:57:35.77" personId="{B8E08E75-1203-4E19-8985-65435C84DA25}" id="{EF86F9C2-0FC5-4566-A29A-DD30EE093B1A}">
    <text>135              4.000.000
134              8.000.000
137              4.300.000
138            10.000.000</text>
  </threadedComment>
  <threadedComment ref="Y85" dT="2024-01-26T19:25:02.00" personId="{1AA6CF86-CC5E-4BD9-BDC8-1A2B52DD1D2B}" id="{32B33C0E-646F-45F9-91D1-219FC94F51B9}" parentId="{EF86F9C2-0FC5-4566-A29A-DD30EE093B1A}">
    <text>131          8.600.000</text>
  </threadedComment>
  <threadedComment ref="Y85" dT="2024-01-26T21:58:02.94" personId="{1AA6CF86-CC5E-4BD9-BDC8-1A2B52DD1D2B}" id="{D3961682-5043-4E0C-9824-C1320E5B81F1}" parentId="{EF86F9C2-0FC5-4566-A29A-DD30EE093B1A}">
    <text>130           8.600.000</text>
  </threadedComment>
  <threadedComment ref="X86" dT="2024-01-22T16:58:24.42" personId="{B8E08E75-1203-4E19-8985-65435C84DA25}" id="{D2363972-99F4-405C-A5E1-8495ABC13211}">
    <text xml:space="preserve"> Reestribución interna entre actividades
Credito segun decreto 0346 25/01/2024</text>
  </threadedComment>
  <threadedComment ref="Y86" dT="2024-01-26T21:58:52.49" personId="{B8E08E75-1203-4E19-8985-65435C84DA25}" id="{8A1EC841-9B7C-4475-80FA-0376342B3A69}">
    <text>137                8.600.000</text>
  </threadedComment>
  <threadedComment ref="Y86" dT="2024-01-26T22:02:25.81" personId="{1AA6CF86-CC5E-4BD9-BDC8-1A2B52DD1D2B}" id="{38299A41-85C2-4947-B38D-8368ED85ABC9}" parentId="{8A1EC841-9B7C-4475-80FA-0376342B3A69}">
    <text>130     4.300.000</text>
  </threadedComment>
  <threadedComment ref="X87" dT="2024-01-22T16:58:24.42" personId="{B8E08E75-1203-4E19-8985-65435C84DA25}" id="{2DC91554-F08C-42CF-844C-2CE22C300ABB}">
    <text xml:space="preserve"> Reestribución interna entre actividades</text>
  </threadedComment>
  <threadedComment ref="Y87" dT="2024-01-26T22:00:48.07" personId="{B8E08E75-1203-4E19-8985-65435C84DA25}" id="{A705ECA8-445E-4B8B-993C-3A1EA580DA25}">
    <text>137                 4.300.000</text>
  </threadedComment>
  <threadedComment ref="X88" dT="2024-01-22T16:58:24.42" personId="{B8E08E75-1203-4E19-8985-65435C84DA25}" id="{77F949C4-2787-4DC4-87BA-04CB72793327}">
    <text xml:space="preserve"> Reestribución interna entre actividades 
Credito según decreto 0346 25/01/2024</text>
  </threadedComment>
  <threadedComment ref="Y88" dT="2024-01-26T19:26:44.16" personId="{1AA6CF86-CC5E-4BD9-BDC8-1A2B52DD1D2B}" id="{5411C72D-F40F-47FA-B46B-50C454A7DA43}">
    <text>131         3.300.000</text>
  </threadedComment>
  <threadedComment ref="Y88" dT="2024-01-26T21:59:52.79" personId="{1AA6CF86-CC5E-4BD9-BDC8-1A2B52DD1D2B}" id="{45652D7F-57B0-4579-BDF0-58045DF8FF0F}" parentId="{5411C72D-F40F-47FA-B46B-50C454A7DA43}">
    <text>130        3.300.000</text>
  </threadedComment>
  <threadedComment ref="Y88" dT="2024-01-26T22:02:15.79" personId="{B8E08E75-1203-4E19-8985-65435C84DA25}" id="{C978DE45-3C4E-424B-A2E1-AA968A954B2F}" parentId="{5411C72D-F40F-47FA-B46B-50C454A7DA43}">
    <text>137                 6.450.000
134                3.850.000</text>
  </threadedComment>
  <threadedComment ref="X89" dT="2024-01-22T16:58:24.42" personId="{B8E08E75-1203-4E19-8985-65435C84DA25}" id="{EF5095C3-645E-412C-B3F6-313936E395E1}">
    <text xml:space="preserve"> Reestribución interna entre actividades</text>
  </threadedComment>
  <threadedComment ref="Y89" dT="2024-01-25T21:49:13.41" personId="{B8E08E75-1203-4E19-8985-65435C84DA25}" id="{80F22D5C-4DC6-45A8-9801-C6031C7752D3}">
    <text>135               3.150.000
138               4.400.000
134               2.500.000</text>
  </threadedComment>
  <threadedComment ref="Y89" dT="2024-01-26T19:27:13.15" personId="{1AA6CF86-CC5E-4BD9-BDC8-1A2B52DD1D2B}" id="{C2127C52-7DB4-4B5D-BDC0-BFB61010C63D}" parentId="{80F22D5C-4DC6-45A8-9801-C6031C7752D3}">
    <text>131              3.150.000</text>
  </threadedComment>
  <threadedComment ref="Y89" dT="2024-01-26T22:00:36.71" personId="{1AA6CF86-CC5E-4BD9-BDC8-1A2B52DD1D2B}" id="{BB5E0B9F-D6E0-4E64-A4BF-795203B9165A}" parentId="{80F22D5C-4DC6-45A8-9801-C6031C7752D3}">
    <text>130          3.150.000</text>
  </threadedComment>
  <threadedComment ref="X90" dT="2024-01-29T22:16:07.46" personId="{81A6CEBD-CF32-485E-AB82-56D0B0E190C3}" id="{94A4C41C-2FAE-4183-81A7-98453162618F}">
    <text xml:space="preserve">credito segun decreto 0346 25/01/2024
</text>
  </threadedComment>
</ThreadedComments>
</file>

<file path=xl/threadedComments/threadedComment3.xml><?xml version="1.0" encoding="utf-8"?>
<ThreadedComments xmlns="http://schemas.microsoft.com/office/spreadsheetml/2018/threadedcomments" xmlns:x="http://schemas.openxmlformats.org/spreadsheetml/2006/main">
  <threadedComment ref="Y11" dT="2024-01-11T21:59:50.34" personId="{B8E08E75-1203-4E19-8985-65435C84DA25}" id="{460D0691-A731-4C5A-8F8A-A4934FC50A48}">
    <text>PP                      Valor
98                     15.000.000</text>
  </threadedComment>
  <threadedComment ref="Y15" dT="2024-01-24T19:29:04.26" personId="{B8E08E75-1203-4E19-8985-65435C84DA25}" id="{F1020F72-73C8-4CEA-8722-15B517DCAF36}">
    <text>PP            VLR
108          60.000.000</text>
  </threadedComment>
  <threadedComment ref="Y17" dT="2024-01-10T21:34:15.63" personId="{B8E08E75-1203-4E19-8985-65435C84DA25}" id="{CA493DB6-FBAA-4151-9B99-337332812235}">
    <text>PP                  Valor
64                  8.600.000
237               14.800.000
232               17.200.000
234               14.800.000
235              14.800.000
236               14.800.000
240               14.800.000
239               14.800.000
590                 6.540.000
591                8.000.000         
578             11.1000.000
579             12.900.000</text>
  </threadedComment>
  <threadedComment ref="Y17" dT="2024-01-25T22:40:15.27" personId="{D25C7177-2A8B-4CA4-BA3A-DE8F5E20A891}" id="{A480C7C2-EDEF-4E53-9140-26B897B68308}" parentId="{CA493DB6-FBAA-4151-9B99-337332812235}">
    <text xml:space="preserve">555           14.800.000
</text>
  </threadedComment>
  <threadedComment ref="Y17" dT="2024-01-26T13:37:23.81" personId="{1AA6CF86-CC5E-4BD9-BDC8-1A2B52DD1D2B}" id="{699BD111-2D0A-4BAD-80AD-BDBD651FD8CB}" parentId="{CA493DB6-FBAA-4151-9B99-337332812235}">
    <text>550                14.800.000</text>
  </threadedComment>
  <threadedComment ref="Y17" dT="2024-01-26T13:57:31.73" personId="{1AA6CF86-CC5E-4BD9-BDC8-1A2B52DD1D2B}" id="{2D99ACAE-FBAB-4E1C-9116-BF6C8F21EC31}" parentId="{CA493DB6-FBAA-4151-9B99-337332812235}">
    <text>524                     17.200.000</text>
  </threadedComment>
  <threadedComment ref="Y17" dT="2024-01-26T14:06:05.52" personId="{1AA6CF86-CC5E-4BD9-BDC8-1A2B52DD1D2B}" id="{64A27464-3096-41C7-B1E4-A06BC8073AA0}" parentId="{CA493DB6-FBAA-4151-9B99-337332812235}">
    <text>551                   7.200.000</text>
  </threadedComment>
  <threadedComment ref="Y23" dT="2024-01-10T20:28:24.72" personId="{B8E08E75-1203-4E19-8985-65435C84DA25}" id="{94AAB18C-8E2D-4313-9B51-1A4FEF61C2DB}">
    <text>PP                 Valor
69                 17.200.000
66                  14.800.000
64                   8.600.000
77                  17.200.000
75                   17.200.000
84                  14.800.000
79                  17.200.000
86                  14.800.000
91                  14.800.000
78                  17.200.000
88                  14.800.000
67                  17.200.000
204                14.800.000
584                14.800.000
82                  14.800.000
87                    8.600.000</text>
  </threadedComment>
  <threadedComment ref="Y23" dT="2024-01-26T21:48:27.95" personId="{1AA6CF86-CC5E-4BD9-BDC8-1A2B52DD1D2B}" id="{81070113-1E11-423A-B793-EFB24E8F7BA1}" parentId="{94AAB18C-8E2D-4313-9B51-1A4FEF61C2DB}">
    <text>581            8.100.000
582           16.000.000
583          17.200.000
588           12.000.000</text>
  </threadedComment>
  <threadedComment ref="Z23" dT="2024-01-29T12:45:52.00" personId="{B8E08E75-1203-4E19-8985-65435C84DA25}" id="{CB855DC5-D69C-458E-A1B9-98EDBD4BC109}">
    <text xml:space="preserve">PP            Banco          Valor
67            33                 17.200.000  </text>
  </threadedComment>
</ThreadedComments>
</file>

<file path=xl/threadedComments/threadedComment4.xml><?xml version="1.0" encoding="utf-8"?>
<ThreadedComments xmlns="http://schemas.microsoft.com/office/spreadsheetml/2018/threadedcomments" xmlns:x="http://schemas.openxmlformats.org/spreadsheetml/2006/main">
  <threadedComment ref="Y15" dT="2024-01-17T16:42:00.93" personId="{B8E08E75-1203-4E19-8985-65435C84DA25}" id="{87613E4E-9925-4192-98C1-B7C92F071A57}">
    <text>PP                 Valor
343               2.000.000
357              2.000.000
350              1.200.000
448              2.800.000
627             4.000.000</text>
  </threadedComment>
  <threadedComment ref="Y16" dT="2024-01-23T15:47:34.75" personId="{B8E08E75-1203-4E19-8985-65435C84DA25}" id="{C8B5A34F-92CE-499D-BBE4-09CB9836444D}">
    <text>PP             Valor
748           545.060.572</text>
  </threadedComment>
  <threadedComment ref="Y22" dT="2024-01-16T16:27:34.85" personId="{B8E08E75-1203-4E19-8985-65435C84DA25}" id="{C79E1BF0-B2F3-46A7-9409-62E58D5E2BF4}">
    <text>PP               Valor
286             6.000.000
335             8.000.000
288             6.800.000
332             7.200.000
299             4.000.000
302            10.000.000
334            4.000.000
303            10.000.000
305             10.400.000
307             7.200.000
331             7.200.000
325             8.000.000
330             10.000.000
338             4.400.000
339            7.600.000
345            4.400.000
349            10.000.000
343             3.200.000
347             8.400.000
341              2.000.000
357              5.200.000
354              4.400.000
362             10.000.000
410             5.200.000
360             8.000.000
351             8.400.000
326            7.200.000
359            2.800.000
348            9.200.000
358           4.000.000
346           3.600.000
355           3.600.000
353           4.800.000
356           4.800.000
540           4.000.000
541           8.000.000
544          2.000.000</text>
  </threadedComment>
  <threadedComment ref="Y22" dT="2024-01-19T20:02:18.49" personId="{B8E08E75-1203-4E19-8985-65435C84DA25}" id="{75D514D6-F29D-4166-9B70-3F1B81E21707}" parentId="{C79E1BF0-B2F3-46A7-9409-62E58D5E2BF4}">
    <text>PP                   Valor
408                 11.800.000
350                 4.000.000
447                8.000.000
406               6.000.000
407              6.400.000
344              10.800.000
352                8.800.000
448              9.000.000
338              4.400.000</text>
  </threadedComment>
  <threadedComment ref="Y22" dT="2024-01-25T22:58:36.53" personId="{D25C7177-2A8B-4CA4-BA3A-DE8F5E20A891}" id="{78668582-8810-40C7-B884-5C6D98F878EE}" parentId="{C79E1BF0-B2F3-46A7-9409-62E58D5E2BF4}">
    <text>543     10.800.000</text>
  </threadedComment>
  <threadedComment ref="Z22" dT="2024-01-23T21:12:07.69" personId="{B8E08E75-1203-4E19-8985-65435C84DA25}" id="{2C694844-073A-4672-B2D1-FEB407906223}">
    <text>PP        BANCO      VALOR 
338        89             4.400.000</text>
  </threadedComment>
  <threadedComment ref="Y27" dT="2024-01-19T14:13:17.38" personId="{B8E08E75-1203-4E19-8985-65435C84DA25}" id="{8F9FC0C8-47C3-4C0C-A5B0-7B5B379E2466}">
    <text>PP                 Valor
359               2.400.000
346               2.000.000</text>
  </threadedComment>
  <threadedComment ref="Y36" dT="2024-01-16T16:33:33.64" personId="{B8E08E75-1203-4E19-8985-65435C84DA25}" id="{E731B59B-17D2-4F48-822E-C41BA50EFCD8}">
    <text>PP                Valor
286              4.400.000
335              8.000.000
288              8.400.000
332              5.200.000
299              4.400.000
302              2.000.000
334              4.000.000
303             4.800.000
305             6.800.000
307            10.000.000
331             6.800.000
325             6.800.000
330             5.600.000
338             2.800.000
339             6.800.000
345             4.000.000
349             4.800.000
343            2.800.000
347            3.600.000
341             4.000.000
357             2.000.000
354             4.000.000
410             4.000.000
360             6.800.000
351             5.600.000
326              6.800.000
359             4.000.000
348            7.200.000
358            4.400.000
346            3.600.000
355             2.800.000
353            3.200.000
356            2.000.000
540            4.000.000
541            1.000.000
542             6.200.000</text>
  </threadedComment>
  <threadedComment ref="Y36" dT="2024-01-19T20:03:31.06" personId="{B8E08E75-1203-4E19-8985-65435C84DA25}" id="{69BBD561-716E-4BE7-A388-C028A459C72E}" parentId="{E731B59B-17D2-4F48-822E-C41BA50EFCD8}">
    <text>PP                 Valor
408              5.200.000
350             2.800.000
447            4.800.000
406            5.800.000
344            5.600.000
407            4.000.000
338            2.800.000</text>
  </threadedComment>
  <threadedComment ref="Y36" dT="2024-01-25T20:20:18.93" personId="{B8E08E75-1203-4E19-8985-65435C84DA25}" id="{F42E9150-CC04-4943-B580-B53F4E68C7E8}" parentId="{E731B59B-17D2-4F48-822E-C41BA50EFCD8}">
    <text>543        3.800.000</text>
  </threadedComment>
  <threadedComment ref="Z36" dT="2024-01-23T21:15:23.95" personId="{B8E08E75-1203-4E19-8985-65435C84DA25}" id="{FE7B3603-07EF-4B44-9E2B-C551B402DC04}">
    <text>PP        BANCO      VALOR 
338           88         2.800.000</text>
  </threadedComment>
  <threadedComment ref="Y41" dT="2024-01-11T22:02:13.47" personId="{B8E08E75-1203-4E19-8985-65435C84DA25}" id="{8682DE92-3450-4B12-B626-2A04D2722F3E}">
    <text>PP                    Valor
98                    60.000.000</text>
  </threadedComment>
  <threadedComment ref="Y42" dT="2024-01-12T14:06:03.90" personId="{B8E08E75-1203-4E19-8985-65435C84DA25}" id="{3E957A05-20DB-4EA2-B991-45ACE1555F1A}">
    <text>PP               Valor
31               5.000.000</text>
  </threadedComment>
  <threadedComment ref="Y45" dT="2024-01-16T16:38:04.82" personId="{B8E08E75-1203-4E19-8985-65435C84DA25}" id="{02B5D72E-1431-4421-B308-A375DCBD135E}">
    <text>PP                  Valor
286                1.600.000
335                1.200.000
288                 2.000.000
332                 2.400.000
292                13.200.000
295                11.200.000
299                800.000
333               11.200.000
331               3.200.000
330               1.600.000
302               2.000.000
339                    400.000
345                    800.000
354                    800.000
362                 2.000.000
351                    800.000
347                 3.600.000
326                    800.000
348                    800.000
408                    200.000
447                  2.000.000
409                 11.200.000
406                     200.000
344                     800.000
356                     400.000
541                     200.000
542                  6.000.000
544                 1.600.000</text>
  </threadedComment>
  <threadedComment ref="Y45" dT="2024-01-22T15:39:28.18" personId="{B8E08E75-1203-4E19-8985-65435C84DA25}" id="{1BF40E3B-A930-4338-9529-E6106623FC8A}" parentId="{02B5D72E-1431-4421-B308-A375DCBD135E}">
    <text>352                  3.200.000
407                     400.000
448                      200.000</text>
  </threadedComment>
  <threadedComment ref="Y45" dT="2024-01-25T20:21:27.99" personId="{B8E08E75-1203-4E19-8985-65435C84DA25}" id="{6F5747E7-41C8-44C9-BAC1-30A8C0D0810D}" parentId="{02B5D72E-1431-4421-B308-A375DCBD135E}">
    <text>543            200.000</text>
  </threadedComment>
  <threadedComment ref="Y52" dT="2024-01-24T21:23:47.10" personId="{B8E08E75-1203-4E19-8985-65435C84DA25}" id="{48F84136-1492-4740-84C5-1EEB7448A875}">
    <text>PP        VLR
544      8.400.000</text>
  </threadedComment>
  <threadedComment ref="Y67" dT="2024-01-19T15:51:33.42" personId="{B8E08E75-1203-4E19-8985-65435C84DA25}" id="{3AF065D7-C401-4FE8-9F55-A7308EC972F9}">
    <text>PP                  Valor
358               800.000
355             1.600.000
356             2.000.000
540             2.800.000
542            5.000.000
627            4.000.000</text>
  </threadedComment>
  <threadedComment ref="Y71" dT="2024-01-17T13:10:32.04" personId="{B8E08E75-1203-4E19-8985-65435C84DA25}" id="{80B68FDA-4BDA-4E8A-AE82-4F2F85BF1424}">
    <text>PP                 Valor
338              800.000
341             2.000.000
338             2.000.000
627            1.200.000</text>
  </threadedComment>
  <threadedComment ref="Z71" dT="2024-01-23T21:18:09.46" personId="{B8E08E75-1203-4E19-8985-65435C84DA25}" id="{D7AB82E5-9D93-4416-9B27-7EE2DB96E362}">
    <text>PP        BANCO      VALOR 
338          87             800.000</text>
  </threadedComment>
</ThreadedComments>
</file>

<file path=xl/threadedComments/threadedComment5.xml><?xml version="1.0" encoding="utf-8"?>
<ThreadedComments xmlns="http://schemas.microsoft.com/office/spreadsheetml/2018/threadedcomments" xmlns:x="http://schemas.openxmlformats.org/spreadsheetml/2006/main">
  <threadedComment ref="Z16" dT="2024-01-31T16:26:44.78" personId="{B8E08E75-1203-4E19-8985-65435C84DA25}" id="{E852C313-5BD9-46D0-B980-A7166E65C71F}">
    <text>PP                   Valor
394                10.500.000
662                10.000.000</text>
  </threadedComment>
  <threadedComment ref="Z18" dT="2024-01-31T14:35:39.52" personId="{B8E08E75-1203-4E19-8985-65435C84DA25}" id="{CAE98FF3-B92D-49FA-8443-EA6953975BA5}">
    <text xml:space="preserve">PP                  Valor
396              8.100.000
651            16.200.000
</text>
  </threadedComment>
  <threadedComment ref="Z27" dT="2024-01-31T20:15:29.27" personId="{B8E08E75-1203-4E19-8985-65435C84DA25}" id="{82E31053-E367-476B-B278-14BE7030F020}">
    <text xml:space="preserve">PP              VLR
393           12.900.000
419             8.100.000    </text>
  </threadedComment>
  <threadedComment ref="Z33" dT="2024-01-31T16:38:44.10" personId="{B8E08E75-1203-4E19-8985-65435C84DA25}" id="{F0022E26-3D04-4A0B-B29D-E44993E96F16}">
    <text>PP                Valor
654             8.100.000</text>
  </threadedComment>
  <threadedComment ref="Z34" dT="2024-01-31T15:12:07.84" personId="{B8E08E75-1203-4E19-8985-65435C84DA25}" id="{5DD66248-443E-496B-9EA5-92D4FFB412C5}">
    <text xml:space="preserve">PP                   Valor
</text>
  </threadedComment>
  <threadedComment ref="Z41" dT="2024-01-31T15:59:37.63" personId="{B8E08E75-1203-4E19-8985-65435C84DA25}" id="{3E58561E-437A-4288-B85A-6EC2B5F03188}">
    <text>PP                Valor
652             9.000.000</text>
  </threadedComment>
  <threadedComment ref="Z42" dT="2024-01-31T16:00:37.18" personId="{B8E08E75-1203-4E19-8985-65435C84DA25}" id="{B363D832-0165-4269-8598-DE5CD174C90F}">
    <text>PP               Valor
652           9.000.000</text>
  </threadedComment>
</ThreadedComments>
</file>

<file path=xl/threadedComments/threadedComment6.xml><?xml version="1.0" encoding="utf-8"?>
<ThreadedComments xmlns="http://schemas.microsoft.com/office/spreadsheetml/2018/threadedcomments" xmlns:x="http://schemas.openxmlformats.org/spreadsheetml/2006/main">
  <threadedComment ref="Y11" dT="2024-01-17T21:58:43.72" personId="{B8E08E75-1203-4E19-8985-65435C84DA25}" id="{32D8D3B9-E186-4F69-B07B-7C6D9BD95D0C}">
    <text>PP                Valor 
273              14.000.000
537               15.800.000</text>
  </threadedComment>
  <threadedComment ref="Y12" dT="2024-01-26T19:52:23.37" personId="{1AA6CF86-CC5E-4BD9-BDC8-1A2B52DD1D2B}" id="{FDCE1AEC-8566-4CCF-B5C3-4A5E554E1025}">
    <text>PP           VALOR
598         17.200.000</text>
  </threadedComment>
  <threadedComment ref="Y17" dT="2024-01-18T16:35:53.63" personId="{B8E08E75-1203-4E19-8985-65435C84DA25}" id="{8B9A6B71-3EA5-4A9B-AF7D-909724C8FE7D}">
    <text>PP                     Valor
274                  9.000.000</text>
  </threadedComment>
  <threadedComment ref="Y17" dT="2024-01-26T20:12:02.58" personId="{1AA6CF86-CC5E-4BD9-BDC8-1A2B52DD1D2B}" id="{E97A5617-603F-4F8E-B874-10D0DF50A5D7}" parentId="{8B9A6B71-3EA5-4A9B-AF7D-909724C8FE7D}">
    <text>276             5.200.000
600              5.800.000</text>
  </threadedComment>
  <threadedComment ref="Y18" dT="2024-01-26T20:13:56.37" personId="{1AA6CF86-CC5E-4BD9-BDC8-1A2B52DD1D2B}" id="{F64DC8EE-52B3-473C-9BC7-C2A7E22C86ED}">
    <text>PP       VALOR 
276      10.000.000</text>
  </threadedComment>
  <threadedComment ref="Y18" dT="2024-01-29T20:43:55.91" personId="{1AA6CF86-CC5E-4BD9-BDC8-1A2B52DD1D2B}" id="{96C9A6AE-71FB-4294-A3AE-1DB5F0CE839A}" parentId="{F64DC8EE-52B3-473C-9BC7-C2A7E22C86ED}">
    <text>600      5.000.000</text>
  </threadedComment>
  <threadedComment ref="Y21" dT="2024-01-26T14:25:24.07" personId="{B8E08E75-1203-4E19-8985-65435C84DA25}" id="{8BB84355-A8E7-4A7D-A503-0B8113194903}">
    <text>PP                  Valor
377                14.800.000</text>
  </threadedComment>
  <threadedComment ref="Y23" dT="2024-01-26T21:23:59.70" personId="{1AA6CF86-CC5E-4BD9-BDC8-1A2B52DD1D2B}" id="{DF9290D7-5CBC-49A1-8A00-4D679097A5B1}">
    <text>PP        VALOR 
382        5.400.000</text>
  </threadedComment>
  <threadedComment ref="Y24" dT="2024-01-26T21:23:59.70" personId="{1AA6CF86-CC5E-4BD9-BDC8-1A2B52DD1D2B}" id="{E37322FF-979A-4F14-BE4F-3D990DB2B413}">
    <text>PP        VALOR 
382        5.400.000</text>
  </threadedComment>
  <threadedComment ref="Y24" dT="2024-01-30T15:47:04.12" personId="{B8E08E75-1203-4E19-8985-65435C84DA25}" id="{AB661990-6CEF-4213-BC7C-6DC64AE16993}" parentId="{E37322FF-979A-4F14-BE4F-3D990DB2B413}">
    <text>560            3.900.000</text>
  </threadedComment>
  <threadedComment ref="Y25" dT="2024-01-26T21:23:59.70" personId="{1AA6CF86-CC5E-4BD9-BDC8-1A2B52DD1D2B}" id="{2F0EEF97-421F-4322-BAA9-6FAA35E0658A}">
    <text>PP        VALOR 
382        5.400.000</text>
  </threadedComment>
  <threadedComment ref="Y27" dT="2024-01-18T15:21:56.36" personId="{B8E08E75-1203-4E19-8985-65435C84DA25}" id="{26F29F43-DB97-483D-B065-B39F57424784}">
    <text>PP                Valor
241              10.000.000</text>
  </threadedComment>
  <threadedComment ref="Y45" dT="2024-01-18T15:08:33.50" personId="{B8E08E75-1203-4E19-8985-65435C84DA25}" id="{D2B11883-9CD7-48A0-BDF9-BE1D839E4113}">
    <text>PP                Valor
256             3.000.000</text>
  </threadedComment>
  <threadedComment ref="Y49" dT="2024-01-18T15:48:54.27" personId="{B8E08E75-1203-4E19-8985-65435C84DA25}" id="{178A627D-3C02-4704-A288-5AE12BD2F55D}">
    <text>PP                Valor
241             4.000.000</text>
  </threadedComment>
  <threadedComment ref="Y51" dT="2024-01-18T15:10:08.45" personId="{B8E08E75-1203-4E19-8985-65435C84DA25}" id="{46B2C2BE-2C04-4DC9-BEE1-B56AA29846E3}">
    <text>PP                 Valor
256              2.000.000</text>
  </threadedComment>
  <threadedComment ref="Y55" dT="2024-01-17T21:53:21.15" personId="{B8E08E75-1203-4E19-8985-65435C84DA25}" id="{73F67DB6-2272-47EF-82C7-60833AF115E6}">
    <text>PP                Valor
66                10.000.000</text>
  </threadedComment>
  <threadedComment ref="Y55" dT="2024-01-26T15:20:06.11" personId="{1AA6CF86-CC5E-4BD9-BDC8-1A2B52DD1D2B}" id="{00CC135D-3934-4255-904A-67EBBD082F69}" parentId="{73F67DB6-2272-47EF-82C7-60833AF115E6}">
    <text xml:space="preserve">566         10.000.000
</text>
  </threadedComment>
  <threadedComment ref="Y55" dT="2024-01-26T20:16:19.98" personId="{1AA6CF86-CC5E-4BD9-BDC8-1A2B52DD1D2B}" id="{78B65C93-675F-4F24-837B-9CC823182BA4}" parentId="{73F67DB6-2272-47EF-82C7-60833AF115E6}">
    <text>276              7.000.000</text>
  </threadedComment>
  <threadedComment ref="Y55" dT="2024-01-26T20:35:05.30" personId="{1AA6CF86-CC5E-4BD9-BDC8-1A2B52DD1D2B}" id="{C8B0E4B4-C061-4F43-8429-D82A4B5F1809}" parentId="{73F67DB6-2272-47EF-82C7-60833AF115E6}">
    <text>537            10.000.000</text>
  </threadedComment>
  <threadedComment ref="Y62" dT="2024-01-18T16:37:56.09" personId="{B8E08E75-1203-4E19-8985-65435C84DA25}" id="{B7F93ED6-BD12-44CD-888F-D4AD48B3F68F}">
    <text>PP                Valor
274             9.000.000</text>
  </threadedComment>
  <threadedComment ref="Y62" dT="2024-01-26T15:22:50.63" personId="{1AA6CF86-CC5E-4BD9-BDC8-1A2B52DD1D2B}" id="{F0C998B0-AD1D-43D2-9AE3-4A0B8D5271CE}" parentId="{B7F93ED6-BD12-44CD-888F-D4AD48B3F68F}">
    <text>566            4.800.000</text>
  </threadedComment>
  <threadedComment ref="Y62" dT="2024-01-26T20:54:07.42" personId="{1AA6CF86-CC5E-4BD9-BDC8-1A2B52DD1D2B}" id="{78FED56C-5338-4417-9E68-11C1F4BD7911}" parentId="{B7F93ED6-BD12-44CD-888F-D4AD48B3F68F}">
    <text>569              7.400.000</text>
  </threadedComment>
  <threadedComment ref="Y66" dT="2024-01-25T21:26:19.00" personId="{B8E08E75-1203-4E19-8985-65435C84DA25}" id="{06F35EA8-EB76-40D8-B739-A6A8F3FE71C0}">
    <text>PP                    Valor
399                24.000.000</text>
  </threadedComment>
  <threadedComment ref="Y67" dT="2024-01-23T21:45:36.38" personId="{B8E08E75-1203-4E19-8985-65435C84DA25}" id="{29290BEC-F192-4E04-AFCF-DED9867EFA62}">
    <text>PP           VALOR
398          $11.100.000
560              3.900.000</text>
  </threadedComment>
  <threadedComment ref="Y71" dT="2024-01-29T21:58:20.02" personId="{B8E08E75-1203-4E19-8985-65435C84DA25}" id="{B0DFBD07-94F6-42D7-A88C-E1B5F0D26790}">
    <text>PP                Valor
557             14.800.000
374             25.800.000</text>
  </threadedComment>
  <threadedComment ref="Y72" dT="2024-01-23T21:44:04.27" personId="{B8E08E75-1203-4E19-8985-65435C84DA25}" id="{4E9949E6-88FB-47F6-B05E-679563935848}">
    <text>PP              VALOR
398          $11.100.000</text>
  </threadedComment>
  <threadedComment ref="Y76" dT="2024-01-19T13:28:15.35" personId="{B8E08E75-1203-4E19-8985-65435C84DA25}" id="{AB7EEC64-57D2-4AE5-AE84-A9C263DE9276}">
    <text>PP               Valor
256             5.000.000
560             7.000.000</text>
  </threadedComment>
  <threadedComment ref="Y77" dT="2024-01-18T15:03:41.49" personId="{B8E08E75-1203-4E19-8985-65435C84DA25}" id="{0F65B448-ADEA-4F6F-BBF9-7EE23F0CB099}">
    <text xml:space="preserve">PP               Valor
</text>
  </threadedComment>
  <threadedComment ref="Y81" dT="2024-01-18T15:23:57.29" personId="{B8E08E75-1203-4E19-8985-65435C84DA25}" id="{60ABA499-14EC-402C-A924-88D461DE416F}">
    <text>PP                  Valor
241               4.000.000</text>
  </threadedComment>
  <threadedComment ref="Y83" dT="2024-01-18T15:06:00.17" personId="{B8E08E75-1203-4E19-8985-65435C84DA25}" id="{5B31E4BC-BBB7-4378-B74F-D7BDA527B252}">
    <text>PP                Valor
256             5.000.000</text>
  </threadedComment>
  <threadedComment ref="Y87" dT="2024-01-23T21:32:43.10" personId="{B8E08E75-1203-4E19-8985-65435C84DA25}" id="{014B2F55-04A6-4771-B165-3E0882E691E8}">
    <text>PP           VALOR 
383         16.800.000
385         16.200.000
599           9.200.000</text>
  </threadedComment>
  <threadedComment ref="Y87" dT="2024-01-26T17:13:11.05" personId="{1AA6CF86-CC5E-4BD9-BDC8-1A2B52DD1D2B}" id="{2CDE4359-E1EB-4A93-88F4-AC397F97E696}" parentId="{014B2F55-04A6-4771-B165-3E0882E691E8}">
    <text>597       9.200.000</text>
  </threadedComment>
  <threadedComment ref="Y89" dT="2024-01-29T20:02:29.90" personId="{1AA6CF86-CC5E-4BD9-BDC8-1A2B52DD1D2B}" id="{62EB1498-7D1B-4DFC-BE5E-12A7211814DE}">
    <text>PP           VALOR 
558          8.600.000</text>
  </threadedComment>
  <threadedComment ref="Y89" dT="2024-01-30T15:50:45.93" personId="{B8E08E75-1203-4E19-8985-65435C84DA25}" id="{3FF65223-93FA-455D-9E3A-A8D0E1C9FB70}" parentId="{62EB1498-7D1B-4DFC-BE5E-12A7211814DE}">
    <text>609           5.800.000</text>
  </threadedComment>
  <threadedComment ref="Y95" dT="2024-01-18T14:59:17.33" personId="{B8E08E75-1203-4E19-8985-65435C84DA25}" id="{02EB2C37-D553-47C2-8565-538E6FDAA4BC}">
    <text>PP                 Valor
256              7.200.000</text>
  </threadedComment>
  <threadedComment ref="Y96" dT="2024-01-30T15:55:11.38" personId="{B8E08E75-1203-4E19-8985-65435C84DA25}" id="{A4A948F1-5322-4676-BDC3-03D13C82ED78}">
    <text>PP                 Valor
609              5.000.000</text>
  </threadedComment>
  <threadedComment ref="Y98" dT="2024-01-26T20:57:04.55" personId="{1AA6CF86-CC5E-4BD9-BDC8-1A2B52DD1D2B}" id="{2650F772-EC56-423E-AC58-365CF69ACD6C}">
    <text>PP      VALOR 
569      7.400.000</text>
  </threadedComment>
  <threadedComment ref="Y101" dT="2024-01-29T20:03:30.97" personId="{1AA6CF86-CC5E-4BD9-BDC8-1A2B52DD1D2B}" id="{459FE9C3-EFD0-455F-A123-165F692EE4CA}">
    <text>PP       VALOR 
558      8600000</text>
  </threadedComment>
</ThreadedComments>
</file>

<file path=xl/threadedComments/threadedComment7.xml><?xml version="1.0" encoding="utf-8"?>
<ThreadedComments xmlns="http://schemas.microsoft.com/office/spreadsheetml/2018/threadedcomments" xmlns:x="http://schemas.openxmlformats.org/spreadsheetml/2006/main">
  <threadedComment ref="Y12" dT="2024-01-23T21:08:53.86" personId="{B8E08E75-1203-4E19-8985-65435C84DA25}" id="{56035A5C-5310-4CDD-BEF2-2767EE5C3B77}">
    <text>PP                      VALOR
506                    $ 17.200.000</text>
  </threadedComment>
  <threadedComment ref="Y13" dT="2024-01-04T13:13:01.50" personId="{B8E08E75-1203-4E19-8985-65435C84DA25}" id="{ADC419A9-F71C-4B7A-8D89-D24F42656585}">
    <text>pp                  Valor
61                  19.800.000
238                 22.200.000
462                 17.200.000
453                 17.200.000</text>
  </threadedComment>
  <threadedComment ref="Y17" dT="2024-01-10T13:25:08.55" personId="{B8E08E75-1203-4E19-8985-65435C84DA25}" id="{AC6ED8F3-F690-437C-BBD3-D2F8F9D1AAE3}">
    <text>PP              Valor
203             70.000.000
127             50.000.000
553            400.000.000</text>
  </threadedComment>
  <threadedComment ref="Z17" dT="2024-01-10T13:25:08.55" personId="{B8E08E75-1203-4E19-8985-65435C84DA25}" id="{4923C768-F5DD-48A8-90E8-E63BC78D7E7B}">
    <text>PP              Valor
203             70.000.000
127             50.000.000</text>
  </threadedComment>
  <threadedComment ref="Y22" dT="2024-01-30T15:18:40.11" personId="{B8E08E75-1203-4E19-8985-65435C84DA25}" id="{293D88E1-BF37-4747-99F9-EA40E6497021}">
    <text>PP                 Valor
634              6.000.000</text>
  </threadedComment>
  <threadedComment ref="Y23" dT="2024-01-23T14:20:21.97" personId="{B8E08E75-1203-4E19-8985-65435C84DA25}" id="{E7D1F846-7B63-453B-B8A2-1DB24F2B9DDA}">
    <text>PP               Valor
471             14.800.000
480             14.800.000
495             17.200.000</text>
  </threadedComment>
</ThreadedComments>
</file>

<file path=xl/threadedComments/threadedComment8.xml><?xml version="1.0" encoding="utf-8"?>
<ThreadedComments xmlns="http://schemas.microsoft.com/office/spreadsheetml/2018/threadedcomments" xmlns:x="http://schemas.openxmlformats.org/spreadsheetml/2006/main">
  <threadedComment ref="Y11" dT="2024-01-18T13:35:37.98" personId="{B8E08E75-1203-4E19-8985-65435C84DA25}" id="{F6CD72E6-6B58-49E4-8BCC-7C5733F23149}">
    <text>PP                 Valor
279              16.200.000
323              30.000.000
552              17.200.000</text>
  </threadedComment>
  <threadedComment ref="Y13" dT="2024-01-18T19:35:18.26" personId="{B8E08E75-1203-4E19-8985-65435C84DA25}" id="{C4EE27BB-7B25-4886-A1C1-52B6B3DDFDB3}">
    <text>PP                  Valor
361             22.200.000
472             25.800.000
493             22.200.000
517             22.200.000
515             22.200.000
548             22.200.000
539             22.200.000
547             25.800.000
500             13.800.000</text>
  </threadedComment>
</ThreadedComments>
</file>

<file path=xl/threadedComments/threadedComment9.xml><?xml version="1.0" encoding="utf-8"?>
<ThreadedComments xmlns="http://schemas.microsoft.com/office/spreadsheetml/2018/threadedcomments" xmlns:x="http://schemas.openxmlformats.org/spreadsheetml/2006/main">
  <threadedComment ref="Y12" dT="2024-01-09T15:53:25.84" personId="{B8E08E75-1203-4E19-8985-65435C84DA25}" id="{E1F64BCD-82AB-427C-A9C2-20722CBA00D8}">
    <text xml:space="preserve">pp              valor
31              1.844.628.621
</text>
  </threadedComment>
  <threadedComment ref="Y13" dT="2024-01-12T15:51:25.27" personId="{B8E08E75-1203-4E19-8985-65435C84DA25}" id="{52A57CFE-FE4F-4FFF-B511-9365E047E87E}">
    <text>PP               Valor
233             2.602.820.888</text>
  </threadedComment>
  <threadedComment ref="Y14" dT="2024-01-29T13:50:31.90" personId="{B8E08E75-1203-4E19-8985-65435C84DA25}" id="{1980C550-CAD5-4C0C-8FE5-91C18318489E}">
    <text>N/A            2.351.475.168</text>
  </threadedComment>
  <threadedComment ref="Y16" dT="2024-01-29T15:55:42.66" personId="{B8E08E75-1203-4E19-8985-65435C84DA25}" id="{C5278F34-F3BF-47C9-B82E-14B2FC1E05B6}">
    <text>N/A            95.681.019.630</text>
  </threadedComment>
  <threadedComment ref="Y17" dT="2024-01-29T20:17:44.31" personId="{B8E08E75-1203-4E19-8985-65435C84DA25}" id="{BE2FFBCE-97C7-4649-A0E1-4700EC5789EC}">
    <text>N/A               10.692464.608</text>
  </threadedComment>
  <threadedComment ref="Y18" dT="2024-01-29T15:57:23.49" personId="{B8E08E75-1203-4E19-8985-65435C84DA25}" id="{57D4ED59-DBA1-4874-B1D1-2B8D7678C3A4}">
    <text>N/A                   8.767 360</text>
  </threadedComment>
  <threadedComment ref="Y19" dT="2024-01-29T20:22:56.77" personId="{B8E08E75-1203-4E19-8985-65435C84DA25}" id="{42F90119-04C0-4084-ACC2-86262EF114AC}">
    <text>N/A        1.384.320.000</text>
  </threadedComment>
  <threadedComment ref="Y20" dT="2024-01-29T15:12:26.49" personId="{B8E08E75-1203-4E19-8985-65435C84DA25}" id="{B6CB65C3-9CB5-41A7-AFD2-FA164BB61474}">
    <text>N/A              460.643.228</text>
  </threadedComment>
  <threadedComment ref="Y21" dT="2024-01-30T19:56:46.24" personId="{B8E08E75-1203-4E19-8985-65435C84DA25}" id="{1463B071-509A-41A8-A8C9-65833E585E06}">
    <text>N/A                  1.652.664.557.98</text>
  </threadedComment>
  <threadedComment ref="Y22" dT="2024-01-29T20:41:59.00" personId="{B8E08E75-1203-4E19-8985-65435C84DA25}" id="{C68773C9-0C92-444E-8587-8693DAFFBBCF}">
    <text>N/A               200.000.000</text>
  </threadedComment>
  <threadedComment ref="Y23" dT="2024-01-29T16:06:42.77" personId="{B8E08E75-1203-4E19-8985-65435C84DA25}" id="{2BACAA30-CFE9-437B-9601-7AC327B8C305}">
    <text>N/A              36.168.180</text>
  </threadedComment>
  <threadedComment ref="Y24" dT="2024-01-29T20:44:55.50" personId="{B8E08E75-1203-4E19-8985-65435C84DA25}" id="{875B9805-7A31-44E3-9C83-92546806F6FB}">
    <text>N/A            1.000.000</text>
  </threadedComment>
  <threadedComment ref="Y25" dT="2024-01-29T16:08:18.71" personId="{B8E08E75-1203-4E19-8985-65435C84DA25}" id="{31979814-D607-46F6-9F9A-EBCE7F6F3C92}">
    <text>N/A          58.881.007</text>
  </threadedComment>
  <threadedComment ref="Y26" dT="2024-01-29T13:59:43.92" personId="{B8E08E75-1203-4E19-8985-65435C84DA25}" id="{621E8845-C9D9-4278-A1DB-76A466D103C7}">
    <text>N/A              95.878.720</text>
  </threadedComment>
  <threadedComment ref="Y27" dT="2024-01-29T15:14:33.79" personId="{B8E08E75-1203-4E19-8985-65435C84DA25}" id="{D8F5A5FD-80D7-44E0-A000-70689BA3A84E}">
    <text>N/A               475.242.929.84</text>
  </threadedComment>
  <threadedComment ref="Y28" dT="2024-01-29T16:12:18.39" personId="{B8E08E75-1203-4E19-8985-65435C84DA25}" id="{5B94061E-5AC4-4FA4-98A7-80DCF09A5ED0}">
    <text>N/A             4.831.680</text>
  </threadedComment>
  <threadedComment ref="Y29" dT="2024-01-29T20:47:36.68" personId="{B8E08E75-1203-4E19-8985-65435C84DA25}" id="{016F8A7C-4CCE-4CBF-832B-B9E26DE9C933}">
    <text>N/A              962.160.000</text>
  </threadedComment>
  <threadedComment ref="Y30" dT="2024-01-29T14:05:43.12" personId="{B8E08E75-1203-4E19-8985-65435C84DA25}" id="{2A949CB8-4CE9-46B1-AFD9-1E894E19676D}">
    <text>N/A              60892845</text>
  </threadedComment>
  <threadedComment ref="Y31" dT="2024-01-29T15:16:04.11" personId="{B8E08E75-1203-4E19-8985-65435C84DA25}" id="{F8601A2A-D586-43DE-8375-9D1C490BDCD6}">
    <text>N/A             322.426.172</text>
  </threadedComment>
  <threadedComment ref="Y32" dT="2024-01-29T14:11:20.27" personId="{B8E08E75-1203-4E19-8985-65435C84DA25}" id="{60F9DB41-C348-46D6-BA3F-52BD0146C1DA}">
    <text>N/A                    189.536.480</text>
  </threadedComment>
  <threadedComment ref="Y33" dT="2024-01-29T15:18:06.91" personId="{B8E08E75-1203-4E19-8985-65435C84DA25}" id="{9CFE4CA1-5E62-4FFC-B8D0-025B86E5DF09}">
    <text>N/A               582.910.049</text>
  </threadedComment>
  <threadedComment ref="Y34" dT="2024-01-29T16:15:44.07" personId="{B8E08E75-1203-4E19-8985-65435C84DA25}" id="{5E621F3A-756A-43B1-BE3A-4F5E79516B1C}">
    <text>N/A             9.228.800</text>
  </threadedComment>
  <threadedComment ref="Y35" dT="2024-01-29T20:49:29.18" personId="{B8E08E75-1203-4E19-8985-65435C84DA25}" id="{90AF9025-FF0F-4BBB-A4B6-47289A3B91DA}">
    <text>N/A            1.730.400.000</text>
  </threadedComment>
  <threadedComment ref="Y36" dT="2024-01-29T14:16:00.20" personId="{B8E08E75-1203-4E19-8985-65435C84DA25}" id="{B9B9624D-5F81-4FD0-BE90-7EF7078CFDF7}">
    <text>N/A                  96.602.454</text>
  </threadedComment>
  <threadedComment ref="Y37" dT="2024-01-29T15:20:47.77" personId="{B8E08E75-1203-4E19-8985-65435C84DA25}" id="{23D9AC4F-9443-4B09-8551-B7900FE759D5}">
    <text>N/A            492.129.489.54</text>
  </threadedComment>
  <threadedComment ref="Y38" dT="2024-01-29T16:18:55.01" personId="{B8E08E75-1203-4E19-8985-65435C84DA25}" id="{7DE66D55-7B5B-4E05-8AB4-F43868D0150B}">
    <text>N/A            4.383.680.000</text>
  </threadedComment>
  <threadedComment ref="Y39" dT="2024-01-29T20:52:25.63" personId="{B8E08E75-1203-4E19-8985-65435C84DA25}" id="{EF407061-ADD4-45E0-82A8-8FB6C721FAD3}">
    <text>N/A             720.084.163.78</text>
  </threadedComment>
  <threadedComment ref="Y40" dT="2024-01-29T15:22:23.59" personId="{B8E08E75-1203-4E19-8985-65435C84DA25}" id="{51E1B328-4E15-4307-842D-3C496C5D3138}">
    <text>N/A            3.000.000</text>
  </threadedComment>
  <threadedComment ref="Y41" dT="2024-01-29T16:22:11.97" personId="{B8E08E75-1203-4E19-8985-65435C84DA25}" id="{4B989D66-90E0-4386-BC21-B6B5AFCE11A4}">
    <text>N/A                10.000.000</text>
  </threadedComment>
  <threadedComment ref="Y42" dT="2024-01-29T20:53:35.69" personId="{B8E08E75-1203-4E19-8985-65435C84DA25}" id="{2347A6E0-D84E-42B7-9644-7C2767F0540F}">
    <text>N/A                5.000.000</text>
  </threadedComment>
  <threadedComment ref="Y43" dT="2024-01-29T16:25:08.40" personId="{B8E08E75-1203-4E19-8985-65435C84DA25}" id="{2D5A6CEC-E8F3-466C-9AAE-8786E281E898}">
    <text>N/A            1.600.720.440.88</text>
  </threadedComment>
  <threadedComment ref="Y44" dT="2024-01-29T20:58:27.54" personId="{B8E08E75-1203-4E19-8985-65435C84DA25}" id="{2332F29D-5519-4A39-AD01-8D08F69B9CE6}">
    <text xml:space="preserve">N/A            257.600.000
</text>
  </threadedComment>
  <threadedComment ref="Y45" dT="2024-01-29T16:26:42.40" personId="{B8E08E75-1203-4E19-8985-65435C84DA25}" id="{BB4E6339-664E-4DB1-A30D-54A15BBBEA62}">
    <text>N/A             29.347.584</text>
  </threadedComment>
  <threadedComment ref="Y46" dT="2024-01-29T20:59:57.78" personId="{B8E08E75-1203-4E19-8985-65435C84DA25}" id="{3E27E513-CFA0-4124-AC8A-21F6A6F9DD8F}">
    <text>N/A              3.483.802.784</text>
  </threadedComment>
  <threadedComment ref="Y47" dT="2024-01-29T14:19:36.62" personId="{B8E08E75-1203-4E19-8985-65435C84DA25}" id="{DF9264A7-F9B3-4B40-96DE-3060D826BC76}">
    <text>N/A               268 534 991</text>
  </threadedComment>
  <threadedComment ref="Y48" dT="2024-01-29T15:24:35.93" personId="{B8E08E75-1203-4E19-8985-65435C84DA25}" id="{E9775736-2BBC-4DAA-A90E-EF6281CB9402}">
    <text>N/A             1.436.573.376</text>
  </threadedComment>
  <threadedComment ref="Y49" dT="2024-01-29T16:27:56.39" personId="{B8E08E75-1203-4E19-8985-65435C84DA25}" id="{BB50FAB7-FECA-4E2F-A7B1-7FBDB7606609}">
    <text>N/A          4.614.400</text>
  </threadedComment>
  <threadedComment ref="Y50" dT="2024-01-29T21:01:16.08" personId="{B8E08E75-1203-4E19-8985-65435C84DA25}" id="{E39C63DB-6EDA-4722-B21A-844B53CA30CB}">
    <text>N/A             1.153.600.000</text>
  </threadedComment>
  <threadedComment ref="Y51" dT="2024-01-29T14:21:31.44" personId="{B8E08E75-1203-4E19-8985-65435C84DA25}" id="{01CCED37-0448-497D-B83F-B77A933495F5}">
    <text>N/A                 190.214.354</text>
  </threadedComment>
  <threadedComment ref="Y52" dT="2024-01-29T15:27:25.17" personId="{B8E08E75-1203-4E19-8985-65435C84DA25}" id="{BE403A43-A6E6-44DC-BCAB-7559784FB9DC}">
    <text>N/A            1.023.043.845.60</text>
  </threadedComment>
  <threadedComment ref="Y53" dT="2024-01-29T16:43:54.04" personId="{B8E08E75-1203-4E19-8985-65435C84DA25}" id="{CD9487A9-820E-4631-89B4-65D2C7C51A8C}">
    <text>N/A       4.614.400.000</text>
  </threadedComment>
  <threadedComment ref="Y54" dT="2024-01-29T21:04:56.01" personId="{B8E08E75-1203-4E19-8985-65435C84DA25}" id="{ACD653C4-600E-47DF-BCEC-5F7321942DEC}">
    <text>N/A            1.153.600.000</text>
  </threadedComment>
  <threadedComment ref="Y57" dT="2024-01-29T21:06:45.33" personId="{B8E08E75-1203-4E19-8985-65435C84DA25}" id="{8D5FA4D3-19B9-47E4-B523-2C9BF0668EFB}">
    <text>PP               2.307.200.000</text>
  </threadedComment>
  <threadedComment ref="Y59" dT="2024-01-30T19:59:44.97" personId="{B8E08E75-1203-4E19-8985-65435C84DA25}" id="{F91A2FE3-A104-42FD-986C-03C14A5277E7}">
    <text>N/A                 96.137.092.80</text>
  </threadedComment>
  <threadedComment ref="Y60" dT="2024-01-29T15:31:59.73" personId="{B8E08E75-1203-4E19-8985-65435C84DA25}" id="{CE573EA8-4459-4A69-96EA-513202EC3E72}">
    <text>N/A             525.595.834.40</text>
  </threadedComment>
  <threadedComment ref="Y61" dT="2024-01-29T16:47:55.03" personId="{B8E08E75-1203-4E19-8985-65435C84DA25}" id="{AE99CA40-591A-4849-A059-F006B7A14EB1}">
    <text>N/A                 4.312.872.032</text>
  </threadedComment>
  <threadedComment ref="Y62" dT="2024-01-29T21:08:35.35" personId="{B8E08E75-1203-4E19-8985-65435C84DA25}" id="{AE4135BD-E88C-4239-BD2F-578AD7FFCCC1}">
    <text>N/A                 693.336.672</text>
  </threadedComment>
  <threadedComment ref="Y63" dT="2024-01-29T14:48:24.73" personId="{B8E08E75-1203-4E19-8985-65435C84DA25}" id="{F1593D20-8146-44A6-80C7-1F2173C75F15}">
    <text>N/A               10.826.928</text>
  </threadedComment>
  <threadedComment ref="Y64" dT="2024-01-29T15:34:38.79" personId="{B8E08E75-1203-4E19-8985-65435C84DA25}" id="{3CF9FE76-5858-4A76-880A-CD4887119EA0}">
    <text>N/A             61.140.800</text>
  </threadedComment>
  <threadedComment ref="Y65" dT="2024-01-30T20:00:53.83" personId="{B8E08E75-1203-4E19-8985-65435C84DA25}" id="{037D4713-C464-4BD5-9A16-290D8E392EA1}">
    <text>N/A             72.111.513.60</text>
  </threadedComment>
  <threadedComment ref="Y66" dT="2024-01-29T15:36:30.66" personId="{B8E08E75-1203-4E19-8985-65435C84DA25}" id="{686DD4A9-AAC3-4F6B-9699-92D2A6623F06}">
    <text>N/A          394.224.728.80</text>
  </threadedComment>
  <threadedComment ref="Y67" dT="2024-01-29T16:49:14.89" personId="{B8E08E75-1203-4E19-8985-65435C84DA25}" id="{8F293236-641C-48CF-9746-0996F21D7B18}">
    <text>N/A           3.481.052.094</text>
  </threadedComment>
  <threadedComment ref="Y68" dT="2024-01-29T21:10:47.19" personId="{B8E08E75-1203-4E19-8985-65435C84DA25}" id="{F1D3A865-E393-4DC6-ADBC-9740A4BE265B}">
    <text>N/A                520.919.616</text>
  </threadedComment>
  <threadedComment ref="Y69" dT="2024-01-30T20:03:01.47" personId="{B8E08E75-1203-4E19-8985-65435C84DA25}" id="{AADD7F31-D3E3-4FF7-9DCC-EAD8CAF4B603}">
    <text>PP                Valor
N/A            65.818.860.80</text>
  </threadedComment>
  <threadedComment ref="Y70" dT="2024-01-29T15:38:11.71" personId="{B8E08E75-1203-4E19-8985-65435C84DA25}" id="{68816DA1-0A59-483A-8C70-8F5F59C4C4FE}">
    <text>N/A               65.818.860.80</text>
  </threadedComment>
  <threadedComment ref="Y71" dT="2024-01-29T17:00:50.58" personId="{B8E08E75-1203-4E19-8985-65435C84DA25}" id="{07E5CF52-412A-4A96-97BB-12201B8528FB}">
    <text>N/A             651.196.597.96</text>
  </threadedComment>
  <threadedComment ref="Y72" dT="2024-01-29T21:12:26.27" personId="{B8E08E75-1203-4E19-8985-65435C84DA25}" id="{B994312E-AC96-4B87-A27B-B040BFBB51CB}">
    <text>N/A                86.819.936</text>
  </threadedComment>
  <threadedComment ref="Y73" dT="2024-01-29T14:58:48.08" personId="{B8E08E75-1203-4E19-8985-65435C84DA25}" id="{16590F40-5E6A-4DFF-8064-777D78AAD3A1}">
    <text>N/A              12.035.973.60</text>
  </threadedComment>
  <threadedComment ref="Y74" dT="2024-01-29T15:39:52.07" personId="{B8E08E75-1203-4E19-8985-65435C84DA25}" id="{4DB25C08-2A0E-448C-ABE0-99122C5C21F9}">
    <text>N/A           65.818.860.80</text>
  </threadedComment>
  <threadedComment ref="Y75" dT="2024-01-29T20:03:16.86" personId="{B8E08E75-1203-4E19-8985-65435C84DA25}" id="{91D2ED6C-CD5C-4DE9-B44E-22BB4BF2387E}">
    <text>N/A           651.196.596.96</text>
  </threadedComment>
  <threadedComment ref="Y76" dT="2024-01-29T21:14:12.36" personId="{B8E08E75-1203-4E19-8985-65435C84DA25}" id="{60483CF0-0278-42A5-A92F-044C88A8349C}">
    <text>N/A              86.819.936</text>
  </threadedComment>
  <threadedComment ref="Y77" dT="2024-01-29T15:01:45.43" personId="{B8E08E75-1203-4E19-8985-65435C84DA25}" id="{59BF6F3C-AA65-450C-8282-1EBAB48E2641}">
    <text>N/A              24.042.194.40</text>
  </threadedComment>
  <threadedComment ref="Y78" dT="2024-01-29T15:42:36.06" personId="{B8E08E75-1203-4E19-8985-65435C84DA25}" id="{63481B2F-1769-4FD1-B95B-B16E5B51F2CC}">
    <text>N/A         131.461.780.80</text>
  </threadedComment>
  <threadedComment ref="Y79" dT="2024-01-29T20:09:05.95" personId="{B8E08E75-1203-4E19-8985-65435C84DA25}" id="{F6B5B57C-B553-48DF-BE88-3BDD5B73F37F}">
    <text>N/A              1.300.609.084</text>
  </threadedComment>
  <threadedComment ref="Y80" dT="2024-01-29T21:15:34.05" personId="{B8E08E75-1203-4E19-8985-65435C84DA25}" id="{E339FF7F-90A4-4549-92D8-D0F202392947}">
    <text>N/A             173.639.872</text>
  </threadedComment>
  <threadedComment ref="Y81" dT="2024-01-29T15:02:53.82" personId="{B8E08E75-1203-4E19-8985-65435C84DA25}" id="{E2165810-C377-4579-BA9F-FC76914C002B}">
    <text>N/A               5.000.000</text>
  </threadedComment>
  <threadedComment ref="Y82" dT="2024-01-29T15:44:20.19" personId="{B8E08E75-1203-4E19-8985-65435C84DA25}" id="{B31B83D3-3B9E-4190-B33E-7F1CBE523734}">
    <text>N/A             10.000.000</text>
  </threadedComment>
  <threadedComment ref="Y83" dT="2024-01-29T15:04:04.79" personId="{B8E08E75-1203-4E19-8985-65435C84DA25}" id="{AD13DD62-E23C-4424-946B-5792D7FD9752}">
    <text>N/A                12.228.160</text>
  </threadedComment>
  <threadedComment ref="Y84" dT="2024-01-29T15:45:49.70" personId="{B8E08E75-1203-4E19-8985-65435C84DA25}" id="{BEB2EC4D-5549-4874-97F4-A3965B3B991B}">
    <text>N/A           61.384.297</text>
  </threadedComment>
  <threadedComment ref="Y85" dT="2024-01-29T15:05:39.23" personId="{B8E08E75-1203-4E19-8985-65435C84DA25}" id="{5431B52F-8BB3-4E5A-B8B0-BAA08A5D795D}">
    <text>N/A             24.559.584</text>
  </threadedComment>
  <threadedComment ref="Y86" dT="2024-01-29T15:48:06.50" personId="{B8E08E75-1203-4E19-8985-65435C84DA25}" id="{40DA2B8B-5900-4589-B830-8FF661FFDBCB}">
    <text>N/A             299.589.920</text>
  </threadedComment>
  <threadedComment ref="Y87" dT="2024-01-30T20:07:09.62" personId="{B8E08E75-1203-4E19-8985-65435C84DA25}" id="{44CF14BA-DAFE-4F91-8596-B793FC201FFF}">
    <text>N/A                  723.384.002.58</text>
  </threadedComment>
  <threadedComment ref="Y88" dT="2024-01-29T21:18:00.05" personId="{B8E08E75-1203-4E19-8985-65435C84DA25}" id="{96638FB6-B356-434D-BB3A-BDDE001F0B97}">
    <text>N/A                61.440.000</text>
  </threadedComment>
  <threadedComment ref="Y89" dT="2024-01-29T20:15:47.57" personId="{B8E08E75-1203-4E19-8985-65435C84DA25}" id="{0054D31D-8A3D-4325-9B9E-B5FEAD044F15}">
    <text>N/A              942.455.833</text>
  </threadedComment>
  <threadedComment ref="Y90" dT="2024-01-29T21:19:29.85" personId="{B8E08E75-1203-4E19-8985-65435C84DA25}" id="{331B8379-09E1-469B-B5F4-3EDE8CFEC2AB}">
    <text>N/A             123.697.784.25</text>
  </threadedComment>
  <threadedComment ref="Y91" dT="2024-01-30T20:08:56.48" personId="{B8E08E75-1203-4E19-8985-65435C84DA25}" id="{33B39DD8-BE5A-476C-ADF9-3976E9750B48}">
    <text>N/A             24.217.178.73</text>
  </threadedComment>
  <threadedComment ref="AA95" dT="2024-01-19T22:31:41.68" personId="{81A6CEBD-CF32-485E-AB82-56D0B0E190C3}" id="{0D8163B3-31B1-4562-8788-EFCA1C45FFEB}">
    <text>concepto tecnico traslado ID.18236</text>
  </threadedComment>
  <threadedComment ref="Y100" dT="2024-01-31T20:19:40.89" personId="{B8E08E75-1203-4E19-8985-65435C84DA25}" id="{5913C2F7-E92D-40A0-829A-9753562DA298}">
    <text>PP                    Valor
392                 122.595.000
391                 110.388.091</text>
  </threadedComment>
  <threadedComment ref="X102" dT="2024-01-23T16:06:49.11" personId="{B8E08E75-1203-4E19-8985-65435C84DA25}" id="{BB875BB2-73E2-4D69-A478-D98B227AD4B2}">
    <text>Adición Decreto 264 11/01/2024</text>
  </threadedComment>
  <threadedComment ref="X103" dT="2024-01-23T16:08:22.55" personId="{B8E08E75-1203-4E19-8985-65435C84DA25}" id="{EC253326-18FF-4342-AB09-FA5AC730FDE7}">
    <text>Adición Decreto 264 11/01/2024</text>
  </threadedComment>
  <threadedComment ref="Y104" dT="2024-01-22T20:32:21.45" personId="{B8E08E75-1203-4E19-8985-65435C84DA25}" id="{0ADD0BCF-F4A9-43ED-B901-08ADA32B9F89}">
    <text>PP                VLR
444              15.166.666
445              15.166.666
454               15.166.666
456               18.633.333
451               16.900.000
449               15.166.666
496               15.166.666
455               18.633.333
473                15.166.666
499                15.166.666
469                15.166.666
497                15.166.666
481                15.166.666
468                15.166.666
465                15.166.666
514                15.166.666
519                15.166.666</text>
  </threadedComment>
  <threadedComment ref="Y104" dT="2024-01-25T21:46:55.62" personId="{D25C7177-2A8B-4CA4-BA3A-DE8F5E20A891}" id="{C5A759E6-FBCB-47BB-B0C0-EAFE2A40114B}" parentId="{0ADD0BCF-F4A9-43ED-B901-08ADA32B9F89}">
    <text>459              15.166.666</text>
  </threadedComment>
  <threadedComment ref="Y104" dT="2024-01-25T21:55:21.75" personId="{D25C7177-2A8B-4CA4-BA3A-DE8F5E20A891}" id="{27C67AAD-DE5A-4E39-AF64-42F366487ADB}" parentId="{0ADD0BCF-F4A9-43ED-B901-08ADA32B9F89}">
    <text>458                 18.633.333</text>
  </threadedComment>
  <threadedComment ref="Y104" dT="2024-01-26T14:56:23.69" personId="{B8E08E75-1203-4E19-8985-65435C84DA25}" id="{C19C836C-FC5E-423E-A3AC-9032085EB03C}" parentId="{0ADD0BCF-F4A9-43ED-B901-08ADA32B9F89}">
    <text xml:space="preserve">520               15.166.666
507               15.166.666             </text>
  </threadedComment>
  <threadedComment ref="Y104" dT="2024-01-26T15:34:39.68" personId="{1AA6CF86-CC5E-4BD9-BDC8-1A2B52DD1D2B}" id="{1A950226-6BF7-4FCF-8987-456C3FB6CD53}" parentId="{0ADD0BCF-F4A9-43ED-B901-08ADA32B9F89}">
    <text>513              15.166.666
496              15.166.666
470              16.900.000
474             16.900.000</text>
  </threadedComment>
  <threadedComment ref="Y109" dT="2024-01-04T13:01:53.29" personId="{B8E08E75-1203-4E19-8985-65435C84DA25}" id="{07F5A930-7DA8-42C0-AD20-441396F43A19}">
    <text>pp                 valor
21                955.768.076.08</text>
  </threadedComment>
  <threadedComment ref="Y110" dT="2024-01-22T19:21:40.73" personId="{B8E08E75-1203-4E19-8985-65435C84DA25}" id="{AB6E4D5F-1DBB-43A3-9662-83D954D89CFC}">
    <text>PP                    Valor
413                16.800.000
404                17.280.000
405                16.800.000
415                16.800.000
411                  1.728.000
412                12.480.000
416                  7.200.000
476                19.200.000
411                17.280.000
818                15.166.666
664                15.800.000</text>
  </threadedComment>
  <threadedComment ref="Z110" dT="2024-01-23T20:51:28.00" personId="{B8E08E75-1203-4E19-8985-65435C84DA25}" id="{0CD263AD-6AD6-43BF-962C-EEBDDB5BB966}">
    <text>PP            Banco            Valor
411          209             1.728.000</text>
  </threadedComment>
  <threadedComment ref="X111" dT="2024-01-03T21:55:05.96" personId="{81A6CEBD-CF32-485E-AB82-56D0B0E190C3}" id="{BD34667F-1006-4013-BC96-A1AA223E541B}">
    <text>ADICIÓN REC. DEL BALANCE DECRETO 002 DE 01/01/2024</text>
  </threadedComment>
  <threadedComment ref="Y111" dT="2024-01-04T19:28:05.03" personId="{B8E08E75-1203-4E19-8985-65435C84DA25}" id="{1C8C0A8A-AFFF-4D52-9B70-331323E0370E}">
    <text>pp             valor
21             127.380.177</text>
  </threadedComment>
  <threadedComment ref="Y112" dT="2024-01-04T19:35:00.37" personId="{B8E08E75-1203-4E19-8985-65435C84DA25}" id="{17335040-4A51-4401-831A-63A9EAC72791}">
    <text>pp               valor
21              3.000.000.000</text>
  </threadedComment>
  <threadedComment ref="X113" dT="2024-01-18T14:53:31.29" personId="{81A6CEBD-CF32-485E-AB82-56D0B0E190C3}" id="{5C977245-5668-4022-8A18-55640BB220D3}">
    <text>Adición según Decreto 264 de 11/01/2024</text>
  </threadedComment>
  <threadedComment ref="Y113" dT="2024-01-18T21:05:43.48" personId="{B8E08E75-1203-4E19-8985-65435C84DA25}" id="{630A1657-17BD-4327-AAD5-A81C00A71DD0}">
    <text>PP                 Valor
N/A              2.488.020.137.34</text>
  </threadedComment>
  <threadedComment ref="Y113" dT="2024-01-30T14:17:56.49" personId="{1AA6CF86-CC5E-4BD9-BDC8-1A2B52DD1D2B}" id="{0958F997-747F-442F-94E3-622F55DE89AC}" parentId="{630A1657-17BD-4327-AAD5-A81C00A71DD0}">
    <text xml:space="preserve">618            15.166.666       </text>
  </threadedComment>
  <threadedComment ref="X114" dT="2024-01-18T14:53:37.87" personId="{81A6CEBD-CF32-485E-AB82-56D0B0E190C3}" id="{190045A9-E9BD-4CFF-B3CC-0B8A69F6ACC0}">
    <text>Adición según Decreto 264 de 11/01/2024</text>
  </threadedComment>
  <threadedComment ref="X128" dT="2024-01-18T15:11:29.97" personId="{81A6CEBD-CF32-485E-AB82-56D0B0E190C3}" id="{8EF8C22B-0ECB-4A54-ABC4-2214F692C391}">
    <text>Adición según Decreto 264 de 11/01/2024</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9.xml"/><Relationship Id="rId5" Type="http://schemas.microsoft.com/office/2017/10/relationships/threadedComment" Target="../threadedComments/threadedComment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6.bin"/><Relationship Id="rId6" Type="http://schemas.microsoft.com/office/2017/10/relationships/threadedComment" Target="../threadedComments/threadedComment11.xml"/><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1.xml"/><Relationship Id="rId5" Type="http://schemas.microsoft.com/office/2017/10/relationships/threadedComment" Target="../threadedComments/threadedComment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2.xml"/><Relationship Id="rId5" Type="http://schemas.microsoft.com/office/2017/10/relationships/threadedComment" Target="../threadedComments/threadedComment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 Id="rId5"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microsoft.com/office/2017/10/relationships/threadedComment" Target="../threadedComments/threadedComment4.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 Id="rId5" Type="http://schemas.microsoft.com/office/2017/10/relationships/threadedComment" Target="../threadedComments/threadedComment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bin"/><Relationship Id="rId5" Type="http://schemas.microsoft.com/office/2017/10/relationships/threadedComment" Target="../threadedComments/threadedComment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6.xml"/><Relationship Id="rId5" Type="http://schemas.microsoft.com/office/2017/10/relationships/threadedComment" Target="../threadedComments/threadedComment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5.bin"/><Relationship Id="rId6" Type="http://schemas.microsoft.com/office/2017/10/relationships/threadedComment" Target="../threadedComments/threadedComment8.xml"/><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8.xml"/><Relationship Id="rId5" Type="http://schemas.microsoft.com/office/2017/10/relationships/threadedComment" Target="../threadedComments/threadedComment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pageSetUpPr fitToPage="1"/>
  </sheetPr>
  <dimension ref="A1:BQ28"/>
  <sheetViews>
    <sheetView showGridLines="0" zoomScale="50" zoomScaleNormal="50" workbookViewId="0">
      <pane ySplit="10" topLeftCell="A17" activePane="bottomLeft" state="frozen"/>
      <selection pane="bottomLeft" activeCell="B11" sqref="B11"/>
    </sheetView>
  </sheetViews>
  <sheetFormatPr baseColWidth="10" defaultColWidth="11.42578125" defaultRowHeight="15" x14ac:dyDescent="0.25"/>
  <cols>
    <col min="1" max="1" width="10.28515625" style="1" customWidth="1"/>
    <col min="2" max="2" width="14.42578125" style="1" customWidth="1"/>
    <col min="3" max="5" width="11.42578125" style="1"/>
    <col min="6" max="6" width="18.5703125" style="1" customWidth="1"/>
    <col min="7" max="7" width="11.42578125" style="1"/>
    <col min="8" max="8" width="21.5703125" style="1" customWidth="1"/>
    <col min="9" max="9" width="19.140625" style="1" customWidth="1"/>
    <col min="10" max="10" width="15.28515625" style="1" customWidth="1"/>
    <col min="11" max="11" width="16.140625" style="1" customWidth="1"/>
    <col min="12" max="12" width="20.85546875" style="1" customWidth="1"/>
    <col min="13" max="13" width="16.28515625" style="1" customWidth="1"/>
    <col min="14" max="14" width="15.7109375" style="1" customWidth="1"/>
    <col min="15" max="17" width="11.42578125" style="1"/>
    <col min="18" max="18" width="17.140625" style="1" customWidth="1"/>
    <col min="19" max="19" width="26.140625" style="1" customWidth="1"/>
    <col min="20" max="20" width="11.42578125" style="1"/>
    <col min="21" max="21" width="30.7109375" style="1" customWidth="1"/>
    <col min="22" max="22" width="29.140625" style="1" customWidth="1"/>
    <col min="23" max="23" width="23.85546875" style="1" customWidth="1"/>
    <col min="24" max="28" width="20.5703125" style="1" customWidth="1"/>
    <col min="29" max="29" width="45" style="1" customWidth="1"/>
    <col min="30" max="30" width="15.5703125" style="1" customWidth="1"/>
    <col min="31" max="32" width="11.42578125" style="1"/>
    <col min="33" max="34" width="8.28515625" style="1" bestFit="1" customWidth="1"/>
    <col min="35" max="35" width="9.28515625" style="1" customWidth="1"/>
    <col min="36" max="36" width="7.42578125" style="1" customWidth="1"/>
    <col min="37" max="37" width="9.42578125" style="1" customWidth="1"/>
    <col min="38" max="38" width="8.5703125" style="1" customWidth="1"/>
    <col min="39" max="39" width="6" style="1" bestFit="1" customWidth="1"/>
    <col min="40" max="40" width="7.140625" style="1" bestFit="1" customWidth="1"/>
    <col min="41" max="41" width="6.7109375" style="1" customWidth="1"/>
    <col min="42" max="42" width="6.42578125" style="1" customWidth="1"/>
    <col min="43" max="43" width="6.28515625" style="1" customWidth="1"/>
    <col min="44" max="44" width="6.5703125" style="1" customWidth="1"/>
    <col min="45" max="45" width="6.7109375" style="1" customWidth="1"/>
    <col min="46" max="46" width="7.140625" style="1" bestFit="1" customWidth="1"/>
    <col min="47" max="47" width="7.5703125" style="1" customWidth="1"/>
    <col min="48" max="48" width="13" style="1" bestFit="1" customWidth="1"/>
    <col min="49" max="49" width="14.28515625" style="1" customWidth="1"/>
    <col min="50" max="50" width="14.42578125" style="1" customWidth="1"/>
    <col min="51" max="51" width="15.140625" style="1" customWidth="1"/>
    <col min="52" max="16384" width="11.42578125" style="1"/>
  </cols>
  <sheetData>
    <row r="1" spans="1:69" x14ac:dyDescent="0.25">
      <c r="A1" s="978"/>
      <c r="B1" s="978"/>
      <c r="C1" s="979" t="s">
        <v>0</v>
      </c>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979"/>
      <c r="AN1" s="979"/>
      <c r="AO1" s="979"/>
      <c r="AP1" s="979"/>
      <c r="AQ1" s="979"/>
      <c r="AR1" s="979"/>
      <c r="AS1" s="979"/>
      <c r="AT1" s="979"/>
      <c r="AU1" s="979"/>
      <c r="AV1" s="979"/>
      <c r="AW1" s="979"/>
    </row>
    <row r="2" spans="1:69" s="4" customFormat="1" ht="12.75" x14ac:dyDescent="0.25">
      <c r="A2" s="978"/>
      <c r="B2" s="978"/>
      <c r="C2" s="980" t="s">
        <v>1</v>
      </c>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2"/>
      <c r="AX2" s="2" t="s">
        <v>2</v>
      </c>
      <c r="AY2" s="2" t="s">
        <v>3</v>
      </c>
      <c r="AZ2" s="3"/>
      <c r="BA2" s="3"/>
      <c r="BB2" s="3"/>
      <c r="BC2" s="3"/>
      <c r="BD2" s="3"/>
      <c r="BE2" s="3"/>
      <c r="BF2" s="3"/>
      <c r="BG2" s="3"/>
      <c r="BH2" s="3"/>
      <c r="BI2" s="3"/>
      <c r="BJ2" s="3"/>
      <c r="BK2" s="3"/>
      <c r="BL2" s="3"/>
      <c r="BM2" s="3"/>
      <c r="BN2" s="3"/>
      <c r="BO2" s="3"/>
      <c r="BP2" s="3"/>
      <c r="BQ2" s="3"/>
    </row>
    <row r="3" spans="1:69" s="4" customFormat="1" ht="12.75" x14ac:dyDescent="0.25">
      <c r="A3" s="978"/>
      <c r="B3" s="978"/>
      <c r="C3" s="983"/>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5"/>
      <c r="AX3" s="2" t="s">
        <v>4</v>
      </c>
      <c r="AY3" s="5">
        <v>11</v>
      </c>
      <c r="AZ3" s="3"/>
      <c r="BA3" s="3"/>
      <c r="BB3" s="3"/>
      <c r="BC3" s="3"/>
      <c r="BD3" s="3"/>
      <c r="BE3" s="3"/>
      <c r="BF3" s="3"/>
      <c r="BG3" s="3"/>
      <c r="BH3" s="3"/>
      <c r="BI3" s="3"/>
      <c r="BJ3" s="3"/>
      <c r="BK3" s="3"/>
      <c r="BL3" s="3"/>
      <c r="BM3" s="3"/>
      <c r="BN3" s="3"/>
      <c r="BO3" s="3"/>
      <c r="BP3" s="3"/>
      <c r="BQ3" s="3"/>
    </row>
    <row r="4" spans="1:69" s="4" customFormat="1" ht="12.75" x14ac:dyDescent="0.25">
      <c r="A4" s="978"/>
      <c r="B4" s="978"/>
      <c r="C4" s="986"/>
      <c r="D4" s="987"/>
      <c r="E4" s="987"/>
      <c r="F4" s="987"/>
      <c r="G4" s="987"/>
      <c r="H4" s="987"/>
      <c r="I4" s="987"/>
      <c r="J4" s="987"/>
      <c r="K4" s="987"/>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c r="AT4" s="987"/>
      <c r="AU4" s="987"/>
      <c r="AV4" s="987"/>
      <c r="AW4" s="988"/>
      <c r="AX4" s="2" t="s">
        <v>5</v>
      </c>
      <c r="AY4" s="6">
        <v>44714</v>
      </c>
      <c r="AZ4" s="3"/>
      <c r="BA4" s="3"/>
      <c r="BB4" s="3"/>
      <c r="BC4" s="3"/>
      <c r="BD4" s="3"/>
      <c r="BE4" s="3"/>
      <c r="BF4" s="3"/>
      <c r="BG4" s="3"/>
      <c r="BH4" s="3"/>
      <c r="BI4" s="3"/>
      <c r="BJ4" s="3"/>
      <c r="BK4" s="3"/>
      <c r="BL4" s="3"/>
      <c r="BM4" s="3"/>
      <c r="BN4" s="3"/>
      <c r="BO4" s="3"/>
      <c r="BP4" s="3"/>
      <c r="BQ4" s="3"/>
    </row>
    <row r="5" spans="1:69" s="4" customFormat="1" ht="12.75" x14ac:dyDescent="0.25">
      <c r="A5" s="978"/>
      <c r="B5" s="978"/>
      <c r="C5" s="989"/>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1"/>
      <c r="AX5" s="2" t="s">
        <v>6</v>
      </c>
      <c r="AY5" s="7" t="s">
        <v>7</v>
      </c>
      <c r="AZ5" s="3"/>
      <c r="BA5" s="3"/>
      <c r="BB5" s="3"/>
      <c r="BC5" s="3"/>
      <c r="BD5" s="3"/>
      <c r="BE5" s="3"/>
      <c r="BF5" s="3"/>
      <c r="BG5" s="3"/>
      <c r="BH5" s="3"/>
      <c r="BI5" s="3"/>
      <c r="BJ5" s="3"/>
      <c r="BK5" s="3"/>
      <c r="BL5" s="3"/>
      <c r="BM5" s="3"/>
      <c r="BN5" s="3"/>
      <c r="BO5" s="3"/>
      <c r="BP5" s="3"/>
      <c r="BQ5" s="3"/>
    </row>
    <row r="6" spans="1:69" s="4" customFormat="1" ht="12.75" x14ac:dyDescent="0.25">
      <c r="A6" s="978"/>
      <c r="B6" s="978"/>
      <c r="C6" s="992" t="s">
        <v>8</v>
      </c>
      <c r="D6" s="993"/>
      <c r="E6" s="993"/>
      <c r="F6" s="993"/>
      <c r="G6" s="993"/>
      <c r="H6" s="993"/>
      <c r="I6" s="993"/>
      <c r="J6" s="993"/>
      <c r="K6" s="993"/>
      <c r="L6" s="993"/>
      <c r="M6" s="993"/>
      <c r="N6" s="993"/>
      <c r="O6" s="993"/>
      <c r="P6" s="993"/>
      <c r="Q6" s="993"/>
      <c r="R6" s="993"/>
      <c r="S6" s="993"/>
      <c r="T6" s="993"/>
      <c r="U6" s="993"/>
      <c r="V6" s="993"/>
      <c r="W6" s="993"/>
      <c r="X6" s="993"/>
      <c r="Y6" s="993"/>
      <c r="Z6" s="993"/>
      <c r="AA6" s="993"/>
      <c r="AB6" s="993"/>
      <c r="AC6" s="993"/>
      <c r="AD6" s="993"/>
      <c r="AE6" s="993"/>
      <c r="AF6" s="993"/>
      <c r="AG6" s="993"/>
      <c r="AH6" s="993"/>
      <c r="AI6" s="993"/>
      <c r="AJ6" s="993"/>
      <c r="AK6" s="993"/>
      <c r="AL6" s="993"/>
      <c r="AM6" s="993"/>
      <c r="AN6" s="993"/>
      <c r="AO6" s="993"/>
      <c r="AP6" s="993"/>
      <c r="AQ6" s="993"/>
      <c r="AR6" s="993"/>
      <c r="AS6" s="993"/>
      <c r="AT6" s="993"/>
      <c r="AU6" s="993"/>
      <c r="AV6" s="993"/>
      <c r="AW6" s="993"/>
      <c r="AX6" s="8"/>
      <c r="AY6" s="9"/>
      <c r="AZ6" s="3"/>
      <c r="BA6" s="3"/>
      <c r="BB6" s="3"/>
      <c r="BC6" s="3"/>
      <c r="BD6" s="3"/>
      <c r="BE6" s="3"/>
      <c r="BF6" s="3"/>
      <c r="BG6" s="3"/>
      <c r="BH6" s="3"/>
      <c r="BI6" s="3"/>
      <c r="BJ6" s="3"/>
      <c r="BK6" s="3"/>
      <c r="BL6" s="3"/>
      <c r="BM6" s="3"/>
      <c r="BN6" s="3"/>
      <c r="BO6" s="3"/>
      <c r="BP6" s="3"/>
      <c r="BQ6" s="3"/>
    </row>
    <row r="7" spans="1:69" s="4" customFormat="1" ht="12.75" x14ac:dyDescent="0.25">
      <c r="A7" s="979"/>
      <c r="B7" s="979"/>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1"/>
      <c r="AZ7" s="3"/>
      <c r="BA7" s="3"/>
      <c r="BB7" s="3"/>
      <c r="BC7" s="3"/>
      <c r="BD7" s="3"/>
      <c r="BE7" s="3"/>
      <c r="BF7" s="3"/>
      <c r="BG7" s="3"/>
      <c r="BH7" s="3"/>
      <c r="BI7" s="3"/>
      <c r="BJ7" s="3"/>
      <c r="BK7" s="3"/>
      <c r="BL7" s="3"/>
      <c r="BM7" s="3"/>
      <c r="BN7" s="3"/>
      <c r="BO7" s="3"/>
      <c r="BP7" s="3"/>
      <c r="BQ7" s="3"/>
    </row>
    <row r="8" spans="1:69" x14ac:dyDescent="0.25">
      <c r="A8" s="966" t="s">
        <v>9</v>
      </c>
      <c r="B8" s="967"/>
      <c r="C8" s="966" t="s">
        <v>10</v>
      </c>
      <c r="D8" s="967"/>
      <c r="E8" s="966" t="s">
        <v>11</v>
      </c>
      <c r="F8" s="967"/>
      <c r="G8" s="966" t="s">
        <v>12</v>
      </c>
      <c r="H8" s="970"/>
      <c r="I8" s="970"/>
      <c r="J8" s="967"/>
      <c r="K8" s="972" t="s">
        <v>13</v>
      </c>
      <c r="L8" s="973"/>
      <c r="M8" s="973"/>
      <c r="N8" s="974"/>
      <c r="O8" s="972" t="s">
        <v>14</v>
      </c>
      <c r="P8" s="973"/>
      <c r="Q8" s="974"/>
      <c r="R8" s="1008" t="s">
        <v>15</v>
      </c>
      <c r="S8" s="1008"/>
      <c r="T8" s="1008"/>
      <c r="U8" s="1008"/>
      <c r="V8" s="1008"/>
      <c r="W8" s="1008"/>
      <c r="X8" s="1008"/>
      <c r="Y8" s="281"/>
      <c r="Z8" s="281"/>
      <c r="AA8" s="281"/>
      <c r="AB8" s="281"/>
      <c r="AC8" s="12"/>
      <c r="AD8" s="12"/>
      <c r="AE8" s="12"/>
      <c r="AF8" s="13"/>
      <c r="AG8" s="1002" t="s">
        <v>16</v>
      </c>
      <c r="AH8" s="1003"/>
      <c r="AI8" s="1003"/>
      <c r="AJ8" s="1003"/>
      <c r="AK8" s="1003"/>
      <c r="AL8" s="1003"/>
      <c r="AM8" s="1003"/>
      <c r="AN8" s="1003"/>
      <c r="AO8" s="1003"/>
      <c r="AP8" s="1003"/>
      <c r="AQ8" s="1003"/>
      <c r="AR8" s="1003"/>
      <c r="AS8" s="1003"/>
      <c r="AT8" s="1003"/>
      <c r="AU8" s="1003"/>
      <c r="AV8" s="1004"/>
      <c r="AW8" s="994" t="s">
        <v>17</v>
      </c>
      <c r="AX8" s="994" t="s">
        <v>18</v>
      </c>
      <c r="AY8" s="994" t="s">
        <v>19</v>
      </c>
    </row>
    <row r="9" spans="1:69" s="15" customFormat="1" ht="12.75" x14ac:dyDescent="0.25">
      <c r="A9" s="968"/>
      <c r="B9" s="969"/>
      <c r="C9" s="968"/>
      <c r="D9" s="969"/>
      <c r="E9" s="968"/>
      <c r="F9" s="969"/>
      <c r="G9" s="968"/>
      <c r="H9" s="971"/>
      <c r="I9" s="971"/>
      <c r="J9" s="969"/>
      <c r="K9" s="975"/>
      <c r="L9" s="976"/>
      <c r="M9" s="976"/>
      <c r="N9" s="977"/>
      <c r="O9" s="975"/>
      <c r="P9" s="976"/>
      <c r="Q9" s="977"/>
      <c r="R9" s="1009"/>
      <c r="S9" s="1009"/>
      <c r="T9" s="1009"/>
      <c r="U9" s="1009"/>
      <c r="V9" s="1009"/>
      <c r="W9" s="1009"/>
      <c r="X9" s="1009"/>
      <c r="Y9" s="282"/>
      <c r="Z9" s="282"/>
      <c r="AA9" s="282"/>
      <c r="AB9" s="282"/>
      <c r="AC9" s="997" t="s">
        <v>20</v>
      </c>
      <c r="AD9" s="997"/>
      <c r="AE9" s="997"/>
      <c r="AF9" s="997"/>
      <c r="AG9" s="997" t="s">
        <v>21</v>
      </c>
      <c r="AH9" s="998"/>
      <c r="AI9" s="999" t="s">
        <v>22</v>
      </c>
      <c r="AJ9" s="998"/>
      <c r="AK9" s="998"/>
      <c r="AL9" s="998"/>
      <c r="AM9" s="1000" t="s">
        <v>23</v>
      </c>
      <c r="AN9" s="998"/>
      <c r="AO9" s="998"/>
      <c r="AP9" s="998"/>
      <c r="AQ9" s="998"/>
      <c r="AR9" s="998"/>
      <c r="AS9" s="999" t="s">
        <v>24</v>
      </c>
      <c r="AT9" s="998"/>
      <c r="AU9" s="998"/>
      <c r="AV9" s="1001" t="s">
        <v>25</v>
      </c>
      <c r="AW9" s="995"/>
      <c r="AX9" s="995"/>
      <c r="AY9" s="995"/>
      <c r="AZ9" s="14"/>
      <c r="BA9" s="14"/>
      <c r="BB9" s="14"/>
      <c r="BC9" s="14"/>
      <c r="BD9" s="14"/>
      <c r="BE9" s="14"/>
      <c r="BF9" s="14"/>
      <c r="BG9" s="14"/>
      <c r="BH9" s="14"/>
      <c r="BI9" s="14"/>
      <c r="BJ9" s="14"/>
      <c r="BK9" s="14"/>
      <c r="BL9" s="14"/>
      <c r="BM9" s="14"/>
      <c r="BN9" s="14"/>
    </row>
    <row r="10" spans="1:69" s="15" customFormat="1" ht="72.75" customHeight="1" x14ac:dyDescent="0.25">
      <c r="A10" s="16" t="s">
        <v>26</v>
      </c>
      <c r="B10" s="17" t="s">
        <v>27</v>
      </c>
      <c r="C10" s="16" t="s">
        <v>26</v>
      </c>
      <c r="D10" s="17" t="s">
        <v>27</v>
      </c>
      <c r="E10" s="17" t="s">
        <v>26</v>
      </c>
      <c r="F10" s="877" t="s">
        <v>27</v>
      </c>
      <c r="G10" s="18" t="s">
        <v>28</v>
      </c>
      <c r="H10" s="878" t="s">
        <v>29</v>
      </c>
      <c r="I10" s="18" t="s">
        <v>30</v>
      </c>
      <c r="J10" s="878" t="s">
        <v>31</v>
      </c>
      <c r="K10" s="18" t="s">
        <v>28</v>
      </c>
      <c r="L10" s="878" t="s">
        <v>32</v>
      </c>
      <c r="M10" s="18" t="s">
        <v>33</v>
      </c>
      <c r="N10" s="878" t="s">
        <v>34</v>
      </c>
      <c r="O10" s="18" t="s">
        <v>35</v>
      </c>
      <c r="P10" s="18" t="s">
        <v>36</v>
      </c>
      <c r="Q10" s="18" t="s">
        <v>37</v>
      </c>
      <c r="R10" s="17" t="s">
        <v>38</v>
      </c>
      <c r="S10" s="877" t="s">
        <v>39</v>
      </c>
      <c r="T10" s="19" t="s">
        <v>40</v>
      </c>
      <c r="U10" s="877" t="s">
        <v>41</v>
      </c>
      <c r="V10" s="877" t="s">
        <v>42</v>
      </c>
      <c r="W10" s="877" t="s">
        <v>43</v>
      </c>
      <c r="X10" s="20" t="s">
        <v>44</v>
      </c>
      <c r="Y10" s="660" t="s">
        <v>45</v>
      </c>
      <c r="Z10" s="659" t="s">
        <v>46</v>
      </c>
      <c r="AA10" s="659" t="s">
        <v>47</v>
      </c>
      <c r="AB10" s="660" t="s">
        <v>48</v>
      </c>
      <c r="AC10" s="16" t="s">
        <v>49</v>
      </c>
      <c r="AD10" s="17" t="s">
        <v>50</v>
      </c>
      <c r="AE10" s="17" t="s">
        <v>51</v>
      </c>
      <c r="AF10" s="17" t="s">
        <v>52</v>
      </c>
      <c r="AG10" s="21" t="s">
        <v>53</v>
      </c>
      <c r="AH10" s="22" t="s">
        <v>54</v>
      </c>
      <c r="AI10" s="21" t="s">
        <v>55</v>
      </c>
      <c r="AJ10" s="21" t="s">
        <v>56</v>
      </c>
      <c r="AK10" s="21" t="s">
        <v>57</v>
      </c>
      <c r="AL10" s="21" t="s">
        <v>58</v>
      </c>
      <c r="AM10" s="21" t="s">
        <v>59</v>
      </c>
      <c r="AN10" s="21" t="s">
        <v>60</v>
      </c>
      <c r="AO10" s="21" t="s">
        <v>61</v>
      </c>
      <c r="AP10" s="21" t="s">
        <v>62</v>
      </c>
      <c r="AQ10" s="21" t="s">
        <v>63</v>
      </c>
      <c r="AR10" s="21" t="s">
        <v>64</v>
      </c>
      <c r="AS10" s="21" t="s">
        <v>65</v>
      </c>
      <c r="AT10" s="21" t="s">
        <v>66</v>
      </c>
      <c r="AU10" s="21" t="s">
        <v>67</v>
      </c>
      <c r="AV10" s="1001"/>
      <c r="AW10" s="996"/>
      <c r="AX10" s="996"/>
      <c r="AY10" s="996"/>
      <c r="AZ10" s="14"/>
      <c r="BA10" s="14"/>
      <c r="BB10" s="14"/>
      <c r="BC10" s="14"/>
      <c r="BD10" s="14"/>
      <c r="BE10" s="14"/>
      <c r="BF10" s="14"/>
      <c r="BG10" s="14"/>
      <c r="BH10" s="14"/>
      <c r="BI10" s="14"/>
      <c r="BJ10" s="14"/>
      <c r="BK10" s="14"/>
      <c r="BL10" s="14"/>
      <c r="BM10" s="14"/>
      <c r="BN10" s="14"/>
    </row>
    <row r="11" spans="1:69" ht="138.75" customHeight="1" x14ac:dyDescent="0.25">
      <c r="A11" s="23">
        <v>4</v>
      </c>
      <c r="B11" s="188" t="s">
        <v>2840</v>
      </c>
      <c r="C11" s="23">
        <v>45</v>
      </c>
      <c r="D11" s="23" t="s">
        <v>68</v>
      </c>
      <c r="E11" s="23">
        <v>4599</v>
      </c>
      <c r="F11" s="188" t="s">
        <v>69</v>
      </c>
      <c r="G11" s="23" t="s">
        <v>70</v>
      </c>
      <c r="H11" s="188" t="s">
        <v>71</v>
      </c>
      <c r="I11" s="23">
        <v>4599023</v>
      </c>
      <c r="J11" s="188" t="s">
        <v>72</v>
      </c>
      <c r="K11" s="23" t="s">
        <v>70</v>
      </c>
      <c r="L11" s="188" t="s">
        <v>73</v>
      </c>
      <c r="M11" s="23">
        <v>459902300</v>
      </c>
      <c r="N11" s="188" t="s">
        <v>74</v>
      </c>
      <c r="O11" s="23">
        <v>5</v>
      </c>
      <c r="P11" s="23"/>
      <c r="Q11" s="23"/>
      <c r="R11" s="24">
        <v>2020003630006</v>
      </c>
      <c r="S11" s="188" t="s">
        <v>75</v>
      </c>
      <c r="T11" s="25">
        <f>SUM($X$11:$X$13)/SUM($X$11:$X$13)</f>
        <v>1</v>
      </c>
      <c r="U11" s="188" t="s">
        <v>76</v>
      </c>
      <c r="V11" s="188" t="s">
        <v>77</v>
      </c>
      <c r="W11" s="188" t="s">
        <v>78</v>
      </c>
      <c r="X11" s="26">
        <v>48290000</v>
      </c>
      <c r="Y11" s="26">
        <f>12900000</f>
        <v>12900000</v>
      </c>
      <c r="Z11" s="26"/>
      <c r="AA11" s="26"/>
      <c r="AB11" s="26">
        <f>X11-Y11+Z11-AA11</f>
        <v>35390000</v>
      </c>
      <c r="AC11" s="27" t="s">
        <v>79</v>
      </c>
      <c r="AD11" s="188"/>
      <c r="AE11" s="24">
        <v>20</v>
      </c>
      <c r="AF11" s="23" t="s">
        <v>80</v>
      </c>
      <c r="AG11" s="29">
        <v>295972</v>
      </c>
      <c r="AH11" s="29">
        <v>285580</v>
      </c>
      <c r="AI11" s="29">
        <v>135545</v>
      </c>
      <c r="AJ11" s="29">
        <v>44254</v>
      </c>
      <c r="AK11" s="29">
        <v>309146</v>
      </c>
      <c r="AL11" s="29">
        <v>92607</v>
      </c>
      <c r="AM11" s="29">
        <v>2145</v>
      </c>
      <c r="AN11" s="29">
        <v>12718</v>
      </c>
      <c r="AO11" s="23">
        <v>26</v>
      </c>
      <c r="AP11" s="23">
        <v>37</v>
      </c>
      <c r="AQ11" s="23">
        <v>0</v>
      </c>
      <c r="AR11" s="23">
        <v>0</v>
      </c>
      <c r="AS11" s="23">
        <v>0</v>
      </c>
      <c r="AT11" s="29">
        <v>21944</v>
      </c>
      <c r="AU11" s="29">
        <v>75687</v>
      </c>
      <c r="AV11" s="30">
        <v>581552</v>
      </c>
      <c r="AW11" s="31">
        <v>45293</v>
      </c>
      <c r="AX11" s="31">
        <v>45657</v>
      </c>
      <c r="AY11" s="23" t="s">
        <v>81</v>
      </c>
    </row>
    <row r="12" spans="1:69" ht="127.5" x14ac:dyDescent="0.25">
      <c r="A12" s="23">
        <v>4</v>
      </c>
      <c r="B12" s="188" t="s">
        <v>2840</v>
      </c>
      <c r="C12" s="23">
        <v>45</v>
      </c>
      <c r="D12" s="23" t="s">
        <v>68</v>
      </c>
      <c r="E12" s="23">
        <v>4599</v>
      </c>
      <c r="F12" s="188" t="s">
        <v>69</v>
      </c>
      <c r="G12" s="23" t="s">
        <v>70</v>
      </c>
      <c r="H12" s="188" t="s">
        <v>71</v>
      </c>
      <c r="I12" s="23">
        <v>4599023</v>
      </c>
      <c r="J12" s="188" t="s">
        <v>72</v>
      </c>
      <c r="K12" s="23" t="s">
        <v>70</v>
      </c>
      <c r="L12" s="188" t="s">
        <v>73</v>
      </c>
      <c r="M12" s="23">
        <v>459902300</v>
      </c>
      <c r="N12" s="188" t="s">
        <v>74</v>
      </c>
      <c r="O12" s="32">
        <v>5</v>
      </c>
      <c r="P12" s="23"/>
      <c r="Q12" s="23"/>
      <c r="R12" s="24">
        <v>2020003630006</v>
      </c>
      <c r="S12" s="188" t="s">
        <v>75</v>
      </c>
      <c r="T12" s="25">
        <f>SUM($X$11:$X$13)/SUM($X$11:$X$13)</f>
        <v>1</v>
      </c>
      <c r="U12" s="188" t="s">
        <v>76</v>
      </c>
      <c r="V12" s="188" t="s">
        <v>77</v>
      </c>
      <c r="W12" s="188" t="s">
        <v>82</v>
      </c>
      <c r="X12" s="26">
        <v>28250000</v>
      </c>
      <c r="Y12" s="26"/>
      <c r="Z12" s="26"/>
      <c r="AA12" s="26"/>
      <c r="AB12" s="26">
        <f t="shared" ref="AB12:AB18" si="0">X12-Y12+Z12-AA12</f>
        <v>28250000</v>
      </c>
      <c r="AC12" s="27" t="s">
        <v>79</v>
      </c>
      <c r="AD12" s="188"/>
      <c r="AE12" s="24">
        <v>20</v>
      </c>
      <c r="AF12" s="23" t="s">
        <v>80</v>
      </c>
      <c r="AG12" s="29">
        <v>295972</v>
      </c>
      <c r="AH12" s="29">
        <v>285580</v>
      </c>
      <c r="AI12" s="29">
        <v>135545</v>
      </c>
      <c r="AJ12" s="29">
        <v>44254</v>
      </c>
      <c r="AK12" s="29">
        <v>309146</v>
      </c>
      <c r="AL12" s="29">
        <v>92607</v>
      </c>
      <c r="AM12" s="29">
        <v>2145</v>
      </c>
      <c r="AN12" s="29">
        <v>12718</v>
      </c>
      <c r="AO12" s="23">
        <v>26</v>
      </c>
      <c r="AP12" s="23">
        <v>37</v>
      </c>
      <c r="AQ12" s="23">
        <v>0</v>
      </c>
      <c r="AR12" s="23">
        <v>0</v>
      </c>
      <c r="AS12" s="23">
        <v>0</v>
      </c>
      <c r="AT12" s="29">
        <v>21944</v>
      </c>
      <c r="AU12" s="29">
        <v>75687</v>
      </c>
      <c r="AV12" s="30">
        <v>581552</v>
      </c>
      <c r="AW12" s="31">
        <v>45293</v>
      </c>
      <c r="AX12" s="31">
        <v>45657</v>
      </c>
      <c r="AY12" s="23" t="s">
        <v>81</v>
      </c>
    </row>
    <row r="13" spans="1:69" ht="127.5" x14ac:dyDescent="0.25">
      <c r="A13" s="23">
        <v>4</v>
      </c>
      <c r="B13" s="188" t="s">
        <v>2840</v>
      </c>
      <c r="C13" s="23">
        <v>45</v>
      </c>
      <c r="D13" s="23" t="s">
        <v>68</v>
      </c>
      <c r="E13" s="23">
        <v>4599</v>
      </c>
      <c r="F13" s="188" t="s">
        <v>69</v>
      </c>
      <c r="G13" s="23" t="s">
        <v>70</v>
      </c>
      <c r="H13" s="188" t="s">
        <v>71</v>
      </c>
      <c r="I13" s="23">
        <v>4599023</v>
      </c>
      <c r="J13" s="188" t="s">
        <v>72</v>
      </c>
      <c r="K13" s="23" t="s">
        <v>70</v>
      </c>
      <c r="L13" s="188" t="s">
        <v>73</v>
      </c>
      <c r="M13" s="23">
        <v>459902300</v>
      </c>
      <c r="N13" s="188" t="s">
        <v>74</v>
      </c>
      <c r="O13" s="32">
        <v>5</v>
      </c>
      <c r="P13" s="23"/>
      <c r="Q13" s="23"/>
      <c r="R13" s="24">
        <v>2020003630006</v>
      </c>
      <c r="S13" s="188" t="s">
        <v>75</v>
      </c>
      <c r="T13" s="25">
        <f>SUM($X$11:$X$13)/SUM($X$11:$X$13)</f>
        <v>1</v>
      </c>
      <c r="U13" s="188" t="s">
        <v>76</v>
      </c>
      <c r="V13" s="188" t="s">
        <v>77</v>
      </c>
      <c r="W13" s="188" t="s">
        <v>83</v>
      </c>
      <c r="X13" s="26">
        <v>27500000</v>
      </c>
      <c r="Y13" s="662">
        <f>12900000+8100000</f>
        <v>21000000</v>
      </c>
      <c r="Z13" s="662"/>
      <c r="AA13" s="662"/>
      <c r="AB13" s="26">
        <f t="shared" si="0"/>
        <v>6500000</v>
      </c>
      <c r="AC13" s="27" t="s">
        <v>79</v>
      </c>
      <c r="AD13" s="188"/>
      <c r="AE13" s="24">
        <v>20</v>
      </c>
      <c r="AF13" s="23" t="s">
        <v>80</v>
      </c>
      <c r="AG13" s="29">
        <v>295972</v>
      </c>
      <c r="AH13" s="29">
        <v>285580</v>
      </c>
      <c r="AI13" s="29">
        <v>135545</v>
      </c>
      <c r="AJ13" s="29">
        <v>44254</v>
      </c>
      <c r="AK13" s="29">
        <v>309146</v>
      </c>
      <c r="AL13" s="29">
        <v>92607</v>
      </c>
      <c r="AM13" s="29">
        <v>2145</v>
      </c>
      <c r="AN13" s="29">
        <v>12718</v>
      </c>
      <c r="AO13" s="23">
        <v>26</v>
      </c>
      <c r="AP13" s="23">
        <v>37</v>
      </c>
      <c r="AQ13" s="23">
        <v>0</v>
      </c>
      <c r="AR13" s="23">
        <v>0</v>
      </c>
      <c r="AS13" s="23">
        <v>0</v>
      </c>
      <c r="AT13" s="29">
        <v>21944</v>
      </c>
      <c r="AU13" s="29">
        <v>75687</v>
      </c>
      <c r="AV13" s="30">
        <v>581552</v>
      </c>
      <c r="AW13" s="31">
        <v>45293</v>
      </c>
      <c r="AX13" s="31">
        <v>45657</v>
      </c>
      <c r="AY13" s="23" t="s">
        <v>81</v>
      </c>
    </row>
    <row r="14" spans="1:69" ht="102" x14ac:dyDescent="0.25">
      <c r="A14" s="23">
        <v>4</v>
      </c>
      <c r="B14" s="188" t="s">
        <v>2840</v>
      </c>
      <c r="C14" s="23">
        <v>45</v>
      </c>
      <c r="D14" s="23" t="s">
        <v>68</v>
      </c>
      <c r="E14" s="23">
        <v>4599</v>
      </c>
      <c r="F14" s="188" t="s">
        <v>69</v>
      </c>
      <c r="G14" s="23" t="s">
        <v>70</v>
      </c>
      <c r="H14" s="188" t="s">
        <v>71</v>
      </c>
      <c r="I14" s="23">
        <v>4599023</v>
      </c>
      <c r="J14" s="188" t="s">
        <v>72</v>
      </c>
      <c r="K14" s="23" t="s">
        <v>70</v>
      </c>
      <c r="L14" s="188" t="s">
        <v>73</v>
      </c>
      <c r="M14" s="23">
        <v>459902300</v>
      </c>
      <c r="N14" s="188" t="s">
        <v>74</v>
      </c>
      <c r="O14" s="32">
        <v>5</v>
      </c>
      <c r="P14" s="23"/>
      <c r="Q14" s="23"/>
      <c r="R14" s="33">
        <v>2022003630011</v>
      </c>
      <c r="S14" s="188" t="s">
        <v>84</v>
      </c>
      <c r="T14" s="25">
        <f>X14/SUM($X$14)</f>
        <v>1</v>
      </c>
      <c r="U14" s="188" t="s">
        <v>85</v>
      </c>
      <c r="V14" s="188" t="s">
        <v>86</v>
      </c>
      <c r="W14" s="188" t="s">
        <v>87</v>
      </c>
      <c r="X14" s="663">
        <v>22354454.760000002</v>
      </c>
      <c r="Y14" s="26">
        <f>12900000</f>
        <v>12900000</v>
      </c>
      <c r="Z14" s="26"/>
      <c r="AA14" s="26"/>
      <c r="AB14" s="26">
        <f t="shared" si="0"/>
        <v>9454454.7600000016</v>
      </c>
      <c r="AC14" s="664" t="s">
        <v>88</v>
      </c>
      <c r="AD14" s="188"/>
      <c r="AE14" s="24">
        <v>20</v>
      </c>
      <c r="AF14" s="23" t="s">
        <v>80</v>
      </c>
      <c r="AG14" s="29">
        <v>295972</v>
      </c>
      <c r="AH14" s="29">
        <v>285580</v>
      </c>
      <c r="AI14" s="29">
        <v>135545</v>
      </c>
      <c r="AJ14" s="29">
        <v>44254</v>
      </c>
      <c r="AK14" s="29">
        <v>309146</v>
      </c>
      <c r="AL14" s="29">
        <v>92607</v>
      </c>
      <c r="AM14" s="29">
        <v>2145</v>
      </c>
      <c r="AN14" s="29">
        <v>12718</v>
      </c>
      <c r="AO14" s="23">
        <v>26</v>
      </c>
      <c r="AP14" s="23">
        <v>37</v>
      </c>
      <c r="AQ14" s="23">
        <v>0</v>
      </c>
      <c r="AR14" s="23">
        <v>0</v>
      </c>
      <c r="AS14" s="23">
        <v>0</v>
      </c>
      <c r="AT14" s="29">
        <v>21944</v>
      </c>
      <c r="AU14" s="29">
        <v>75687</v>
      </c>
      <c r="AV14" s="30">
        <v>581552</v>
      </c>
      <c r="AW14" s="31">
        <v>45293</v>
      </c>
      <c r="AX14" s="31">
        <v>45657</v>
      </c>
      <c r="AY14" s="23" t="s">
        <v>81</v>
      </c>
    </row>
    <row r="15" spans="1:69" ht="127.5" x14ac:dyDescent="0.25">
      <c r="A15" s="23">
        <v>4</v>
      </c>
      <c r="B15" s="188" t="s">
        <v>2840</v>
      </c>
      <c r="C15" s="23">
        <v>45</v>
      </c>
      <c r="D15" s="23" t="s">
        <v>68</v>
      </c>
      <c r="E15" s="23">
        <v>4599</v>
      </c>
      <c r="F15" s="188" t="s">
        <v>69</v>
      </c>
      <c r="G15" s="23" t="s">
        <v>70</v>
      </c>
      <c r="H15" s="188" t="s">
        <v>89</v>
      </c>
      <c r="I15" s="23">
        <v>4599002</v>
      </c>
      <c r="J15" s="188" t="s">
        <v>90</v>
      </c>
      <c r="K15" s="23" t="s">
        <v>70</v>
      </c>
      <c r="L15" s="188" t="s">
        <v>91</v>
      </c>
      <c r="M15" s="23">
        <v>459900200</v>
      </c>
      <c r="N15" s="188" t="s">
        <v>92</v>
      </c>
      <c r="O15" s="32">
        <v>4</v>
      </c>
      <c r="P15" s="23"/>
      <c r="Q15" s="23"/>
      <c r="R15" s="24">
        <v>2020003630007</v>
      </c>
      <c r="S15" s="188" t="s">
        <v>93</v>
      </c>
      <c r="T15" s="25">
        <f>X15/SUM($X$15:$X$17)</f>
        <v>0.59534883720930232</v>
      </c>
      <c r="U15" s="188" t="s">
        <v>76</v>
      </c>
      <c r="V15" s="188" t="s">
        <v>94</v>
      </c>
      <c r="W15" s="188" t="s">
        <v>95</v>
      </c>
      <c r="X15" s="26">
        <v>32000000</v>
      </c>
      <c r="Y15" s="661">
        <f>12900000+11100000+11100000</f>
        <v>35100000</v>
      </c>
      <c r="Z15" s="661"/>
      <c r="AA15" s="661"/>
      <c r="AB15" s="26">
        <f t="shared" si="0"/>
        <v>-3100000</v>
      </c>
      <c r="AC15" s="35" t="s">
        <v>96</v>
      </c>
      <c r="AD15" s="188"/>
      <c r="AE15" s="24">
        <v>20</v>
      </c>
      <c r="AF15" s="23" t="s">
        <v>97</v>
      </c>
      <c r="AG15" s="23">
        <v>2476</v>
      </c>
      <c r="AH15" s="23">
        <v>3918</v>
      </c>
      <c r="AI15" s="23">
        <v>0</v>
      </c>
      <c r="AJ15" s="23">
        <v>0</v>
      </c>
      <c r="AK15" s="23">
        <v>0</v>
      </c>
      <c r="AL15" s="23">
        <v>0</v>
      </c>
      <c r="AM15" s="23">
        <v>0</v>
      </c>
      <c r="AN15" s="23">
        <v>0</v>
      </c>
      <c r="AO15" s="23">
        <v>0</v>
      </c>
      <c r="AP15" s="23">
        <v>0</v>
      </c>
      <c r="AQ15" s="23">
        <v>0</v>
      </c>
      <c r="AR15" s="23">
        <v>0</v>
      </c>
      <c r="AS15" s="23">
        <v>0</v>
      </c>
      <c r="AT15" s="23">
        <v>0</v>
      </c>
      <c r="AU15" s="23">
        <v>0</v>
      </c>
      <c r="AV15" s="30">
        <v>6394</v>
      </c>
      <c r="AW15" s="31">
        <v>45293</v>
      </c>
      <c r="AX15" s="31">
        <v>45657</v>
      </c>
      <c r="AY15" s="23" t="s">
        <v>98</v>
      </c>
    </row>
    <row r="16" spans="1:69" ht="127.5" x14ac:dyDescent="0.25">
      <c r="A16" s="23">
        <v>4</v>
      </c>
      <c r="B16" s="188" t="s">
        <v>2840</v>
      </c>
      <c r="C16" s="23">
        <v>45</v>
      </c>
      <c r="D16" s="23" t="s">
        <v>68</v>
      </c>
      <c r="E16" s="23">
        <v>4599</v>
      </c>
      <c r="F16" s="188" t="s">
        <v>69</v>
      </c>
      <c r="G16" s="23" t="s">
        <v>70</v>
      </c>
      <c r="H16" s="188" t="s">
        <v>89</v>
      </c>
      <c r="I16" s="23">
        <v>4599002</v>
      </c>
      <c r="J16" s="188" t="s">
        <v>90</v>
      </c>
      <c r="K16" s="23" t="s">
        <v>70</v>
      </c>
      <c r="L16" s="188" t="s">
        <v>91</v>
      </c>
      <c r="M16" s="23">
        <v>459900200</v>
      </c>
      <c r="N16" s="188" t="s">
        <v>92</v>
      </c>
      <c r="O16" s="32">
        <v>4</v>
      </c>
      <c r="P16" s="23"/>
      <c r="Q16" s="23"/>
      <c r="R16" s="24">
        <v>2020003630007</v>
      </c>
      <c r="S16" s="188" t="s">
        <v>93</v>
      </c>
      <c r="T16" s="25">
        <f>X16/SUM($X$15:$X$17)</f>
        <v>0.22790697674418606</v>
      </c>
      <c r="U16" s="188" t="s">
        <v>76</v>
      </c>
      <c r="V16" s="188" t="s">
        <v>94</v>
      </c>
      <c r="W16" s="188" t="s">
        <v>99</v>
      </c>
      <c r="X16" s="26">
        <v>12250000</v>
      </c>
      <c r="Y16" s="661"/>
      <c r="Z16" s="661"/>
      <c r="AA16" s="661"/>
      <c r="AB16" s="26">
        <f t="shared" si="0"/>
        <v>12250000</v>
      </c>
      <c r="AC16" s="35" t="s">
        <v>96</v>
      </c>
      <c r="AD16" s="188"/>
      <c r="AE16" s="24">
        <v>20</v>
      </c>
      <c r="AF16" s="23" t="s">
        <v>97</v>
      </c>
      <c r="AG16" s="23">
        <v>2476</v>
      </c>
      <c r="AH16" s="23">
        <v>3918</v>
      </c>
      <c r="AI16" s="23">
        <v>0</v>
      </c>
      <c r="AJ16" s="23">
        <v>0</v>
      </c>
      <c r="AK16" s="23">
        <v>0</v>
      </c>
      <c r="AL16" s="23">
        <v>0</v>
      </c>
      <c r="AM16" s="23">
        <v>0</v>
      </c>
      <c r="AN16" s="23">
        <v>0</v>
      </c>
      <c r="AO16" s="23">
        <v>0</v>
      </c>
      <c r="AP16" s="23">
        <v>0</v>
      </c>
      <c r="AQ16" s="23">
        <v>0</v>
      </c>
      <c r="AR16" s="23">
        <v>0</v>
      </c>
      <c r="AS16" s="23">
        <v>0</v>
      </c>
      <c r="AT16" s="23">
        <v>0</v>
      </c>
      <c r="AU16" s="23">
        <v>0</v>
      </c>
      <c r="AV16" s="30">
        <v>6394</v>
      </c>
      <c r="AW16" s="31">
        <v>45293</v>
      </c>
      <c r="AX16" s="31">
        <v>45657</v>
      </c>
      <c r="AY16" s="23" t="s">
        <v>98</v>
      </c>
    </row>
    <row r="17" spans="1:51" ht="127.5" x14ac:dyDescent="0.25">
      <c r="A17" s="23">
        <v>4</v>
      </c>
      <c r="B17" s="188" t="s">
        <v>2840</v>
      </c>
      <c r="C17" s="23">
        <v>45</v>
      </c>
      <c r="D17" s="23" t="s">
        <v>68</v>
      </c>
      <c r="E17" s="23">
        <v>4599</v>
      </c>
      <c r="F17" s="188" t="s">
        <v>69</v>
      </c>
      <c r="G17" s="23" t="s">
        <v>70</v>
      </c>
      <c r="H17" s="188" t="s">
        <v>89</v>
      </c>
      <c r="I17" s="23">
        <v>4599002</v>
      </c>
      <c r="J17" s="188" t="s">
        <v>90</v>
      </c>
      <c r="K17" s="23" t="s">
        <v>70</v>
      </c>
      <c r="L17" s="188" t="s">
        <v>91</v>
      </c>
      <c r="M17" s="23">
        <v>459900200</v>
      </c>
      <c r="N17" s="188" t="s">
        <v>92</v>
      </c>
      <c r="O17" s="32">
        <v>4</v>
      </c>
      <c r="P17" s="23"/>
      <c r="Q17" s="23"/>
      <c r="R17" s="24">
        <v>2020003630007</v>
      </c>
      <c r="S17" s="188" t="s">
        <v>93</v>
      </c>
      <c r="T17" s="25">
        <f>X17/SUM($X$15:$X$17)</f>
        <v>0.17674418604651163</v>
      </c>
      <c r="U17" s="188" t="s">
        <v>76</v>
      </c>
      <c r="V17" s="188" t="s">
        <v>94</v>
      </c>
      <c r="W17" s="188" t="s">
        <v>100</v>
      </c>
      <c r="X17" s="26">
        <v>9500000</v>
      </c>
      <c r="Y17" s="666"/>
      <c r="Z17" s="666"/>
      <c r="AA17" s="666"/>
      <c r="AB17" s="26">
        <f t="shared" si="0"/>
        <v>9500000</v>
      </c>
      <c r="AC17" s="35" t="s">
        <v>96</v>
      </c>
      <c r="AD17" s="188"/>
      <c r="AE17" s="24">
        <v>20</v>
      </c>
      <c r="AF17" s="23" t="s">
        <v>97</v>
      </c>
      <c r="AG17" s="23">
        <v>2476</v>
      </c>
      <c r="AH17" s="23">
        <v>3918</v>
      </c>
      <c r="AI17" s="23">
        <v>0</v>
      </c>
      <c r="AJ17" s="23">
        <v>0</v>
      </c>
      <c r="AK17" s="23">
        <v>0</v>
      </c>
      <c r="AL17" s="23">
        <v>0</v>
      </c>
      <c r="AM17" s="23">
        <v>0</v>
      </c>
      <c r="AN17" s="23">
        <v>0</v>
      </c>
      <c r="AO17" s="23">
        <v>0</v>
      </c>
      <c r="AP17" s="23">
        <v>0</v>
      </c>
      <c r="AQ17" s="23">
        <v>0</v>
      </c>
      <c r="AR17" s="23">
        <v>0</v>
      </c>
      <c r="AS17" s="23">
        <v>0</v>
      </c>
      <c r="AT17" s="23">
        <v>0</v>
      </c>
      <c r="AU17" s="23">
        <v>0</v>
      </c>
      <c r="AV17" s="30">
        <v>6394</v>
      </c>
      <c r="AW17" s="31">
        <v>45293</v>
      </c>
      <c r="AX17" s="31">
        <v>45657</v>
      </c>
      <c r="AY17" s="23" t="s">
        <v>98</v>
      </c>
    </row>
    <row r="18" spans="1:51" ht="153" x14ac:dyDescent="0.25">
      <c r="A18" s="23">
        <v>4</v>
      </c>
      <c r="B18" s="188" t="s">
        <v>2840</v>
      </c>
      <c r="C18" s="23">
        <v>45</v>
      </c>
      <c r="D18" s="23" t="s">
        <v>68</v>
      </c>
      <c r="E18" s="23">
        <v>4502</v>
      </c>
      <c r="F18" s="188" t="s">
        <v>101</v>
      </c>
      <c r="G18" s="23" t="s">
        <v>70</v>
      </c>
      <c r="H18" s="188" t="s">
        <v>102</v>
      </c>
      <c r="I18" s="23">
        <v>4502033</v>
      </c>
      <c r="J18" s="188" t="s">
        <v>103</v>
      </c>
      <c r="K18" s="23" t="s">
        <v>70</v>
      </c>
      <c r="L18" s="188" t="s">
        <v>104</v>
      </c>
      <c r="M18" s="23">
        <v>450203300</v>
      </c>
      <c r="N18" s="188" t="s">
        <v>105</v>
      </c>
      <c r="O18" s="36">
        <v>1</v>
      </c>
      <c r="P18" s="37"/>
      <c r="Q18" s="37"/>
      <c r="R18" s="24">
        <v>2020003630005</v>
      </c>
      <c r="S18" s="188" t="s">
        <v>106</v>
      </c>
      <c r="T18" s="25">
        <f>X18/SUM($X$18)</f>
        <v>1</v>
      </c>
      <c r="U18" s="188" t="s">
        <v>107</v>
      </c>
      <c r="V18" s="188" t="s">
        <v>108</v>
      </c>
      <c r="W18" s="188" t="s">
        <v>109</v>
      </c>
      <c r="X18" s="665">
        <v>43500000</v>
      </c>
      <c r="Y18" s="38">
        <f>11100000</f>
        <v>11100000</v>
      </c>
      <c r="Z18" s="38"/>
      <c r="AA18" s="38"/>
      <c r="AB18" s="26">
        <f t="shared" si="0"/>
        <v>32400000</v>
      </c>
      <c r="AC18" s="323" t="s">
        <v>110</v>
      </c>
      <c r="AD18" s="188"/>
      <c r="AE18" s="24">
        <v>20</v>
      </c>
      <c r="AF18" s="23" t="s">
        <v>97</v>
      </c>
      <c r="AG18" s="23">
        <v>295972</v>
      </c>
      <c r="AH18" s="23">
        <v>285580</v>
      </c>
      <c r="AI18" s="23">
        <v>135545</v>
      </c>
      <c r="AJ18" s="23">
        <v>44254</v>
      </c>
      <c r="AK18" s="23">
        <v>309146</v>
      </c>
      <c r="AL18" s="23">
        <v>92607</v>
      </c>
      <c r="AM18" s="23">
        <v>2145</v>
      </c>
      <c r="AN18" s="23">
        <v>12718</v>
      </c>
      <c r="AO18" s="23">
        <v>26</v>
      </c>
      <c r="AP18" s="23">
        <v>37</v>
      </c>
      <c r="AQ18" s="23">
        <v>0</v>
      </c>
      <c r="AR18" s="23">
        <v>0</v>
      </c>
      <c r="AS18" s="23">
        <v>44350</v>
      </c>
      <c r="AT18" s="23">
        <v>21944</v>
      </c>
      <c r="AU18" s="23">
        <v>75687</v>
      </c>
      <c r="AV18" s="30">
        <v>581552</v>
      </c>
      <c r="AW18" s="31">
        <v>45293</v>
      </c>
      <c r="AX18" s="31">
        <v>45657</v>
      </c>
      <c r="AY18" s="23" t="s">
        <v>81</v>
      </c>
    </row>
    <row r="19" spans="1:51" ht="15.75" x14ac:dyDescent="0.25">
      <c r="A19" s="39"/>
      <c r="B19" s="40"/>
      <c r="C19" s="40"/>
      <c r="D19" s="40"/>
      <c r="E19" s="40"/>
      <c r="F19" s="40"/>
      <c r="G19" s="40"/>
      <c r="H19" s="40"/>
      <c r="I19" s="40"/>
      <c r="J19" s="40"/>
      <c r="K19" s="40"/>
      <c r="L19" s="40"/>
      <c r="M19" s="40"/>
      <c r="N19" s="40"/>
      <c r="O19" s="40"/>
      <c r="P19" s="40"/>
      <c r="Q19" s="40"/>
      <c r="R19" s="40"/>
      <c r="S19" s="40"/>
      <c r="T19" s="40"/>
      <c r="U19" s="40"/>
      <c r="V19" s="40"/>
      <c r="W19" s="189" t="s">
        <v>25</v>
      </c>
      <c r="X19" s="190">
        <f>SUM(X11:X18)</f>
        <v>223644454.75999999</v>
      </c>
      <c r="Y19" s="667"/>
      <c r="Z19" s="667"/>
      <c r="AA19" s="667"/>
      <c r="AB19" s="667"/>
      <c r="AC19" s="40"/>
      <c r="AD19" s="40"/>
      <c r="AE19" s="40"/>
      <c r="AF19" s="40"/>
      <c r="AG19" s="40"/>
      <c r="AH19" s="40"/>
      <c r="AI19" s="40"/>
      <c r="AJ19" s="40"/>
      <c r="AK19" s="40"/>
      <c r="AL19" s="40"/>
      <c r="AM19" s="40"/>
      <c r="AN19" s="40"/>
      <c r="AO19" s="40"/>
      <c r="AP19" s="40"/>
      <c r="AQ19" s="40"/>
      <c r="AR19" s="40"/>
      <c r="AS19" s="40"/>
      <c r="AT19" s="40"/>
      <c r="AU19" s="40"/>
      <c r="AV19" s="40"/>
      <c r="AW19" s="40"/>
      <c r="AX19" s="40"/>
      <c r="AY19" s="41"/>
    </row>
    <row r="21" spans="1:51" s="42" customFormat="1" ht="58.5" customHeight="1" x14ac:dyDescent="0.25">
      <c r="AD21" s="43"/>
      <c r="AE21" s="43"/>
      <c r="AF21" s="43"/>
    </row>
    <row r="22" spans="1:51" s="42" customFormat="1" x14ac:dyDescent="0.25">
      <c r="O22" s="1010" t="s">
        <v>111</v>
      </c>
      <c r="P22" s="1010"/>
      <c r="Q22" s="1010"/>
      <c r="R22" s="1010"/>
      <c r="S22" s="1010"/>
      <c r="AD22" s="43"/>
      <c r="AE22" s="43"/>
      <c r="AF22" s="43"/>
    </row>
    <row r="23" spans="1:51" s="42" customFormat="1" x14ac:dyDescent="0.25">
      <c r="O23" s="1011" t="s">
        <v>112</v>
      </c>
      <c r="P23" s="1011"/>
      <c r="Q23" s="1011"/>
      <c r="R23" s="1011"/>
      <c r="S23" s="1011"/>
      <c r="AD23" s="43"/>
      <c r="AE23" s="43"/>
      <c r="AF23" s="43"/>
    </row>
    <row r="24" spans="1:51" s="42" customFormat="1" ht="14.25" x14ac:dyDescent="0.25">
      <c r="AD24" s="43"/>
      <c r="AE24" s="43"/>
      <c r="AF24" s="43"/>
    </row>
    <row r="25" spans="1:51" s="42" customFormat="1" ht="14.25" x14ac:dyDescent="0.25">
      <c r="AD25" s="43"/>
      <c r="AE25" s="43"/>
      <c r="AF25" s="43"/>
    </row>
    <row r="26" spans="1:51" s="42" customFormat="1" x14ac:dyDescent="0.25">
      <c r="I26" s="1005" t="s">
        <v>113</v>
      </c>
      <c r="J26" s="1005"/>
      <c r="K26" s="1006" t="s">
        <v>114</v>
      </c>
      <c r="L26" s="1007"/>
      <c r="M26" s="1006" t="s">
        <v>115</v>
      </c>
      <c r="N26" s="1007"/>
      <c r="AD26" s="43"/>
      <c r="AE26" s="43"/>
      <c r="AF26" s="43"/>
    </row>
    <row r="27" spans="1:51" s="42" customFormat="1" x14ac:dyDescent="0.25">
      <c r="I27" s="1005" t="s">
        <v>116</v>
      </c>
      <c r="J27" s="1005"/>
      <c r="K27" s="1006" t="s">
        <v>117</v>
      </c>
      <c r="L27" s="1007"/>
      <c r="M27" s="1005" t="s">
        <v>118</v>
      </c>
      <c r="N27" s="1005"/>
      <c r="AD27" s="43"/>
      <c r="AE27" s="43"/>
      <c r="AF27" s="43"/>
    </row>
    <row r="28" spans="1:51" s="42" customFormat="1" x14ac:dyDescent="0.25">
      <c r="I28" s="1005" t="s">
        <v>119</v>
      </c>
      <c r="J28" s="1005"/>
      <c r="K28" s="1006" t="s">
        <v>120</v>
      </c>
      <c r="L28" s="1007"/>
      <c r="M28" s="1005" t="s">
        <v>121</v>
      </c>
      <c r="N28" s="1005"/>
      <c r="AD28" s="43"/>
      <c r="AE28" s="43"/>
      <c r="AF28" s="43"/>
    </row>
  </sheetData>
  <autoFilter ref="A10:BQ19" xr:uid="{00000000-0001-0000-0000-000000000000}"/>
  <mergeCells count="33">
    <mergeCell ref="I28:J28"/>
    <mergeCell ref="K28:L28"/>
    <mergeCell ref="M28:N28"/>
    <mergeCell ref="O8:Q9"/>
    <mergeCell ref="R8:X9"/>
    <mergeCell ref="I27:J27"/>
    <mergeCell ref="K27:L27"/>
    <mergeCell ref="M27:N27"/>
    <mergeCell ref="O22:S22"/>
    <mergeCell ref="O23:S23"/>
    <mergeCell ref="I26:J26"/>
    <mergeCell ref="K26:L26"/>
    <mergeCell ref="M26:N26"/>
    <mergeCell ref="AW8:AW10"/>
    <mergeCell ref="AX8:AX10"/>
    <mergeCell ref="AY8:AY10"/>
    <mergeCell ref="AC9:AF9"/>
    <mergeCell ref="AG9:AH9"/>
    <mergeCell ref="AI9:AL9"/>
    <mergeCell ref="AM9:AR9"/>
    <mergeCell ref="AS9:AU9"/>
    <mergeCell ref="AV9:AV10"/>
    <mergeCell ref="AG8:AV8"/>
    <mergeCell ref="A1:B7"/>
    <mergeCell ref="C1:AW1"/>
    <mergeCell ref="C2:AW4"/>
    <mergeCell ref="C5:AW5"/>
    <mergeCell ref="C6:AW6"/>
    <mergeCell ref="A8:B9"/>
    <mergeCell ref="C8:D9"/>
    <mergeCell ref="E8:F9"/>
    <mergeCell ref="G8:J9"/>
    <mergeCell ref="K8:N9"/>
  </mergeCells>
  <pageMargins left="0.7" right="0.7" top="0.75" bottom="0.75" header="0.3" footer="0.3"/>
  <pageSetup paperSize="41" scale="34" fitToWidth="0"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0B9A6-D76B-4FF5-8453-50556D638EE8}">
  <sheetPr>
    <tabColor theme="7" tint="0.59999389629810485"/>
  </sheetPr>
  <dimension ref="A1:BR994"/>
  <sheetViews>
    <sheetView zoomScale="60" zoomScaleNormal="60" workbookViewId="0">
      <pane ySplit="8" topLeftCell="A9" activePane="bottomLeft" state="frozen"/>
      <selection activeCell="U1" sqref="U1"/>
      <selection pane="bottomLeft" activeCell="A9" sqref="A9"/>
    </sheetView>
  </sheetViews>
  <sheetFormatPr baseColWidth="10" defaultColWidth="14.42578125" defaultRowHeight="15" customHeight="1" x14ac:dyDescent="0.2"/>
  <cols>
    <col min="1" max="1" width="14.42578125" style="924"/>
    <col min="2" max="2" width="18.85546875" style="918" customWidth="1"/>
    <col min="3" max="3" width="12.42578125" style="924" customWidth="1"/>
    <col min="4" max="4" width="15.28515625" style="918" customWidth="1"/>
    <col min="5" max="5" width="12.28515625" style="924" customWidth="1"/>
    <col min="6" max="6" width="21.42578125" style="918" customWidth="1"/>
    <col min="7" max="7" width="13.28515625" style="924" customWidth="1"/>
    <col min="8" max="8" width="27.85546875" style="918" customWidth="1"/>
    <col min="9" max="9" width="14.28515625" style="924" customWidth="1"/>
    <col min="10" max="10" width="27.85546875" style="918" customWidth="1"/>
    <col min="11" max="11" width="16" style="924" customWidth="1"/>
    <col min="12" max="12" width="26.85546875" style="918" customWidth="1"/>
    <col min="13" max="13" width="16" style="924" customWidth="1"/>
    <col min="14" max="14" width="15.5703125" style="918" customWidth="1"/>
    <col min="15" max="16" width="11.7109375" style="45" customWidth="1"/>
    <col min="17" max="17" width="18.140625" style="532" customWidth="1"/>
    <col min="18" max="18" width="29.85546875" style="918" customWidth="1"/>
    <col min="19" max="19" width="13.140625" style="45" customWidth="1"/>
    <col min="20" max="20" width="38" style="918" customWidth="1"/>
    <col min="21" max="21" width="40.85546875" style="918" customWidth="1"/>
    <col min="22" max="22" width="36.28515625" style="918" customWidth="1"/>
    <col min="23" max="23" width="25.42578125" style="45" customWidth="1"/>
    <col min="24" max="26" width="25.42578125" style="688" customWidth="1"/>
    <col min="27" max="27" width="25.42578125" style="679" customWidth="1"/>
    <col min="28" max="28" width="45.42578125" style="544" customWidth="1"/>
    <col min="29" max="29" width="16.7109375" style="45" customWidth="1"/>
    <col min="30" max="30" width="11.28515625" style="45" customWidth="1"/>
    <col min="31" max="31" width="15" style="45" customWidth="1"/>
    <col min="32" max="32" width="10.85546875" style="45" customWidth="1"/>
    <col min="33" max="33" width="13.5703125" style="45" customWidth="1"/>
    <col min="34" max="34" width="9.5703125" style="45" customWidth="1"/>
    <col min="35" max="35" width="10" style="45" customWidth="1"/>
    <col min="36" max="36" width="10.28515625" style="45" customWidth="1"/>
    <col min="37" max="37" width="9.5703125" style="45" customWidth="1"/>
    <col min="38" max="38" width="6.28515625" style="45" customWidth="1"/>
    <col min="39" max="39" width="7" style="45" customWidth="1"/>
    <col min="40" max="41" width="4.42578125" style="45" customWidth="1"/>
    <col min="42" max="42" width="5" style="45" customWidth="1"/>
    <col min="43" max="43" width="5.85546875" style="45" customWidth="1"/>
    <col min="44" max="44" width="7.5703125" style="45" customWidth="1"/>
    <col min="45" max="45" width="7.28515625" style="45" customWidth="1"/>
    <col min="46" max="46" width="4.85546875" style="45" customWidth="1"/>
    <col min="47" max="47" width="9.5703125" style="45" customWidth="1"/>
    <col min="48" max="48" width="16.28515625" style="45" customWidth="1"/>
    <col min="49" max="49" width="13.7109375" style="45" customWidth="1"/>
    <col min="50" max="50" width="26" style="45" customWidth="1"/>
    <col min="51" max="70" width="11.42578125" style="45" customWidth="1"/>
    <col min="71" max="16384" width="14.42578125" style="45"/>
  </cols>
  <sheetData>
    <row r="1" spans="1:70" ht="18.75" customHeight="1" x14ac:dyDescent="0.2">
      <c r="A1" s="984" t="s">
        <v>1230</v>
      </c>
      <c r="B1" s="1151"/>
      <c r="C1" s="1151"/>
      <c r="D1" s="1151"/>
      <c r="E1" s="1151"/>
      <c r="F1" s="1151"/>
      <c r="G1" s="1151"/>
      <c r="H1" s="1151"/>
      <c r="I1" s="1151"/>
      <c r="J1" s="1151"/>
      <c r="K1" s="1151"/>
      <c r="L1" s="1151"/>
      <c r="M1" s="1151"/>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c r="AL1" s="1151"/>
      <c r="AM1" s="1151"/>
      <c r="AN1" s="1151"/>
      <c r="AO1" s="1151"/>
      <c r="AP1" s="1151"/>
      <c r="AQ1" s="1151"/>
      <c r="AR1" s="1151"/>
      <c r="AS1" s="1151"/>
      <c r="AT1" s="1151"/>
      <c r="AU1" s="1151"/>
      <c r="AV1" s="1152"/>
      <c r="AW1" s="512" t="s">
        <v>2</v>
      </c>
      <c r="AX1" s="512" t="s">
        <v>3</v>
      </c>
      <c r="AY1" s="3"/>
      <c r="AZ1" s="3"/>
      <c r="BA1" s="3"/>
      <c r="BB1" s="3"/>
      <c r="BC1" s="3"/>
      <c r="BD1" s="3"/>
      <c r="BE1" s="3"/>
      <c r="BF1" s="3"/>
      <c r="BG1" s="3"/>
      <c r="BH1" s="3"/>
      <c r="BI1" s="3"/>
      <c r="BJ1" s="3"/>
      <c r="BK1" s="3"/>
      <c r="BL1" s="3"/>
      <c r="BM1" s="3"/>
      <c r="BN1" s="3"/>
      <c r="BO1" s="3"/>
      <c r="BP1" s="3"/>
      <c r="BQ1" s="3"/>
      <c r="BR1" s="3"/>
    </row>
    <row r="2" spans="1:70" ht="15" customHeight="1" x14ac:dyDescent="0.2">
      <c r="A2" s="1151"/>
      <c r="B2" s="1151"/>
      <c r="C2" s="1151"/>
      <c r="D2" s="1151"/>
      <c r="E2" s="1151"/>
      <c r="F2" s="1151"/>
      <c r="G2" s="1151"/>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2"/>
      <c r="AW2" s="512" t="s">
        <v>4</v>
      </c>
      <c r="AX2" s="512">
        <v>11</v>
      </c>
      <c r="AY2" s="3"/>
      <c r="AZ2" s="3"/>
      <c r="BA2" s="3"/>
      <c r="BB2" s="3"/>
      <c r="BC2" s="3"/>
      <c r="BD2" s="3"/>
      <c r="BE2" s="3"/>
      <c r="BF2" s="3"/>
      <c r="BG2" s="3"/>
      <c r="BH2" s="3"/>
      <c r="BI2" s="3"/>
      <c r="BJ2" s="3"/>
      <c r="BK2" s="3"/>
      <c r="BL2" s="3"/>
      <c r="BM2" s="3"/>
      <c r="BN2" s="3"/>
      <c r="BO2" s="3"/>
      <c r="BP2" s="3"/>
      <c r="BQ2" s="3"/>
      <c r="BR2" s="3"/>
    </row>
    <row r="3" spans="1:70" ht="16.5" customHeight="1" x14ac:dyDescent="0.2">
      <c r="A3" s="1151"/>
      <c r="B3" s="1151"/>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c r="AT3" s="1151"/>
      <c r="AU3" s="1151"/>
      <c r="AV3" s="1152"/>
      <c r="AW3" s="512" t="s">
        <v>5</v>
      </c>
      <c r="AX3" s="50">
        <v>44714</v>
      </c>
      <c r="AY3" s="3"/>
      <c r="AZ3" s="3"/>
      <c r="BA3" s="3"/>
      <c r="BB3" s="3"/>
      <c r="BC3" s="3"/>
      <c r="BD3" s="3"/>
      <c r="BE3" s="3"/>
      <c r="BF3" s="3"/>
      <c r="BG3" s="3"/>
      <c r="BH3" s="3"/>
      <c r="BI3" s="3"/>
      <c r="BJ3" s="3"/>
      <c r="BK3" s="3"/>
      <c r="BL3" s="3"/>
      <c r="BM3" s="3"/>
      <c r="BN3" s="3"/>
      <c r="BO3" s="3"/>
      <c r="BP3" s="3"/>
      <c r="BQ3" s="3"/>
      <c r="BR3" s="3"/>
    </row>
    <row r="4" spans="1:70" ht="17.25" customHeight="1" x14ac:dyDescent="0.2">
      <c r="A4" s="1153"/>
      <c r="B4" s="1153"/>
      <c r="C4" s="1153"/>
      <c r="D4" s="1153"/>
      <c r="E4" s="1153"/>
      <c r="F4" s="1153"/>
      <c r="G4" s="1153"/>
      <c r="H4" s="1153"/>
      <c r="I4" s="1153"/>
      <c r="J4" s="1153"/>
      <c r="K4" s="1153"/>
      <c r="L4" s="1153"/>
      <c r="M4" s="1153"/>
      <c r="N4" s="1153"/>
      <c r="O4" s="1153"/>
      <c r="P4" s="1153"/>
      <c r="Q4" s="1153"/>
      <c r="R4" s="1153"/>
      <c r="S4" s="1153"/>
      <c r="T4" s="1153"/>
      <c r="U4" s="1153"/>
      <c r="V4" s="1153"/>
      <c r="W4" s="1153"/>
      <c r="X4" s="1153"/>
      <c r="Y4" s="1153"/>
      <c r="Z4" s="1153"/>
      <c r="AA4" s="1153"/>
      <c r="AB4" s="1153"/>
      <c r="AC4" s="1153"/>
      <c r="AD4" s="1153"/>
      <c r="AE4" s="1153"/>
      <c r="AF4" s="1153"/>
      <c r="AG4" s="1153"/>
      <c r="AH4" s="1153"/>
      <c r="AI4" s="1153"/>
      <c r="AJ4" s="1153"/>
      <c r="AK4" s="1153"/>
      <c r="AL4" s="1153"/>
      <c r="AM4" s="1153"/>
      <c r="AN4" s="1153"/>
      <c r="AO4" s="1153"/>
      <c r="AP4" s="1153"/>
      <c r="AQ4" s="1153"/>
      <c r="AR4" s="1153"/>
      <c r="AS4" s="1153"/>
      <c r="AT4" s="1153"/>
      <c r="AU4" s="1153"/>
      <c r="AV4" s="1154"/>
      <c r="AW4" s="512" t="s">
        <v>6</v>
      </c>
      <c r="AX4" s="513" t="s">
        <v>7</v>
      </c>
      <c r="AY4" s="3"/>
      <c r="AZ4" s="3"/>
      <c r="BA4" s="3"/>
      <c r="BB4" s="3"/>
      <c r="BC4" s="3"/>
      <c r="BD4" s="3"/>
      <c r="BE4" s="3"/>
      <c r="BF4" s="3"/>
      <c r="BG4" s="3"/>
      <c r="BH4" s="3"/>
      <c r="BI4" s="3"/>
      <c r="BJ4" s="3"/>
      <c r="BK4" s="3"/>
      <c r="BL4" s="3"/>
      <c r="BM4" s="3"/>
      <c r="BN4" s="3"/>
      <c r="BO4" s="3"/>
      <c r="BP4" s="3"/>
      <c r="BQ4" s="3"/>
      <c r="BR4" s="3"/>
    </row>
    <row r="5" spans="1:70" ht="16.5" customHeight="1" x14ac:dyDescent="0.2">
      <c r="A5" s="1155" t="s">
        <v>1231</v>
      </c>
      <c r="B5" s="1156"/>
      <c r="C5" s="1156"/>
      <c r="D5" s="1156"/>
      <c r="E5" s="1156"/>
      <c r="F5" s="1156"/>
      <c r="G5" s="1156"/>
      <c r="H5" s="1156"/>
      <c r="I5" s="1156"/>
      <c r="J5" s="1156"/>
      <c r="K5" s="1156"/>
      <c r="L5" s="1156"/>
      <c r="M5" s="1156"/>
      <c r="N5" s="1156"/>
      <c r="O5" s="1156"/>
      <c r="P5" s="514"/>
      <c r="Q5" s="1157"/>
      <c r="R5" s="1158"/>
      <c r="S5" s="1158"/>
      <c r="T5" s="1158"/>
      <c r="U5" s="1158"/>
      <c r="V5" s="1158"/>
      <c r="W5" s="1158"/>
      <c r="X5" s="1158"/>
      <c r="Y5" s="1158"/>
      <c r="Z5" s="1158"/>
      <c r="AA5" s="1158"/>
      <c r="AB5" s="1158"/>
      <c r="AC5" s="1158"/>
      <c r="AD5" s="1158"/>
      <c r="AE5" s="1158"/>
      <c r="AF5" s="1158"/>
      <c r="AG5" s="1158"/>
      <c r="AH5" s="1158"/>
      <c r="AI5" s="1158"/>
      <c r="AJ5" s="1158"/>
      <c r="AK5" s="1158"/>
      <c r="AL5" s="1158"/>
      <c r="AM5" s="1158"/>
      <c r="AN5" s="1158"/>
      <c r="AO5" s="1158"/>
      <c r="AP5" s="1158"/>
      <c r="AQ5" s="1158"/>
      <c r="AR5" s="1158"/>
      <c r="AS5" s="1158"/>
      <c r="AT5" s="1158"/>
      <c r="AU5" s="1158"/>
      <c r="AV5" s="1158"/>
      <c r="AW5" s="1158"/>
      <c r="AX5" s="1159"/>
      <c r="AY5" s="3"/>
      <c r="AZ5" s="3"/>
      <c r="BA5" s="3"/>
      <c r="BB5" s="3"/>
      <c r="BC5" s="3"/>
      <c r="BD5" s="3"/>
      <c r="BE5" s="3"/>
      <c r="BF5" s="3"/>
      <c r="BG5" s="3"/>
      <c r="BH5" s="3"/>
      <c r="BI5" s="3"/>
      <c r="BJ5" s="3"/>
      <c r="BK5" s="3"/>
      <c r="BL5" s="3"/>
      <c r="BM5" s="3"/>
      <c r="BN5" s="3"/>
      <c r="BO5" s="3"/>
      <c r="BP5" s="3"/>
      <c r="BQ5" s="3"/>
      <c r="BR5" s="3"/>
    </row>
    <row r="6" spans="1:70" ht="20.25" hidden="1" customHeight="1" x14ac:dyDescent="0.2">
      <c r="A6" s="1151"/>
      <c r="B6" s="1151"/>
      <c r="C6" s="1151"/>
      <c r="D6" s="1151"/>
      <c r="E6" s="1151"/>
      <c r="F6" s="1151"/>
      <c r="G6" s="1151"/>
      <c r="H6" s="1151"/>
      <c r="I6" s="1151"/>
      <c r="J6" s="1151"/>
      <c r="K6" s="1151"/>
      <c r="L6" s="1151"/>
      <c r="M6" s="1151"/>
      <c r="N6" s="1151"/>
      <c r="O6" s="1151"/>
      <c r="Q6" s="515"/>
      <c r="R6" s="919"/>
      <c r="S6" s="279"/>
      <c r="T6" s="919"/>
      <c r="U6" s="919"/>
      <c r="V6" s="919"/>
      <c r="W6" s="279"/>
      <c r="X6" s="671"/>
      <c r="Y6" s="671"/>
      <c r="Z6" s="671"/>
      <c r="AA6" s="512"/>
      <c r="AB6" s="278"/>
      <c r="AC6" s="279"/>
      <c r="AD6" s="279"/>
      <c r="AE6" s="279"/>
      <c r="AF6" s="1160" t="s">
        <v>16</v>
      </c>
      <c r="AG6" s="1161"/>
      <c r="AH6" s="1161"/>
      <c r="AI6" s="1161"/>
      <c r="AJ6" s="1161"/>
      <c r="AK6" s="1161"/>
      <c r="AL6" s="1161"/>
      <c r="AM6" s="1161"/>
      <c r="AN6" s="1161"/>
      <c r="AO6" s="1161"/>
      <c r="AP6" s="1161"/>
      <c r="AQ6" s="1161"/>
      <c r="AR6" s="1161"/>
      <c r="AS6" s="1161"/>
      <c r="AT6" s="1162"/>
      <c r="AU6" s="1163" t="s">
        <v>25</v>
      </c>
      <c r="AV6" s="1166" t="s">
        <v>17</v>
      </c>
      <c r="AW6" s="1166" t="s">
        <v>18</v>
      </c>
      <c r="AX6" s="1166" t="s">
        <v>19</v>
      </c>
      <c r="AY6" s="3"/>
      <c r="AZ6" s="3"/>
      <c r="BA6" s="3"/>
      <c r="BB6" s="3"/>
      <c r="BC6" s="3"/>
      <c r="BD6" s="3"/>
      <c r="BE6" s="3"/>
      <c r="BF6" s="3"/>
      <c r="BG6" s="3"/>
      <c r="BH6" s="3"/>
      <c r="BI6" s="3"/>
      <c r="BJ6" s="3"/>
      <c r="BK6" s="3"/>
      <c r="BL6" s="3"/>
      <c r="BM6" s="3"/>
      <c r="BN6" s="3"/>
      <c r="BO6" s="3"/>
      <c r="BP6" s="3"/>
      <c r="BQ6" s="3"/>
      <c r="BR6" s="3"/>
    </row>
    <row r="7" spans="1:70" ht="24" customHeight="1" x14ac:dyDescent="0.2">
      <c r="A7" s="1169" t="s">
        <v>1232</v>
      </c>
      <c r="B7" s="1170"/>
      <c r="C7" s="1169" t="s">
        <v>10</v>
      </c>
      <c r="D7" s="1170"/>
      <c r="E7" s="1169" t="s">
        <v>11</v>
      </c>
      <c r="F7" s="1170"/>
      <c r="G7" s="1169" t="s">
        <v>12</v>
      </c>
      <c r="H7" s="1170"/>
      <c r="I7" s="1170"/>
      <c r="J7" s="1170"/>
      <c r="K7" s="1169" t="s">
        <v>13</v>
      </c>
      <c r="L7" s="1170"/>
      <c r="M7" s="1170"/>
      <c r="N7" s="1170"/>
      <c r="O7" s="1171" t="s">
        <v>1233</v>
      </c>
      <c r="P7" s="1172"/>
      <c r="Q7" s="1173" t="s">
        <v>1234</v>
      </c>
      <c r="R7" s="1174"/>
      <c r="S7" s="1174"/>
      <c r="T7" s="1174"/>
      <c r="U7" s="1174"/>
      <c r="V7" s="1174"/>
      <c r="W7" s="1175"/>
      <c r="X7" s="672"/>
      <c r="Y7" s="672"/>
      <c r="Z7" s="672"/>
      <c r="AA7" s="670"/>
      <c r="AB7" s="1180" t="s">
        <v>20</v>
      </c>
      <c r="AC7" s="1181"/>
      <c r="AD7" s="1181"/>
      <c r="AE7" s="1182"/>
      <c r="AF7" s="1176" t="s">
        <v>21</v>
      </c>
      <c r="AG7" s="1170"/>
      <c r="AH7" s="1177" t="s">
        <v>22</v>
      </c>
      <c r="AI7" s="1170"/>
      <c r="AJ7" s="1170"/>
      <c r="AK7" s="1170"/>
      <c r="AL7" s="1178" t="s">
        <v>23</v>
      </c>
      <c r="AM7" s="1170"/>
      <c r="AN7" s="1170"/>
      <c r="AO7" s="1170"/>
      <c r="AP7" s="1170"/>
      <c r="AQ7" s="1170"/>
      <c r="AR7" s="1177" t="s">
        <v>24</v>
      </c>
      <c r="AS7" s="1170"/>
      <c r="AT7" s="1170"/>
      <c r="AU7" s="1164"/>
      <c r="AV7" s="1167"/>
      <c r="AW7" s="1167"/>
      <c r="AX7" s="1167"/>
      <c r="AY7" s="3"/>
      <c r="AZ7" s="3"/>
      <c r="BA7" s="3"/>
      <c r="BB7" s="3"/>
      <c r="BC7" s="3"/>
      <c r="BD7" s="3"/>
      <c r="BE7" s="3"/>
      <c r="BF7" s="3"/>
      <c r="BG7" s="3"/>
      <c r="BH7" s="3"/>
      <c r="BI7" s="3"/>
      <c r="BJ7" s="3"/>
      <c r="BK7" s="3"/>
      <c r="BL7" s="3"/>
      <c r="BM7" s="3"/>
      <c r="BN7" s="3"/>
      <c r="BO7" s="3"/>
      <c r="BP7" s="3"/>
      <c r="BQ7" s="3"/>
      <c r="BR7" s="3"/>
    </row>
    <row r="8" spans="1:70" s="924" customFormat="1" ht="53.25" customHeight="1" x14ac:dyDescent="0.2">
      <c r="A8" s="516" t="s">
        <v>26</v>
      </c>
      <c r="B8" s="517" t="s">
        <v>27</v>
      </c>
      <c r="C8" s="516" t="s">
        <v>26</v>
      </c>
      <c r="D8" s="517" t="s">
        <v>27</v>
      </c>
      <c r="E8" s="517" t="s">
        <v>26</v>
      </c>
      <c r="F8" s="517" t="s">
        <v>27</v>
      </c>
      <c r="G8" s="517" t="s">
        <v>28</v>
      </c>
      <c r="H8" s="517" t="s">
        <v>29</v>
      </c>
      <c r="I8" s="517" t="s">
        <v>30</v>
      </c>
      <c r="J8" s="517" t="s">
        <v>31</v>
      </c>
      <c r="K8" s="517" t="s">
        <v>28</v>
      </c>
      <c r="L8" s="517" t="s">
        <v>32</v>
      </c>
      <c r="M8" s="517" t="s">
        <v>1235</v>
      </c>
      <c r="N8" s="517" t="s">
        <v>34</v>
      </c>
      <c r="O8" s="518" t="s">
        <v>35</v>
      </c>
      <c r="P8" s="519" t="s">
        <v>37</v>
      </c>
      <c r="Q8" s="517" t="s">
        <v>38</v>
      </c>
      <c r="R8" s="517" t="s">
        <v>39</v>
      </c>
      <c r="S8" s="520" t="s">
        <v>40</v>
      </c>
      <c r="T8" s="517" t="s">
        <v>41</v>
      </c>
      <c r="U8" s="517" t="s">
        <v>42</v>
      </c>
      <c r="V8" s="517" t="s">
        <v>43</v>
      </c>
      <c r="W8" s="521" t="s">
        <v>1236</v>
      </c>
      <c r="X8" s="908" t="s">
        <v>45</v>
      </c>
      <c r="Y8" s="909" t="s">
        <v>46</v>
      </c>
      <c r="Z8" s="923" t="s">
        <v>47</v>
      </c>
      <c r="AA8" s="908" t="s">
        <v>48</v>
      </c>
      <c r="AB8" s="689" t="s">
        <v>49</v>
      </c>
      <c r="AC8" s="517" t="s">
        <v>1237</v>
      </c>
      <c r="AD8" s="516" t="s">
        <v>1238</v>
      </c>
      <c r="AE8" s="517" t="s">
        <v>27</v>
      </c>
      <c r="AF8" s="522" t="s">
        <v>53</v>
      </c>
      <c r="AG8" s="523" t="s">
        <v>54</v>
      </c>
      <c r="AH8" s="522" t="s">
        <v>55</v>
      </c>
      <c r="AI8" s="522" t="s">
        <v>56</v>
      </c>
      <c r="AJ8" s="522" t="s">
        <v>1239</v>
      </c>
      <c r="AK8" s="522" t="s">
        <v>58</v>
      </c>
      <c r="AL8" s="522" t="s">
        <v>59</v>
      </c>
      <c r="AM8" s="522" t="s">
        <v>60</v>
      </c>
      <c r="AN8" s="522" t="s">
        <v>61</v>
      </c>
      <c r="AO8" s="522" t="s">
        <v>62</v>
      </c>
      <c r="AP8" s="522" t="s">
        <v>63</v>
      </c>
      <c r="AQ8" s="522" t="s">
        <v>64</v>
      </c>
      <c r="AR8" s="522" t="s">
        <v>65</v>
      </c>
      <c r="AS8" s="522" t="s">
        <v>66</v>
      </c>
      <c r="AT8" s="522" t="s">
        <v>67</v>
      </c>
      <c r="AU8" s="1165"/>
      <c r="AV8" s="1168"/>
      <c r="AW8" s="1168"/>
      <c r="AX8" s="1168"/>
      <c r="AY8" s="3"/>
      <c r="AZ8" s="3"/>
      <c r="BA8" s="3"/>
      <c r="BB8" s="3"/>
      <c r="BC8" s="3"/>
      <c r="BD8" s="3"/>
      <c r="BE8" s="3"/>
      <c r="BF8" s="3"/>
      <c r="BG8" s="3"/>
      <c r="BH8" s="3"/>
      <c r="BI8" s="3"/>
      <c r="BJ8" s="3"/>
      <c r="BK8" s="3"/>
      <c r="BL8" s="3"/>
      <c r="BM8" s="3"/>
      <c r="BN8" s="3"/>
      <c r="BO8" s="3"/>
      <c r="BP8" s="3"/>
      <c r="BQ8" s="3"/>
      <c r="BR8" s="3"/>
    </row>
    <row r="9" spans="1:70" ht="116.25" customHeight="1" x14ac:dyDescent="0.2">
      <c r="A9" s="24">
        <v>2</v>
      </c>
      <c r="B9" s="188" t="s">
        <v>2536</v>
      </c>
      <c r="C9" s="23">
        <v>17</v>
      </c>
      <c r="D9" s="188" t="s">
        <v>1240</v>
      </c>
      <c r="E9" s="24">
        <v>1702</v>
      </c>
      <c r="F9" s="188" t="s">
        <v>1241</v>
      </c>
      <c r="G9" s="23">
        <v>1702011</v>
      </c>
      <c r="H9" s="188" t="s">
        <v>1242</v>
      </c>
      <c r="I9" s="23">
        <v>1702011</v>
      </c>
      <c r="J9" s="188" t="s">
        <v>1242</v>
      </c>
      <c r="K9" s="24">
        <v>170201100</v>
      </c>
      <c r="L9" s="188" t="s">
        <v>1243</v>
      </c>
      <c r="M9" s="24">
        <v>170201100</v>
      </c>
      <c r="N9" s="188" t="s">
        <v>1243</v>
      </c>
      <c r="O9" s="23">
        <v>30</v>
      </c>
      <c r="P9" s="23">
        <f t="shared" ref="P9:P22" si="0">SUM(O9:O9)</f>
        <v>30</v>
      </c>
      <c r="Q9" s="24">
        <v>2020003630079</v>
      </c>
      <c r="R9" s="188" t="s">
        <v>1244</v>
      </c>
      <c r="S9" s="25">
        <f>SUM($W$9:$W$9)/SUM($W$9:$W$11)</f>
        <v>0.27692307692307694</v>
      </c>
      <c r="T9" s="188" t="s">
        <v>1245</v>
      </c>
      <c r="U9" s="188" t="s">
        <v>1246</v>
      </c>
      <c r="V9" s="188" t="s">
        <v>1247</v>
      </c>
      <c r="W9" s="680">
        <v>180000000</v>
      </c>
      <c r="X9" s="686">
        <f>17200000+14800000</f>
        <v>32000000</v>
      </c>
      <c r="Y9" s="686"/>
      <c r="Z9" s="686"/>
      <c r="AA9" s="677">
        <f>W9-X9+Y9-Z9</f>
        <v>148000000</v>
      </c>
      <c r="AB9" s="690" t="s">
        <v>1248</v>
      </c>
      <c r="AC9" s="76"/>
      <c r="AD9" s="377">
        <v>20</v>
      </c>
      <c r="AE9" s="188" t="s">
        <v>132</v>
      </c>
      <c r="AF9" s="29">
        <v>140</v>
      </c>
      <c r="AG9" s="29">
        <v>160</v>
      </c>
      <c r="AH9" s="29"/>
      <c r="AI9" s="29"/>
      <c r="AJ9" s="29">
        <v>250</v>
      </c>
      <c r="AK9" s="29">
        <v>50</v>
      </c>
      <c r="AL9" s="29"/>
      <c r="AM9" s="29"/>
      <c r="AN9" s="29"/>
      <c r="AO9" s="29"/>
      <c r="AP9" s="29"/>
      <c r="AQ9" s="29"/>
      <c r="AR9" s="29"/>
      <c r="AS9" s="29"/>
      <c r="AT9" s="29"/>
      <c r="AU9" s="29">
        <v>300</v>
      </c>
      <c r="AV9" s="31">
        <v>45293</v>
      </c>
      <c r="AW9" s="31">
        <v>45657</v>
      </c>
      <c r="AX9" s="188" t="s">
        <v>1249</v>
      </c>
      <c r="AY9" s="4"/>
      <c r="AZ9" s="4"/>
      <c r="BA9" s="4"/>
      <c r="BB9" s="4"/>
      <c r="BC9" s="4"/>
      <c r="BD9" s="4"/>
      <c r="BE9" s="4"/>
      <c r="BF9" s="4"/>
      <c r="BG9" s="4"/>
      <c r="BH9" s="4"/>
      <c r="BI9" s="4"/>
      <c r="BJ9" s="4"/>
      <c r="BK9" s="4"/>
      <c r="BL9" s="4"/>
      <c r="BM9" s="4"/>
      <c r="BN9" s="4"/>
      <c r="BO9" s="4"/>
      <c r="BP9" s="4"/>
      <c r="BQ9" s="4"/>
      <c r="BR9" s="4"/>
    </row>
    <row r="10" spans="1:70" ht="115.5" customHeight="1" x14ac:dyDescent="0.2">
      <c r="A10" s="24">
        <v>2</v>
      </c>
      <c r="B10" s="188" t="s">
        <v>2536</v>
      </c>
      <c r="C10" s="23">
        <v>17</v>
      </c>
      <c r="D10" s="188" t="s">
        <v>1240</v>
      </c>
      <c r="E10" s="24">
        <v>1702</v>
      </c>
      <c r="F10" s="188" t="s">
        <v>1241</v>
      </c>
      <c r="G10" s="23">
        <v>1702007</v>
      </c>
      <c r="H10" s="188" t="s">
        <v>1250</v>
      </c>
      <c r="I10" s="23">
        <v>1702007</v>
      </c>
      <c r="J10" s="188" t="s">
        <v>1250</v>
      </c>
      <c r="K10" s="24">
        <v>170200700</v>
      </c>
      <c r="L10" s="188" t="s">
        <v>1251</v>
      </c>
      <c r="M10" s="24">
        <v>170200700</v>
      </c>
      <c r="N10" s="188" t="s">
        <v>1251</v>
      </c>
      <c r="O10" s="28">
        <v>3</v>
      </c>
      <c r="P10" s="23">
        <f t="shared" si="0"/>
        <v>3</v>
      </c>
      <c r="Q10" s="24">
        <v>2020003630079</v>
      </c>
      <c r="R10" s="188" t="s">
        <v>1244</v>
      </c>
      <c r="S10" s="25">
        <f>SUM($W$10:$W$10)/SUM($W$9:$W$11)</f>
        <v>0.6</v>
      </c>
      <c r="T10" s="188" t="s">
        <v>1245</v>
      </c>
      <c r="U10" s="188" t="s">
        <v>1252</v>
      </c>
      <c r="V10" s="188" t="s">
        <v>1253</v>
      </c>
      <c r="W10" s="680">
        <v>390000000</v>
      </c>
      <c r="X10" s="686"/>
      <c r="Y10" s="686"/>
      <c r="Z10" s="686"/>
      <c r="AA10" s="677">
        <f t="shared" ref="AA10:AA45" si="1">W10-X10+Y10-Z10</f>
        <v>390000000</v>
      </c>
      <c r="AB10" s="690" t="s">
        <v>1254</v>
      </c>
      <c r="AC10" s="76"/>
      <c r="AD10" s="377">
        <v>20</v>
      </c>
      <c r="AE10" s="188" t="s">
        <v>132</v>
      </c>
      <c r="AF10" s="29">
        <v>140</v>
      </c>
      <c r="AG10" s="29">
        <v>160</v>
      </c>
      <c r="AH10" s="29"/>
      <c r="AI10" s="29"/>
      <c r="AJ10" s="29">
        <v>250</v>
      </c>
      <c r="AK10" s="29">
        <v>50</v>
      </c>
      <c r="AL10" s="29"/>
      <c r="AM10" s="29"/>
      <c r="AN10" s="29"/>
      <c r="AO10" s="29"/>
      <c r="AP10" s="29"/>
      <c r="AQ10" s="29"/>
      <c r="AR10" s="29"/>
      <c r="AS10" s="29"/>
      <c r="AT10" s="29"/>
      <c r="AU10" s="29">
        <v>300</v>
      </c>
      <c r="AV10" s="31">
        <v>45293</v>
      </c>
      <c r="AW10" s="31">
        <v>45657</v>
      </c>
      <c r="AX10" s="188" t="s">
        <v>1249</v>
      </c>
      <c r="AY10" s="4"/>
      <c r="AZ10" s="4"/>
      <c r="BA10" s="4"/>
      <c r="BB10" s="4"/>
      <c r="BC10" s="4"/>
      <c r="BD10" s="4"/>
      <c r="BE10" s="4"/>
      <c r="BF10" s="4"/>
      <c r="BG10" s="4"/>
      <c r="BH10" s="4"/>
      <c r="BI10" s="4"/>
      <c r="BJ10" s="4"/>
      <c r="BK10" s="4"/>
      <c r="BL10" s="4"/>
      <c r="BM10" s="4"/>
      <c r="BN10" s="4"/>
      <c r="BO10" s="4"/>
      <c r="BP10" s="4"/>
      <c r="BQ10" s="4"/>
      <c r="BR10" s="4"/>
    </row>
    <row r="11" spans="1:70" ht="120" customHeight="1" x14ac:dyDescent="0.2">
      <c r="A11" s="24">
        <v>2</v>
      </c>
      <c r="B11" s="188" t="s">
        <v>2536</v>
      </c>
      <c r="C11" s="23">
        <v>17</v>
      </c>
      <c r="D11" s="188" t="s">
        <v>1240</v>
      </c>
      <c r="E11" s="24">
        <v>1702</v>
      </c>
      <c r="F11" s="188" t="s">
        <v>1241</v>
      </c>
      <c r="G11" s="23">
        <v>1702009</v>
      </c>
      <c r="H11" s="188" t="s">
        <v>1255</v>
      </c>
      <c r="I11" s="23">
        <v>1702009</v>
      </c>
      <c r="J11" s="188" t="s">
        <v>1255</v>
      </c>
      <c r="K11" s="24">
        <v>170200900</v>
      </c>
      <c r="L11" s="188" t="s">
        <v>1256</v>
      </c>
      <c r="M11" s="24">
        <v>170200900</v>
      </c>
      <c r="N11" s="188" t="s">
        <v>1256</v>
      </c>
      <c r="O11" s="23">
        <v>166</v>
      </c>
      <c r="P11" s="23">
        <f t="shared" si="0"/>
        <v>166</v>
      </c>
      <c r="Q11" s="24">
        <v>2020003630079</v>
      </c>
      <c r="R11" s="188" t="s">
        <v>1244</v>
      </c>
      <c r="S11" s="25">
        <f>SUM($W$11:$W$11)/SUM($W$9:$W$11)</f>
        <v>0.12307692307692308</v>
      </c>
      <c r="T11" s="188" t="s">
        <v>1245</v>
      </c>
      <c r="U11" s="188" t="s">
        <v>1257</v>
      </c>
      <c r="V11" s="188" t="s">
        <v>1258</v>
      </c>
      <c r="W11" s="680">
        <v>80000000</v>
      </c>
      <c r="X11" s="686"/>
      <c r="Y11" s="686"/>
      <c r="Z11" s="686"/>
      <c r="AA11" s="677">
        <f t="shared" si="1"/>
        <v>80000000</v>
      </c>
      <c r="AB11" s="690" t="s">
        <v>1259</v>
      </c>
      <c r="AC11" s="76"/>
      <c r="AD11" s="377">
        <v>20</v>
      </c>
      <c r="AE11" s="188" t="s">
        <v>132</v>
      </c>
      <c r="AF11" s="29">
        <v>140</v>
      </c>
      <c r="AG11" s="29">
        <v>160</v>
      </c>
      <c r="AH11" s="29"/>
      <c r="AI11" s="29"/>
      <c r="AJ11" s="29">
        <v>250</v>
      </c>
      <c r="AK11" s="29">
        <v>50</v>
      </c>
      <c r="AL11" s="29"/>
      <c r="AM11" s="29"/>
      <c r="AN11" s="29"/>
      <c r="AO11" s="29"/>
      <c r="AP11" s="29"/>
      <c r="AQ11" s="29"/>
      <c r="AR11" s="29"/>
      <c r="AS11" s="29"/>
      <c r="AT11" s="29"/>
      <c r="AU11" s="29">
        <v>300</v>
      </c>
      <c r="AV11" s="31">
        <v>45293</v>
      </c>
      <c r="AW11" s="31">
        <v>45657</v>
      </c>
      <c r="AX11" s="188" t="s">
        <v>1249</v>
      </c>
      <c r="AY11" s="4"/>
      <c r="AZ11" s="4"/>
      <c r="BA11" s="4"/>
      <c r="BB11" s="4"/>
      <c r="BC11" s="4"/>
      <c r="BD11" s="4"/>
      <c r="BE11" s="4"/>
      <c r="BF11" s="4"/>
      <c r="BG11" s="4"/>
      <c r="BH11" s="4"/>
      <c r="BI11" s="4"/>
      <c r="BJ11" s="4"/>
      <c r="BK11" s="4"/>
      <c r="BL11" s="4"/>
      <c r="BM11" s="4"/>
      <c r="BN11" s="4"/>
      <c r="BO11" s="4"/>
      <c r="BP11" s="4"/>
      <c r="BQ11" s="4"/>
      <c r="BR11" s="4"/>
    </row>
    <row r="12" spans="1:70" ht="116.25" customHeight="1" x14ac:dyDescent="0.2">
      <c r="A12" s="24">
        <v>2</v>
      </c>
      <c r="B12" s="188" t="s">
        <v>2536</v>
      </c>
      <c r="C12" s="23">
        <v>17</v>
      </c>
      <c r="D12" s="188" t="s">
        <v>1240</v>
      </c>
      <c r="E12" s="24">
        <v>1702</v>
      </c>
      <c r="F12" s="188" t="s">
        <v>1241</v>
      </c>
      <c r="G12" s="37">
        <v>1702017</v>
      </c>
      <c r="H12" s="188" t="s">
        <v>1260</v>
      </c>
      <c r="I12" s="37">
        <v>1702017</v>
      </c>
      <c r="J12" s="188" t="s">
        <v>1260</v>
      </c>
      <c r="K12" s="23" t="s">
        <v>1261</v>
      </c>
      <c r="L12" s="188" t="s">
        <v>1262</v>
      </c>
      <c r="M12" s="23" t="s">
        <v>1261</v>
      </c>
      <c r="N12" s="188" t="s">
        <v>1262</v>
      </c>
      <c r="O12" s="23">
        <v>100</v>
      </c>
      <c r="P12" s="23">
        <f t="shared" si="0"/>
        <v>100</v>
      </c>
      <c r="Q12" s="24">
        <v>2020003630023</v>
      </c>
      <c r="R12" s="188" t="s">
        <v>1263</v>
      </c>
      <c r="S12" s="25">
        <f>SUM($W$12:$W$12)/SUM($W$12:$W$14)</f>
        <v>0.47263681592039802</v>
      </c>
      <c r="T12" s="188" t="s">
        <v>1264</v>
      </c>
      <c r="U12" s="188" t="s">
        <v>1265</v>
      </c>
      <c r="V12" s="188" t="s">
        <v>1266</v>
      </c>
      <c r="W12" s="681">
        <v>190000000</v>
      </c>
      <c r="X12" s="681"/>
      <c r="Y12" s="681"/>
      <c r="Z12" s="681"/>
      <c r="AA12" s="677">
        <f t="shared" si="1"/>
        <v>190000000</v>
      </c>
      <c r="AB12" s="690" t="s">
        <v>1267</v>
      </c>
      <c r="AC12" s="76"/>
      <c r="AD12" s="377">
        <v>20</v>
      </c>
      <c r="AE12" s="188" t="s">
        <v>132</v>
      </c>
      <c r="AF12" s="29">
        <v>25</v>
      </c>
      <c r="AG12" s="29">
        <v>25</v>
      </c>
      <c r="AH12" s="29">
        <v>10</v>
      </c>
      <c r="AI12" s="29">
        <v>10</v>
      </c>
      <c r="AJ12" s="29">
        <v>20</v>
      </c>
      <c r="AK12" s="29">
        <v>10</v>
      </c>
      <c r="AL12" s="29"/>
      <c r="AM12" s="29"/>
      <c r="AN12" s="29"/>
      <c r="AO12" s="29"/>
      <c r="AP12" s="29"/>
      <c r="AQ12" s="29"/>
      <c r="AR12" s="29"/>
      <c r="AS12" s="29"/>
      <c r="AT12" s="29"/>
      <c r="AU12" s="29">
        <v>50</v>
      </c>
      <c r="AV12" s="31">
        <v>45293</v>
      </c>
      <c r="AW12" s="31">
        <v>45657</v>
      </c>
      <c r="AX12" s="188" t="s">
        <v>1249</v>
      </c>
      <c r="AY12" s="4"/>
      <c r="AZ12" s="4"/>
      <c r="BA12" s="4"/>
      <c r="BB12" s="4"/>
      <c r="BC12" s="4"/>
      <c r="BD12" s="4"/>
      <c r="BE12" s="4"/>
      <c r="BF12" s="4"/>
      <c r="BG12" s="4"/>
      <c r="BH12" s="4"/>
      <c r="BI12" s="4"/>
      <c r="BJ12" s="4"/>
      <c r="BK12" s="4"/>
      <c r="BL12" s="4"/>
      <c r="BM12" s="4"/>
      <c r="BN12" s="4"/>
      <c r="BO12" s="4"/>
      <c r="BP12" s="4"/>
      <c r="BQ12" s="4"/>
      <c r="BR12" s="4"/>
    </row>
    <row r="13" spans="1:70" ht="153" customHeight="1" x14ac:dyDescent="0.2">
      <c r="A13" s="24">
        <v>2</v>
      </c>
      <c r="B13" s="188" t="s">
        <v>2536</v>
      </c>
      <c r="C13" s="23">
        <v>17</v>
      </c>
      <c r="D13" s="188" t="s">
        <v>1240</v>
      </c>
      <c r="E13" s="24">
        <v>1702</v>
      </c>
      <c r="F13" s="188" t="s">
        <v>1241</v>
      </c>
      <c r="G13" s="23">
        <v>1702014</v>
      </c>
      <c r="H13" s="188" t="s">
        <v>1268</v>
      </c>
      <c r="I13" s="23">
        <v>1702014</v>
      </c>
      <c r="J13" s="188" t="s">
        <v>1268</v>
      </c>
      <c r="K13" s="23" t="s">
        <v>1269</v>
      </c>
      <c r="L13" s="188" t="s">
        <v>1270</v>
      </c>
      <c r="M13" s="23" t="s">
        <v>1269</v>
      </c>
      <c r="N13" s="188" t="s">
        <v>1270</v>
      </c>
      <c r="O13" s="23">
        <v>25</v>
      </c>
      <c r="P13" s="23">
        <f t="shared" si="0"/>
        <v>25</v>
      </c>
      <c r="Q13" s="24">
        <v>2020003630023</v>
      </c>
      <c r="R13" s="188" t="s">
        <v>1263</v>
      </c>
      <c r="S13" s="25">
        <f>SUM($W$13:$W$13)/SUM($W$12:$W$14)</f>
        <v>0.37313432835820898</v>
      </c>
      <c r="T13" s="188" t="s">
        <v>1264</v>
      </c>
      <c r="U13" s="188" t="s">
        <v>1271</v>
      </c>
      <c r="V13" s="188" t="s">
        <v>1272</v>
      </c>
      <c r="W13" s="681">
        <v>150000000</v>
      </c>
      <c r="X13" s="681"/>
      <c r="Y13" s="681"/>
      <c r="Z13" s="681"/>
      <c r="AA13" s="677">
        <f t="shared" si="1"/>
        <v>150000000</v>
      </c>
      <c r="AB13" s="691" t="s">
        <v>1273</v>
      </c>
      <c r="AC13" s="76"/>
      <c r="AD13" s="377">
        <v>20</v>
      </c>
      <c r="AE13" s="188" t="s">
        <v>132</v>
      </c>
      <c r="AF13" s="29">
        <v>25</v>
      </c>
      <c r="AG13" s="29">
        <v>25</v>
      </c>
      <c r="AH13" s="29">
        <v>10</v>
      </c>
      <c r="AI13" s="29">
        <v>10</v>
      </c>
      <c r="AJ13" s="29">
        <v>20</v>
      </c>
      <c r="AK13" s="29">
        <v>10</v>
      </c>
      <c r="AL13" s="29"/>
      <c r="AM13" s="29"/>
      <c r="AN13" s="29"/>
      <c r="AO13" s="29"/>
      <c r="AP13" s="29"/>
      <c r="AQ13" s="29"/>
      <c r="AR13" s="29"/>
      <c r="AS13" s="29"/>
      <c r="AT13" s="29"/>
      <c r="AU13" s="29">
        <v>50</v>
      </c>
      <c r="AV13" s="31">
        <v>45293</v>
      </c>
      <c r="AW13" s="31">
        <v>45657</v>
      </c>
      <c r="AX13" s="188" t="s">
        <v>1249</v>
      </c>
      <c r="AY13" s="4"/>
      <c r="AZ13" s="4"/>
      <c r="BA13" s="4"/>
      <c r="BB13" s="4"/>
      <c r="BC13" s="4"/>
      <c r="BD13" s="4"/>
      <c r="BE13" s="4"/>
      <c r="BF13" s="4"/>
      <c r="BG13" s="4"/>
      <c r="BH13" s="4"/>
      <c r="BI13" s="4"/>
      <c r="BJ13" s="4"/>
      <c r="BK13" s="4"/>
      <c r="BL13" s="4"/>
      <c r="BM13" s="4"/>
      <c r="BN13" s="4"/>
      <c r="BO13" s="4"/>
      <c r="BP13" s="4"/>
      <c r="BQ13" s="4"/>
      <c r="BR13" s="4"/>
    </row>
    <row r="14" spans="1:70" ht="135.75" customHeight="1" x14ac:dyDescent="0.2">
      <c r="A14" s="24">
        <v>2</v>
      </c>
      <c r="B14" s="188" t="s">
        <v>2536</v>
      </c>
      <c r="C14" s="23">
        <v>17</v>
      </c>
      <c r="D14" s="188" t="s">
        <v>1240</v>
      </c>
      <c r="E14" s="24">
        <v>1702</v>
      </c>
      <c r="F14" s="188" t="s">
        <v>1241</v>
      </c>
      <c r="G14" s="23">
        <v>1702021</v>
      </c>
      <c r="H14" s="188" t="s">
        <v>1274</v>
      </c>
      <c r="I14" s="23">
        <v>1702021</v>
      </c>
      <c r="J14" s="188" t="s">
        <v>1274</v>
      </c>
      <c r="K14" s="23" t="s">
        <v>1275</v>
      </c>
      <c r="L14" s="188" t="s">
        <v>1276</v>
      </c>
      <c r="M14" s="23" t="s">
        <v>1275</v>
      </c>
      <c r="N14" s="188" t="s">
        <v>1276</v>
      </c>
      <c r="O14" s="23">
        <v>150</v>
      </c>
      <c r="P14" s="23">
        <f t="shared" si="0"/>
        <v>150</v>
      </c>
      <c r="Q14" s="24">
        <v>2020003630023</v>
      </c>
      <c r="R14" s="188" t="s">
        <v>1263</v>
      </c>
      <c r="S14" s="25">
        <f>SUM($W$14:$W$14)/SUM($W$12:$W$14)</f>
        <v>0.15422885572139303</v>
      </c>
      <c r="T14" s="188" t="s">
        <v>1264</v>
      </c>
      <c r="U14" s="188" t="s">
        <v>1277</v>
      </c>
      <c r="V14" s="188" t="s">
        <v>1278</v>
      </c>
      <c r="W14" s="681">
        <v>62000000</v>
      </c>
      <c r="X14" s="681"/>
      <c r="Y14" s="681"/>
      <c r="Z14" s="681"/>
      <c r="AA14" s="677">
        <f t="shared" si="1"/>
        <v>62000000</v>
      </c>
      <c r="AB14" s="690" t="s">
        <v>1279</v>
      </c>
      <c r="AC14" s="76"/>
      <c r="AD14" s="377">
        <v>20</v>
      </c>
      <c r="AE14" s="188" t="s">
        <v>132</v>
      </c>
      <c r="AF14" s="29">
        <v>25</v>
      </c>
      <c r="AG14" s="29">
        <v>25</v>
      </c>
      <c r="AH14" s="29">
        <v>10</v>
      </c>
      <c r="AI14" s="29">
        <v>10</v>
      </c>
      <c r="AJ14" s="29">
        <v>20</v>
      </c>
      <c r="AK14" s="29">
        <v>10</v>
      </c>
      <c r="AL14" s="29"/>
      <c r="AM14" s="29"/>
      <c r="AN14" s="29"/>
      <c r="AO14" s="29"/>
      <c r="AP14" s="29"/>
      <c r="AQ14" s="29"/>
      <c r="AR14" s="29"/>
      <c r="AS14" s="29"/>
      <c r="AT14" s="29"/>
      <c r="AU14" s="29">
        <v>50</v>
      </c>
      <c r="AV14" s="31">
        <v>45293</v>
      </c>
      <c r="AW14" s="31">
        <v>45657</v>
      </c>
      <c r="AX14" s="188" t="s">
        <v>1249</v>
      </c>
      <c r="AY14" s="4"/>
      <c r="AZ14" s="4"/>
      <c r="BA14" s="4"/>
      <c r="BB14" s="4"/>
      <c r="BC14" s="4"/>
      <c r="BD14" s="4"/>
      <c r="BE14" s="4"/>
      <c r="BF14" s="4"/>
      <c r="BG14" s="4"/>
      <c r="BH14" s="4"/>
      <c r="BI14" s="4"/>
      <c r="BJ14" s="4"/>
      <c r="BK14" s="4"/>
      <c r="BL14" s="4"/>
      <c r="BM14" s="4"/>
      <c r="BN14" s="4"/>
      <c r="BO14" s="4"/>
      <c r="BP14" s="4"/>
      <c r="BQ14" s="4"/>
      <c r="BR14" s="4"/>
    </row>
    <row r="15" spans="1:70" ht="105.75" customHeight="1" x14ac:dyDescent="0.2">
      <c r="A15" s="24">
        <v>2</v>
      </c>
      <c r="B15" s="188" t="s">
        <v>2536</v>
      </c>
      <c r="C15" s="23">
        <v>17</v>
      </c>
      <c r="D15" s="188" t="s">
        <v>1240</v>
      </c>
      <c r="E15" s="24">
        <v>1702</v>
      </c>
      <c r="F15" s="188" t="s">
        <v>1241</v>
      </c>
      <c r="G15" s="23">
        <v>1702038</v>
      </c>
      <c r="H15" s="188" t="s">
        <v>1280</v>
      </c>
      <c r="I15" s="23">
        <v>1702038</v>
      </c>
      <c r="J15" s="188" t="s">
        <v>1280</v>
      </c>
      <c r="K15" s="23" t="s">
        <v>1281</v>
      </c>
      <c r="L15" s="188" t="s">
        <v>1282</v>
      </c>
      <c r="M15" s="23" t="s">
        <v>1281</v>
      </c>
      <c r="N15" s="188" t="s">
        <v>1282</v>
      </c>
      <c r="O15" s="23">
        <v>30</v>
      </c>
      <c r="P15" s="23">
        <f t="shared" si="0"/>
        <v>30</v>
      </c>
      <c r="Q15" s="24">
        <v>2020003630080</v>
      </c>
      <c r="R15" s="188" t="s">
        <v>1283</v>
      </c>
      <c r="S15" s="25">
        <f>SUM($W$15:$W$16)/SUM($W$15:$W$16)</f>
        <v>1</v>
      </c>
      <c r="T15" s="188" t="s">
        <v>1284</v>
      </c>
      <c r="U15" s="188" t="s">
        <v>1285</v>
      </c>
      <c r="V15" s="188" t="s">
        <v>1286</v>
      </c>
      <c r="W15" s="681">
        <v>90000000</v>
      </c>
      <c r="X15" s="681"/>
      <c r="Y15" s="681"/>
      <c r="Z15" s="681"/>
      <c r="AA15" s="677">
        <f t="shared" si="1"/>
        <v>90000000</v>
      </c>
      <c r="AB15" s="690" t="s">
        <v>1287</v>
      </c>
      <c r="AC15" s="320"/>
      <c r="AD15" s="377">
        <v>20</v>
      </c>
      <c r="AE15" s="188" t="s">
        <v>132</v>
      </c>
      <c r="AF15" s="29">
        <v>480</v>
      </c>
      <c r="AG15" s="29">
        <v>500</v>
      </c>
      <c r="AH15" s="29"/>
      <c r="AI15" s="29">
        <v>150</v>
      </c>
      <c r="AJ15" s="29">
        <v>680</v>
      </c>
      <c r="AK15" s="29">
        <v>150</v>
      </c>
      <c r="AL15" s="29"/>
      <c r="AM15" s="29"/>
      <c r="AN15" s="29"/>
      <c r="AO15" s="29"/>
      <c r="AP15" s="29"/>
      <c r="AQ15" s="29"/>
      <c r="AR15" s="29"/>
      <c r="AS15" s="29"/>
      <c r="AT15" s="29"/>
      <c r="AU15" s="29">
        <v>980</v>
      </c>
      <c r="AV15" s="31">
        <v>45293</v>
      </c>
      <c r="AW15" s="31">
        <v>45657</v>
      </c>
      <c r="AX15" s="188" t="s">
        <v>1249</v>
      </c>
      <c r="AY15" s="4"/>
      <c r="AZ15" s="4"/>
      <c r="BA15" s="4"/>
      <c r="BB15" s="4"/>
      <c r="BC15" s="4"/>
      <c r="BD15" s="4"/>
      <c r="BE15" s="4"/>
      <c r="BF15" s="4"/>
      <c r="BG15" s="4"/>
      <c r="BH15" s="4"/>
      <c r="BI15" s="4"/>
      <c r="BJ15" s="4"/>
      <c r="BK15" s="4"/>
      <c r="BL15" s="4"/>
      <c r="BM15" s="4"/>
      <c r="BN15" s="4"/>
      <c r="BO15" s="4"/>
      <c r="BP15" s="4"/>
      <c r="BQ15" s="4"/>
      <c r="BR15" s="4"/>
    </row>
    <row r="16" spans="1:70" ht="105.75" customHeight="1" x14ac:dyDescent="0.2">
      <c r="A16" s="24">
        <v>2</v>
      </c>
      <c r="B16" s="188" t="s">
        <v>2536</v>
      </c>
      <c r="C16" s="23">
        <v>17</v>
      </c>
      <c r="D16" s="188" t="s">
        <v>1240</v>
      </c>
      <c r="E16" s="24">
        <v>1702</v>
      </c>
      <c r="F16" s="188" t="s">
        <v>1241</v>
      </c>
      <c r="G16" s="23">
        <v>1702038</v>
      </c>
      <c r="H16" s="188" t="s">
        <v>1280</v>
      </c>
      <c r="I16" s="23">
        <v>1702038</v>
      </c>
      <c r="J16" s="188" t="s">
        <v>1280</v>
      </c>
      <c r="K16" s="23">
        <v>170203801</v>
      </c>
      <c r="L16" s="188" t="s">
        <v>1288</v>
      </c>
      <c r="M16" s="23">
        <v>170203801</v>
      </c>
      <c r="N16" s="188" t="s">
        <v>1288</v>
      </c>
      <c r="O16" s="23">
        <v>80</v>
      </c>
      <c r="P16" s="23">
        <f t="shared" si="0"/>
        <v>80</v>
      </c>
      <c r="Q16" s="24">
        <v>2020003630080</v>
      </c>
      <c r="R16" s="188" t="s">
        <v>1283</v>
      </c>
      <c r="S16" s="25">
        <f>SUM($W$15:$W$16)/SUM($W$15:$W$16)</f>
        <v>1</v>
      </c>
      <c r="T16" s="188" t="s">
        <v>1284</v>
      </c>
      <c r="U16" s="188" t="s">
        <v>1285</v>
      </c>
      <c r="V16" s="188" t="s">
        <v>1289</v>
      </c>
      <c r="W16" s="681">
        <v>98000000</v>
      </c>
      <c r="X16" s="681"/>
      <c r="Y16" s="681"/>
      <c r="Z16" s="681"/>
      <c r="AA16" s="677">
        <f t="shared" si="1"/>
        <v>98000000</v>
      </c>
      <c r="AB16" s="690" t="s">
        <v>1287</v>
      </c>
      <c r="AC16" s="524"/>
      <c r="AD16" s="377">
        <v>20</v>
      </c>
      <c r="AE16" s="188" t="s">
        <v>132</v>
      </c>
      <c r="AF16" s="29">
        <v>480</v>
      </c>
      <c r="AG16" s="29">
        <v>500</v>
      </c>
      <c r="AH16" s="29"/>
      <c r="AI16" s="29">
        <v>150</v>
      </c>
      <c r="AJ16" s="29">
        <v>680</v>
      </c>
      <c r="AK16" s="29">
        <v>150</v>
      </c>
      <c r="AL16" s="29"/>
      <c r="AM16" s="29"/>
      <c r="AN16" s="29"/>
      <c r="AO16" s="29"/>
      <c r="AP16" s="29"/>
      <c r="AQ16" s="29"/>
      <c r="AR16" s="29"/>
      <c r="AS16" s="29"/>
      <c r="AT16" s="29"/>
      <c r="AU16" s="29">
        <v>980</v>
      </c>
      <c r="AV16" s="31">
        <v>45293</v>
      </c>
      <c r="AW16" s="31">
        <v>45657</v>
      </c>
      <c r="AX16" s="188" t="s">
        <v>1249</v>
      </c>
      <c r="AY16" s="4"/>
      <c r="AZ16" s="4"/>
      <c r="BA16" s="4"/>
      <c r="BB16" s="4"/>
      <c r="BC16" s="4"/>
      <c r="BD16" s="4"/>
      <c r="BE16" s="4"/>
      <c r="BF16" s="4"/>
      <c r="BG16" s="4"/>
      <c r="BH16" s="4"/>
      <c r="BI16" s="4"/>
      <c r="BJ16" s="4"/>
      <c r="BK16" s="4"/>
      <c r="BL16" s="4"/>
      <c r="BM16" s="4"/>
      <c r="BN16" s="4"/>
      <c r="BO16" s="4"/>
      <c r="BP16" s="4"/>
      <c r="BQ16" s="4"/>
      <c r="BR16" s="4"/>
    </row>
    <row r="17" spans="1:70" ht="132" customHeight="1" x14ac:dyDescent="0.2">
      <c r="A17" s="24">
        <v>2</v>
      </c>
      <c r="B17" s="188" t="s">
        <v>2536</v>
      </c>
      <c r="C17" s="23">
        <v>17</v>
      </c>
      <c r="D17" s="188" t="s">
        <v>1240</v>
      </c>
      <c r="E17" s="24">
        <v>1702</v>
      </c>
      <c r="F17" s="188" t="s">
        <v>1241</v>
      </c>
      <c r="G17" s="23">
        <v>1702023</v>
      </c>
      <c r="H17" s="188" t="s">
        <v>490</v>
      </c>
      <c r="I17" s="23">
        <v>1702023</v>
      </c>
      <c r="J17" s="188" t="s">
        <v>490</v>
      </c>
      <c r="K17" s="23" t="s">
        <v>1290</v>
      </c>
      <c r="L17" s="188" t="s">
        <v>1291</v>
      </c>
      <c r="M17" s="23" t="s">
        <v>1290</v>
      </c>
      <c r="N17" s="188" t="s">
        <v>1292</v>
      </c>
      <c r="O17" s="23">
        <v>1</v>
      </c>
      <c r="P17" s="23">
        <f t="shared" si="0"/>
        <v>1</v>
      </c>
      <c r="Q17" s="24">
        <v>2020003630022</v>
      </c>
      <c r="R17" s="188" t="s">
        <v>1293</v>
      </c>
      <c r="S17" s="25">
        <f>SUM($W$17:$W$17)/SUM($W$17:$W$18)</f>
        <v>0.37086092715231789</v>
      </c>
      <c r="T17" s="188" t="s">
        <v>1294</v>
      </c>
      <c r="U17" s="188" t="s">
        <v>1295</v>
      </c>
      <c r="V17" s="188" t="s">
        <v>1296</v>
      </c>
      <c r="W17" s="681">
        <v>56000000</v>
      </c>
      <c r="X17" s="681">
        <f>17200000</f>
        <v>17200000</v>
      </c>
      <c r="Y17" s="681"/>
      <c r="Z17" s="681"/>
      <c r="AA17" s="677">
        <f t="shared" si="1"/>
        <v>38800000</v>
      </c>
      <c r="AB17" s="690" t="s">
        <v>1297</v>
      </c>
      <c r="AC17" s="28"/>
      <c r="AD17" s="377">
        <v>20</v>
      </c>
      <c r="AE17" s="188" t="s">
        <v>132</v>
      </c>
      <c r="AF17" s="29">
        <v>65000</v>
      </c>
      <c r="AG17" s="29">
        <v>65000</v>
      </c>
      <c r="AH17" s="29">
        <v>22000</v>
      </c>
      <c r="AI17" s="29">
        <v>14000</v>
      </c>
      <c r="AJ17" s="29">
        <v>79000</v>
      </c>
      <c r="AK17" s="29">
        <v>15000</v>
      </c>
      <c r="AL17" s="29"/>
      <c r="AM17" s="29"/>
      <c r="AN17" s="29"/>
      <c r="AO17" s="29"/>
      <c r="AP17" s="29"/>
      <c r="AQ17" s="29"/>
      <c r="AR17" s="29"/>
      <c r="AS17" s="29"/>
      <c r="AT17" s="29"/>
      <c r="AU17" s="29">
        <v>130000</v>
      </c>
      <c r="AV17" s="31">
        <v>45293</v>
      </c>
      <c r="AW17" s="31">
        <v>45657</v>
      </c>
      <c r="AX17" s="188" t="s">
        <v>1249</v>
      </c>
      <c r="AY17" s="4"/>
      <c r="AZ17" s="4"/>
      <c r="BA17" s="4"/>
      <c r="BB17" s="4"/>
      <c r="BC17" s="4"/>
      <c r="BD17" s="4"/>
      <c r="BE17" s="4"/>
      <c r="BF17" s="4"/>
      <c r="BG17" s="4"/>
      <c r="BH17" s="4"/>
      <c r="BI17" s="4"/>
      <c r="BJ17" s="4"/>
      <c r="BK17" s="4"/>
      <c r="BL17" s="4"/>
      <c r="BM17" s="4"/>
      <c r="BN17" s="4"/>
      <c r="BO17" s="4"/>
      <c r="BP17" s="4"/>
      <c r="BQ17" s="4"/>
      <c r="BR17" s="4"/>
    </row>
    <row r="18" spans="1:70" ht="136.15" customHeight="1" x14ac:dyDescent="0.2">
      <c r="A18" s="24">
        <v>2</v>
      </c>
      <c r="B18" s="188" t="s">
        <v>2536</v>
      </c>
      <c r="C18" s="23">
        <v>17</v>
      </c>
      <c r="D18" s="188" t="s">
        <v>1240</v>
      </c>
      <c r="E18" s="24">
        <v>1702</v>
      </c>
      <c r="F18" s="188" t="s">
        <v>1241</v>
      </c>
      <c r="G18" s="23">
        <v>1702024</v>
      </c>
      <c r="H18" s="188" t="s">
        <v>1298</v>
      </c>
      <c r="I18" s="23">
        <v>1702024</v>
      </c>
      <c r="J18" s="188" t="s">
        <v>1298</v>
      </c>
      <c r="K18" s="23" t="s">
        <v>1299</v>
      </c>
      <c r="L18" s="188" t="s">
        <v>1292</v>
      </c>
      <c r="M18" s="23" t="s">
        <v>1299</v>
      </c>
      <c r="N18" s="188" t="s">
        <v>1292</v>
      </c>
      <c r="O18" s="23">
        <v>12</v>
      </c>
      <c r="P18" s="23">
        <f t="shared" si="0"/>
        <v>12</v>
      </c>
      <c r="Q18" s="24">
        <v>2020003630022</v>
      </c>
      <c r="R18" s="188" t="s">
        <v>1293</v>
      </c>
      <c r="S18" s="25">
        <f>SUM($W$18:$W$18)/SUM($W$17:$W$18)</f>
        <v>0.62913907284768211</v>
      </c>
      <c r="T18" s="188" t="s">
        <v>1294</v>
      </c>
      <c r="U18" s="188" t="s">
        <v>1300</v>
      </c>
      <c r="V18" s="188" t="s">
        <v>1301</v>
      </c>
      <c r="W18" s="681">
        <v>95000000</v>
      </c>
      <c r="X18" s="681">
        <f>14800000</f>
        <v>14800000</v>
      </c>
      <c r="Y18" s="681"/>
      <c r="Z18" s="681"/>
      <c r="AA18" s="677">
        <f t="shared" si="1"/>
        <v>80200000</v>
      </c>
      <c r="AB18" s="690" t="s">
        <v>1302</v>
      </c>
      <c r="AC18" s="28"/>
      <c r="AD18" s="377">
        <v>20</v>
      </c>
      <c r="AE18" s="188" t="s">
        <v>132</v>
      </c>
      <c r="AF18" s="29">
        <v>65000</v>
      </c>
      <c r="AG18" s="29">
        <v>65000</v>
      </c>
      <c r="AH18" s="29">
        <v>22000</v>
      </c>
      <c r="AI18" s="29">
        <v>14000</v>
      </c>
      <c r="AJ18" s="29">
        <v>79000</v>
      </c>
      <c r="AK18" s="29">
        <v>15000</v>
      </c>
      <c r="AL18" s="29"/>
      <c r="AM18" s="29"/>
      <c r="AN18" s="29"/>
      <c r="AO18" s="29"/>
      <c r="AP18" s="29"/>
      <c r="AQ18" s="29"/>
      <c r="AR18" s="29"/>
      <c r="AS18" s="29"/>
      <c r="AT18" s="29"/>
      <c r="AU18" s="29">
        <v>130000</v>
      </c>
      <c r="AV18" s="31">
        <v>45293</v>
      </c>
      <c r="AW18" s="31">
        <v>45657</v>
      </c>
      <c r="AX18" s="188" t="s">
        <v>1249</v>
      </c>
      <c r="AY18" s="4"/>
      <c r="AZ18" s="4"/>
      <c r="BA18" s="4"/>
      <c r="BB18" s="4"/>
      <c r="BC18" s="4"/>
      <c r="BD18" s="4"/>
      <c r="BE18" s="4"/>
      <c r="BF18" s="4"/>
      <c r="BG18" s="4"/>
      <c r="BH18" s="4"/>
      <c r="BI18" s="4"/>
      <c r="BJ18" s="4"/>
      <c r="BK18" s="4"/>
      <c r="BL18" s="4"/>
      <c r="BM18" s="4"/>
      <c r="BN18" s="4"/>
      <c r="BO18" s="4"/>
      <c r="BP18" s="4"/>
      <c r="BQ18" s="4"/>
      <c r="BR18" s="4"/>
    </row>
    <row r="19" spans="1:70" ht="135" customHeight="1" x14ac:dyDescent="0.2">
      <c r="A19" s="24">
        <v>2</v>
      </c>
      <c r="B19" s="188" t="s">
        <v>2536</v>
      </c>
      <c r="C19" s="23">
        <v>17</v>
      </c>
      <c r="D19" s="188" t="s">
        <v>1240</v>
      </c>
      <c r="E19" s="24">
        <v>1702</v>
      </c>
      <c r="F19" s="188" t="s">
        <v>1241</v>
      </c>
      <c r="G19" s="23">
        <v>1702025</v>
      </c>
      <c r="H19" s="188" t="s">
        <v>1303</v>
      </c>
      <c r="I19" s="23">
        <v>1702025</v>
      </c>
      <c r="J19" s="188" t="s">
        <v>1303</v>
      </c>
      <c r="K19" s="23" t="s">
        <v>1304</v>
      </c>
      <c r="L19" s="188" t="s">
        <v>1305</v>
      </c>
      <c r="M19" s="23" t="s">
        <v>1304</v>
      </c>
      <c r="N19" s="188" t="s">
        <v>1305</v>
      </c>
      <c r="O19" s="23">
        <v>25</v>
      </c>
      <c r="P19" s="23">
        <f t="shared" si="0"/>
        <v>25</v>
      </c>
      <c r="Q19" s="24">
        <v>2020003630081</v>
      </c>
      <c r="R19" s="188" t="s">
        <v>1306</v>
      </c>
      <c r="S19" s="25">
        <f>W19/SUM(W19)</f>
        <v>1</v>
      </c>
      <c r="T19" s="188" t="s">
        <v>1307</v>
      </c>
      <c r="U19" s="188" t="s">
        <v>1308</v>
      </c>
      <c r="V19" s="188" t="s">
        <v>1309</v>
      </c>
      <c r="W19" s="681">
        <v>67000000</v>
      </c>
      <c r="X19" s="681"/>
      <c r="Y19" s="681"/>
      <c r="Z19" s="681"/>
      <c r="AA19" s="677">
        <f t="shared" si="1"/>
        <v>67000000</v>
      </c>
      <c r="AB19" s="690" t="s">
        <v>1310</v>
      </c>
      <c r="AC19" s="28"/>
      <c r="AD19" s="377">
        <v>20</v>
      </c>
      <c r="AE19" s="188" t="s">
        <v>132</v>
      </c>
      <c r="AF19" s="29">
        <v>1057</v>
      </c>
      <c r="AG19" s="29">
        <v>832</v>
      </c>
      <c r="AH19" s="29">
        <v>253</v>
      </c>
      <c r="AI19" s="29">
        <v>142</v>
      </c>
      <c r="AJ19" s="29">
        <v>1034</v>
      </c>
      <c r="AK19" s="29">
        <v>460</v>
      </c>
      <c r="AL19" s="29"/>
      <c r="AM19" s="29"/>
      <c r="AN19" s="29"/>
      <c r="AO19" s="29"/>
      <c r="AP19" s="29"/>
      <c r="AQ19" s="29"/>
      <c r="AR19" s="29"/>
      <c r="AS19" s="29"/>
      <c r="AT19" s="29"/>
      <c r="AU19" s="29">
        <v>1889</v>
      </c>
      <c r="AV19" s="31">
        <v>45293</v>
      </c>
      <c r="AW19" s="31">
        <v>45657</v>
      </c>
      <c r="AX19" s="188" t="s">
        <v>1311</v>
      </c>
      <c r="AY19" s="4"/>
      <c r="AZ19" s="4"/>
      <c r="BA19" s="4"/>
      <c r="BB19" s="4"/>
      <c r="BC19" s="4"/>
      <c r="BD19" s="4"/>
      <c r="BE19" s="4"/>
      <c r="BF19" s="4"/>
      <c r="BG19" s="4"/>
      <c r="BH19" s="4"/>
      <c r="BI19" s="4"/>
      <c r="BJ19" s="4"/>
      <c r="BK19" s="4"/>
      <c r="BL19" s="4"/>
      <c r="BM19" s="4"/>
      <c r="BN19" s="4"/>
      <c r="BO19" s="4"/>
      <c r="BP19" s="4"/>
      <c r="BQ19" s="4"/>
      <c r="BR19" s="4"/>
    </row>
    <row r="20" spans="1:70" ht="126" customHeight="1" x14ac:dyDescent="0.2">
      <c r="A20" s="24">
        <v>2</v>
      </c>
      <c r="B20" s="188" t="s">
        <v>2536</v>
      </c>
      <c r="C20" s="23">
        <v>17</v>
      </c>
      <c r="D20" s="188" t="s">
        <v>1240</v>
      </c>
      <c r="E20" s="24">
        <v>1703</v>
      </c>
      <c r="F20" s="188" t="s">
        <v>1312</v>
      </c>
      <c r="G20" s="23">
        <v>1703013</v>
      </c>
      <c r="H20" s="188" t="s">
        <v>1313</v>
      </c>
      <c r="I20" s="23">
        <v>1703013</v>
      </c>
      <c r="J20" s="188" t="s">
        <v>1313</v>
      </c>
      <c r="K20" s="23" t="s">
        <v>1314</v>
      </c>
      <c r="L20" s="188" t="s">
        <v>1315</v>
      </c>
      <c r="M20" s="23" t="s">
        <v>1314</v>
      </c>
      <c r="N20" s="188" t="s">
        <v>1315</v>
      </c>
      <c r="O20" s="23">
        <v>55</v>
      </c>
      <c r="P20" s="23">
        <f t="shared" si="0"/>
        <v>55</v>
      </c>
      <c r="Q20" s="24">
        <v>2020003630082</v>
      </c>
      <c r="R20" s="188" t="s">
        <v>1316</v>
      </c>
      <c r="S20" s="25">
        <f>SUM($W$20:$W$20)/SUM($W$20:$W$20)</f>
        <v>1</v>
      </c>
      <c r="T20" s="188" t="s">
        <v>1317</v>
      </c>
      <c r="U20" s="188" t="s">
        <v>1318</v>
      </c>
      <c r="V20" s="188" t="s">
        <v>1319</v>
      </c>
      <c r="W20" s="681">
        <v>65712654</v>
      </c>
      <c r="X20" s="681">
        <f>14800000</f>
        <v>14800000</v>
      </c>
      <c r="Y20" s="681"/>
      <c r="Z20" s="681"/>
      <c r="AA20" s="677">
        <f t="shared" si="1"/>
        <v>50912654</v>
      </c>
      <c r="AB20" s="690" t="s">
        <v>1320</v>
      </c>
      <c r="AC20" s="28"/>
      <c r="AD20" s="377">
        <v>20</v>
      </c>
      <c r="AE20" s="188" t="s">
        <v>132</v>
      </c>
      <c r="AF20" s="29">
        <v>270331</v>
      </c>
      <c r="AG20" s="29">
        <v>291286</v>
      </c>
      <c r="AH20" s="29">
        <v>52045</v>
      </c>
      <c r="AI20" s="29">
        <v>138878</v>
      </c>
      <c r="AJ20" s="29">
        <v>260000</v>
      </c>
      <c r="AK20" s="29">
        <v>110694</v>
      </c>
      <c r="AL20" s="29"/>
      <c r="AM20" s="29"/>
      <c r="AN20" s="29"/>
      <c r="AO20" s="29"/>
      <c r="AP20" s="29"/>
      <c r="AQ20" s="29"/>
      <c r="AR20" s="29"/>
      <c r="AS20" s="29"/>
      <c r="AT20" s="29"/>
      <c r="AU20" s="29">
        <v>561617</v>
      </c>
      <c r="AV20" s="31">
        <v>45293</v>
      </c>
      <c r="AW20" s="31">
        <v>45657</v>
      </c>
      <c r="AX20" s="188" t="s">
        <v>1311</v>
      </c>
      <c r="AY20" s="4"/>
      <c r="AZ20" s="4"/>
      <c r="BA20" s="4"/>
      <c r="BB20" s="4"/>
      <c r="BC20" s="4"/>
      <c r="BD20" s="4"/>
      <c r="BE20" s="4"/>
      <c r="BF20" s="4"/>
      <c r="BG20" s="4"/>
      <c r="BH20" s="4"/>
      <c r="BI20" s="4"/>
      <c r="BJ20" s="4"/>
      <c r="BK20" s="4"/>
      <c r="BL20" s="4"/>
      <c r="BM20" s="4"/>
      <c r="BN20" s="4"/>
      <c r="BO20" s="4"/>
      <c r="BP20" s="4"/>
      <c r="BQ20" s="4"/>
      <c r="BR20" s="4"/>
    </row>
    <row r="21" spans="1:70" ht="117" customHeight="1" x14ac:dyDescent="0.2">
      <c r="A21" s="24">
        <v>2</v>
      </c>
      <c r="B21" s="188" t="s">
        <v>2536</v>
      </c>
      <c r="C21" s="23">
        <v>17</v>
      </c>
      <c r="D21" s="188" t="s">
        <v>1240</v>
      </c>
      <c r="E21" s="24">
        <v>1704</v>
      </c>
      <c r="F21" s="188" t="s">
        <v>1321</v>
      </c>
      <c r="G21" s="23">
        <v>1704002</v>
      </c>
      <c r="H21" s="188" t="s">
        <v>180</v>
      </c>
      <c r="I21" s="23">
        <v>1704002</v>
      </c>
      <c r="J21" s="188" t="s">
        <v>180</v>
      </c>
      <c r="K21" s="23" t="s">
        <v>1322</v>
      </c>
      <c r="L21" s="188" t="s">
        <v>1323</v>
      </c>
      <c r="M21" s="23" t="s">
        <v>1322</v>
      </c>
      <c r="N21" s="188" t="s">
        <v>1323</v>
      </c>
      <c r="O21" s="23">
        <v>1</v>
      </c>
      <c r="P21" s="23">
        <f t="shared" si="0"/>
        <v>1</v>
      </c>
      <c r="Q21" s="24">
        <v>2020003630025</v>
      </c>
      <c r="R21" s="188" t="s">
        <v>1324</v>
      </c>
      <c r="S21" s="25">
        <f>SUM($W$21:$W$21)/SUM($W$21:$W$22)</f>
        <v>0.49019607843137253</v>
      </c>
      <c r="T21" s="188" t="s">
        <v>1325</v>
      </c>
      <c r="U21" s="188" t="s">
        <v>1326</v>
      </c>
      <c r="V21" s="188" t="s">
        <v>1327</v>
      </c>
      <c r="W21" s="682">
        <v>75000000</v>
      </c>
      <c r="X21" s="682"/>
      <c r="Y21" s="682"/>
      <c r="Z21" s="682"/>
      <c r="AA21" s="677">
        <f t="shared" si="1"/>
        <v>75000000</v>
      </c>
      <c r="AB21" s="690" t="s">
        <v>1328</v>
      </c>
      <c r="AC21" s="76"/>
      <c r="AD21" s="377">
        <v>20</v>
      </c>
      <c r="AE21" s="188" t="s">
        <v>132</v>
      </c>
      <c r="AF21" s="29">
        <v>295972</v>
      </c>
      <c r="AG21" s="29">
        <v>285580</v>
      </c>
      <c r="AH21" s="29">
        <v>135545</v>
      </c>
      <c r="AI21" s="29">
        <v>44254</v>
      </c>
      <c r="AJ21" s="29">
        <v>309146</v>
      </c>
      <c r="AK21" s="29">
        <v>92607</v>
      </c>
      <c r="AL21" s="29"/>
      <c r="AM21" s="29"/>
      <c r="AN21" s="29"/>
      <c r="AO21" s="29"/>
      <c r="AP21" s="29"/>
      <c r="AQ21" s="29"/>
      <c r="AR21" s="29"/>
      <c r="AS21" s="29"/>
      <c r="AT21" s="29"/>
      <c r="AU21" s="29">
        <v>581552</v>
      </c>
      <c r="AV21" s="31">
        <v>45293</v>
      </c>
      <c r="AW21" s="31">
        <v>45657</v>
      </c>
      <c r="AX21" s="188" t="s">
        <v>1311</v>
      </c>
      <c r="AY21" s="4"/>
      <c r="AZ21" s="4"/>
      <c r="BA21" s="4"/>
      <c r="BB21" s="4"/>
      <c r="BC21" s="4"/>
      <c r="BD21" s="4"/>
      <c r="BE21" s="4"/>
      <c r="BF21" s="4"/>
      <c r="BG21" s="4"/>
      <c r="BH21" s="4"/>
      <c r="BI21" s="4"/>
      <c r="BJ21" s="4"/>
      <c r="BK21" s="4"/>
      <c r="BL21" s="4"/>
      <c r="BM21" s="4"/>
      <c r="BN21" s="4"/>
      <c r="BO21" s="4"/>
      <c r="BP21" s="4"/>
      <c r="BQ21" s="4"/>
      <c r="BR21" s="4"/>
    </row>
    <row r="22" spans="1:70" ht="138" customHeight="1" x14ac:dyDescent="0.2">
      <c r="A22" s="24">
        <v>2</v>
      </c>
      <c r="B22" s="188" t="s">
        <v>2536</v>
      </c>
      <c r="C22" s="23">
        <v>17</v>
      </c>
      <c r="D22" s="188" t="s">
        <v>1240</v>
      </c>
      <c r="E22" s="24">
        <v>1704</v>
      </c>
      <c r="F22" s="188" t="s">
        <v>1321</v>
      </c>
      <c r="G22" s="23">
        <v>1704017</v>
      </c>
      <c r="H22" s="188" t="s">
        <v>1329</v>
      </c>
      <c r="I22" s="23">
        <v>1704017</v>
      </c>
      <c r="J22" s="188" t="s">
        <v>1329</v>
      </c>
      <c r="K22" s="23">
        <v>170401700</v>
      </c>
      <c r="L22" s="188" t="s">
        <v>1330</v>
      </c>
      <c r="M22" s="23" t="s">
        <v>1331</v>
      </c>
      <c r="N22" s="188" t="s">
        <v>1330</v>
      </c>
      <c r="O22" s="23">
        <v>150</v>
      </c>
      <c r="P22" s="23">
        <f t="shared" si="0"/>
        <v>150</v>
      </c>
      <c r="Q22" s="24">
        <v>2020003630025</v>
      </c>
      <c r="R22" s="188" t="s">
        <v>1324</v>
      </c>
      <c r="S22" s="25">
        <f>SUM($W$22:$W$22)/SUM($W$21:$W$22)</f>
        <v>0.50980392156862742</v>
      </c>
      <c r="T22" s="188" t="s">
        <v>1325</v>
      </c>
      <c r="U22" s="188" t="s">
        <v>1332</v>
      </c>
      <c r="V22" s="188" t="s">
        <v>1333</v>
      </c>
      <c r="W22" s="682">
        <v>78000000</v>
      </c>
      <c r="X22" s="682"/>
      <c r="Y22" s="682"/>
      <c r="Z22" s="682"/>
      <c r="AA22" s="677">
        <f t="shared" si="1"/>
        <v>78000000</v>
      </c>
      <c r="AB22" s="690" t="s">
        <v>1334</v>
      </c>
      <c r="AC22" s="28"/>
      <c r="AD22" s="377">
        <v>20</v>
      </c>
      <c r="AE22" s="188" t="s">
        <v>132</v>
      </c>
      <c r="AF22" s="29">
        <v>295972</v>
      </c>
      <c r="AG22" s="29">
        <v>285580</v>
      </c>
      <c r="AH22" s="29">
        <v>135545</v>
      </c>
      <c r="AI22" s="29">
        <v>44254</v>
      </c>
      <c r="AJ22" s="29">
        <v>309146</v>
      </c>
      <c r="AK22" s="29">
        <v>92607</v>
      </c>
      <c r="AL22" s="29"/>
      <c r="AM22" s="29"/>
      <c r="AN22" s="29"/>
      <c r="AO22" s="29"/>
      <c r="AP22" s="29"/>
      <c r="AQ22" s="29"/>
      <c r="AR22" s="29"/>
      <c r="AS22" s="29"/>
      <c r="AT22" s="29"/>
      <c r="AU22" s="29">
        <v>581552</v>
      </c>
      <c r="AV22" s="31">
        <v>45293</v>
      </c>
      <c r="AW22" s="31">
        <v>45657</v>
      </c>
      <c r="AX22" s="188" t="s">
        <v>1311</v>
      </c>
      <c r="AY22" s="4"/>
      <c r="AZ22" s="4"/>
      <c r="BA22" s="4"/>
      <c r="BB22" s="4"/>
      <c r="BC22" s="4"/>
      <c r="BD22" s="4"/>
      <c r="BE22" s="4"/>
      <c r="BF22" s="4"/>
      <c r="BG22" s="4"/>
      <c r="BH22" s="4"/>
      <c r="BI22" s="4"/>
      <c r="BJ22" s="4"/>
      <c r="BK22" s="4"/>
      <c r="BL22" s="4"/>
      <c r="BM22" s="4"/>
      <c r="BN22" s="4"/>
      <c r="BO22" s="4"/>
      <c r="BP22" s="4"/>
      <c r="BQ22" s="4"/>
      <c r="BR22" s="4"/>
    </row>
    <row r="23" spans="1:70" ht="115.5" customHeight="1" x14ac:dyDescent="0.2">
      <c r="A23" s="24">
        <v>2</v>
      </c>
      <c r="B23" s="188" t="s">
        <v>2536</v>
      </c>
      <c r="C23" s="23">
        <v>17</v>
      </c>
      <c r="D23" s="188" t="s">
        <v>1240</v>
      </c>
      <c r="E23" s="24">
        <v>1706</v>
      </c>
      <c r="F23" s="188" t="s">
        <v>1335</v>
      </c>
      <c r="G23" s="23">
        <v>1706004</v>
      </c>
      <c r="H23" s="188" t="s">
        <v>1336</v>
      </c>
      <c r="I23" s="23">
        <v>1706004</v>
      </c>
      <c r="J23" s="188" t="s">
        <v>1336</v>
      </c>
      <c r="K23" s="23">
        <v>170600400</v>
      </c>
      <c r="L23" s="188" t="s">
        <v>1337</v>
      </c>
      <c r="M23" s="23" t="s">
        <v>1338</v>
      </c>
      <c r="N23" s="188" t="s">
        <v>1337</v>
      </c>
      <c r="O23" s="23">
        <v>10</v>
      </c>
      <c r="P23" s="23">
        <f t="shared" ref="P23:P45" si="2">SUM(O23:O23)</f>
        <v>10</v>
      </c>
      <c r="Q23" s="24">
        <v>2020003630083</v>
      </c>
      <c r="R23" s="188" t="s">
        <v>1339</v>
      </c>
      <c r="S23" s="25">
        <f>W23/SUM(W23)</f>
        <v>1</v>
      </c>
      <c r="T23" s="188" t="s">
        <v>1340</v>
      </c>
      <c r="U23" s="188" t="s">
        <v>1341</v>
      </c>
      <c r="V23" s="188" t="s">
        <v>1342</v>
      </c>
      <c r="W23" s="681">
        <v>110000000</v>
      </c>
      <c r="X23" s="681"/>
      <c r="Y23" s="681"/>
      <c r="Z23" s="681"/>
      <c r="AA23" s="677">
        <f t="shared" si="1"/>
        <v>110000000</v>
      </c>
      <c r="AB23" s="690" t="s">
        <v>1343</v>
      </c>
      <c r="AC23" s="28"/>
      <c r="AD23" s="377">
        <v>20</v>
      </c>
      <c r="AE23" s="188" t="s">
        <v>132</v>
      </c>
      <c r="AF23" s="29">
        <v>1233</v>
      </c>
      <c r="AG23" s="29">
        <v>656</v>
      </c>
      <c r="AH23" s="29">
        <v>104</v>
      </c>
      <c r="AI23" s="29">
        <v>142</v>
      </c>
      <c r="AJ23" s="29">
        <v>980</v>
      </c>
      <c r="AK23" s="29">
        <v>663</v>
      </c>
      <c r="AL23" s="29"/>
      <c r="AM23" s="29"/>
      <c r="AN23" s="29"/>
      <c r="AO23" s="29"/>
      <c r="AP23" s="29"/>
      <c r="AQ23" s="29"/>
      <c r="AR23" s="29"/>
      <c r="AS23" s="29"/>
      <c r="AT23" s="29">
        <v>51</v>
      </c>
      <c r="AU23" s="29">
        <v>1889</v>
      </c>
      <c r="AV23" s="31">
        <v>45293</v>
      </c>
      <c r="AW23" s="31">
        <v>45657</v>
      </c>
      <c r="AX23" s="188" t="s">
        <v>1311</v>
      </c>
      <c r="AY23" s="4"/>
      <c r="AZ23" s="4"/>
      <c r="BA23" s="4"/>
      <c r="BB23" s="4"/>
      <c r="BC23" s="4"/>
      <c r="BD23" s="4"/>
      <c r="BE23" s="4"/>
      <c r="BF23" s="4"/>
      <c r="BG23" s="4"/>
      <c r="BH23" s="4"/>
      <c r="BI23" s="4"/>
      <c r="BJ23" s="4"/>
      <c r="BK23" s="4"/>
      <c r="BL23" s="4"/>
      <c r="BM23" s="4"/>
      <c r="BN23" s="4"/>
      <c r="BO23" s="4"/>
      <c r="BP23" s="4"/>
      <c r="BQ23" s="4"/>
      <c r="BR23" s="4"/>
    </row>
    <row r="24" spans="1:70" ht="115.5" customHeight="1" x14ac:dyDescent="0.2">
      <c r="A24" s="24">
        <v>2</v>
      </c>
      <c r="B24" s="188" t="s">
        <v>2536</v>
      </c>
      <c r="C24" s="23">
        <v>17</v>
      </c>
      <c r="D24" s="188" t="s">
        <v>1240</v>
      </c>
      <c r="E24" s="24">
        <v>1707</v>
      </c>
      <c r="F24" s="188" t="s">
        <v>1344</v>
      </c>
      <c r="G24" s="23">
        <v>1707069</v>
      </c>
      <c r="H24" s="188" t="s">
        <v>1345</v>
      </c>
      <c r="I24" s="23">
        <v>1707069</v>
      </c>
      <c r="J24" s="188" t="s">
        <v>1345</v>
      </c>
      <c r="K24" s="23" t="s">
        <v>1346</v>
      </c>
      <c r="L24" s="188" t="s">
        <v>1347</v>
      </c>
      <c r="M24" s="23" t="s">
        <v>1346</v>
      </c>
      <c r="N24" s="188" t="s">
        <v>1347</v>
      </c>
      <c r="O24" s="23">
        <v>5</v>
      </c>
      <c r="P24" s="23">
        <f t="shared" si="2"/>
        <v>5</v>
      </c>
      <c r="Q24" s="24">
        <v>2020003630084</v>
      </c>
      <c r="R24" s="188" t="s">
        <v>1348</v>
      </c>
      <c r="S24" s="25">
        <f>SUM($W$24:$W$24)/SUM($W$24:$W$24)</f>
        <v>1</v>
      </c>
      <c r="T24" s="188" t="s">
        <v>1349</v>
      </c>
      <c r="U24" s="188" t="s">
        <v>1350</v>
      </c>
      <c r="V24" s="188" t="s">
        <v>1351</v>
      </c>
      <c r="W24" s="681">
        <v>143000000</v>
      </c>
      <c r="X24" s="681">
        <v>14800000</v>
      </c>
      <c r="Y24" s="681"/>
      <c r="Z24" s="681"/>
      <c r="AA24" s="677">
        <f t="shared" si="1"/>
        <v>128200000</v>
      </c>
      <c r="AB24" s="690" t="s">
        <v>1352</v>
      </c>
      <c r="AC24" s="28"/>
      <c r="AD24" s="377">
        <v>20</v>
      </c>
      <c r="AE24" s="188" t="s">
        <v>132</v>
      </c>
      <c r="AF24" s="29">
        <v>1233</v>
      </c>
      <c r="AG24" s="29">
        <v>656</v>
      </c>
      <c r="AH24" s="29">
        <v>104</v>
      </c>
      <c r="AI24" s="29">
        <v>142</v>
      </c>
      <c r="AJ24" s="29">
        <v>980</v>
      </c>
      <c r="AK24" s="29">
        <v>663</v>
      </c>
      <c r="AL24" s="29"/>
      <c r="AM24" s="29"/>
      <c r="AN24" s="29"/>
      <c r="AO24" s="29"/>
      <c r="AP24" s="29"/>
      <c r="AQ24" s="29"/>
      <c r="AR24" s="29"/>
      <c r="AS24" s="29"/>
      <c r="AT24" s="29">
        <v>51</v>
      </c>
      <c r="AU24" s="29">
        <v>1889</v>
      </c>
      <c r="AV24" s="31">
        <v>45293</v>
      </c>
      <c r="AW24" s="31">
        <v>45657</v>
      </c>
      <c r="AX24" s="188" t="s">
        <v>1311</v>
      </c>
      <c r="AY24" s="4"/>
      <c r="AZ24" s="4"/>
      <c r="BA24" s="4"/>
      <c r="BB24" s="4"/>
      <c r="BC24" s="4"/>
      <c r="BD24" s="4"/>
      <c r="BE24" s="4"/>
      <c r="BF24" s="4"/>
      <c r="BG24" s="4"/>
      <c r="BH24" s="4"/>
      <c r="BI24" s="4"/>
      <c r="BJ24" s="4"/>
      <c r="BK24" s="4"/>
      <c r="BL24" s="4"/>
      <c r="BM24" s="4"/>
      <c r="BN24" s="4"/>
      <c r="BO24" s="4"/>
      <c r="BP24" s="4"/>
      <c r="BQ24" s="4"/>
      <c r="BR24" s="4"/>
    </row>
    <row r="25" spans="1:70" ht="97.5" customHeight="1" x14ac:dyDescent="0.2">
      <c r="A25" s="24">
        <v>2</v>
      </c>
      <c r="B25" s="188" t="s">
        <v>2536</v>
      </c>
      <c r="C25" s="23">
        <v>17</v>
      </c>
      <c r="D25" s="188" t="s">
        <v>1240</v>
      </c>
      <c r="E25" s="24">
        <v>1708</v>
      </c>
      <c r="F25" s="188" t="s">
        <v>1353</v>
      </c>
      <c r="G25" s="23">
        <v>1708016</v>
      </c>
      <c r="H25" s="188" t="s">
        <v>180</v>
      </c>
      <c r="I25" s="23">
        <v>1708016</v>
      </c>
      <c r="J25" s="188" t="s">
        <v>180</v>
      </c>
      <c r="K25" s="23" t="s">
        <v>1354</v>
      </c>
      <c r="L25" s="188" t="s">
        <v>1355</v>
      </c>
      <c r="M25" s="23" t="s">
        <v>1354</v>
      </c>
      <c r="N25" s="188" t="s">
        <v>1355</v>
      </c>
      <c r="O25" s="23">
        <v>2</v>
      </c>
      <c r="P25" s="23">
        <f t="shared" si="2"/>
        <v>2</v>
      </c>
      <c r="Q25" s="24">
        <v>2020003630026</v>
      </c>
      <c r="R25" s="188" t="s">
        <v>1356</v>
      </c>
      <c r="S25" s="25">
        <f>SUM($W$25:$W$25)/SUM($W$25:$W$26)</f>
        <v>0.5</v>
      </c>
      <c r="T25" s="188" t="s">
        <v>1357</v>
      </c>
      <c r="U25" s="188" t="s">
        <v>1358</v>
      </c>
      <c r="V25" s="188" t="s">
        <v>1359</v>
      </c>
      <c r="W25" s="682">
        <v>65000000</v>
      </c>
      <c r="X25" s="682">
        <f>17200000+17200000+16000000</f>
        <v>50400000</v>
      </c>
      <c r="Y25" s="682"/>
      <c r="Z25" s="682"/>
      <c r="AA25" s="677">
        <f t="shared" si="1"/>
        <v>14600000</v>
      </c>
      <c r="AB25" s="690" t="s">
        <v>1360</v>
      </c>
      <c r="AC25" s="28"/>
      <c r="AD25" s="377">
        <v>20</v>
      </c>
      <c r="AE25" s="188" t="s">
        <v>132</v>
      </c>
      <c r="AF25" s="29">
        <v>3000</v>
      </c>
      <c r="AG25" s="29">
        <v>3000</v>
      </c>
      <c r="AH25" s="29">
        <v>2000</v>
      </c>
      <c r="AI25" s="29">
        <v>1000</v>
      </c>
      <c r="AJ25" s="29">
        <v>2500</v>
      </c>
      <c r="AK25" s="29">
        <v>500</v>
      </c>
      <c r="AL25" s="29"/>
      <c r="AM25" s="29"/>
      <c r="AN25" s="29"/>
      <c r="AO25" s="29"/>
      <c r="AP25" s="29"/>
      <c r="AQ25" s="29"/>
      <c r="AR25" s="29"/>
      <c r="AS25" s="29"/>
      <c r="AT25" s="29"/>
      <c r="AU25" s="29">
        <v>6000</v>
      </c>
      <c r="AV25" s="31">
        <v>45293</v>
      </c>
      <c r="AW25" s="31">
        <v>45657</v>
      </c>
      <c r="AX25" s="188" t="s">
        <v>1311</v>
      </c>
      <c r="AY25" s="4"/>
      <c r="AZ25" s="4"/>
      <c r="BA25" s="4"/>
      <c r="BB25" s="4"/>
      <c r="BC25" s="4"/>
      <c r="BD25" s="4"/>
      <c r="BE25" s="4"/>
      <c r="BF25" s="4"/>
      <c r="BG25" s="4"/>
      <c r="BH25" s="4"/>
      <c r="BI25" s="4"/>
      <c r="BJ25" s="4"/>
      <c r="BK25" s="4"/>
      <c r="BL25" s="4"/>
      <c r="BM25" s="4"/>
      <c r="BN25" s="4"/>
      <c r="BO25" s="4"/>
      <c r="BP25" s="4"/>
      <c r="BQ25" s="4"/>
      <c r="BR25" s="4"/>
    </row>
    <row r="26" spans="1:70" ht="140.25" customHeight="1" x14ac:dyDescent="0.2">
      <c r="A26" s="24">
        <v>2</v>
      </c>
      <c r="B26" s="188" t="s">
        <v>2536</v>
      </c>
      <c r="C26" s="23">
        <v>17</v>
      </c>
      <c r="D26" s="188" t="s">
        <v>1240</v>
      </c>
      <c r="E26" s="24">
        <v>1708</v>
      </c>
      <c r="F26" s="188" t="s">
        <v>1353</v>
      </c>
      <c r="G26" s="23">
        <v>1708051</v>
      </c>
      <c r="H26" s="188" t="s">
        <v>1361</v>
      </c>
      <c r="I26" s="23">
        <v>1708051</v>
      </c>
      <c r="J26" s="188" t="s">
        <v>1361</v>
      </c>
      <c r="K26" s="23" t="s">
        <v>1362</v>
      </c>
      <c r="L26" s="188" t="s">
        <v>1363</v>
      </c>
      <c r="M26" s="23" t="s">
        <v>1362</v>
      </c>
      <c r="N26" s="188" t="s">
        <v>1363</v>
      </c>
      <c r="O26" s="23">
        <v>1</v>
      </c>
      <c r="P26" s="23">
        <f t="shared" si="2"/>
        <v>1</v>
      </c>
      <c r="Q26" s="24">
        <v>2020003630026</v>
      </c>
      <c r="R26" s="188" t="s">
        <v>1356</v>
      </c>
      <c r="S26" s="25">
        <f>SUM($W$26:$W$26)/SUM($W$25:$W$26)</f>
        <v>0.5</v>
      </c>
      <c r="T26" s="188" t="s">
        <v>1357</v>
      </c>
      <c r="U26" s="188" t="s">
        <v>1364</v>
      </c>
      <c r="V26" s="188" t="s">
        <v>1365</v>
      </c>
      <c r="W26" s="682">
        <v>65000000</v>
      </c>
      <c r="X26" s="682"/>
      <c r="Y26" s="682"/>
      <c r="Z26" s="682"/>
      <c r="AA26" s="677">
        <f t="shared" si="1"/>
        <v>65000000</v>
      </c>
      <c r="AB26" s="690" t="s">
        <v>1366</v>
      </c>
      <c r="AC26" s="28"/>
      <c r="AD26" s="377">
        <v>20</v>
      </c>
      <c r="AE26" s="188" t="s">
        <v>132</v>
      </c>
      <c r="AF26" s="29">
        <v>3000</v>
      </c>
      <c r="AG26" s="29">
        <v>3000</v>
      </c>
      <c r="AH26" s="29">
        <v>2000</v>
      </c>
      <c r="AI26" s="29">
        <v>1000</v>
      </c>
      <c r="AJ26" s="29">
        <v>2500</v>
      </c>
      <c r="AK26" s="29">
        <v>500</v>
      </c>
      <c r="AL26" s="29"/>
      <c r="AM26" s="29"/>
      <c r="AN26" s="29"/>
      <c r="AO26" s="29"/>
      <c r="AP26" s="29"/>
      <c r="AQ26" s="29"/>
      <c r="AR26" s="29"/>
      <c r="AS26" s="29"/>
      <c r="AT26" s="29"/>
      <c r="AU26" s="29">
        <v>6000</v>
      </c>
      <c r="AV26" s="31">
        <v>45293</v>
      </c>
      <c r="AW26" s="31">
        <v>45657</v>
      </c>
      <c r="AX26" s="188" t="s">
        <v>1311</v>
      </c>
      <c r="AY26" s="4"/>
      <c r="AZ26" s="4"/>
      <c r="BA26" s="4"/>
      <c r="BB26" s="4"/>
      <c r="BC26" s="4"/>
      <c r="BD26" s="4"/>
      <c r="BE26" s="4"/>
      <c r="BF26" s="4"/>
      <c r="BG26" s="4"/>
      <c r="BH26" s="4"/>
      <c r="BI26" s="4"/>
      <c r="BJ26" s="4"/>
      <c r="BK26" s="4"/>
      <c r="BL26" s="4"/>
      <c r="BM26" s="4"/>
      <c r="BN26" s="4"/>
      <c r="BO26" s="4"/>
      <c r="BP26" s="4"/>
      <c r="BQ26" s="4"/>
      <c r="BR26" s="4"/>
    </row>
    <row r="27" spans="1:70" ht="75.75" customHeight="1" x14ac:dyDescent="0.2">
      <c r="A27" s="24">
        <v>2</v>
      </c>
      <c r="B27" s="188" t="s">
        <v>2536</v>
      </c>
      <c r="C27" s="23">
        <v>17</v>
      </c>
      <c r="D27" s="188" t="s">
        <v>1240</v>
      </c>
      <c r="E27" s="24">
        <v>1709</v>
      </c>
      <c r="F27" s="188" t="s">
        <v>1367</v>
      </c>
      <c r="G27" s="23">
        <v>1709019</v>
      </c>
      <c r="H27" s="188" t="s">
        <v>1368</v>
      </c>
      <c r="I27" s="23">
        <v>1709019</v>
      </c>
      <c r="J27" s="188" t="s">
        <v>1368</v>
      </c>
      <c r="K27" s="23" t="s">
        <v>1369</v>
      </c>
      <c r="L27" s="188" t="s">
        <v>1368</v>
      </c>
      <c r="M27" s="23" t="s">
        <v>1369</v>
      </c>
      <c r="N27" s="188" t="s">
        <v>1368</v>
      </c>
      <c r="O27" s="23">
        <v>4</v>
      </c>
      <c r="P27" s="23">
        <f t="shared" si="2"/>
        <v>4</v>
      </c>
      <c r="Q27" s="375">
        <v>2020003630024</v>
      </c>
      <c r="R27" s="188" t="s">
        <v>1370</v>
      </c>
      <c r="S27" s="25">
        <f>SUM($W$27:$W$27)/SUM($W$27:$W$29)</f>
        <v>0.44968553459119498</v>
      </c>
      <c r="T27" s="188" t="s">
        <v>1371</v>
      </c>
      <c r="U27" s="188" t="s">
        <v>1372</v>
      </c>
      <c r="V27" s="188" t="s">
        <v>1373</v>
      </c>
      <c r="W27" s="682">
        <v>143000000</v>
      </c>
      <c r="X27" s="682"/>
      <c r="Y27" s="682"/>
      <c r="Z27" s="682"/>
      <c r="AA27" s="677">
        <f t="shared" si="1"/>
        <v>143000000</v>
      </c>
      <c r="AB27" s="690" t="s">
        <v>1374</v>
      </c>
      <c r="AC27" s="28"/>
      <c r="AD27" s="377">
        <v>20</v>
      </c>
      <c r="AE27" s="188" t="s">
        <v>132</v>
      </c>
      <c r="AF27" s="29">
        <v>600</v>
      </c>
      <c r="AG27" s="29">
        <v>600</v>
      </c>
      <c r="AH27" s="29">
        <v>125</v>
      </c>
      <c r="AI27" s="29">
        <v>75</v>
      </c>
      <c r="AJ27" s="29">
        <v>300</v>
      </c>
      <c r="AK27" s="29">
        <v>700</v>
      </c>
      <c r="AL27" s="29"/>
      <c r="AM27" s="29"/>
      <c r="AN27" s="29"/>
      <c r="AO27" s="29"/>
      <c r="AP27" s="29"/>
      <c r="AQ27" s="29"/>
      <c r="AR27" s="29"/>
      <c r="AS27" s="29"/>
      <c r="AT27" s="29"/>
      <c r="AU27" s="29">
        <v>1200</v>
      </c>
      <c r="AV27" s="31">
        <v>45293</v>
      </c>
      <c r="AW27" s="31">
        <v>45657</v>
      </c>
      <c r="AX27" s="188" t="s">
        <v>1311</v>
      </c>
      <c r="AY27" s="4"/>
      <c r="AZ27" s="4"/>
      <c r="BA27" s="4"/>
      <c r="BB27" s="4"/>
      <c r="BC27" s="4"/>
      <c r="BD27" s="4"/>
      <c r="BE27" s="4"/>
      <c r="BF27" s="4"/>
      <c r="BG27" s="4"/>
      <c r="BH27" s="4"/>
      <c r="BI27" s="4"/>
      <c r="BJ27" s="4"/>
      <c r="BK27" s="4"/>
      <c r="BL27" s="4"/>
      <c r="BM27" s="4"/>
      <c r="BN27" s="4"/>
      <c r="BO27" s="4"/>
      <c r="BP27" s="4"/>
      <c r="BQ27" s="4"/>
      <c r="BR27" s="4"/>
    </row>
    <row r="28" spans="1:70" ht="91.5" customHeight="1" x14ac:dyDescent="0.2">
      <c r="A28" s="24">
        <v>2</v>
      </c>
      <c r="B28" s="188" t="s">
        <v>2536</v>
      </c>
      <c r="C28" s="23">
        <v>143</v>
      </c>
      <c r="D28" s="188" t="s">
        <v>1240</v>
      </c>
      <c r="E28" s="24">
        <v>1709</v>
      </c>
      <c r="F28" s="188" t="s">
        <v>1367</v>
      </c>
      <c r="G28" s="23">
        <v>1709034</v>
      </c>
      <c r="H28" s="188" t="s">
        <v>1375</v>
      </c>
      <c r="I28" s="23">
        <v>1709034</v>
      </c>
      <c r="J28" s="188" t="s">
        <v>1375</v>
      </c>
      <c r="K28" s="23" t="s">
        <v>1376</v>
      </c>
      <c r="L28" s="188" t="s">
        <v>1375</v>
      </c>
      <c r="M28" s="23" t="s">
        <v>1376</v>
      </c>
      <c r="N28" s="188" t="s">
        <v>1375</v>
      </c>
      <c r="O28" s="23">
        <v>3</v>
      </c>
      <c r="P28" s="23">
        <f t="shared" si="2"/>
        <v>3</v>
      </c>
      <c r="Q28" s="375">
        <v>2020003630024</v>
      </c>
      <c r="R28" s="188" t="s">
        <v>1370</v>
      </c>
      <c r="S28" s="25">
        <f>SUM($W$28:$W$28)/SUM($W$27:$W$29)</f>
        <v>0.35534591194968551</v>
      </c>
      <c r="T28" s="188" t="s">
        <v>1371</v>
      </c>
      <c r="U28" s="188" t="s">
        <v>1377</v>
      </c>
      <c r="V28" s="188" t="s">
        <v>1378</v>
      </c>
      <c r="W28" s="682">
        <v>113000000</v>
      </c>
      <c r="X28" s="682"/>
      <c r="Y28" s="682"/>
      <c r="Z28" s="682"/>
      <c r="AA28" s="677">
        <f t="shared" si="1"/>
        <v>113000000</v>
      </c>
      <c r="AB28" s="690" t="s">
        <v>1379</v>
      </c>
      <c r="AC28" s="28"/>
      <c r="AD28" s="377">
        <v>20</v>
      </c>
      <c r="AE28" s="188" t="s">
        <v>132</v>
      </c>
      <c r="AF28" s="29">
        <v>600</v>
      </c>
      <c r="AG28" s="29">
        <v>600</v>
      </c>
      <c r="AH28" s="29">
        <v>125</v>
      </c>
      <c r="AI28" s="29">
        <v>75</v>
      </c>
      <c r="AJ28" s="29">
        <v>300</v>
      </c>
      <c r="AK28" s="29">
        <v>700</v>
      </c>
      <c r="AL28" s="29"/>
      <c r="AM28" s="29"/>
      <c r="AN28" s="29"/>
      <c r="AO28" s="29"/>
      <c r="AP28" s="29"/>
      <c r="AQ28" s="29"/>
      <c r="AR28" s="29"/>
      <c r="AS28" s="29"/>
      <c r="AT28" s="29"/>
      <c r="AU28" s="29">
        <v>1200</v>
      </c>
      <c r="AV28" s="31">
        <v>45293</v>
      </c>
      <c r="AW28" s="31">
        <v>45657</v>
      </c>
      <c r="AX28" s="188" t="s">
        <v>1311</v>
      </c>
      <c r="AY28" s="4"/>
      <c r="AZ28" s="4"/>
      <c r="BA28" s="4"/>
      <c r="BB28" s="4"/>
      <c r="BC28" s="4"/>
      <c r="BD28" s="4"/>
      <c r="BE28" s="4"/>
      <c r="BF28" s="4"/>
      <c r="BG28" s="4"/>
      <c r="BH28" s="4"/>
      <c r="BI28" s="4"/>
      <c r="BJ28" s="4"/>
      <c r="BK28" s="4"/>
      <c r="BL28" s="4"/>
      <c r="BM28" s="4"/>
      <c r="BN28" s="4"/>
      <c r="BO28" s="4"/>
      <c r="BP28" s="4"/>
      <c r="BQ28" s="4"/>
      <c r="BR28" s="4"/>
    </row>
    <row r="29" spans="1:70" ht="91.5" customHeight="1" x14ac:dyDescent="0.2">
      <c r="A29" s="24">
        <v>2</v>
      </c>
      <c r="B29" s="188" t="s">
        <v>2536</v>
      </c>
      <c r="C29" s="23">
        <v>17</v>
      </c>
      <c r="D29" s="188" t="s">
        <v>1240</v>
      </c>
      <c r="E29" s="24">
        <v>1709</v>
      </c>
      <c r="F29" s="188" t="s">
        <v>1367</v>
      </c>
      <c r="G29" s="23">
        <v>1709093</v>
      </c>
      <c r="H29" s="188" t="s">
        <v>1380</v>
      </c>
      <c r="I29" s="23">
        <v>1709093</v>
      </c>
      <c r="J29" s="188" t="s">
        <v>1380</v>
      </c>
      <c r="K29" s="23" t="s">
        <v>1381</v>
      </c>
      <c r="L29" s="188" t="s">
        <v>1382</v>
      </c>
      <c r="M29" s="23" t="s">
        <v>1381</v>
      </c>
      <c r="N29" s="188" t="s">
        <v>1382</v>
      </c>
      <c r="O29" s="23">
        <v>1</v>
      </c>
      <c r="P29" s="23">
        <f t="shared" si="2"/>
        <v>1</v>
      </c>
      <c r="Q29" s="375">
        <v>2020003630024</v>
      </c>
      <c r="R29" s="188" t="s">
        <v>1370</v>
      </c>
      <c r="S29" s="25">
        <f>SUM($W$29:$W$29)/SUM($W$27:$W$29)</f>
        <v>0.19496855345911951</v>
      </c>
      <c r="T29" s="188" t="s">
        <v>1371</v>
      </c>
      <c r="U29" s="188" t="s">
        <v>1383</v>
      </c>
      <c r="V29" s="188" t="s">
        <v>1384</v>
      </c>
      <c r="W29" s="682">
        <v>62000000</v>
      </c>
      <c r="X29" s="682"/>
      <c r="Y29" s="682"/>
      <c r="Z29" s="682"/>
      <c r="AA29" s="677">
        <f t="shared" si="1"/>
        <v>62000000</v>
      </c>
      <c r="AB29" s="690" t="s">
        <v>1385</v>
      </c>
      <c r="AC29" s="28"/>
      <c r="AD29" s="377">
        <v>20</v>
      </c>
      <c r="AE29" s="188" t="s">
        <v>132</v>
      </c>
      <c r="AF29" s="29">
        <v>600</v>
      </c>
      <c r="AG29" s="29">
        <v>600</v>
      </c>
      <c r="AH29" s="29">
        <v>125</v>
      </c>
      <c r="AI29" s="29">
        <v>75</v>
      </c>
      <c r="AJ29" s="29">
        <v>300</v>
      </c>
      <c r="AK29" s="29">
        <v>700</v>
      </c>
      <c r="AL29" s="29"/>
      <c r="AM29" s="29"/>
      <c r="AN29" s="29"/>
      <c r="AO29" s="29"/>
      <c r="AP29" s="29"/>
      <c r="AQ29" s="29"/>
      <c r="AR29" s="29"/>
      <c r="AS29" s="29"/>
      <c r="AT29" s="29"/>
      <c r="AU29" s="29">
        <v>1200</v>
      </c>
      <c r="AV29" s="31">
        <v>45293</v>
      </c>
      <c r="AW29" s="31">
        <v>45657</v>
      </c>
      <c r="AX29" s="188" t="s">
        <v>1311</v>
      </c>
      <c r="AY29" s="4"/>
      <c r="AZ29" s="4"/>
      <c r="BA29" s="4"/>
      <c r="BB29" s="4"/>
      <c r="BC29" s="4"/>
      <c r="BD29" s="4"/>
      <c r="BE29" s="4"/>
      <c r="BF29" s="4"/>
      <c r="BG29" s="4"/>
      <c r="BH29" s="4"/>
      <c r="BI29" s="4"/>
      <c r="BJ29" s="4"/>
      <c r="BK29" s="4"/>
      <c r="BL29" s="4"/>
      <c r="BM29" s="4"/>
      <c r="BN29" s="4"/>
      <c r="BO29" s="4"/>
      <c r="BP29" s="4"/>
      <c r="BQ29" s="4"/>
      <c r="BR29" s="4"/>
    </row>
    <row r="30" spans="1:70" ht="101.25" customHeight="1" x14ac:dyDescent="0.2">
      <c r="A30" s="24">
        <v>2</v>
      </c>
      <c r="B30" s="188" t="s">
        <v>2536</v>
      </c>
      <c r="C30" s="23">
        <v>35</v>
      </c>
      <c r="D30" s="188" t="s">
        <v>889</v>
      </c>
      <c r="E30" s="24">
        <v>3502</v>
      </c>
      <c r="F30" s="188" t="s">
        <v>890</v>
      </c>
      <c r="G30" s="23">
        <v>3502017</v>
      </c>
      <c r="H30" s="188" t="s">
        <v>1386</v>
      </c>
      <c r="I30" s="23">
        <v>3502017</v>
      </c>
      <c r="J30" s="188" t="s">
        <v>1386</v>
      </c>
      <c r="K30" s="23" t="s">
        <v>1387</v>
      </c>
      <c r="L30" s="188" t="s">
        <v>1388</v>
      </c>
      <c r="M30" s="23" t="s">
        <v>1387</v>
      </c>
      <c r="N30" s="188" t="s">
        <v>1388</v>
      </c>
      <c r="O30" s="23">
        <v>6</v>
      </c>
      <c r="P30" s="23">
        <f t="shared" si="2"/>
        <v>6</v>
      </c>
      <c r="Q30" s="24">
        <v>2020003630085</v>
      </c>
      <c r="R30" s="188" t="s">
        <v>1389</v>
      </c>
      <c r="S30" s="25">
        <f>SUM($W$30:$W$30)/SUM($W$30:$W$31)</f>
        <v>0.62820512820512819</v>
      </c>
      <c r="T30" s="188" t="s">
        <v>1390</v>
      </c>
      <c r="U30" s="188" t="s">
        <v>1391</v>
      </c>
      <c r="V30" s="188" t="s">
        <v>1392</v>
      </c>
      <c r="W30" s="681">
        <v>98000000</v>
      </c>
      <c r="X30" s="681"/>
      <c r="Y30" s="681"/>
      <c r="Z30" s="681"/>
      <c r="AA30" s="677">
        <f t="shared" si="1"/>
        <v>98000000</v>
      </c>
      <c r="AB30" s="690" t="s">
        <v>1393</v>
      </c>
      <c r="AC30" s="28"/>
      <c r="AD30" s="377">
        <v>20</v>
      </c>
      <c r="AE30" s="188" t="s">
        <v>132</v>
      </c>
      <c r="AF30" s="29">
        <v>655</v>
      </c>
      <c r="AG30" s="29">
        <v>1234</v>
      </c>
      <c r="AH30" s="29">
        <v>253</v>
      </c>
      <c r="AI30" s="29">
        <v>172</v>
      </c>
      <c r="AJ30" s="29">
        <v>831</v>
      </c>
      <c r="AK30" s="29">
        <v>633</v>
      </c>
      <c r="AL30" s="29"/>
      <c r="AM30" s="29"/>
      <c r="AN30" s="29"/>
      <c r="AO30" s="29"/>
      <c r="AP30" s="29"/>
      <c r="AQ30" s="29"/>
      <c r="AR30" s="29"/>
      <c r="AS30" s="29"/>
      <c r="AT30" s="29"/>
      <c r="AU30" s="29">
        <v>1889</v>
      </c>
      <c r="AV30" s="31">
        <v>45293</v>
      </c>
      <c r="AW30" s="31">
        <v>45657</v>
      </c>
      <c r="AX30" s="188" t="s">
        <v>1311</v>
      </c>
      <c r="AY30" s="4"/>
      <c r="AZ30" s="4"/>
      <c r="BA30" s="4"/>
      <c r="BB30" s="4"/>
      <c r="BC30" s="4"/>
      <c r="BD30" s="4"/>
      <c r="BE30" s="4"/>
      <c r="BF30" s="4"/>
      <c r="BG30" s="4"/>
      <c r="BH30" s="4"/>
      <c r="BI30" s="4"/>
      <c r="BJ30" s="4"/>
      <c r="BK30" s="4"/>
      <c r="BL30" s="4"/>
      <c r="BM30" s="4"/>
      <c r="BN30" s="4"/>
      <c r="BO30" s="4"/>
      <c r="BP30" s="4"/>
      <c r="BQ30" s="4"/>
      <c r="BR30" s="4"/>
    </row>
    <row r="31" spans="1:70" ht="138.75" customHeight="1" x14ac:dyDescent="0.2">
      <c r="A31" s="24">
        <v>2</v>
      </c>
      <c r="B31" s="188" t="s">
        <v>2536</v>
      </c>
      <c r="C31" s="23">
        <v>35</v>
      </c>
      <c r="D31" s="188" t="s">
        <v>889</v>
      </c>
      <c r="E31" s="24">
        <v>3502</v>
      </c>
      <c r="F31" s="188" t="s">
        <v>890</v>
      </c>
      <c r="G31" s="23">
        <v>3502007</v>
      </c>
      <c r="H31" s="188" t="s">
        <v>1394</v>
      </c>
      <c r="I31" s="23">
        <v>3502007</v>
      </c>
      <c r="J31" s="188" t="s">
        <v>1394</v>
      </c>
      <c r="K31" s="23" t="s">
        <v>902</v>
      </c>
      <c r="L31" s="188" t="s">
        <v>903</v>
      </c>
      <c r="M31" s="23" t="s">
        <v>902</v>
      </c>
      <c r="N31" s="188" t="s">
        <v>903</v>
      </c>
      <c r="O31" s="23">
        <v>5</v>
      </c>
      <c r="P31" s="23">
        <f t="shared" si="2"/>
        <v>5</v>
      </c>
      <c r="Q31" s="24">
        <v>2020003630085</v>
      </c>
      <c r="R31" s="188" t="s">
        <v>1389</v>
      </c>
      <c r="S31" s="25">
        <f>SUM($W$31:$W$31)/SUM($W$30:$W$31)</f>
        <v>0.37179487179487181</v>
      </c>
      <c r="T31" s="188" t="s">
        <v>1390</v>
      </c>
      <c r="U31" s="188" t="s">
        <v>1391</v>
      </c>
      <c r="V31" s="188" t="s">
        <v>1395</v>
      </c>
      <c r="W31" s="681">
        <v>58000000</v>
      </c>
      <c r="X31" s="681"/>
      <c r="Y31" s="681"/>
      <c r="Z31" s="681"/>
      <c r="AA31" s="677">
        <f t="shared" si="1"/>
        <v>58000000</v>
      </c>
      <c r="AB31" s="691" t="s">
        <v>1396</v>
      </c>
      <c r="AC31" s="28"/>
      <c r="AD31" s="377">
        <v>20</v>
      </c>
      <c r="AE31" s="188" t="s">
        <v>132</v>
      </c>
      <c r="AF31" s="29">
        <v>655</v>
      </c>
      <c r="AG31" s="29">
        <v>1234</v>
      </c>
      <c r="AH31" s="29">
        <v>253</v>
      </c>
      <c r="AI31" s="29">
        <v>172</v>
      </c>
      <c r="AJ31" s="29">
        <v>831</v>
      </c>
      <c r="AK31" s="29">
        <v>633</v>
      </c>
      <c r="AL31" s="29"/>
      <c r="AM31" s="29"/>
      <c r="AN31" s="29"/>
      <c r="AO31" s="29"/>
      <c r="AP31" s="29"/>
      <c r="AQ31" s="29"/>
      <c r="AR31" s="29"/>
      <c r="AS31" s="29"/>
      <c r="AT31" s="29"/>
      <c r="AU31" s="29">
        <v>1889</v>
      </c>
      <c r="AV31" s="31">
        <v>45293</v>
      </c>
      <c r="AW31" s="31">
        <v>45657</v>
      </c>
      <c r="AX31" s="188" t="s">
        <v>1311</v>
      </c>
      <c r="AY31" s="4"/>
      <c r="AZ31" s="4"/>
      <c r="BA31" s="4"/>
      <c r="BB31" s="4"/>
      <c r="BC31" s="4"/>
      <c r="BD31" s="4"/>
      <c r="BE31" s="4"/>
      <c r="BF31" s="4"/>
      <c r="BG31" s="4"/>
      <c r="BH31" s="4"/>
      <c r="BI31" s="4"/>
      <c r="BJ31" s="4"/>
      <c r="BK31" s="4"/>
      <c r="BL31" s="4"/>
      <c r="BM31" s="4"/>
      <c r="BN31" s="4"/>
      <c r="BO31" s="4"/>
      <c r="BP31" s="4"/>
      <c r="BQ31" s="4"/>
      <c r="BR31" s="4"/>
    </row>
    <row r="32" spans="1:70" ht="78.75" customHeight="1" x14ac:dyDescent="0.2">
      <c r="A32" s="24">
        <v>3</v>
      </c>
      <c r="B32" s="188" t="s">
        <v>403</v>
      </c>
      <c r="C32" s="23">
        <v>32</v>
      </c>
      <c r="D32" s="188" t="s">
        <v>431</v>
      </c>
      <c r="E32" s="23">
        <v>3201</v>
      </c>
      <c r="F32" s="188" t="s">
        <v>1397</v>
      </c>
      <c r="G32" s="23">
        <v>3201013</v>
      </c>
      <c r="H32" s="188" t="s">
        <v>1398</v>
      </c>
      <c r="I32" s="23">
        <v>3201013</v>
      </c>
      <c r="J32" s="188" t="s">
        <v>1398</v>
      </c>
      <c r="K32" s="23">
        <v>320101300</v>
      </c>
      <c r="L32" s="188" t="s">
        <v>1399</v>
      </c>
      <c r="M32" s="23">
        <v>320101300</v>
      </c>
      <c r="N32" s="188" t="s">
        <v>1399</v>
      </c>
      <c r="O32" s="37">
        <v>1</v>
      </c>
      <c r="P32" s="23">
        <f t="shared" si="2"/>
        <v>1</v>
      </c>
      <c r="Q32" s="375">
        <v>2020003630027</v>
      </c>
      <c r="R32" s="188" t="s">
        <v>1400</v>
      </c>
      <c r="S32" s="88">
        <f>SUM($W$32:$W$32)/SUM($W$32:$W$33)</f>
        <v>0.27631578947368424</v>
      </c>
      <c r="T32" s="188" t="s">
        <v>1401</v>
      </c>
      <c r="U32" s="188" t="s">
        <v>1402</v>
      </c>
      <c r="V32" s="188" t="s">
        <v>1403</v>
      </c>
      <c r="W32" s="683">
        <v>42000000</v>
      </c>
      <c r="X32" s="683"/>
      <c r="Y32" s="683"/>
      <c r="Z32" s="683"/>
      <c r="AA32" s="677">
        <f t="shared" si="1"/>
        <v>42000000</v>
      </c>
      <c r="AB32" s="690" t="s">
        <v>1404</v>
      </c>
      <c r="AC32" s="28"/>
      <c r="AD32" s="377">
        <v>20</v>
      </c>
      <c r="AE32" s="188" t="s">
        <v>132</v>
      </c>
      <c r="AF32" s="525">
        <v>39408</v>
      </c>
      <c r="AG32" s="525">
        <v>38892</v>
      </c>
      <c r="AH32" s="525">
        <v>15324</v>
      </c>
      <c r="AI32" s="525">
        <v>7104</v>
      </c>
      <c r="AJ32" s="525">
        <v>40867</v>
      </c>
      <c r="AK32" s="525">
        <v>15005</v>
      </c>
      <c r="AL32" s="525"/>
      <c r="AM32" s="525"/>
      <c r="AN32" s="525"/>
      <c r="AO32" s="525"/>
      <c r="AP32" s="525"/>
      <c r="AQ32" s="525"/>
      <c r="AR32" s="525"/>
      <c r="AS32" s="525"/>
      <c r="AT32" s="525"/>
      <c r="AU32" s="525">
        <v>78300</v>
      </c>
      <c r="AV32" s="31">
        <v>45293</v>
      </c>
      <c r="AW32" s="31">
        <v>45657</v>
      </c>
      <c r="AX32" s="188" t="s">
        <v>1311</v>
      </c>
      <c r="AY32" s="4"/>
      <c r="AZ32" s="4"/>
      <c r="BA32" s="4"/>
      <c r="BB32" s="4"/>
      <c r="BC32" s="4"/>
      <c r="BD32" s="4"/>
      <c r="BE32" s="4"/>
      <c r="BF32" s="4"/>
      <c r="BG32" s="4"/>
      <c r="BH32" s="4"/>
      <c r="BI32" s="4"/>
      <c r="BJ32" s="4"/>
      <c r="BK32" s="4"/>
      <c r="BL32" s="4"/>
      <c r="BM32" s="4"/>
      <c r="BN32" s="4"/>
      <c r="BO32" s="4"/>
      <c r="BP32" s="4"/>
      <c r="BQ32" s="4"/>
      <c r="BR32" s="4"/>
    </row>
    <row r="33" spans="1:70" ht="84.75" customHeight="1" x14ac:dyDescent="0.2">
      <c r="A33" s="24">
        <v>3</v>
      </c>
      <c r="B33" s="188" t="s">
        <v>403</v>
      </c>
      <c r="C33" s="23">
        <v>32</v>
      </c>
      <c r="D33" s="188" t="s">
        <v>431</v>
      </c>
      <c r="E33" s="23">
        <v>3201</v>
      </c>
      <c r="F33" s="188" t="s">
        <v>1397</v>
      </c>
      <c r="G33" s="23">
        <v>3201008</v>
      </c>
      <c r="H33" s="188" t="s">
        <v>1405</v>
      </c>
      <c r="I33" s="23">
        <v>3201008</v>
      </c>
      <c r="J33" s="188" t="s">
        <v>1405</v>
      </c>
      <c r="K33" s="23">
        <v>320100805</v>
      </c>
      <c r="L33" s="188" t="s">
        <v>1406</v>
      </c>
      <c r="M33" s="23">
        <v>320100805</v>
      </c>
      <c r="N33" s="188" t="s">
        <v>1406</v>
      </c>
      <c r="O33" s="37">
        <v>3</v>
      </c>
      <c r="P33" s="23">
        <f t="shared" si="2"/>
        <v>3</v>
      </c>
      <c r="Q33" s="375">
        <v>2020003630027</v>
      </c>
      <c r="R33" s="188" t="s">
        <v>1400</v>
      </c>
      <c r="S33" s="88">
        <f>SUM($W$33:$W$33)/SUM($W$32:$W$33)</f>
        <v>0.72368421052631582</v>
      </c>
      <c r="T33" s="188" t="s">
        <v>1401</v>
      </c>
      <c r="U33" s="188" t="s">
        <v>1402</v>
      </c>
      <c r="V33" s="188" t="s">
        <v>1407</v>
      </c>
      <c r="W33" s="683">
        <v>110000000</v>
      </c>
      <c r="X33" s="683"/>
      <c r="Y33" s="683"/>
      <c r="Z33" s="683"/>
      <c r="AA33" s="677">
        <f t="shared" si="1"/>
        <v>110000000</v>
      </c>
      <c r="AB33" s="690" t="s">
        <v>1408</v>
      </c>
      <c r="AC33" s="28"/>
      <c r="AD33" s="377">
        <v>20</v>
      </c>
      <c r="AE33" s="188" t="s">
        <v>132</v>
      </c>
      <c r="AF33" s="525">
        <v>39408</v>
      </c>
      <c r="AG33" s="525">
        <v>38892</v>
      </c>
      <c r="AH33" s="525">
        <v>15324</v>
      </c>
      <c r="AI33" s="525">
        <v>7104</v>
      </c>
      <c r="AJ33" s="525">
        <v>40867</v>
      </c>
      <c r="AK33" s="525">
        <v>15005</v>
      </c>
      <c r="AL33" s="525"/>
      <c r="AM33" s="525"/>
      <c r="AN33" s="525"/>
      <c r="AO33" s="525"/>
      <c r="AP33" s="525"/>
      <c r="AQ33" s="525"/>
      <c r="AR33" s="525"/>
      <c r="AS33" s="525"/>
      <c r="AT33" s="525"/>
      <c r="AU33" s="525">
        <v>78300</v>
      </c>
      <c r="AV33" s="31">
        <v>45293</v>
      </c>
      <c r="AW33" s="31">
        <v>45657</v>
      </c>
      <c r="AX33" s="188" t="s">
        <v>1311</v>
      </c>
      <c r="AY33" s="4"/>
      <c r="AZ33" s="4"/>
      <c r="BA33" s="4"/>
      <c r="BB33" s="4"/>
      <c r="BC33" s="4"/>
      <c r="BD33" s="4"/>
      <c r="BE33" s="4"/>
      <c r="BF33" s="4"/>
      <c r="BG33" s="4"/>
      <c r="BH33" s="4"/>
      <c r="BI33" s="4"/>
      <c r="BJ33" s="4"/>
      <c r="BK33" s="4"/>
      <c r="BL33" s="4"/>
      <c r="BM33" s="4"/>
      <c r="BN33" s="4"/>
      <c r="BO33" s="4"/>
      <c r="BP33" s="4"/>
      <c r="BQ33" s="4"/>
      <c r="BR33" s="4"/>
    </row>
    <row r="34" spans="1:70" ht="108" customHeight="1" x14ac:dyDescent="0.2">
      <c r="A34" s="24">
        <v>3</v>
      </c>
      <c r="B34" s="188" t="s">
        <v>403</v>
      </c>
      <c r="C34" s="23">
        <v>32</v>
      </c>
      <c r="D34" s="188" t="s">
        <v>431</v>
      </c>
      <c r="E34" s="24">
        <v>3202</v>
      </c>
      <c r="F34" s="188" t="s">
        <v>1409</v>
      </c>
      <c r="G34" s="23">
        <v>3202037</v>
      </c>
      <c r="H34" s="188" t="s">
        <v>1410</v>
      </c>
      <c r="I34" s="23">
        <v>3202037</v>
      </c>
      <c r="J34" s="188" t="s">
        <v>1410</v>
      </c>
      <c r="K34" s="23" t="s">
        <v>1411</v>
      </c>
      <c r="L34" s="188" t="s">
        <v>1412</v>
      </c>
      <c r="M34" s="23" t="s">
        <v>1411</v>
      </c>
      <c r="N34" s="188" t="s">
        <v>1412</v>
      </c>
      <c r="O34" s="23">
        <v>40</v>
      </c>
      <c r="P34" s="23">
        <f t="shared" si="2"/>
        <v>40</v>
      </c>
      <c r="Q34" s="24">
        <v>2020003630086</v>
      </c>
      <c r="R34" s="188" t="s">
        <v>1413</v>
      </c>
      <c r="S34" s="25">
        <f>SUM($W$34:$W$34)/SUM($W$34:$W$36)</f>
        <v>6.4783861459050032E-2</v>
      </c>
      <c r="T34" s="188" t="s">
        <v>1414</v>
      </c>
      <c r="U34" s="188" t="s">
        <v>1415</v>
      </c>
      <c r="V34" s="188" t="s">
        <v>1416</v>
      </c>
      <c r="W34" s="682">
        <v>90000000</v>
      </c>
      <c r="X34" s="682"/>
      <c r="Y34" s="682"/>
      <c r="Z34" s="682"/>
      <c r="AA34" s="677">
        <f t="shared" si="1"/>
        <v>90000000</v>
      </c>
      <c r="AB34" s="690" t="s">
        <v>1417</v>
      </c>
      <c r="AC34" s="28"/>
      <c r="AD34" s="377">
        <v>20</v>
      </c>
      <c r="AE34" s="188" t="s">
        <v>132</v>
      </c>
      <c r="AF34" s="29">
        <v>291786</v>
      </c>
      <c r="AG34" s="29">
        <v>270331</v>
      </c>
      <c r="AH34" s="29">
        <v>102045</v>
      </c>
      <c r="AI34" s="29">
        <v>39183</v>
      </c>
      <c r="AJ34" s="29">
        <v>310195</v>
      </c>
      <c r="AK34" s="29">
        <v>110694</v>
      </c>
      <c r="AL34" s="29"/>
      <c r="AM34" s="29"/>
      <c r="AN34" s="29"/>
      <c r="AO34" s="29"/>
      <c r="AP34" s="29"/>
      <c r="AQ34" s="29"/>
      <c r="AR34" s="29"/>
      <c r="AS34" s="29"/>
      <c r="AT34" s="29"/>
      <c r="AU34" s="29">
        <v>562117</v>
      </c>
      <c r="AV34" s="31">
        <v>45293</v>
      </c>
      <c r="AW34" s="31">
        <v>45657</v>
      </c>
      <c r="AX34" s="188" t="s">
        <v>1311</v>
      </c>
      <c r="AY34" s="4"/>
      <c r="AZ34" s="4"/>
      <c r="BA34" s="4"/>
      <c r="BB34" s="4"/>
      <c r="BC34" s="4"/>
      <c r="BD34" s="4"/>
      <c r="BE34" s="4"/>
      <c r="BF34" s="4"/>
      <c r="BG34" s="4"/>
      <c r="BH34" s="4"/>
      <c r="BI34" s="4"/>
      <c r="BJ34" s="4"/>
      <c r="BK34" s="4"/>
      <c r="BL34" s="4"/>
      <c r="BM34" s="4"/>
      <c r="BN34" s="4"/>
      <c r="BO34" s="4"/>
      <c r="BP34" s="4"/>
      <c r="BQ34" s="4"/>
      <c r="BR34" s="4"/>
    </row>
    <row r="35" spans="1:70" ht="103.5" customHeight="1" x14ac:dyDescent="0.2">
      <c r="A35" s="24">
        <v>3</v>
      </c>
      <c r="B35" s="188" t="s">
        <v>403</v>
      </c>
      <c r="C35" s="23">
        <v>32</v>
      </c>
      <c r="D35" s="188" t="s">
        <v>431</v>
      </c>
      <c r="E35" s="24">
        <v>3202</v>
      </c>
      <c r="F35" s="188" t="s">
        <v>1409</v>
      </c>
      <c r="G35" s="37" t="s">
        <v>70</v>
      </c>
      <c r="H35" s="188" t="s">
        <v>1418</v>
      </c>
      <c r="I35" s="37">
        <v>3202037</v>
      </c>
      <c r="J35" s="188" t="s">
        <v>1410</v>
      </c>
      <c r="K35" s="37" t="s">
        <v>70</v>
      </c>
      <c r="L35" s="188" t="s">
        <v>1419</v>
      </c>
      <c r="M35" s="37">
        <v>320203700</v>
      </c>
      <c r="N35" s="188" t="s">
        <v>1420</v>
      </c>
      <c r="O35" s="23">
        <v>60</v>
      </c>
      <c r="P35" s="23">
        <f t="shared" si="2"/>
        <v>60</v>
      </c>
      <c r="Q35" s="24">
        <v>2020003630086</v>
      </c>
      <c r="R35" s="188" t="s">
        <v>1413</v>
      </c>
      <c r="S35" s="25">
        <f>SUM($W$35:$W$35)/SUM($W$34:$W$36)</f>
        <v>0.65465129697866498</v>
      </c>
      <c r="T35" s="188" t="s">
        <v>1414</v>
      </c>
      <c r="U35" s="188" t="s">
        <v>1415</v>
      </c>
      <c r="V35" s="188" t="s">
        <v>1421</v>
      </c>
      <c r="W35" s="684">
        <v>909464416</v>
      </c>
      <c r="X35" s="684">
        <v>17200000</v>
      </c>
      <c r="Y35" s="684"/>
      <c r="Z35" s="684"/>
      <c r="AA35" s="677">
        <f t="shared" si="1"/>
        <v>892264416</v>
      </c>
      <c r="AB35" s="690" t="s">
        <v>1417</v>
      </c>
      <c r="AC35" s="28"/>
      <c r="AD35" s="377">
        <v>20</v>
      </c>
      <c r="AE35" s="188" t="s">
        <v>132</v>
      </c>
      <c r="AF35" s="29">
        <v>291786</v>
      </c>
      <c r="AG35" s="29">
        <v>270331</v>
      </c>
      <c r="AH35" s="29">
        <v>102045</v>
      </c>
      <c r="AI35" s="29">
        <v>39183</v>
      </c>
      <c r="AJ35" s="29">
        <v>310195</v>
      </c>
      <c r="AK35" s="29">
        <v>110694</v>
      </c>
      <c r="AL35" s="29"/>
      <c r="AM35" s="29"/>
      <c r="AN35" s="29"/>
      <c r="AO35" s="29"/>
      <c r="AP35" s="29"/>
      <c r="AQ35" s="29"/>
      <c r="AR35" s="29"/>
      <c r="AS35" s="29"/>
      <c r="AT35" s="29"/>
      <c r="AU35" s="29">
        <v>562117</v>
      </c>
      <c r="AV35" s="31">
        <v>45293</v>
      </c>
      <c r="AW35" s="31">
        <v>45657</v>
      </c>
      <c r="AX35" s="188" t="s">
        <v>1311</v>
      </c>
      <c r="AY35" s="4"/>
      <c r="AZ35" s="4"/>
      <c r="BA35" s="4"/>
      <c r="BB35" s="4"/>
      <c r="BC35" s="4"/>
      <c r="BD35" s="4"/>
      <c r="BE35" s="4"/>
      <c r="BF35" s="4"/>
      <c r="BG35" s="4"/>
      <c r="BH35" s="4"/>
      <c r="BI35" s="4"/>
      <c r="BJ35" s="4"/>
      <c r="BK35" s="4"/>
      <c r="BL35" s="4"/>
      <c r="BM35" s="4"/>
      <c r="BN35" s="4"/>
      <c r="BO35" s="4"/>
      <c r="BP35" s="4"/>
      <c r="BQ35" s="4"/>
      <c r="BR35" s="4"/>
    </row>
    <row r="36" spans="1:70" ht="85.5" customHeight="1" x14ac:dyDescent="0.2">
      <c r="A36" s="24">
        <v>3</v>
      </c>
      <c r="B36" s="188" t="s">
        <v>403</v>
      </c>
      <c r="C36" s="23">
        <v>32</v>
      </c>
      <c r="D36" s="188" t="s">
        <v>431</v>
      </c>
      <c r="E36" s="24">
        <v>3202</v>
      </c>
      <c r="F36" s="188" t="s">
        <v>1409</v>
      </c>
      <c r="G36" s="23">
        <v>3202017</v>
      </c>
      <c r="H36" s="188" t="s">
        <v>1422</v>
      </c>
      <c r="I36" s="23">
        <v>3202043</v>
      </c>
      <c r="J36" s="188" t="s">
        <v>1422</v>
      </c>
      <c r="K36" s="23">
        <v>320201700</v>
      </c>
      <c r="L36" s="188" t="s">
        <v>1423</v>
      </c>
      <c r="M36" s="23">
        <v>320204300</v>
      </c>
      <c r="N36" s="188" t="s">
        <v>1424</v>
      </c>
      <c r="O36" s="37">
        <v>1</v>
      </c>
      <c r="P36" s="23">
        <f t="shared" si="2"/>
        <v>1</v>
      </c>
      <c r="Q36" s="24">
        <v>2020003630086</v>
      </c>
      <c r="R36" s="188" t="s">
        <v>1413</v>
      </c>
      <c r="S36" s="25">
        <f>SUM($W$36:$W$36)/SUM($W$34:$W$36)</f>
        <v>0.28056484156228501</v>
      </c>
      <c r="T36" s="188" t="s">
        <v>1414</v>
      </c>
      <c r="U36" s="188" t="s">
        <v>1415</v>
      </c>
      <c r="V36" s="188" t="s">
        <v>1425</v>
      </c>
      <c r="W36" s="682">
        <v>389770464</v>
      </c>
      <c r="X36" s="682"/>
      <c r="Y36" s="682"/>
      <c r="Z36" s="682"/>
      <c r="AA36" s="677">
        <f t="shared" si="1"/>
        <v>389770464</v>
      </c>
      <c r="AB36" s="690" t="s">
        <v>1426</v>
      </c>
      <c r="AC36" s="28"/>
      <c r="AD36" s="377">
        <v>20</v>
      </c>
      <c r="AE36" s="188" t="s">
        <v>132</v>
      </c>
      <c r="AF36" s="29">
        <v>291786</v>
      </c>
      <c r="AG36" s="29">
        <v>270331</v>
      </c>
      <c r="AH36" s="29">
        <v>102045</v>
      </c>
      <c r="AI36" s="29">
        <v>39183</v>
      </c>
      <c r="AJ36" s="29">
        <v>310195</v>
      </c>
      <c r="AK36" s="29">
        <v>110694</v>
      </c>
      <c r="AL36" s="29"/>
      <c r="AM36" s="29"/>
      <c r="AN36" s="29"/>
      <c r="AO36" s="29"/>
      <c r="AP36" s="29"/>
      <c r="AQ36" s="29"/>
      <c r="AR36" s="29"/>
      <c r="AS36" s="29"/>
      <c r="AT36" s="29"/>
      <c r="AU36" s="29">
        <v>562117</v>
      </c>
      <c r="AV36" s="31">
        <v>45293</v>
      </c>
      <c r="AW36" s="31">
        <v>45657</v>
      </c>
      <c r="AX36" s="188" t="s">
        <v>1311</v>
      </c>
      <c r="AY36" s="4"/>
      <c r="AZ36" s="4"/>
      <c r="BA36" s="4"/>
      <c r="BB36" s="4"/>
      <c r="BC36" s="4"/>
      <c r="BD36" s="4"/>
      <c r="BE36" s="4"/>
      <c r="BF36" s="4"/>
      <c r="BG36" s="4"/>
      <c r="BH36" s="4"/>
      <c r="BI36" s="4"/>
      <c r="BJ36" s="4"/>
      <c r="BK36" s="4"/>
      <c r="BL36" s="4"/>
      <c r="BM36" s="4"/>
      <c r="BN36" s="4"/>
      <c r="BO36" s="4"/>
      <c r="BP36" s="4"/>
      <c r="BQ36" s="4"/>
      <c r="BR36" s="4"/>
    </row>
    <row r="37" spans="1:70" ht="108.75" customHeight="1" x14ac:dyDescent="0.2">
      <c r="A37" s="24">
        <v>3</v>
      </c>
      <c r="B37" s="188" t="s">
        <v>403</v>
      </c>
      <c r="C37" s="23">
        <v>32</v>
      </c>
      <c r="D37" s="188" t="s">
        <v>431</v>
      </c>
      <c r="E37" s="24">
        <v>3202</v>
      </c>
      <c r="F37" s="188" t="s">
        <v>1409</v>
      </c>
      <c r="G37" s="23" t="s">
        <v>70</v>
      </c>
      <c r="H37" s="188" t="s">
        <v>1427</v>
      </c>
      <c r="I37" s="23">
        <v>3202014</v>
      </c>
      <c r="J37" s="188" t="s">
        <v>1428</v>
      </c>
      <c r="K37" s="23" t="s">
        <v>70</v>
      </c>
      <c r="L37" s="188" t="s">
        <v>1429</v>
      </c>
      <c r="M37" s="23">
        <v>32021402</v>
      </c>
      <c r="N37" s="188" t="s">
        <v>1430</v>
      </c>
      <c r="O37" s="37">
        <v>1</v>
      </c>
      <c r="P37" s="23">
        <f t="shared" si="2"/>
        <v>1</v>
      </c>
      <c r="Q37" s="24">
        <v>2020003630028</v>
      </c>
      <c r="R37" s="188" t="s">
        <v>1431</v>
      </c>
      <c r="S37" s="25">
        <f>SUM($W$37:$W$37)/SUM($W$37:$W$37)</f>
        <v>1</v>
      </c>
      <c r="T37" s="188" t="s">
        <v>1432</v>
      </c>
      <c r="U37" s="188" t="s">
        <v>1433</v>
      </c>
      <c r="V37" s="188" t="s">
        <v>1434</v>
      </c>
      <c r="W37" s="682">
        <v>76000000</v>
      </c>
      <c r="X37" s="682"/>
      <c r="Y37" s="682"/>
      <c r="Z37" s="682"/>
      <c r="AA37" s="677">
        <f t="shared" si="1"/>
        <v>76000000</v>
      </c>
      <c r="AB37" s="690" t="s">
        <v>1435</v>
      </c>
      <c r="AC37" s="28"/>
      <c r="AD37" s="377">
        <v>20</v>
      </c>
      <c r="AE37" s="188" t="s">
        <v>132</v>
      </c>
      <c r="AF37" s="29">
        <v>6100</v>
      </c>
      <c r="AG37" s="29">
        <v>5060</v>
      </c>
      <c r="AH37" s="29">
        <v>2550</v>
      </c>
      <c r="AI37" s="29">
        <v>2150</v>
      </c>
      <c r="AJ37" s="29">
        <v>5500</v>
      </c>
      <c r="AK37" s="29">
        <v>960</v>
      </c>
      <c r="AL37" s="29"/>
      <c r="AM37" s="29"/>
      <c r="AN37" s="29"/>
      <c r="AO37" s="29"/>
      <c r="AP37" s="29"/>
      <c r="AQ37" s="29"/>
      <c r="AR37" s="29"/>
      <c r="AS37" s="29"/>
      <c r="AT37" s="29"/>
      <c r="AU37" s="29">
        <v>11160</v>
      </c>
      <c r="AV37" s="31">
        <v>45293</v>
      </c>
      <c r="AW37" s="31">
        <v>45657</v>
      </c>
      <c r="AX37" s="188" t="s">
        <v>1311</v>
      </c>
      <c r="AY37" s="4"/>
      <c r="AZ37" s="4"/>
      <c r="BA37" s="4"/>
      <c r="BB37" s="4"/>
      <c r="BC37" s="4"/>
      <c r="BD37" s="4"/>
      <c r="BE37" s="4"/>
      <c r="BF37" s="4"/>
      <c r="BG37" s="4"/>
      <c r="BH37" s="4"/>
      <c r="BI37" s="4"/>
      <c r="BJ37" s="4"/>
      <c r="BK37" s="4"/>
      <c r="BL37" s="4"/>
      <c r="BM37" s="4"/>
      <c r="BN37" s="4"/>
      <c r="BO37" s="4"/>
      <c r="BP37" s="4"/>
      <c r="BQ37" s="4"/>
      <c r="BR37" s="4"/>
    </row>
    <row r="38" spans="1:70" ht="108.75" customHeight="1" x14ac:dyDescent="0.2">
      <c r="A38" s="24">
        <v>3</v>
      </c>
      <c r="B38" s="188" t="s">
        <v>403</v>
      </c>
      <c r="C38" s="23">
        <v>32</v>
      </c>
      <c r="D38" s="188" t="s">
        <v>431</v>
      </c>
      <c r="E38" s="24">
        <v>3202</v>
      </c>
      <c r="F38" s="188" t="s">
        <v>1409</v>
      </c>
      <c r="G38" s="23" t="s">
        <v>70</v>
      </c>
      <c r="H38" s="188" t="s">
        <v>1436</v>
      </c>
      <c r="I38" s="23">
        <v>3202014</v>
      </c>
      <c r="J38" s="188" t="s">
        <v>1428</v>
      </c>
      <c r="K38" s="23" t="s">
        <v>70</v>
      </c>
      <c r="L38" s="188" t="s">
        <v>1437</v>
      </c>
      <c r="M38" s="23">
        <v>320201402</v>
      </c>
      <c r="N38" s="188" t="s">
        <v>1430</v>
      </c>
      <c r="O38" s="37">
        <v>1</v>
      </c>
      <c r="P38" s="23">
        <f t="shared" si="2"/>
        <v>1</v>
      </c>
      <c r="Q38" s="24">
        <v>2020003630087</v>
      </c>
      <c r="R38" s="188" t="s">
        <v>1438</v>
      </c>
      <c r="S38" s="25">
        <f>SUM($W$38:$W$38)/SUM($W$38:$W$38)</f>
        <v>1</v>
      </c>
      <c r="T38" s="188" t="s">
        <v>1439</v>
      </c>
      <c r="U38" s="188" t="s">
        <v>1440</v>
      </c>
      <c r="V38" s="188" t="s">
        <v>1441</v>
      </c>
      <c r="W38" s="682">
        <v>94000000</v>
      </c>
      <c r="X38" s="682"/>
      <c r="Y38" s="682"/>
      <c r="Z38" s="682"/>
      <c r="AA38" s="677">
        <f t="shared" si="1"/>
        <v>94000000</v>
      </c>
      <c r="AB38" s="690" t="s">
        <v>1442</v>
      </c>
      <c r="AC38" s="28"/>
      <c r="AD38" s="377">
        <v>20</v>
      </c>
      <c r="AE38" s="188" t="s">
        <v>132</v>
      </c>
      <c r="AF38" s="29">
        <v>6100</v>
      </c>
      <c r="AG38" s="29">
        <v>5060</v>
      </c>
      <c r="AH38" s="29">
        <v>2550</v>
      </c>
      <c r="AI38" s="29">
        <v>2150</v>
      </c>
      <c r="AJ38" s="29">
        <v>5500</v>
      </c>
      <c r="AK38" s="29">
        <v>960</v>
      </c>
      <c r="AL38" s="29"/>
      <c r="AM38" s="29"/>
      <c r="AN38" s="29"/>
      <c r="AO38" s="29"/>
      <c r="AP38" s="29"/>
      <c r="AQ38" s="29"/>
      <c r="AR38" s="29"/>
      <c r="AS38" s="29"/>
      <c r="AT38" s="29"/>
      <c r="AU38" s="29">
        <v>11160</v>
      </c>
      <c r="AV38" s="31">
        <v>45293</v>
      </c>
      <c r="AW38" s="31">
        <v>45657</v>
      </c>
      <c r="AX38" s="188" t="s">
        <v>1311</v>
      </c>
      <c r="AY38" s="4"/>
      <c r="AZ38" s="4"/>
      <c r="BA38" s="4"/>
      <c r="BB38" s="4"/>
      <c r="BC38" s="4"/>
      <c r="BD38" s="4"/>
      <c r="BE38" s="4"/>
      <c r="BF38" s="4"/>
      <c r="BG38" s="4"/>
      <c r="BH38" s="4"/>
      <c r="BI38" s="4"/>
      <c r="BJ38" s="4"/>
      <c r="BK38" s="4"/>
      <c r="BL38" s="4"/>
      <c r="BM38" s="4"/>
      <c r="BN38" s="4"/>
      <c r="BO38" s="4"/>
      <c r="BP38" s="4"/>
      <c r="BQ38" s="4"/>
      <c r="BR38" s="4"/>
    </row>
    <row r="39" spans="1:70" ht="130.5" customHeight="1" x14ac:dyDescent="0.2">
      <c r="A39" s="24">
        <v>3</v>
      </c>
      <c r="B39" s="188" t="s">
        <v>403</v>
      </c>
      <c r="C39" s="23">
        <v>32</v>
      </c>
      <c r="D39" s="188" t="s">
        <v>431</v>
      </c>
      <c r="E39" s="24">
        <v>3204</v>
      </c>
      <c r="F39" s="188" t="s">
        <v>1443</v>
      </c>
      <c r="G39" s="23">
        <v>3204012</v>
      </c>
      <c r="H39" s="188" t="s">
        <v>1444</v>
      </c>
      <c r="I39" s="23">
        <v>3204012</v>
      </c>
      <c r="J39" s="188" t="s">
        <v>1444</v>
      </c>
      <c r="K39" s="23">
        <v>320401200</v>
      </c>
      <c r="L39" s="188" t="s">
        <v>1445</v>
      </c>
      <c r="M39" s="23" t="s">
        <v>1446</v>
      </c>
      <c r="N39" s="188" t="s">
        <v>1445</v>
      </c>
      <c r="O39" s="23">
        <v>5</v>
      </c>
      <c r="P39" s="23">
        <f t="shared" si="2"/>
        <v>5</v>
      </c>
      <c r="Q39" s="24">
        <v>2020003630029</v>
      </c>
      <c r="R39" s="188" t="s">
        <v>1447</v>
      </c>
      <c r="S39" s="25">
        <f>SUM($W$39:$W$39)/SUM($W$39:$W$39)</f>
        <v>1</v>
      </c>
      <c r="T39" s="188" t="s">
        <v>1448</v>
      </c>
      <c r="U39" s="188" t="s">
        <v>1449</v>
      </c>
      <c r="V39" s="188" t="s">
        <v>1450</v>
      </c>
      <c r="W39" s="682">
        <v>168000000</v>
      </c>
      <c r="X39" s="682">
        <f>17200000</f>
        <v>17200000</v>
      </c>
      <c r="Y39" s="682"/>
      <c r="Z39" s="682"/>
      <c r="AA39" s="677">
        <f t="shared" si="1"/>
        <v>150800000</v>
      </c>
      <c r="AB39" s="690" t="s">
        <v>1451</v>
      </c>
      <c r="AC39" s="28"/>
      <c r="AD39" s="377">
        <v>20</v>
      </c>
      <c r="AE39" s="188" t="s">
        <v>132</v>
      </c>
      <c r="AF39" s="29">
        <v>6100</v>
      </c>
      <c r="AG39" s="29">
        <v>5060</v>
      </c>
      <c r="AH39" s="29">
        <v>2550</v>
      </c>
      <c r="AI39" s="29">
        <v>2150</v>
      </c>
      <c r="AJ39" s="29">
        <v>5500</v>
      </c>
      <c r="AK39" s="29">
        <v>960</v>
      </c>
      <c r="AL39" s="29"/>
      <c r="AM39" s="29"/>
      <c r="AN39" s="29"/>
      <c r="AO39" s="29"/>
      <c r="AP39" s="29"/>
      <c r="AQ39" s="29"/>
      <c r="AR39" s="29"/>
      <c r="AS39" s="29"/>
      <c r="AT39" s="29"/>
      <c r="AU39" s="29">
        <v>11160</v>
      </c>
      <c r="AV39" s="31">
        <v>45293</v>
      </c>
      <c r="AW39" s="31">
        <v>45657</v>
      </c>
      <c r="AX39" s="188" t="s">
        <v>1311</v>
      </c>
      <c r="AY39" s="4"/>
      <c r="AZ39" s="4"/>
      <c r="BA39" s="4"/>
      <c r="BB39" s="4"/>
      <c r="BC39" s="4"/>
      <c r="BD39" s="4"/>
      <c r="BE39" s="4"/>
      <c r="BF39" s="4"/>
      <c r="BG39" s="4"/>
      <c r="BH39" s="4"/>
      <c r="BI39" s="4"/>
      <c r="BJ39" s="4"/>
      <c r="BK39" s="4"/>
      <c r="BL39" s="4"/>
      <c r="BM39" s="4"/>
      <c r="BN39" s="4"/>
      <c r="BO39" s="4"/>
      <c r="BP39" s="4"/>
      <c r="BQ39" s="4"/>
      <c r="BR39" s="4"/>
    </row>
    <row r="40" spans="1:70" ht="122.25" customHeight="1" x14ac:dyDescent="0.2">
      <c r="A40" s="24">
        <v>3</v>
      </c>
      <c r="B40" s="188" t="s">
        <v>403</v>
      </c>
      <c r="C40" s="23">
        <v>32</v>
      </c>
      <c r="D40" s="188" t="s">
        <v>431</v>
      </c>
      <c r="E40" s="24">
        <v>3205</v>
      </c>
      <c r="F40" s="188" t="s">
        <v>432</v>
      </c>
      <c r="G40" s="23">
        <v>3205009</v>
      </c>
      <c r="H40" s="188" t="s">
        <v>1452</v>
      </c>
      <c r="I40" s="23" t="s">
        <v>1453</v>
      </c>
      <c r="J40" s="188" t="s">
        <v>1452</v>
      </c>
      <c r="K40" s="23" t="s">
        <v>1454</v>
      </c>
      <c r="L40" s="188" t="s">
        <v>1455</v>
      </c>
      <c r="M40" s="23" t="s">
        <v>1454</v>
      </c>
      <c r="N40" s="188" t="s">
        <v>1455</v>
      </c>
      <c r="O40" s="23">
        <v>300</v>
      </c>
      <c r="P40" s="23">
        <f t="shared" si="2"/>
        <v>300</v>
      </c>
      <c r="Q40" s="24">
        <v>2020003630030</v>
      </c>
      <c r="R40" s="188" t="s">
        <v>1456</v>
      </c>
      <c r="S40" s="25">
        <f>SUM($W$40:$W$40)/SUM($W$40:$W$42)</f>
        <v>0.25</v>
      </c>
      <c r="T40" s="188" t="s">
        <v>1457</v>
      </c>
      <c r="U40" s="188" t="s">
        <v>1458</v>
      </c>
      <c r="V40" s="188" t="s">
        <v>1459</v>
      </c>
      <c r="W40" s="682">
        <v>95000000</v>
      </c>
      <c r="X40" s="682"/>
      <c r="Y40" s="682"/>
      <c r="Z40" s="682"/>
      <c r="AA40" s="677">
        <f t="shared" si="1"/>
        <v>95000000</v>
      </c>
      <c r="AB40" s="690" t="s">
        <v>1460</v>
      </c>
      <c r="AC40" s="28"/>
      <c r="AD40" s="377">
        <v>20</v>
      </c>
      <c r="AE40" s="188" t="s">
        <v>132</v>
      </c>
      <c r="AF40" s="29">
        <v>295972</v>
      </c>
      <c r="AG40" s="29">
        <v>285580</v>
      </c>
      <c r="AH40" s="29">
        <v>135545</v>
      </c>
      <c r="AI40" s="29">
        <v>44254</v>
      </c>
      <c r="AJ40" s="29">
        <v>309146</v>
      </c>
      <c r="AK40" s="29">
        <v>92607</v>
      </c>
      <c r="AL40" s="29"/>
      <c r="AM40" s="29"/>
      <c r="AN40" s="29"/>
      <c r="AO40" s="29"/>
      <c r="AP40" s="29"/>
      <c r="AQ40" s="29"/>
      <c r="AR40" s="29"/>
      <c r="AS40" s="29"/>
      <c r="AT40" s="29"/>
      <c r="AU40" s="29">
        <v>581552</v>
      </c>
      <c r="AV40" s="31">
        <v>45293</v>
      </c>
      <c r="AW40" s="31">
        <v>45657</v>
      </c>
      <c r="AX40" s="188" t="s">
        <v>1311</v>
      </c>
      <c r="AY40" s="4"/>
      <c r="AZ40" s="4"/>
      <c r="BA40" s="4"/>
      <c r="BB40" s="4"/>
      <c r="BC40" s="4"/>
      <c r="BD40" s="4"/>
      <c r="BE40" s="4"/>
      <c r="BF40" s="4"/>
      <c r="BG40" s="4"/>
      <c r="BH40" s="4"/>
      <c r="BI40" s="4"/>
      <c r="BJ40" s="4"/>
      <c r="BK40" s="4"/>
      <c r="BL40" s="4"/>
      <c r="BM40" s="4"/>
      <c r="BN40" s="4"/>
      <c r="BO40" s="4"/>
      <c r="BP40" s="4"/>
      <c r="BQ40" s="4"/>
      <c r="BR40" s="4"/>
    </row>
    <row r="41" spans="1:70" ht="86.25" customHeight="1" x14ac:dyDescent="0.2">
      <c r="A41" s="24">
        <v>3</v>
      </c>
      <c r="B41" s="188" t="s">
        <v>403</v>
      </c>
      <c r="C41" s="23">
        <v>32</v>
      </c>
      <c r="D41" s="188" t="s">
        <v>431</v>
      </c>
      <c r="E41" s="24">
        <v>3205</v>
      </c>
      <c r="F41" s="188" t="s">
        <v>432</v>
      </c>
      <c r="G41" s="23">
        <v>3205014</v>
      </c>
      <c r="H41" s="188" t="s">
        <v>1461</v>
      </c>
      <c r="I41" s="23" t="s">
        <v>1462</v>
      </c>
      <c r="J41" s="188" t="s">
        <v>1461</v>
      </c>
      <c r="K41" s="23">
        <v>320501400</v>
      </c>
      <c r="L41" s="188" t="s">
        <v>1463</v>
      </c>
      <c r="M41" s="23" t="s">
        <v>1464</v>
      </c>
      <c r="N41" s="188" t="s">
        <v>1463</v>
      </c>
      <c r="O41" s="23">
        <v>20</v>
      </c>
      <c r="P41" s="23">
        <f t="shared" si="2"/>
        <v>20</v>
      </c>
      <c r="Q41" s="24">
        <v>2020003630030</v>
      </c>
      <c r="R41" s="188" t="s">
        <v>1456</v>
      </c>
      <c r="S41" s="25">
        <f>SUM($W$41:$W$41)/SUM($W$40:$W$42)</f>
        <v>0.39473684210526316</v>
      </c>
      <c r="T41" s="188" t="s">
        <v>1457</v>
      </c>
      <c r="U41" s="188" t="s">
        <v>1465</v>
      </c>
      <c r="V41" s="188" t="s">
        <v>1466</v>
      </c>
      <c r="W41" s="682">
        <v>150000000</v>
      </c>
      <c r="X41" s="682"/>
      <c r="Y41" s="682"/>
      <c r="Z41" s="682"/>
      <c r="AA41" s="677">
        <f t="shared" si="1"/>
        <v>150000000</v>
      </c>
      <c r="AB41" s="690" t="s">
        <v>1467</v>
      </c>
      <c r="AC41" s="28"/>
      <c r="AD41" s="377">
        <v>20</v>
      </c>
      <c r="AE41" s="188" t="s">
        <v>132</v>
      </c>
      <c r="AF41" s="29">
        <v>295972</v>
      </c>
      <c r="AG41" s="29">
        <v>285580</v>
      </c>
      <c r="AH41" s="29">
        <v>135545</v>
      </c>
      <c r="AI41" s="29">
        <v>44254</v>
      </c>
      <c r="AJ41" s="29">
        <v>309146</v>
      </c>
      <c r="AK41" s="29">
        <v>92607</v>
      </c>
      <c r="AL41" s="29"/>
      <c r="AM41" s="29"/>
      <c r="AN41" s="29"/>
      <c r="AO41" s="29"/>
      <c r="AP41" s="29"/>
      <c r="AQ41" s="29"/>
      <c r="AR41" s="29"/>
      <c r="AS41" s="29"/>
      <c r="AT41" s="29"/>
      <c r="AU41" s="29">
        <v>581552</v>
      </c>
      <c r="AV41" s="31">
        <v>45293</v>
      </c>
      <c r="AW41" s="31">
        <v>45657</v>
      </c>
      <c r="AX41" s="188" t="s">
        <v>1311</v>
      </c>
      <c r="AY41" s="4"/>
      <c r="AZ41" s="4"/>
      <c r="BA41" s="4"/>
      <c r="BB41" s="4"/>
      <c r="BC41" s="4"/>
      <c r="BD41" s="4"/>
      <c r="BE41" s="4"/>
      <c r="BF41" s="4"/>
      <c r="BG41" s="4"/>
      <c r="BH41" s="4"/>
      <c r="BI41" s="4"/>
      <c r="BJ41" s="4"/>
      <c r="BK41" s="4"/>
      <c r="BL41" s="4"/>
      <c r="BM41" s="4"/>
      <c r="BN41" s="4"/>
      <c r="BO41" s="4"/>
      <c r="BP41" s="4"/>
      <c r="BQ41" s="4"/>
      <c r="BR41" s="4"/>
    </row>
    <row r="42" spans="1:70" ht="99" customHeight="1" x14ac:dyDescent="0.2">
      <c r="A42" s="24">
        <v>3</v>
      </c>
      <c r="B42" s="188" t="s">
        <v>403</v>
      </c>
      <c r="C42" s="23">
        <v>32</v>
      </c>
      <c r="D42" s="188" t="s">
        <v>431</v>
      </c>
      <c r="E42" s="24">
        <v>3205</v>
      </c>
      <c r="F42" s="188" t="s">
        <v>432</v>
      </c>
      <c r="G42" s="23">
        <v>3205010</v>
      </c>
      <c r="H42" s="188" t="s">
        <v>433</v>
      </c>
      <c r="I42" s="23">
        <v>3205010</v>
      </c>
      <c r="J42" s="188" t="s">
        <v>433</v>
      </c>
      <c r="K42" s="23" t="s">
        <v>434</v>
      </c>
      <c r="L42" s="188" t="s">
        <v>435</v>
      </c>
      <c r="M42" s="23" t="s">
        <v>434</v>
      </c>
      <c r="N42" s="188" t="s">
        <v>435</v>
      </c>
      <c r="O42" s="23">
        <v>1</v>
      </c>
      <c r="P42" s="23">
        <f t="shared" si="2"/>
        <v>1</v>
      </c>
      <c r="Q42" s="24">
        <v>2020003630030</v>
      </c>
      <c r="R42" s="188" t="s">
        <v>1456</v>
      </c>
      <c r="S42" s="25">
        <f>SUM($W$42:$W$42)/SUM($W$40:$W$42)</f>
        <v>0.35526315789473684</v>
      </c>
      <c r="T42" s="188" t="s">
        <v>1457</v>
      </c>
      <c r="U42" s="188" t="s">
        <v>1468</v>
      </c>
      <c r="V42" s="188" t="s">
        <v>1469</v>
      </c>
      <c r="W42" s="682">
        <v>135000000</v>
      </c>
      <c r="X42" s="682"/>
      <c r="Y42" s="682"/>
      <c r="Z42" s="682"/>
      <c r="AA42" s="677">
        <f t="shared" si="1"/>
        <v>135000000</v>
      </c>
      <c r="AB42" s="690" t="s">
        <v>1470</v>
      </c>
      <c r="AC42" s="526"/>
      <c r="AD42" s="377">
        <v>20</v>
      </c>
      <c r="AE42" s="188" t="s">
        <v>132</v>
      </c>
      <c r="AF42" s="29">
        <v>295972</v>
      </c>
      <c r="AG42" s="29">
        <v>285580</v>
      </c>
      <c r="AH42" s="29">
        <v>135545</v>
      </c>
      <c r="AI42" s="29">
        <v>44254</v>
      </c>
      <c r="AJ42" s="29">
        <v>309146</v>
      </c>
      <c r="AK42" s="29">
        <v>92607</v>
      </c>
      <c r="AL42" s="29"/>
      <c r="AM42" s="29"/>
      <c r="AN42" s="29"/>
      <c r="AO42" s="29"/>
      <c r="AP42" s="29"/>
      <c r="AQ42" s="29"/>
      <c r="AR42" s="29"/>
      <c r="AS42" s="29"/>
      <c r="AT42" s="29"/>
      <c r="AU42" s="29">
        <v>581552</v>
      </c>
      <c r="AV42" s="31">
        <v>45293</v>
      </c>
      <c r="AW42" s="31">
        <v>45657</v>
      </c>
      <c r="AX42" s="188" t="s">
        <v>1311</v>
      </c>
      <c r="AY42" s="4"/>
      <c r="AZ42" s="4"/>
      <c r="BA42" s="4"/>
      <c r="BB42" s="4"/>
      <c r="BC42" s="4"/>
      <c r="BD42" s="4"/>
      <c r="BE42" s="4"/>
      <c r="BF42" s="4"/>
      <c r="BG42" s="4"/>
      <c r="BH42" s="4"/>
      <c r="BI42" s="4"/>
      <c r="BJ42" s="4"/>
      <c r="BK42" s="4"/>
      <c r="BL42" s="4"/>
      <c r="BM42" s="4"/>
      <c r="BN42" s="4"/>
      <c r="BO42" s="4"/>
      <c r="BP42" s="4"/>
      <c r="BQ42" s="4"/>
      <c r="BR42" s="4"/>
    </row>
    <row r="43" spans="1:70" ht="111" customHeight="1" x14ac:dyDescent="0.2">
      <c r="A43" s="24">
        <v>3</v>
      </c>
      <c r="B43" s="188" t="s">
        <v>403</v>
      </c>
      <c r="C43" s="23">
        <v>32</v>
      </c>
      <c r="D43" s="188" t="s">
        <v>431</v>
      </c>
      <c r="E43" s="24">
        <v>3206</v>
      </c>
      <c r="F43" s="188" t="s">
        <v>1471</v>
      </c>
      <c r="G43" s="23">
        <v>3206005</v>
      </c>
      <c r="H43" s="188" t="s">
        <v>1472</v>
      </c>
      <c r="I43" s="23" t="s">
        <v>1473</v>
      </c>
      <c r="J43" s="188" t="s">
        <v>1472</v>
      </c>
      <c r="K43" s="23">
        <v>320600500</v>
      </c>
      <c r="L43" s="188" t="s">
        <v>1474</v>
      </c>
      <c r="M43" s="23" t="s">
        <v>1475</v>
      </c>
      <c r="N43" s="188" t="s">
        <v>1474</v>
      </c>
      <c r="O43" s="23">
        <v>4</v>
      </c>
      <c r="P43" s="23">
        <f t="shared" si="2"/>
        <v>4</v>
      </c>
      <c r="Q43" s="24">
        <v>2020003630088</v>
      </c>
      <c r="R43" s="188" t="s">
        <v>1476</v>
      </c>
      <c r="S43" s="25">
        <f>SUM($W$43:$W$43)/SUM($W$43:$W$45)</f>
        <v>0.24625267615858665</v>
      </c>
      <c r="T43" s="188" t="s">
        <v>1477</v>
      </c>
      <c r="U43" s="188" t="s">
        <v>1478</v>
      </c>
      <c r="V43" s="188" t="s">
        <v>1479</v>
      </c>
      <c r="W43" s="682">
        <v>115000000</v>
      </c>
      <c r="X43" s="682">
        <f>14800000</f>
        <v>14800000</v>
      </c>
      <c r="Y43" s="682"/>
      <c r="Z43" s="682"/>
      <c r="AA43" s="677">
        <f t="shared" si="1"/>
        <v>100200000</v>
      </c>
      <c r="AB43" s="690" t="s">
        <v>1480</v>
      </c>
      <c r="AC43" s="28"/>
      <c r="AD43" s="377">
        <v>20</v>
      </c>
      <c r="AE43" s="188" t="s">
        <v>132</v>
      </c>
      <c r="AF43" s="29">
        <v>291786</v>
      </c>
      <c r="AG43" s="29">
        <v>270331</v>
      </c>
      <c r="AH43" s="29">
        <v>102045</v>
      </c>
      <c r="AI43" s="29">
        <v>39183</v>
      </c>
      <c r="AJ43" s="29">
        <v>310195</v>
      </c>
      <c r="AK43" s="29">
        <v>110694</v>
      </c>
      <c r="AL43" s="29"/>
      <c r="AM43" s="29"/>
      <c r="AN43" s="29"/>
      <c r="AO43" s="29"/>
      <c r="AP43" s="29"/>
      <c r="AQ43" s="29"/>
      <c r="AR43" s="29"/>
      <c r="AS43" s="29"/>
      <c r="AT43" s="29"/>
      <c r="AU43" s="29">
        <v>562117</v>
      </c>
      <c r="AV43" s="31">
        <v>45293</v>
      </c>
      <c r="AW43" s="31">
        <v>45657</v>
      </c>
      <c r="AX43" s="188" t="s">
        <v>1311</v>
      </c>
      <c r="AY43" s="4"/>
      <c r="AZ43" s="4"/>
      <c r="BA43" s="4"/>
      <c r="BB43" s="4"/>
      <c r="BC43" s="4"/>
      <c r="BD43" s="4"/>
      <c r="BE43" s="4"/>
      <c r="BF43" s="4"/>
      <c r="BG43" s="4"/>
      <c r="BH43" s="4"/>
      <c r="BI43" s="4"/>
      <c r="BJ43" s="4"/>
      <c r="BK43" s="4"/>
      <c r="BL43" s="4"/>
      <c r="BM43" s="4"/>
      <c r="BN43" s="4"/>
      <c r="BO43" s="4"/>
      <c r="BP43" s="4"/>
      <c r="BQ43" s="4"/>
      <c r="BR43" s="4"/>
    </row>
    <row r="44" spans="1:70" ht="99.75" customHeight="1" x14ac:dyDescent="0.2">
      <c r="A44" s="24">
        <v>3</v>
      </c>
      <c r="B44" s="188" t="s">
        <v>403</v>
      </c>
      <c r="C44" s="23">
        <v>32</v>
      </c>
      <c r="D44" s="188" t="s">
        <v>431</v>
      </c>
      <c r="E44" s="24">
        <v>3206</v>
      </c>
      <c r="F44" s="188" t="s">
        <v>1471</v>
      </c>
      <c r="G44" s="23">
        <v>3206014</v>
      </c>
      <c r="H44" s="188" t="s">
        <v>1481</v>
      </c>
      <c r="I44" s="23">
        <v>3206014</v>
      </c>
      <c r="J44" s="188" t="s">
        <v>1481</v>
      </c>
      <c r="K44" s="23" t="s">
        <v>1482</v>
      </c>
      <c r="L44" s="188" t="s">
        <v>1483</v>
      </c>
      <c r="M44" s="23" t="s">
        <v>1482</v>
      </c>
      <c r="N44" s="188" t="s">
        <v>1483</v>
      </c>
      <c r="O44" s="23">
        <v>2000</v>
      </c>
      <c r="P44" s="23">
        <f t="shared" si="2"/>
        <v>2000</v>
      </c>
      <c r="Q44" s="24">
        <v>2020003630088</v>
      </c>
      <c r="R44" s="188" t="s">
        <v>1476</v>
      </c>
      <c r="S44" s="25">
        <f>SUM($W$44:$W$44)/SUM($W$43:$W$45)</f>
        <v>0.23126338282719441</v>
      </c>
      <c r="T44" s="188" t="s">
        <v>1477</v>
      </c>
      <c r="U44" s="188" t="s">
        <v>1478</v>
      </c>
      <c r="V44" s="188" t="s">
        <v>1484</v>
      </c>
      <c r="W44" s="682">
        <v>108000000</v>
      </c>
      <c r="X44" s="682"/>
      <c r="Y44" s="682"/>
      <c r="Z44" s="682"/>
      <c r="AA44" s="677">
        <f t="shared" si="1"/>
        <v>108000000</v>
      </c>
      <c r="AB44" s="690" t="s">
        <v>1485</v>
      </c>
      <c r="AC44" s="28"/>
      <c r="AD44" s="377">
        <v>20</v>
      </c>
      <c r="AE44" s="188" t="s">
        <v>132</v>
      </c>
      <c r="AF44" s="29">
        <v>291786</v>
      </c>
      <c r="AG44" s="29">
        <v>270331</v>
      </c>
      <c r="AH44" s="29">
        <v>102045</v>
      </c>
      <c r="AI44" s="29">
        <v>39183</v>
      </c>
      <c r="AJ44" s="29">
        <v>310195</v>
      </c>
      <c r="AK44" s="29">
        <v>110694</v>
      </c>
      <c r="AL44" s="29"/>
      <c r="AM44" s="29"/>
      <c r="AN44" s="29"/>
      <c r="AO44" s="29"/>
      <c r="AP44" s="29"/>
      <c r="AQ44" s="29"/>
      <c r="AR44" s="29"/>
      <c r="AS44" s="29"/>
      <c r="AT44" s="29"/>
      <c r="AU44" s="29">
        <v>562117</v>
      </c>
      <c r="AV44" s="31">
        <v>45293</v>
      </c>
      <c r="AW44" s="31">
        <v>45657</v>
      </c>
      <c r="AX44" s="188" t="s">
        <v>1311</v>
      </c>
      <c r="AY44" s="4"/>
      <c r="AZ44" s="4"/>
      <c r="BA44" s="4"/>
      <c r="BB44" s="4"/>
      <c r="BC44" s="4"/>
      <c r="BD44" s="4"/>
      <c r="BE44" s="4"/>
      <c r="BF44" s="4"/>
      <c r="BG44" s="4"/>
      <c r="BH44" s="4"/>
      <c r="BI44" s="4"/>
      <c r="BJ44" s="4"/>
      <c r="BK44" s="4"/>
      <c r="BL44" s="4"/>
      <c r="BM44" s="4"/>
      <c r="BN44" s="4"/>
      <c r="BO44" s="4"/>
      <c r="BP44" s="4"/>
      <c r="BQ44" s="4"/>
      <c r="BR44" s="4"/>
    </row>
    <row r="45" spans="1:70" ht="85.5" customHeight="1" x14ac:dyDescent="0.2">
      <c r="A45" s="24">
        <v>3</v>
      </c>
      <c r="B45" s="188" t="s">
        <v>403</v>
      </c>
      <c r="C45" s="23">
        <v>32</v>
      </c>
      <c r="D45" s="188" t="s">
        <v>431</v>
      </c>
      <c r="E45" s="24">
        <v>3206</v>
      </c>
      <c r="F45" s="188" t="s">
        <v>1471</v>
      </c>
      <c r="G45" s="23">
        <v>3206015</v>
      </c>
      <c r="H45" s="188" t="s">
        <v>1486</v>
      </c>
      <c r="I45" s="23" t="s">
        <v>1487</v>
      </c>
      <c r="J45" s="188" t="s">
        <v>1486</v>
      </c>
      <c r="K45" s="23" t="s">
        <v>1488</v>
      </c>
      <c r="L45" s="188" t="s">
        <v>1489</v>
      </c>
      <c r="M45" s="23" t="s">
        <v>1488</v>
      </c>
      <c r="N45" s="188" t="s">
        <v>1489</v>
      </c>
      <c r="O45" s="23">
        <v>50</v>
      </c>
      <c r="P45" s="23">
        <f t="shared" si="2"/>
        <v>50</v>
      </c>
      <c r="Q45" s="24">
        <v>2020003630088</v>
      </c>
      <c r="R45" s="188" t="s">
        <v>1476</v>
      </c>
      <c r="S45" s="25">
        <f>SUM($W$45:$W$45)/SUM($W$43:$W$45)</f>
        <v>0.52248394101421891</v>
      </c>
      <c r="T45" s="188" t="s">
        <v>1477</v>
      </c>
      <c r="U45" s="188" t="s">
        <v>1478</v>
      </c>
      <c r="V45" s="188" t="s">
        <v>1490</v>
      </c>
      <c r="W45" s="682">
        <v>244000000.94999999</v>
      </c>
      <c r="X45" s="682"/>
      <c r="Y45" s="682"/>
      <c r="Z45" s="682"/>
      <c r="AA45" s="677">
        <f t="shared" si="1"/>
        <v>244000000.94999999</v>
      </c>
      <c r="AB45" s="690" t="s">
        <v>1491</v>
      </c>
      <c r="AC45" s="28"/>
      <c r="AD45" s="377">
        <v>20</v>
      </c>
      <c r="AE45" s="188" t="s">
        <v>132</v>
      </c>
      <c r="AF45" s="29">
        <v>291786</v>
      </c>
      <c r="AG45" s="29">
        <v>270331</v>
      </c>
      <c r="AH45" s="29">
        <v>102045</v>
      </c>
      <c r="AI45" s="29">
        <v>39183</v>
      </c>
      <c r="AJ45" s="29">
        <v>310195</v>
      </c>
      <c r="AK45" s="29">
        <v>110694</v>
      </c>
      <c r="AL45" s="29"/>
      <c r="AM45" s="29"/>
      <c r="AN45" s="29"/>
      <c r="AO45" s="29"/>
      <c r="AP45" s="29"/>
      <c r="AQ45" s="29"/>
      <c r="AR45" s="29"/>
      <c r="AS45" s="29"/>
      <c r="AT45" s="29"/>
      <c r="AU45" s="29">
        <v>562117</v>
      </c>
      <c r="AV45" s="31">
        <v>45293</v>
      </c>
      <c r="AW45" s="31">
        <v>45657</v>
      </c>
      <c r="AX45" s="188" t="s">
        <v>1311</v>
      </c>
      <c r="AY45" s="4"/>
      <c r="AZ45" s="4"/>
      <c r="BA45" s="4"/>
      <c r="BB45" s="4"/>
      <c r="BC45" s="4"/>
      <c r="BD45" s="4"/>
      <c r="BE45" s="4"/>
      <c r="BF45" s="4"/>
      <c r="BG45" s="4"/>
      <c r="BH45" s="4"/>
      <c r="BI45" s="4"/>
      <c r="BJ45" s="4"/>
      <c r="BK45" s="4"/>
      <c r="BL45" s="4"/>
      <c r="BM45" s="4"/>
      <c r="BN45" s="4"/>
      <c r="BO45" s="4"/>
      <c r="BP45" s="4"/>
      <c r="BQ45" s="4"/>
      <c r="BR45" s="4"/>
    </row>
    <row r="46" spans="1:70" ht="27" customHeight="1" x14ac:dyDescent="0.2">
      <c r="A46" s="527"/>
      <c r="B46" s="916"/>
      <c r="C46" s="528"/>
      <c r="D46" s="916"/>
      <c r="E46" s="528"/>
      <c r="F46" s="916"/>
      <c r="G46" s="528"/>
      <c r="H46" s="916"/>
      <c r="I46" s="528"/>
      <c r="J46" s="916"/>
      <c r="K46" s="528"/>
      <c r="L46" s="916"/>
      <c r="M46" s="528"/>
      <c r="N46" s="916"/>
      <c r="O46" s="528"/>
      <c r="P46" s="528"/>
      <c r="Q46" s="527"/>
      <c r="R46" s="916"/>
      <c r="S46" s="529"/>
      <c r="T46" s="916"/>
      <c r="U46" s="916"/>
      <c r="V46" s="922" t="s">
        <v>526</v>
      </c>
      <c r="W46" s="685">
        <f>SUM(W9:W45)</f>
        <v>5259947534.9499998</v>
      </c>
      <c r="X46" s="685">
        <f>SUM(X9:X45)</f>
        <v>193200000</v>
      </c>
      <c r="Y46" s="685">
        <f>SUM(Y9:Y45)</f>
        <v>0</v>
      </c>
      <c r="Z46" s="685">
        <f>SUM(Z9:Z45)</f>
        <v>0</v>
      </c>
      <c r="AA46" s="685">
        <f>SUM(AA9:AA45)</f>
        <v>5066747534.9499998</v>
      </c>
      <c r="AB46" s="692">
        <f>SUM(AB10:AB45)</f>
        <v>0</v>
      </c>
      <c r="AC46" s="530">
        <f>SUM(AC10:AC45)</f>
        <v>0</v>
      </c>
      <c r="AD46" s="527"/>
      <c r="AE46" s="528"/>
      <c r="AF46" s="528"/>
      <c r="AG46" s="528"/>
      <c r="AH46" s="528"/>
      <c r="AI46" s="528"/>
      <c r="AJ46" s="528"/>
      <c r="AK46" s="528"/>
      <c r="AL46" s="528"/>
      <c r="AM46" s="528"/>
      <c r="AN46" s="528"/>
      <c r="AO46" s="528"/>
      <c r="AP46" s="528"/>
      <c r="AQ46" s="528"/>
      <c r="AR46" s="528"/>
      <c r="AS46" s="528"/>
      <c r="AT46" s="528"/>
      <c r="AU46" s="528"/>
      <c r="AV46" s="531"/>
      <c r="AW46" s="531"/>
      <c r="AX46" s="528"/>
      <c r="AY46" s="4"/>
      <c r="AZ46" s="4"/>
      <c r="BA46" s="4"/>
      <c r="BB46" s="4"/>
      <c r="BC46" s="4"/>
      <c r="BD46" s="4"/>
      <c r="BE46" s="4"/>
      <c r="BF46" s="4"/>
      <c r="BG46" s="4"/>
      <c r="BH46" s="4"/>
      <c r="BI46" s="4"/>
      <c r="BJ46" s="4"/>
      <c r="BK46" s="4"/>
      <c r="BL46" s="4"/>
      <c r="BM46" s="4"/>
      <c r="BN46" s="4"/>
      <c r="BO46" s="4"/>
      <c r="BP46" s="4"/>
      <c r="BQ46" s="4"/>
      <c r="BR46" s="4"/>
    </row>
    <row r="47" spans="1:70" ht="27" customHeight="1" x14ac:dyDescent="0.25">
      <c r="A47" s="532"/>
      <c r="B47" s="917"/>
      <c r="C47" s="4"/>
      <c r="D47" s="917"/>
      <c r="E47" s="4"/>
      <c r="F47" s="917"/>
      <c r="G47" s="4"/>
      <c r="H47" s="920"/>
      <c r="I47" s="3"/>
      <c r="J47" s="920"/>
      <c r="K47" s="3"/>
      <c r="L47" s="920"/>
      <c r="M47" s="3"/>
      <c r="N47" s="920"/>
      <c r="O47" s="3"/>
      <c r="P47" s="3"/>
      <c r="Q47" s="533"/>
      <c r="R47" s="920"/>
      <c r="S47" s="534"/>
      <c r="T47" s="920"/>
      <c r="U47" s="920"/>
      <c r="V47" s="920"/>
      <c r="W47" s="535"/>
      <c r="X47"/>
      <c r="Y47"/>
      <c r="Z47"/>
      <c r="AA47"/>
      <c r="AB47" s="536"/>
      <c r="AC47" s="4"/>
      <c r="AD47" s="533"/>
      <c r="AE47" s="3"/>
      <c r="AF47" s="4"/>
      <c r="AG47" s="4"/>
      <c r="AH47" s="4"/>
      <c r="AI47" s="4"/>
      <c r="AJ47" s="4"/>
      <c r="AK47" s="4"/>
      <c r="AL47" s="4"/>
      <c r="AM47" s="4"/>
      <c r="AN47" s="4"/>
      <c r="AO47" s="4"/>
      <c r="AP47" s="4"/>
      <c r="AQ47" s="4"/>
      <c r="AR47" s="4"/>
      <c r="AS47" s="4"/>
      <c r="AT47" s="4"/>
      <c r="AU47" s="4"/>
      <c r="AV47" s="537"/>
      <c r="AW47" s="537"/>
      <c r="AX47" s="4"/>
      <c r="AY47" s="4"/>
      <c r="AZ47" s="4"/>
      <c r="BA47" s="4"/>
      <c r="BB47" s="4"/>
      <c r="BC47" s="4"/>
      <c r="BD47" s="4"/>
      <c r="BE47" s="4"/>
      <c r="BF47" s="4"/>
      <c r="BG47" s="4"/>
      <c r="BH47" s="4"/>
      <c r="BI47" s="4"/>
      <c r="BJ47" s="4"/>
      <c r="BK47" s="4"/>
      <c r="BL47" s="4"/>
      <c r="BM47" s="4"/>
      <c r="BN47" s="4"/>
      <c r="BO47" s="4"/>
      <c r="BP47" s="4"/>
      <c r="BQ47" s="4"/>
      <c r="BR47" s="4"/>
    </row>
    <row r="48" spans="1:70" ht="27" customHeight="1" x14ac:dyDescent="0.25">
      <c r="A48" s="532"/>
      <c r="B48" s="917"/>
      <c r="C48" s="4"/>
      <c r="D48" s="917"/>
      <c r="E48" s="4"/>
      <c r="F48" s="917"/>
      <c r="G48" s="4"/>
      <c r="H48" s="920"/>
      <c r="I48" s="3"/>
      <c r="J48" s="920"/>
      <c r="K48" s="3"/>
      <c r="L48" s="920"/>
      <c r="M48" s="3"/>
      <c r="N48" s="920"/>
      <c r="O48" s="3"/>
      <c r="P48" s="3"/>
      <c r="Q48" s="533"/>
      <c r="R48" s="920"/>
      <c r="S48" s="534"/>
      <c r="T48" s="920"/>
      <c r="U48" s="920"/>
      <c r="V48" s="920"/>
      <c r="W48" s="535"/>
      <c r="X48"/>
      <c r="Y48"/>
      <c r="Z48"/>
      <c r="AA48"/>
      <c r="AB48" s="536"/>
      <c r="AC48" s="4"/>
      <c r="AD48" s="533"/>
      <c r="AE48" s="3"/>
      <c r="AF48" s="4"/>
      <c r="AG48" s="4"/>
      <c r="AH48" s="4"/>
      <c r="AI48" s="4"/>
      <c r="AJ48" s="4"/>
      <c r="AK48" s="4"/>
      <c r="AL48" s="4"/>
      <c r="AM48" s="4"/>
      <c r="AN48" s="4"/>
      <c r="AO48" s="4"/>
      <c r="AP48" s="4"/>
      <c r="AQ48" s="4"/>
      <c r="AR48" s="4"/>
      <c r="AS48" s="4"/>
      <c r="AT48" s="4"/>
      <c r="AU48" s="4"/>
      <c r="AV48" s="537"/>
      <c r="AW48" s="537"/>
      <c r="AX48" s="4"/>
      <c r="AY48" s="4"/>
      <c r="AZ48" s="4"/>
      <c r="BA48" s="4"/>
      <c r="BB48" s="4"/>
      <c r="BC48" s="4"/>
      <c r="BD48" s="4"/>
      <c r="BE48" s="4"/>
      <c r="BF48" s="4"/>
      <c r="BG48" s="4"/>
      <c r="BH48" s="4"/>
      <c r="BI48" s="4"/>
      <c r="BJ48" s="4"/>
      <c r="BK48" s="4"/>
      <c r="BL48" s="4"/>
      <c r="BM48" s="4"/>
      <c r="BN48" s="4"/>
      <c r="BO48" s="4"/>
      <c r="BP48" s="4"/>
      <c r="BQ48" s="4"/>
      <c r="BR48" s="4"/>
    </row>
    <row r="49" spans="1:70" ht="27" customHeight="1" x14ac:dyDescent="0.25">
      <c r="A49" s="532"/>
      <c r="B49" s="917"/>
      <c r="C49" s="4"/>
      <c r="D49" s="917"/>
      <c r="E49" s="4"/>
      <c r="F49" s="917"/>
      <c r="G49" s="4"/>
      <c r="H49" s="920"/>
      <c r="I49" s="3"/>
      <c r="J49" s="920"/>
      <c r="K49" s="3"/>
      <c r="L49" s="920"/>
      <c r="M49" s="3"/>
      <c r="N49" s="920"/>
      <c r="O49" s="3"/>
      <c r="P49" s="3"/>
      <c r="Q49" s="533"/>
      <c r="R49" s="920"/>
      <c r="S49" s="534"/>
      <c r="T49" s="920"/>
      <c r="U49" s="920"/>
      <c r="V49" s="920"/>
      <c r="W49" s="538"/>
      <c r="X49"/>
      <c r="Y49"/>
      <c r="Z49"/>
      <c r="AA49"/>
      <c r="AB49" s="536"/>
      <c r="AC49" s="4"/>
      <c r="AD49" s="533"/>
      <c r="AE49" s="3"/>
      <c r="AF49" s="4"/>
      <c r="AG49" s="4"/>
      <c r="AH49" s="4"/>
      <c r="AI49" s="4"/>
      <c r="AJ49" s="4"/>
      <c r="AK49" s="4"/>
      <c r="AL49" s="4"/>
      <c r="AM49" s="4"/>
      <c r="AN49" s="4"/>
      <c r="AO49" s="4"/>
      <c r="AP49" s="4"/>
      <c r="AQ49" s="4"/>
      <c r="AR49" s="4"/>
      <c r="AS49" s="4"/>
      <c r="AT49" s="4"/>
      <c r="AU49" s="4"/>
      <c r="AV49" s="537"/>
      <c r="AW49" s="537"/>
      <c r="AX49" s="4"/>
      <c r="AY49" s="4"/>
      <c r="AZ49" s="4"/>
      <c r="BA49" s="4"/>
      <c r="BB49" s="4"/>
      <c r="BC49" s="4"/>
      <c r="BD49" s="4"/>
      <c r="BE49" s="4"/>
      <c r="BF49" s="4"/>
      <c r="BG49" s="4"/>
      <c r="BH49" s="4"/>
      <c r="BI49" s="4"/>
      <c r="BJ49" s="4"/>
      <c r="BK49" s="4"/>
      <c r="BL49" s="4"/>
      <c r="BM49" s="4"/>
      <c r="BN49" s="4"/>
      <c r="BO49" s="4"/>
      <c r="BP49" s="4"/>
      <c r="BQ49" s="4"/>
      <c r="BR49" s="4"/>
    </row>
    <row r="50" spans="1:70" ht="27" customHeight="1" x14ac:dyDescent="0.25">
      <c r="A50" s="532"/>
      <c r="B50" s="917"/>
      <c r="C50" s="4"/>
      <c r="D50" s="917"/>
      <c r="E50" s="4"/>
      <c r="F50" s="917"/>
      <c r="G50" s="4"/>
      <c r="H50" s="920"/>
      <c r="I50" s="3"/>
      <c r="J50" s="920"/>
      <c r="K50" s="3"/>
      <c r="L50" s="920"/>
      <c r="M50" s="3"/>
      <c r="N50" s="920"/>
      <c r="O50" s="3"/>
      <c r="P50" s="3"/>
      <c r="Q50" s="533"/>
      <c r="R50" s="920"/>
      <c r="S50" s="534"/>
      <c r="T50" s="920"/>
      <c r="U50" s="1179"/>
      <c r="V50" s="1179"/>
      <c r="W50" s="539"/>
      <c r="X50"/>
      <c r="Y50"/>
      <c r="Z50"/>
      <c r="AA50"/>
      <c r="AB50" s="536"/>
      <c r="AC50" s="4"/>
      <c r="AD50" s="533"/>
      <c r="AE50" s="3"/>
      <c r="AF50" s="4"/>
      <c r="AG50" s="4"/>
      <c r="AH50" s="4"/>
      <c r="AI50" s="4"/>
      <c r="AJ50" s="4"/>
      <c r="AK50" s="4"/>
      <c r="AL50" s="4"/>
      <c r="AM50" s="4"/>
      <c r="AN50" s="4"/>
      <c r="AO50" s="4"/>
      <c r="AP50" s="4"/>
      <c r="AQ50" s="4"/>
      <c r="AR50" s="4"/>
      <c r="AS50" s="4"/>
      <c r="AT50" s="4"/>
      <c r="AU50" s="4"/>
      <c r="AV50" s="537"/>
      <c r="AW50" s="537"/>
      <c r="AX50" s="4"/>
      <c r="AY50" s="4"/>
      <c r="AZ50" s="4"/>
      <c r="BA50" s="4"/>
      <c r="BB50" s="4"/>
      <c r="BC50" s="4"/>
      <c r="BD50" s="4"/>
      <c r="BE50" s="4"/>
      <c r="BF50" s="4"/>
      <c r="BG50" s="4"/>
      <c r="BH50" s="4"/>
      <c r="BI50" s="4"/>
      <c r="BJ50" s="4"/>
      <c r="BK50" s="4"/>
      <c r="BL50" s="4"/>
      <c r="BM50" s="4"/>
      <c r="BN50" s="4"/>
      <c r="BO50" s="4"/>
      <c r="BP50" s="4"/>
      <c r="BQ50" s="4"/>
      <c r="BR50" s="4"/>
    </row>
    <row r="51" spans="1:70" ht="27" customHeight="1" x14ac:dyDescent="0.25">
      <c r="A51" s="532"/>
      <c r="B51" s="917"/>
      <c r="C51" s="4"/>
      <c r="D51" s="917"/>
      <c r="E51" s="4"/>
      <c r="F51" s="917"/>
      <c r="G51" s="4"/>
      <c r="H51" s="921" t="s">
        <v>1492</v>
      </c>
      <c r="I51" s="3"/>
      <c r="J51" s="920"/>
      <c r="K51" s="3"/>
      <c r="L51" s="920"/>
      <c r="M51" s="3"/>
      <c r="N51" s="920"/>
      <c r="O51" s="3"/>
      <c r="P51" s="3"/>
      <c r="Q51" s="533"/>
      <c r="R51" s="920"/>
      <c r="S51" s="534"/>
      <c r="T51" s="920"/>
      <c r="U51" s="920"/>
      <c r="V51" s="920"/>
      <c r="W51" s="535"/>
      <c r="X51"/>
      <c r="Y51"/>
      <c r="Z51"/>
      <c r="AA51"/>
      <c r="AB51" s="536"/>
      <c r="AC51" s="4"/>
      <c r="AD51" s="533"/>
      <c r="AE51" s="3"/>
      <c r="AF51" s="4"/>
      <c r="AG51" s="4"/>
      <c r="AH51" s="4"/>
      <c r="AI51" s="4"/>
      <c r="AJ51" s="4"/>
      <c r="AK51" s="4"/>
      <c r="AL51" s="4"/>
      <c r="AM51" s="4"/>
      <c r="AN51" s="4"/>
      <c r="AO51" s="4"/>
      <c r="AP51" s="4"/>
      <c r="AQ51" s="4"/>
      <c r="AR51" s="4"/>
      <c r="AS51" s="4"/>
      <c r="AT51" s="4"/>
      <c r="AU51" s="4"/>
      <c r="AV51" s="537"/>
      <c r="AW51" s="537"/>
      <c r="AX51" s="4"/>
      <c r="AY51" s="4"/>
      <c r="AZ51" s="4"/>
      <c r="BA51" s="4"/>
      <c r="BB51" s="4"/>
      <c r="BC51" s="4"/>
      <c r="BD51" s="4"/>
      <c r="BE51" s="4"/>
      <c r="BF51" s="4"/>
      <c r="BG51" s="4"/>
      <c r="BH51" s="4"/>
      <c r="BI51" s="4"/>
      <c r="BJ51" s="4"/>
      <c r="BK51" s="4"/>
      <c r="BL51" s="4"/>
      <c r="BM51" s="4"/>
      <c r="BN51" s="4"/>
      <c r="BO51" s="4"/>
      <c r="BP51" s="4"/>
      <c r="BQ51" s="4"/>
      <c r="BR51" s="4"/>
    </row>
    <row r="52" spans="1:70" ht="27" customHeight="1" x14ac:dyDescent="0.25">
      <c r="A52" s="532"/>
      <c r="B52" s="917"/>
      <c r="C52" s="4"/>
      <c r="D52" s="917"/>
      <c r="E52" s="4"/>
      <c r="F52" s="919"/>
      <c r="G52" s="279"/>
      <c r="H52" s="921" t="s">
        <v>1493</v>
      </c>
      <c r="I52" s="540"/>
      <c r="J52" s="921"/>
      <c r="K52" s="3"/>
      <c r="L52" s="920"/>
      <c r="M52" s="3"/>
      <c r="N52" s="920"/>
      <c r="O52" s="3"/>
      <c r="P52" s="3"/>
      <c r="Q52" s="533"/>
      <c r="R52" s="920"/>
      <c r="S52" s="534"/>
      <c r="T52" s="920"/>
      <c r="U52" s="920"/>
      <c r="V52" s="920"/>
      <c r="W52" s="535"/>
      <c r="X52"/>
      <c r="Y52"/>
      <c r="Z52"/>
      <c r="AA52"/>
      <c r="AB52" s="536"/>
      <c r="AC52" s="4"/>
      <c r="AD52" s="533"/>
      <c r="AE52" s="3"/>
      <c r="AF52" s="4"/>
      <c r="AG52" s="4"/>
      <c r="AH52" s="4"/>
      <c r="AI52" s="4"/>
      <c r="AJ52" s="4"/>
      <c r="AK52" s="4"/>
      <c r="AL52" s="4"/>
      <c r="AM52" s="4"/>
      <c r="AN52" s="4"/>
      <c r="AO52" s="4"/>
      <c r="AP52" s="4"/>
      <c r="AQ52" s="4"/>
      <c r="AR52" s="4"/>
      <c r="AS52" s="4"/>
      <c r="AT52" s="4"/>
      <c r="AU52" s="4"/>
      <c r="AV52" s="537"/>
      <c r="AW52" s="537"/>
      <c r="AX52" s="4"/>
      <c r="AY52" s="4"/>
      <c r="AZ52" s="4"/>
      <c r="BA52" s="4"/>
      <c r="BB52" s="4"/>
      <c r="BC52" s="4"/>
      <c r="BD52" s="4"/>
      <c r="BE52" s="4"/>
      <c r="BF52" s="4"/>
      <c r="BG52" s="4"/>
      <c r="BH52" s="4"/>
      <c r="BI52" s="4"/>
      <c r="BJ52" s="4"/>
      <c r="BK52" s="4"/>
      <c r="BL52" s="4"/>
      <c r="BM52" s="4"/>
      <c r="BN52" s="4"/>
      <c r="BO52" s="4"/>
      <c r="BP52" s="4"/>
      <c r="BQ52" s="4"/>
      <c r="BR52" s="4"/>
    </row>
    <row r="53" spans="1:70" ht="27" customHeight="1" x14ac:dyDescent="0.25">
      <c r="A53" s="532"/>
      <c r="B53" s="917"/>
      <c r="C53" s="4"/>
      <c r="D53" s="917"/>
      <c r="E53" s="4"/>
      <c r="F53" s="917"/>
      <c r="G53" s="4"/>
      <c r="H53" s="920"/>
      <c r="I53" s="3"/>
      <c r="J53" s="920"/>
      <c r="K53" s="3"/>
      <c r="L53" s="920"/>
      <c r="M53" s="3"/>
      <c r="N53" s="920"/>
      <c r="O53" s="3"/>
      <c r="P53" s="3"/>
      <c r="Q53" s="533"/>
      <c r="R53" s="920"/>
      <c r="S53" s="534"/>
      <c r="T53" s="920"/>
      <c r="U53" s="920"/>
      <c r="V53" s="920"/>
      <c r="W53" s="535"/>
      <c r="X53"/>
      <c r="Y53"/>
      <c r="Z53"/>
      <c r="AA53"/>
      <c r="AB53" s="536"/>
      <c r="AC53" s="4"/>
      <c r="AD53" s="533"/>
      <c r="AE53" s="3"/>
      <c r="AF53" s="4"/>
      <c r="AG53" s="4"/>
      <c r="AH53" s="4"/>
      <c r="AI53" s="4"/>
      <c r="AJ53" s="4"/>
      <c r="AK53" s="4"/>
      <c r="AL53" s="4"/>
      <c r="AM53" s="4"/>
      <c r="AN53" s="4"/>
      <c r="AO53" s="4"/>
      <c r="AP53" s="4"/>
      <c r="AQ53" s="4"/>
      <c r="AR53" s="4"/>
      <c r="AS53" s="4"/>
      <c r="AT53" s="4"/>
      <c r="AU53" s="4"/>
      <c r="AV53" s="537"/>
      <c r="AW53" s="537"/>
      <c r="AX53" s="4"/>
      <c r="AY53" s="4"/>
      <c r="AZ53" s="4"/>
      <c r="BA53" s="4"/>
      <c r="BB53" s="4"/>
      <c r="BC53" s="4"/>
      <c r="BD53" s="4"/>
      <c r="BE53" s="4"/>
      <c r="BF53" s="4"/>
      <c r="BG53" s="4"/>
      <c r="BH53" s="4"/>
      <c r="BI53" s="4"/>
      <c r="BJ53" s="4"/>
      <c r="BK53" s="4"/>
      <c r="BL53" s="4"/>
      <c r="BM53" s="4"/>
      <c r="BN53" s="4"/>
      <c r="BO53" s="4"/>
      <c r="BP53" s="4"/>
      <c r="BQ53" s="4"/>
      <c r="BR53" s="4"/>
    </row>
    <row r="54" spans="1:70" ht="27" customHeight="1" x14ac:dyDescent="0.25">
      <c r="A54" s="532"/>
      <c r="B54" s="917"/>
      <c r="C54" s="4"/>
      <c r="D54" s="917"/>
      <c r="E54" s="4"/>
      <c r="F54" s="917"/>
      <c r="G54" s="4"/>
      <c r="H54" s="920"/>
      <c r="I54" s="3"/>
      <c r="J54" s="920"/>
      <c r="K54" s="3"/>
      <c r="L54" s="920"/>
      <c r="M54" s="3"/>
      <c r="N54" s="920"/>
      <c r="O54" s="3"/>
      <c r="P54" s="3"/>
      <c r="Q54" s="533"/>
      <c r="R54" s="920"/>
      <c r="S54" s="534"/>
      <c r="T54" s="920"/>
      <c r="U54" s="920"/>
      <c r="V54" s="920"/>
      <c r="W54" s="535"/>
      <c r="X54"/>
      <c r="Y54"/>
      <c r="Z54"/>
      <c r="AA54"/>
      <c r="AB54" s="536"/>
      <c r="AC54" s="4"/>
      <c r="AD54" s="533"/>
      <c r="AE54" s="3"/>
      <c r="AF54" s="4"/>
      <c r="AG54" s="4"/>
      <c r="AH54" s="4"/>
      <c r="AI54" s="4"/>
      <c r="AJ54" s="4"/>
      <c r="AK54" s="4"/>
      <c r="AL54" s="4"/>
      <c r="AM54" s="4"/>
      <c r="AN54" s="4"/>
      <c r="AO54" s="4"/>
      <c r="AP54" s="4"/>
      <c r="AQ54" s="4"/>
      <c r="AR54" s="4"/>
      <c r="AS54" s="4"/>
      <c r="AT54" s="4"/>
      <c r="AU54" s="4"/>
      <c r="AV54" s="537"/>
      <c r="AW54" s="537"/>
      <c r="AX54" s="4"/>
      <c r="AY54" s="4"/>
      <c r="AZ54" s="4"/>
      <c r="BA54" s="4"/>
      <c r="BB54" s="4"/>
      <c r="BC54" s="4"/>
      <c r="BD54" s="4"/>
      <c r="BE54" s="4"/>
      <c r="BF54" s="4"/>
      <c r="BG54" s="4"/>
      <c r="BH54" s="4"/>
      <c r="BI54" s="4"/>
      <c r="BJ54" s="4"/>
      <c r="BK54" s="4"/>
      <c r="BL54" s="4"/>
      <c r="BM54" s="4"/>
      <c r="BN54" s="4"/>
      <c r="BO54" s="4"/>
      <c r="BP54" s="4"/>
      <c r="BQ54" s="4"/>
      <c r="BR54" s="4"/>
    </row>
    <row r="55" spans="1:70" ht="27" customHeight="1" x14ac:dyDescent="0.25">
      <c r="A55" s="532"/>
      <c r="B55" s="917"/>
      <c r="C55" s="4"/>
      <c r="D55" s="917"/>
      <c r="E55" s="4"/>
      <c r="F55" s="917"/>
      <c r="G55" s="4"/>
      <c r="H55" s="920"/>
      <c r="I55" s="3"/>
      <c r="J55" s="920"/>
      <c r="K55" s="3"/>
      <c r="L55" s="920"/>
      <c r="M55" s="3"/>
      <c r="N55" s="920"/>
      <c r="O55" s="3"/>
      <c r="P55" s="3"/>
      <c r="Q55" s="533"/>
      <c r="R55" s="920"/>
      <c r="S55" s="534"/>
      <c r="T55" s="920"/>
      <c r="U55" s="920"/>
      <c r="V55" s="920"/>
      <c r="W55" s="535"/>
      <c r="X55"/>
      <c r="Y55"/>
      <c r="Z55"/>
      <c r="AA55"/>
      <c r="AB55" s="536"/>
      <c r="AC55" s="4"/>
      <c r="AD55" s="533"/>
      <c r="AE55" s="3"/>
      <c r="AF55" s="4"/>
      <c r="AG55" s="4"/>
      <c r="AH55" s="4"/>
      <c r="AI55" s="4"/>
      <c r="AJ55" s="4"/>
      <c r="AK55" s="4"/>
      <c r="AL55" s="4"/>
      <c r="AM55" s="4"/>
      <c r="AN55" s="4"/>
      <c r="AO55" s="4"/>
      <c r="AP55" s="4"/>
      <c r="AQ55" s="4"/>
      <c r="AR55" s="4"/>
      <c r="AS55" s="4"/>
      <c r="AT55" s="4"/>
      <c r="AU55" s="4"/>
      <c r="AV55" s="537"/>
      <c r="AW55" s="537"/>
      <c r="AX55" s="4"/>
      <c r="AY55" s="4"/>
      <c r="AZ55" s="4"/>
      <c r="BA55" s="4"/>
      <c r="BB55" s="4"/>
      <c r="BC55" s="4"/>
      <c r="BD55" s="4"/>
      <c r="BE55" s="4"/>
      <c r="BF55" s="4"/>
      <c r="BG55" s="4"/>
      <c r="BH55" s="4"/>
      <c r="BI55" s="4"/>
      <c r="BJ55" s="4"/>
      <c r="BK55" s="4"/>
      <c r="BL55" s="4"/>
      <c r="BM55" s="4"/>
      <c r="BN55" s="4"/>
      <c r="BO55" s="4"/>
      <c r="BP55" s="4"/>
      <c r="BQ55" s="4"/>
      <c r="BR55" s="4"/>
    </row>
    <row r="56" spans="1:70" ht="27" customHeight="1" x14ac:dyDescent="0.25">
      <c r="A56" s="532"/>
      <c r="B56" s="917"/>
      <c r="C56" s="4"/>
      <c r="D56" s="1076" t="s">
        <v>113</v>
      </c>
      <c r="E56" s="1076"/>
      <c r="F56" s="1077" t="s">
        <v>114</v>
      </c>
      <c r="G56" s="1078"/>
      <c r="H56" s="1077" t="s">
        <v>115</v>
      </c>
      <c r="I56" s="1078"/>
      <c r="J56" s="920"/>
      <c r="K56" s="3"/>
      <c r="L56" s="920"/>
      <c r="M56" s="3"/>
      <c r="N56" s="920"/>
      <c r="O56" s="3"/>
      <c r="P56" s="3"/>
      <c r="Q56" s="533"/>
      <c r="R56" s="920"/>
      <c r="S56" s="534"/>
      <c r="T56" s="920"/>
      <c r="U56" s="920"/>
      <c r="V56" s="920"/>
      <c r="W56" s="535"/>
      <c r="X56"/>
      <c r="Y56"/>
      <c r="Z56"/>
      <c r="AA56"/>
      <c r="AB56" s="536"/>
      <c r="AC56" s="4"/>
      <c r="AD56" s="533"/>
      <c r="AE56" s="3"/>
      <c r="AF56" s="4"/>
      <c r="AG56" s="4"/>
      <c r="AH56" s="4"/>
      <c r="AI56" s="4"/>
      <c r="AJ56" s="4"/>
      <c r="AK56" s="4"/>
      <c r="AL56" s="4"/>
      <c r="AM56" s="4"/>
      <c r="AN56" s="4"/>
      <c r="AO56" s="4"/>
      <c r="AP56" s="4"/>
      <c r="AQ56" s="4"/>
      <c r="AR56" s="4"/>
      <c r="AS56" s="4"/>
      <c r="AT56" s="4"/>
      <c r="AU56" s="4"/>
      <c r="AV56" s="537"/>
      <c r="AW56" s="537"/>
      <c r="AX56" s="4"/>
      <c r="AY56" s="4"/>
      <c r="AZ56" s="4"/>
      <c r="BA56" s="4"/>
      <c r="BB56" s="4"/>
      <c r="BC56" s="4"/>
      <c r="BD56" s="4"/>
      <c r="BE56" s="4"/>
      <c r="BF56" s="4"/>
      <c r="BG56" s="4"/>
      <c r="BH56" s="4"/>
      <c r="BI56" s="4"/>
      <c r="BJ56" s="4"/>
      <c r="BK56" s="4"/>
      <c r="BL56" s="4"/>
      <c r="BM56" s="4"/>
      <c r="BN56" s="4"/>
      <c r="BO56" s="4"/>
      <c r="BP56" s="4"/>
      <c r="BQ56" s="4"/>
      <c r="BR56" s="4"/>
    </row>
    <row r="57" spans="1:70" ht="27" customHeight="1" x14ac:dyDescent="0.25">
      <c r="A57" s="532"/>
      <c r="B57" s="917"/>
      <c r="C57" s="4"/>
      <c r="D57" s="1076" t="s">
        <v>116</v>
      </c>
      <c r="E57" s="1076"/>
      <c r="F57" s="1077" t="s">
        <v>117</v>
      </c>
      <c r="G57" s="1078"/>
      <c r="H57" s="1076" t="s">
        <v>118</v>
      </c>
      <c r="I57" s="1076"/>
      <c r="J57" s="920"/>
      <c r="K57" s="3"/>
      <c r="L57" s="920"/>
      <c r="M57" s="3"/>
      <c r="N57" s="920"/>
      <c r="O57" s="3"/>
      <c r="P57" s="3"/>
      <c r="Q57" s="533"/>
      <c r="R57" s="920"/>
      <c r="S57" s="534"/>
      <c r="T57" s="920"/>
      <c r="U57" s="920"/>
      <c r="V57" s="920"/>
      <c r="W57" s="535"/>
      <c r="X57"/>
      <c r="Y57"/>
      <c r="Z57"/>
      <c r="AA57"/>
      <c r="AB57" s="536"/>
      <c r="AC57" s="4"/>
      <c r="AD57" s="533"/>
      <c r="AE57" s="3"/>
      <c r="AF57" s="4"/>
      <c r="AG57" s="4"/>
      <c r="AH57" s="4"/>
      <c r="AI57" s="4"/>
      <c r="AJ57" s="4"/>
      <c r="AK57" s="4"/>
      <c r="AL57" s="4"/>
      <c r="AM57" s="4"/>
      <c r="AN57" s="4"/>
      <c r="AO57" s="4"/>
      <c r="AP57" s="4"/>
      <c r="AQ57" s="4"/>
      <c r="AR57" s="4"/>
      <c r="AS57" s="4"/>
      <c r="AT57" s="4"/>
      <c r="AU57" s="4"/>
      <c r="AV57" s="537"/>
      <c r="AW57" s="537"/>
      <c r="AX57" s="4"/>
      <c r="AY57" s="4"/>
      <c r="AZ57" s="4"/>
      <c r="BA57" s="4"/>
      <c r="BB57" s="4"/>
      <c r="BC57" s="4"/>
      <c r="BD57" s="4"/>
      <c r="BE57" s="4"/>
      <c r="BF57" s="4"/>
      <c r="BG57" s="4"/>
      <c r="BH57" s="4"/>
      <c r="BI57" s="4"/>
      <c r="BJ57" s="4"/>
      <c r="BK57" s="4"/>
      <c r="BL57" s="4"/>
      <c r="BM57" s="4"/>
      <c r="BN57" s="4"/>
      <c r="BO57" s="4"/>
      <c r="BP57" s="4"/>
      <c r="BQ57" s="4"/>
      <c r="BR57" s="4"/>
    </row>
    <row r="58" spans="1:70" ht="27" customHeight="1" x14ac:dyDescent="0.25">
      <c r="A58" s="532"/>
      <c r="B58" s="917"/>
      <c r="C58" s="4"/>
      <c r="D58" s="1076" t="s">
        <v>119</v>
      </c>
      <c r="E58" s="1076"/>
      <c r="F58" s="1077" t="s">
        <v>120</v>
      </c>
      <c r="G58" s="1078"/>
      <c r="H58" s="1076" t="s">
        <v>121</v>
      </c>
      <c r="I58" s="1076"/>
      <c r="J58" s="920"/>
      <c r="K58" s="3"/>
      <c r="L58" s="920"/>
      <c r="M58" s="3"/>
      <c r="N58" s="920"/>
      <c r="O58" s="3"/>
      <c r="P58" s="3"/>
      <c r="Q58" s="533"/>
      <c r="R58" s="920"/>
      <c r="S58" s="534"/>
      <c r="T58" s="920"/>
      <c r="U58" s="920"/>
      <c r="V58" s="920"/>
      <c r="W58" s="535"/>
      <c r="X58"/>
      <c r="Y58"/>
      <c r="Z58"/>
      <c r="AA58"/>
      <c r="AB58" s="536"/>
      <c r="AC58" s="4"/>
      <c r="AD58" s="533"/>
      <c r="AE58" s="3"/>
      <c r="AF58" s="4"/>
      <c r="AG58" s="4"/>
      <c r="AH58" s="4"/>
      <c r="AI58" s="4"/>
      <c r="AJ58" s="4"/>
      <c r="AK58" s="4"/>
      <c r="AL58" s="4"/>
      <c r="AM58" s="4"/>
      <c r="AN58" s="4"/>
      <c r="AO58" s="4"/>
      <c r="AP58" s="4"/>
      <c r="AQ58" s="4"/>
      <c r="AR58" s="4"/>
      <c r="AS58" s="4"/>
      <c r="AT58" s="4"/>
      <c r="AU58" s="4"/>
      <c r="AV58" s="537"/>
      <c r="AW58" s="537"/>
      <c r="AX58" s="4"/>
      <c r="AY58" s="4"/>
      <c r="AZ58" s="4"/>
      <c r="BA58" s="4"/>
      <c r="BB58" s="4"/>
      <c r="BC58" s="4"/>
      <c r="BD58" s="4"/>
      <c r="BE58" s="4"/>
      <c r="BF58" s="4"/>
      <c r="BG58" s="4"/>
      <c r="BH58" s="4"/>
      <c r="BI58" s="4"/>
      <c r="BJ58" s="4"/>
      <c r="BK58" s="4"/>
      <c r="BL58" s="4"/>
      <c r="BM58" s="4"/>
      <c r="BN58" s="4"/>
      <c r="BO58" s="4"/>
      <c r="BP58" s="4"/>
      <c r="BQ58" s="4"/>
      <c r="BR58" s="4"/>
    </row>
    <row r="59" spans="1:70" ht="27" customHeight="1" x14ac:dyDescent="0.25">
      <c r="A59" s="532"/>
      <c r="B59" s="917"/>
      <c r="C59" s="4"/>
      <c r="D59" s="917"/>
      <c r="E59" s="4"/>
      <c r="F59" s="917"/>
      <c r="G59" s="4"/>
      <c r="H59" s="920"/>
      <c r="I59" s="3"/>
      <c r="J59" s="920"/>
      <c r="K59" s="3"/>
      <c r="L59" s="920"/>
      <c r="M59" s="3"/>
      <c r="N59" s="920"/>
      <c r="O59" s="3"/>
      <c r="P59" s="3"/>
      <c r="Q59" s="533"/>
      <c r="R59" s="920"/>
      <c r="S59" s="534"/>
      <c r="T59" s="920"/>
      <c r="U59" s="920"/>
      <c r="V59" s="920"/>
      <c r="W59" s="535"/>
      <c r="X59"/>
      <c r="Y59"/>
      <c r="Z59"/>
      <c r="AA59"/>
      <c r="AB59" s="536"/>
      <c r="AC59" s="4"/>
      <c r="AD59" s="533"/>
      <c r="AE59" s="3"/>
      <c r="AF59" s="4"/>
      <c r="AG59" s="4"/>
      <c r="AH59" s="4"/>
      <c r="AI59" s="4"/>
      <c r="AJ59" s="4"/>
      <c r="AK59" s="4"/>
      <c r="AL59" s="4"/>
      <c r="AM59" s="4"/>
      <c r="AN59" s="4"/>
      <c r="AO59" s="4"/>
      <c r="AP59" s="4"/>
      <c r="AQ59" s="4"/>
      <c r="AR59" s="4"/>
      <c r="AS59" s="4"/>
      <c r="AT59" s="4"/>
      <c r="AU59" s="4"/>
      <c r="AV59" s="537"/>
      <c r="AW59" s="537"/>
      <c r="AX59" s="4"/>
      <c r="AY59" s="4"/>
      <c r="AZ59" s="4"/>
      <c r="BA59" s="4"/>
      <c r="BB59" s="4"/>
      <c r="BC59" s="4"/>
      <c r="BD59" s="4"/>
      <c r="BE59" s="4"/>
      <c r="BF59" s="4"/>
      <c r="BG59" s="4"/>
      <c r="BH59" s="4"/>
      <c r="BI59" s="4"/>
      <c r="BJ59" s="4"/>
      <c r="BK59" s="4"/>
      <c r="BL59" s="4"/>
      <c r="BM59" s="4"/>
      <c r="BN59" s="4"/>
      <c r="BO59" s="4"/>
      <c r="BP59" s="4"/>
      <c r="BQ59" s="4"/>
      <c r="BR59" s="4"/>
    </row>
    <row r="60" spans="1:70" ht="27" customHeight="1" x14ac:dyDescent="0.25">
      <c r="A60" s="532"/>
      <c r="B60" s="917"/>
      <c r="C60" s="4"/>
      <c r="D60" s="917"/>
      <c r="E60" s="4"/>
      <c r="F60" s="917"/>
      <c r="G60" s="4"/>
      <c r="H60" s="920"/>
      <c r="I60" s="3"/>
      <c r="J60" s="920"/>
      <c r="K60" s="3"/>
      <c r="L60" s="920"/>
      <c r="M60" s="3"/>
      <c r="N60" s="920"/>
      <c r="O60" s="3"/>
      <c r="P60" s="3"/>
      <c r="Q60" s="533"/>
      <c r="R60" s="920"/>
      <c r="S60" s="534"/>
      <c r="T60" s="920"/>
      <c r="U60" s="920"/>
      <c r="V60" s="920"/>
      <c r="W60" s="535"/>
      <c r="X60"/>
      <c r="Y60"/>
      <c r="Z60"/>
      <c r="AA60"/>
      <c r="AB60" s="536"/>
      <c r="AC60" s="4"/>
      <c r="AD60" s="533"/>
      <c r="AE60" s="3"/>
      <c r="AF60" s="4"/>
      <c r="AG60" s="4"/>
      <c r="AH60" s="4"/>
      <c r="AI60" s="4"/>
      <c r="AJ60" s="4"/>
      <c r="AK60" s="4"/>
      <c r="AL60" s="4"/>
      <c r="AM60" s="4"/>
      <c r="AN60" s="4"/>
      <c r="AO60" s="4"/>
      <c r="AP60" s="4"/>
      <c r="AQ60" s="4"/>
      <c r="AR60" s="4"/>
      <c r="AS60" s="4"/>
      <c r="AT60" s="4"/>
      <c r="AU60" s="4"/>
      <c r="AV60" s="537"/>
      <c r="AW60" s="537"/>
      <c r="AX60" s="4"/>
      <c r="AY60" s="4"/>
      <c r="AZ60" s="4"/>
      <c r="BA60" s="4"/>
      <c r="BB60" s="4"/>
      <c r="BC60" s="4"/>
      <c r="BD60" s="4"/>
      <c r="BE60" s="4"/>
      <c r="BF60" s="4"/>
      <c r="BG60" s="4"/>
      <c r="BH60" s="4"/>
      <c r="BI60" s="4"/>
      <c r="BJ60" s="4"/>
      <c r="BK60" s="4"/>
      <c r="BL60" s="4"/>
      <c r="BM60" s="4"/>
      <c r="BN60" s="4"/>
      <c r="BO60" s="4"/>
      <c r="BP60" s="4"/>
      <c r="BQ60" s="4"/>
      <c r="BR60" s="4"/>
    </row>
    <row r="61" spans="1:70" ht="27" customHeight="1" x14ac:dyDescent="0.25">
      <c r="A61" s="532"/>
      <c r="B61" s="917"/>
      <c r="C61" s="4"/>
      <c r="D61" s="917"/>
      <c r="E61" s="4"/>
      <c r="F61" s="917"/>
      <c r="G61" s="4"/>
      <c r="H61" s="920"/>
      <c r="I61" s="3"/>
      <c r="J61" s="920"/>
      <c r="K61" s="3"/>
      <c r="L61" s="920"/>
      <c r="M61" s="3"/>
      <c r="N61" s="920"/>
      <c r="O61" s="3"/>
      <c r="P61" s="3"/>
      <c r="Q61" s="533"/>
      <c r="R61" s="920"/>
      <c r="S61" s="534"/>
      <c r="T61" s="920"/>
      <c r="U61" s="920"/>
      <c r="V61" s="920"/>
      <c r="W61" s="535"/>
      <c r="X61"/>
      <c r="Y61"/>
      <c r="Z61"/>
      <c r="AA61"/>
      <c r="AB61" s="536"/>
      <c r="AC61" s="4"/>
      <c r="AD61" s="533"/>
      <c r="AE61" s="3"/>
      <c r="AF61" s="4"/>
      <c r="AG61" s="4"/>
      <c r="AH61" s="4"/>
      <c r="AI61" s="4"/>
      <c r="AJ61" s="4"/>
      <c r="AK61" s="4"/>
      <c r="AL61" s="4"/>
      <c r="AM61" s="4"/>
      <c r="AN61" s="4"/>
      <c r="AO61" s="4"/>
      <c r="AP61" s="4"/>
      <c r="AQ61" s="4"/>
      <c r="AR61" s="4"/>
      <c r="AS61" s="4"/>
      <c r="AT61" s="4"/>
      <c r="AU61" s="4"/>
      <c r="AV61" s="537"/>
      <c r="AW61" s="537"/>
      <c r="AX61" s="4"/>
      <c r="AY61" s="4"/>
      <c r="AZ61" s="4"/>
      <c r="BA61" s="4"/>
      <c r="BB61" s="4"/>
      <c r="BC61" s="4"/>
      <c r="BD61" s="4"/>
      <c r="BE61" s="4"/>
      <c r="BF61" s="4"/>
      <c r="BG61" s="4"/>
      <c r="BH61" s="4"/>
      <c r="BI61" s="4"/>
      <c r="BJ61" s="4"/>
      <c r="BK61" s="4"/>
      <c r="BL61" s="4"/>
      <c r="BM61" s="4"/>
      <c r="BN61" s="4"/>
      <c r="BO61" s="4"/>
      <c r="BP61" s="4"/>
      <c r="BQ61" s="4"/>
      <c r="BR61" s="4"/>
    </row>
    <row r="62" spans="1:70" ht="27" customHeight="1" x14ac:dyDescent="0.25">
      <c r="A62" s="532"/>
      <c r="B62" s="917"/>
      <c r="C62" s="4"/>
      <c r="D62" s="917"/>
      <c r="E62" s="4"/>
      <c r="F62" s="917"/>
      <c r="G62" s="4"/>
      <c r="H62" s="920"/>
      <c r="I62" s="3"/>
      <c r="J62" s="920"/>
      <c r="K62" s="3"/>
      <c r="L62" s="920"/>
      <c r="M62" s="3"/>
      <c r="N62" s="920"/>
      <c r="O62" s="3"/>
      <c r="P62" s="3"/>
      <c r="Q62" s="533"/>
      <c r="R62" s="920"/>
      <c r="S62" s="534"/>
      <c r="T62" s="920"/>
      <c r="U62" s="920"/>
      <c r="V62" s="920"/>
      <c r="W62" s="535"/>
      <c r="X62"/>
      <c r="Y62"/>
      <c r="Z62"/>
      <c r="AA62"/>
      <c r="AB62" s="536"/>
      <c r="AC62" s="4"/>
      <c r="AD62" s="533"/>
      <c r="AE62" s="3"/>
      <c r="AF62" s="4"/>
      <c r="AG62" s="4"/>
      <c r="AH62" s="4"/>
      <c r="AI62" s="4"/>
      <c r="AJ62" s="4"/>
      <c r="AK62" s="4"/>
      <c r="AL62" s="4"/>
      <c r="AM62" s="4"/>
      <c r="AN62" s="4"/>
      <c r="AO62" s="4"/>
      <c r="AP62" s="4"/>
      <c r="AQ62" s="4"/>
      <c r="AR62" s="4"/>
      <c r="AS62" s="4"/>
      <c r="AT62" s="4"/>
      <c r="AU62" s="4"/>
      <c r="AV62" s="537"/>
      <c r="AW62" s="537"/>
      <c r="AX62" s="4"/>
      <c r="AY62" s="4"/>
      <c r="AZ62" s="4"/>
      <c r="BA62" s="4"/>
      <c r="BB62" s="4"/>
      <c r="BC62" s="4"/>
      <c r="BD62" s="4"/>
      <c r="BE62" s="4"/>
      <c r="BF62" s="4"/>
      <c r="BG62" s="4"/>
      <c r="BH62" s="4"/>
      <c r="BI62" s="4"/>
      <c r="BJ62" s="4"/>
      <c r="BK62" s="4"/>
      <c r="BL62" s="4"/>
      <c r="BM62" s="4"/>
      <c r="BN62" s="4"/>
      <c r="BO62" s="4"/>
      <c r="BP62" s="4"/>
      <c r="BQ62" s="4"/>
      <c r="BR62" s="4"/>
    </row>
    <row r="63" spans="1:70" ht="27" customHeight="1" x14ac:dyDescent="0.25">
      <c r="A63" s="532"/>
      <c r="B63" s="917"/>
      <c r="C63" s="4"/>
      <c r="D63" s="917"/>
      <c r="E63" s="4"/>
      <c r="F63" s="917"/>
      <c r="G63" s="4"/>
      <c r="H63" s="920"/>
      <c r="I63" s="3"/>
      <c r="J63" s="920"/>
      <c r="K63" s="3"/>
      <c r="L63" s="920"/>
      <c r="M63" s="3"/>
      <c r="N63" s="920"/>
      <c r="O63" s="3"/>
      <c r="P63" s="3"/>
      <c r="Q63" s="533"/>
      <c r="R63" s="920"/>
      <c r="S63" s="534"/>
      <c r="T63" s="920"/>
      <c r="U63" s="920"/>
      <c r="V63" s="920"/>
      <c r="W63" s="535"/>
      <c r="X63"/>
      <c r="Y63"/>
      <c r="Z63"/>
      <c r="AA63"/>
      <c r="AB63" s="536"/>
      <c r="AC63" s="4"/>
      <c r="AD63" s="533"/>
      <c r="AE63" s="3"/>
      <c r="AF63" s="4"/>
      <c r="AG63" s="4"/>
      <c r="AH63" s="4"/>
      <c r="AI63" s="4"/>
      <c r="AJ63" s="4"/>
      <c r="AK63" s="4"/>
      <c r="AL63" s="4"/>
      <c r="AM63" s="4"/>
      <c r="AN63" s="4"/>
      <c r="AO63" s="4"/>
      <c r="AP63" s="4"/>
      <c r="AQ63" s="4"/>
      <c r="AR63" s="4"/>
      <c r="AS63" s="4"/>
      <c r="AT63" s="4"/>
      <c r="AU63" s="4"/>
      <c r="AV63" s="537"/>
      <c r="AW63" s="537"/>
      <c r="AX63" s="4"/>
      <c r="AY63" s="4"/>
      <c r="AZ63" s="4"/>
      <c r="BA63" s="4"/>
      <c r="BB63" s="4"/>
      <c r="BC63" s="4"/>
      <c r="BD63" s="4"/>
      <c r="BE63" s="4"/>
      <c r="BF63" s="4"/>
      <c r="BG63" s="4"/>
      <c r="BH63" s="4"/>
      <c r="BI63" s="4"/>
      <c r="BJ63" s="4"/>
      <c r="BK63" s="4"/>
      <c r="BL63" s="4"/>
      <c r="BM63" s="4"/>
      <c r="BN63" s="4"/>
      <c r="BO63" s="4"/>
      <c r="BP63" s="4"/>
      <c r="BQ63" s="4"/>
      <c r="BR63" s="4"/>
    </row>
    <row r="64" spans="1:70" ht="27" customHeight="1" x14ac:dyDescent="0.25">
      <c r="A64" s="532"/>
      <c r="B64" s="917"/>
      <c r="C64" s="4"/>
      <c r="D64" s="917"/>
      <c r="E64" s="4"/>
      <c r="F64" s="917"/>
      <c r="G64" s="4"/>
      <c r="H64" s="920"/>
      <c r="I64" s="3"/>
      <c r="J64" s="920"/>
      <c r="K64" s="3"/>
      <c r="L64" s="920"/>
      <c r="M64" s="3"/>
      <c r="N64" s="920"/>
      <c r="O64" s="3"/>
      <c r="P64" s="3"/>
      <c r="Q64" s="533"/>
      <c r="R64" s="920"/>
      <c r="S64" s="534"/>
      <c r="T64" s="920"/>
      <c r="U64" s="920"/>
      <c r="V64" s="920"/>
      <c r="W64" s="535"/>
      <c r="X64"/>
      <c r="Y64"/>
      <c r="Z64"/>
      <c r="AA64"/>
      <c r="AB64" s="536"/>
      <c r="AC64" s="4"/>
      <c r="AD64" s="533"/>
      <c r="AE64" s="3"/>
      <c r="AF64" s="4"/>
      <c r="AG64" s="4"/>
      <c r="AH64" s="4"/>
      <c r="AI64" s="4"/>
      <c r="AJ64" s="4"/>
      <c r="AK64" s="4"/>
      <c r="AL64" s="4"/>
      <c r="AM64" s="4"/>
      <c r="AN64" s="4"/>
      <c r="AO64" s="4"/>
      <c r="AP64" s="4"/>
      <c r="AQ64" s="4"/>
      <c r="AR64" s="4"/>
      <c r="AS64" s="4"/>
      <c r="AT64" s="4"/>
      <c r="AU64" s="4"/>
      <c r="AV64" s="537"/>
      <c r="AW64" s="537"/>
      <c r="AX64" s="4"/>
      <c r="AY64" s="4"/>
      <c r="AZ64" s="4"/>
      <c r="BA64" s="4"/>
      <c r="BB64" s="4"/>
      <c r="BC64" s="4"/>
      <c r="BD64" s="4"/>
      <c r="BE64" s="4"/>
      <c r="BF64" s="4"/>
      <c r="BG64" s="4"/>
      <c r="BH64" s="4"/>
      <c r="BI64" s="4"/>
      <c r="BJ64" s="4"/>
      <c r="BK64" s="4"/>
      <c r="BL64" s="4"/>
      <c r="BM64" s="4"/>
      <c r="BN64" s="4"/>
      <c r="BO64" s="4"/>
      <c r="BP64" s="4"/>
      <c r="BQ64" s="4"/>
      <c r="BR64" s="4"/>
    </row>
    <row r="65" spans="1:70" ht="27" customHeight="1" x14ac:dyDescent="0.25">
      <c r="A65" s="532"/>
      <c r="B65" s="917"/>
      <c r="C65" s="4"/>
      <c r="D65" s="917"/>
      <c r="E65" s="4"/>
      <c r="F65" s="917"/>
      <c r="G65" s="4"/>
      <c r="H65" s="920"/>
      <c r="I65" s="3"/>
      <c r="J65" s="920"/>
      <c r="K65" s="3"/>
      <c r="L65" s="920"/>
      <c r="M65" s="3"/>
      <c r="N65" s="920"/>
      <c r="O65" s="3"/>
      <c r="P65" s="3"/>
      <c r="Q65" s="533"/>
      <c r="R65" s="920"/>
      <c r="S65" s="534"/>
      <c r="T65" s="920"/>
      <c r="U65" s="920"/>
      <c r="V65" s="920"/>
      <c r="W65" s="535"/>
      <c r="X65"/>
      <c r="Y65"/>
      <c r="Z65"/>
      <c r="AA65"/>
      <c r="AB65" s="536"/>
      <c r="AC65" s="4"/>
      <c r="AD65" s="533"/>
      <c r="AE65" s="3"/>
      <c r="AF65" s="4"/>
      <c r="AG65" s="4"/>
      <c r="AH65" s="4"/>
      <c r="AI65" s="4"/>
      <c r="AJ65" s="4"/>
      <c r="AK65" s="4"/>
      <c r="AL65" s="4"/>
      <c r="AM65" s="4"/>
      <c r="AN65" s="4"/>
      <c r="AO65" s="4"/>
      <c r="AP65" s="4"/>
      <c r="AQ65" s="4"/>
      <c r="AR65" s="4"/>
      <c r="AS65" s="4"/>
      <c r="AT65" s="4"/>
      <c r="AU65" s="4"/>
      <c r="AV65" s="537"/>
      <c r="AW65" s="537"/>
      <c r="AX65" s="4"/>
      <c r="AY65" s="4"/>
      <c r="AZ65" s="4"/>
      <c r="BA65" s="4"/>
      <c r="BB65" s="4"/>
      <c r="BC65" s="4"/>
      <c r="BD65" s="4"/>
      <c r="BE65" s="4"/>
      <c r="BF65" s="4"/>
      <c r="BG65" s="4"/>
      <c r="BH65" s="4"/>
      <c r="BI65" s="4"/>
      <c r="BJ65" s="4"/>
      <c r="BK65" s="4"/>
      <c r="BL65" s="4"/>
      <c r="BM65" s="4"/>
      <c r="BN65" s="4"/>
      <c r="BO65" s="4"/>
      <c r="BP65" s="4"/>
      <c r="BQ65" s="4"/>
      <c r="BR65" s="4"/>
    </row>
    <row r="66" spans="1:70" ht="27" customHeight="1" x14ac:dyDescent="0.25">
      <c r="A66" s="532"/>
      <c r="B66" s="917"/>
      <c r="C66" s="4"/>
      <c r="D66" s="917"/>
      <c r="E66" s="4"/>
      <c r="F66" s="917"/>
      <c r="G66" s="4"/>
      <c r="H66" s="920"/>
      <c r="I66" s="3"/>
      <c r="J66" s="920"/>
      <c r="K66" s="3"/>
      <c r="L66" s="920"/>
      <c r="M66" s="3"/>
      <c r="N66" s="920"/>
      <c r="O66" s="3"/>
      <c r="P66" s="3"/>
      <c r="Q66" s="533"/>
      <c r="R66" s="920"/>
      <c r="S66" s="534"/>
      <c r="T66" s="920"/>
      <c r="U66" s="920"/>
      <c r="V66" s="920"/>
      <c r="W66" s="535"/>
      <c r="X66"/>
      <c r="Y66"/>
      <c r="Z66"/>
      <c r="AA66"/>
      <c r="AB66" s="536"/>
      <c r="AC66" s="4"/>
      <c r="AD66" s="533"/>
      <c r="AE66" s="3"/>
      <c r="AF66" s="4"/>
      <c r="AG66" s="4"/>
      <c r="AH66" s="4"/>
      <c r="AI66" s="4"/>
      <c r="AJ66" s="4"/>
      <c r="AK66" s="4"/>
      <c r="AL66" s="4"/>
      <c r="AM66" s="4"/>
      <c r="AN66" s="4"/>
      <c r="AO66" s="4"/>
      <c r="AP66" s="4"/>
      <c r="AQ66" s="4"/>
      <c r="AR66" s="4"/>
      <c r="AS66" s="4"/>
      <c r="AT66" s="4"/>
      <c r="AU66" s="4"/>
      <c r="AV66" s="537"/>
      <c r="AW66" s="537"/>
      <c r="AX66" s="4"/>
      <c r="AY66" s="4"/>
      <c r="AZ66" s="4"/>
      <c r="BA66" s="4"/>
      <c r="BB66" s="4"/>
      <c r="BC66" s="4"/>
      <c r="BD66" s="4"/>
      <c r="BE66" s="4"/>
      <c r="BF66" s="4"/>
      <c r="BG66" s="4"/>
      <c r="BH66" s="4"/>
      <c r="BI66" s="4"/>
      <c r="BJ66" s="4"/>
      <c r="BK66" s="4"/>
      <c r="BL66" s="4"/>
      <c r="BM66" s="4"/>
      <c r="BN66" s="4"/>
      <c r="BO66" s="4"/>
      <c r="BP66" s="4"/>
      <c r="BQ66" s="4"/>
      <c r="BR66" s="4"/>
    </row>
    <row r="67" spans="1:70" ht="27" customHeight="1" x14ac:dyDescent="0.25">
      <c r="A67" s="532"/>
      <c r="B67" s="917"/>
      <c r="C67" s="4"/>
      <c r="D67" s="917"/>
      <c r="E67" s="4"/>
      <c r="F67" s="917"/>
      <c r="G67" s="4"/>
      <c r="H67" s="920"/>
      <c r="I67" s="3"/>
      <c r="J67" s="920"/>
      <c r="K67" s="3"/>
      <c r="L67" s="920"/>
      <c r="M67" s="3"/>
      <c r="N67" s="920"/>
      <c r="O67" s="3"/>
      <c r="P67" s="3"/>
      <c r="Q67" s="533"/>
      <c r="R67" s="920"/>
      <c r="S67" s="534"/>
      <c r="T67" s="920"/>
      <c r="U67" s="920"/>
      <c r="V67" s="920"/>
      <c r="W67" s="535"/>
      <c r="X67"/>
      <c r="Y67"/>
      <c r="Z67"/>
      <c r="AA67"/>
      <c r="AB67" s="536"/>
      <c r="AC67" s="4"/>
      <c r="AD67" s="533"/>
      <c r="AE67" s="3"/>
      <c r="AF67" s="4"/>
      <c r="AG67" s="4"/>
      <c r="AH67" s="4"/>
      <c r="AI67" s="4"/>
      <c r="AJ67" s="4"/>
      <c r="AK67" s="4"/>
      <c r="AL67" s="4"/>
      <c r="AM67" s="4"/>
      <c r="AN67" s="4"/>
      <c r="AO67" s="4"/>
      <c r="AP67" s="4"/>
      <c r="AQ67" s="4"/>
      <c r="AR67" s="4"/>
      <c r="AS67" s="4"/>
      <c r="AT67" s="4"/>
      <c r="AU67" s="4"/>
      <c r="AV67" s="537"/>
      <c r="AW67" s="537"/>
      <c r="AX67" s="4"/>
      <c r="AY67" s="4"/>
      <c r="AZ67" s="4"/>
      <c r="BA67" s="4"/>
      <c r="BB67" s="4"/>
      <c r="BC67" s="4"/>
      <c r="BD67" s="4"/>
      <c r="BE67" s="4"/>
      <c r="BF67" s="4"/>
      <c r="BG67" s="4"/>
      <c r="BH67" s="4"/>
      <c r="BI67" s="4"/>
      <c r="BJ67" s="4"/>
      <c r="BK67" s="4"/>
      <c r="BL67" s="4"/>
      <c r="BM67" s="4"/>
      <c r="BN67" s="4"/>
      <c r="BO67" s="4"/>
      <c r="BP67" s="4"/>
      <c r="BQ67" s="4"/>
      <c r="BR67" s="4"/>
    </row>
    <row r="68" spans="1:70" ht="27" customHeight="1" x14ac:dyDescent="0.25">
      <c r="A68" s="532"/>
      <c r="B68" s="917"/>
      <c r="C68" s="4"/>
      <c r="D68" s="917"/>
      <c r="E68" s="4"/>
      <c r="F68" s="917"/>
      <c r="G68" s="4"/>
      <c r="H68" s="920"/>
      <c r="I68" s="3"/>
      <c r="J68" s="920"/>
      <c r="K68" s="3"/>
      <c r="L68" s="920"/>
      <c r="M68" s="3"/>
      <c r="N68" s="920"/>
      <c r="O68" s="3"/>
      <c r="P68" s="3"/>
      <c r="Q68" s="533"/>
      <c r="R68" s="920"/>
      <c r="S68" s="534"/>
      <c r="T68" s="920"/>
      <c r="U68" s="920"/>
      <c r="V68" s="920"/>
      <c r="W68" s="535"/>
      <c r="X68"/>
      <c r="Y68"/>
      <c r="Z68"/>
      <c r="AA68"/>
      <c r="AB68" s="541"/>
      <c r="AC68" s="542"/>
      <c r="AD68" s="533"/>
      <c r="AE68" s="3"/>
      <c r="AF68" s="4"/>
      <c r="AG68" s="4"/>
      <c r="AH68" s="4"/>
      <c r="AI68" s="4"/>
      <c r="AJ68" s="4"/>
      <c r="AK68" s="4"/>
      <c r="AL68" s="4"/>
      <c r="AM68" s="4"/>
      <c r="AN68" s="4"/>
      <c r="AO68" s="4"/>
      <c r="AP68" s="4"/>
      <c r="AQ68" s="4"/>
      <c r="AR68" s="4"/>
      <c r="AS68" s="4"/>
      <c r="AT68" s="4"/>
      <c r="AU68" s="4"/>
      <c r="AV68" s="537"/>
      <c r="AW68" s="537"/>
      <c r="AX68" s="4"/>
      <c r="AY68" s="4"/>
      <c r="AZ68" s="4"/>
      <c r="BA68" s="4"/>
      <c r="BB68" s="4"/>
      <c r="BC68" s="4"/>
      <c r="BD68" s="4"/>
      <c r="BE68" s="4"/>
      <c r="BF68" s="4"/>
      <c r="BG68" s="4"/>
      <c r="BH68" s="4"/>
      <c r="BI68" s="4"/>
      <c r="BJ68" s="4"/>
      <c r="BK68" s="4"/>
      <c r="BL68" s="4"/>
      <c r="BM68" s="4"/>
      <c r="BN68" s="4"/>
      <c r="BO68" s="4"/>
      <c r="BP68" s="4"/>
      <c r="BQ68" s="4"/>
      <c r="BR68" s="4"/>
    </row>
    <row r="69" spans="1:70" ht="27" customHeight="1" x14ac:dyDescent="0.25">
      <c r="A69" s="532"/>
      <c r="B69" s="917"/>
      <c r="C69" s="4"/>
      <c r="D69" s="917"/>
      <c r="E69" s="4"/>
      <c r="F69" s="917"/>
      <c r="G69" s="4"/>
      <c r="H69" s="920"/>
      <c r="I69" s="3"/>
      <c r="J69" s="920"/>
      <c r="K69" s="3"/>
      <c r="L69" s="920"/>
      <c r="M69" s="3"/>
      <c r="N69" s="920"/>
      <c r="O69" s="3"/>
      <c r="P69" s="3"/>
      <c r="Q69" s="533"/>
      <c r="R69" s="920"/>
      <c r="S69" s="534"/>
      <c r="T69" s="920"/>
      <c r="U69" s="920"/>
      <c r="V69" s="920"/>
      <c r="W69" s="535"/>
      <c r="X69"/>
      <c r="Y69"/>
      <c r="Z69"/>
      <c r="AA69"/>
      <c r="AB69" s="536"/>
      <c r="AC69" s="4"/>
      <c r="AD69" s="533"/>
      <c r="AE69" s="3"/>
      <c r="AF69" s="4"/>
      <c r="AG69" s="4"/>
      <c r="AH69" s="4"/>
      <c r="AI69" s="4"/>
      <c r="AJ69" s="4"/>
      <c r="AK69" s="4"/>
      <c r="AL69" s="4"/>
      <c r="AM69" s="4"/>
      <c r="AN69" s="4"/>
      <c r="AO69" s="4"/>
      <c r="AP69" s="4"/>
      <c r="AQ69" s="4"/>
      <c r="AR69" s="4"/>
      <c r="AS69" s="4"/>
      <c r="AT69" s="4"/>
      <c r="AU69" s="4"/>
      <c r="AV69" s="537"/>
      <c r="AW69" s="537"/>
      <c r="AX69" s="4"/>
      <c r="AY69" s="4"/>
      <c r="AZ69" s="4"/>
      <c r="BA69" s="4"/>
      <c r="BB69" s="4"/>
      <c r="BC69" s="4"/>
      <c r="BD69" s="4"/>
      <c r="BE69" s="4"/>
      <c r="BF69" s="4"/>
      <c r="BG69" s="4"/>
      <c r="BH69" s="4"/>
      <c r="BI69" s="4"/>
      <c r="BJ69" s="4"/>
      <c r="BK69" s="4"/>
      <c r="BL69" s="4"/>
      <c r="BM69" s="4"/>
      <c r="BN69" s="4"/>
      <c r="BO69" s="4"/>
      <c r="BP69" s="4"/>
      <c r="BQ69" s="4"/>
      <c r="BR69" s="4"/>
    </row>
    <row r="70" spans="1:70" ht="27" customHeight="1" x14ac:dyDescent="0.25">
      <c r="A70" s="532"/>
      <c r="B70" s="917"/>
      <c r="C70" s="4"/>
      <c r="D70" s="917"/>
      <c r="E70" s="4"/>
      <c r="F70" s="917"/>
      <c r="G70" s="4"/>
      <c r="H70" s="920"/>
      <c r="I70" s="3"/>
      <c r="J70" s="920"/>
      <c r="K70" s="3"/>
      <c r="L70" s="920"/>
      <c r="M70" s="3"/>
      <c r="N70" s="920"/>
      <c r="O70" s="3"/>
      <c r="P70" s="3"/>
      <c r="Q70" s="533"/>
      <c r="R70" s="920"/>
      <c r="S70" s="534"/>
      <c r="T70" s="920"/>
      <c r="U70" s="920"/>
      <c r="V70" s="920"/>
      <c r="W70" s="535"/>
      <c r="X70"/>
      <c r="Y70"/>
      <c r="Z70"/>
      <c r="AA70"/>
      <c r="AB70" s="536"/>
      <c r="AC70" s="4"/>
      <c r="AD70" s="533"/>
      <c r="AE70" s="3"/>
      <c r="AF70" s="4"/>
      <c r="AG70" s="4"/>
      <c r="AH70" s="4"/>
      <c r="AI70" s="4"/>
      <c r="AJ70" s="4"/>
      <c r="AK70" s="4"/>
      <c r="AL70" s="4"/>
      <c r="AM70" s="4"/>
      <c r="AN70" s="4"/>
      <c r="AO70" s="4"/>
      <c r="AP70" s="4"/>
      <c r="AQ70" s="4"/>
      <c r="AR70" s="4"/>
      <c r="AS70" s="4"/>
      <c r="AT70" s="4"/>
      <c r="AU70" s="4"/>
      <c r="AV70" s="537"/>
      <c r="AW70" s="537"/>
      <c r="AX70" s="4"/>
      <c r="AY70" s="4"/>
      <c r="AZ70" s="4"/>
      <c r="BA70" s="4"/>
      <c r="BB70" s="4"/>
      <c r="BC70" s="4"/>
      <c r="BD70" s="4"/>
      <c r="BE70" s="4"/>
      <c r="BF70" s="4"/>
      <c r="BG70" s="4"/>
      <c r="BH70" s="4"/>
      <c r="BI70" s="4"/>
      <c r="BJ70" s="4"/>
      <c r="BK70" s="4"/>
      <c r="BL70" s="4"/>
      <c r="BM70" s="4"/>
      <c r="BN70" s="4"/>
      <c r="BO70" s="4"/>
      <c r="BP70" s="4"/>
      <c r="BQ70" s="4"/>
      <c r="BR70" s="4"/>
    </row>
    <row r="71" spans="1:70" ht="27" customHeight="1" x14ac:dyDescent="0.25">
      <c r="A71" s="532"/>
      <c r="B71" s="917"/>
      <c r="C71" s="4"/>
      <c r="D71" s="917"/>
      <c r="E71" s="4"/>
      <c r="F71" s="917"/>
      <c r="G71" s="4"/>
      <c r="H71" s="920"/>
      <c r="I71" s="3"/>
      <c r="J71" s="920"/>
      <c r="K71" s="3"/>
      <c r="L71" s="920"/>
      <c r="M71" s="3"/>
      <c r="N71" s="920"/>
      <c r="O71" s="3"/>
      <c r="P71" s="3"/>
      <c r="Q71" s="533"/>
      <c r="R71" s="920"/>
      <c r="S71" s="534"/>
      <c r="T71" s="920"/>
      <c r="U71" s="920"/>
      <c r="V71" s="920"/>
      <c r="W71" s="535"/>
      <c r="X71"/>
      <c r="Y71"/>
      <c r="Z71"/>
      <c r="AA71"/>
      <c r="AB71" s="543"/>
      <c r="AC71" s="3"/>
      <c r="AD71" s="533"/>
      <c r="AE71" s="3"/>
      <c r="AF71" s="4"/>
      <c r="AG71" s="4"/>
      <c r="AH71" s="4"/>
      <c r="AI71" s="4"/>
      <c r="AJ71" s="4"/>
      <c r="AK71" s="4"/>
      <c r="AL71" s="4"/>
      <c r="AM71" s="4"/>
      <c r="AN71" s="4"/>
      <c r="AO71" s="4"/>
      <c r="AP71" s="4"/>
      <c r="AQ71" s="4"/>
      <c r="AR71" s="4"/>
      <c r="AS71" s="4"/>
      <c r="AT71" s="4"/>
      <c r="AU71" s="4"/>
      <c r="AV71" s="537"/>
      <c r="AW71" s="537"/>
      <c r="AX71" s="4"/>
      <c r="AY71" s="4"/>
      <c r="AZ71" s="4"/>
      <c r="BA71" s="4"/>
      <c r="BB71" s="4"/>
      <c r="BC71" s="4"/>
      <c r="BD71" s="4"/>
      <c r="BE71" s="4"/>
      <c r="BF71" s="4"/>
      <c r="BG71" s="4"/>
      <c r="BH71" s="4"/>
      <c r="BI71" s="4"/>
      <c r="BJ71" s="4"/>
      <c r="BK71" s="4"/>
      <c r="BL71" s="4"/>
      <c r="BM71" s="4"/>
      <c r="BN71" s="4"/>
      <c r="BO71" s="4"/>
      <c r="BP71" s="4"/>
      <c r="BQ71" s="4"/>
      <c r="BR71" s="4"/>
    </row>
    <row r="72" spans="1:70" ht="27" customHeight="1" x14ac:dyDescent="0.25">
      <c r="A72" s="532"/>
      <c r="B72" s="917"/>
      <c r="C72" s="4"/>
      <c r="D72" s="917"/>
      <c r="E72" s="4"/>
      <c r="F72" s="917"/>
      <c r="G72" s="4"/>
      <c r="H72" s="920"/>
      <c r="I72" s="3"/>
      <c r="J72" s="920"/>
      <c r="K72" s="3"/>
      <c r="L72" s="920"/>
      <c r="M72" s="3"/>
      <c r="N72" s="920"/>
      <c r="O72" s="3"/>
      <c r="P72" s="3"/>
      <c r="Q72" s="533"/>
      <c r="R72" s="920"/>
      <c r="S72" s="534"/>
      <c r="T72" s="920"/>
      <c r="U72" s="920"/>
      <c r="V72" s="920"/>
      <c r="W72" s="535"/>
      <c r="X72"/>
      <c r="Y72"/>
      <c r="Z72"/>
      <c r="AA72"/>
      <c r="AB72" s="543"/>
      <c r="AC72" s="3"/>
      <c r="AD72" s="533"/>
      <c r="AE72" s="3"/>
      <c r="AF72" s="4"/>
      <c r="AG72" s="4"/>
      <c r="AH72" s="4"/>
      <c r="AI72" s="4"/>
      <c r="AJ72" s="4"/>
      <c r="AK72" s="4"/>
      <c r="AL72" s="4"/>
      <c r="AM72" s="4"/>
      <c r="AN72" s="4"/>
      <c r="AO72" s="4"/>
      <c r="AP72" s="4"/>
      <c r="AQ72" s="4"/>
      <c r="AR72" s="4"/>
      <c r="AS72" s="4"/>
      <c r="AT72" s="4"/>
      <c r="AU72" s="4"/>
      <c r="AV72" s="537"/>
      <c r="AW72" s="537"/>
      <c r="AX72" s="4"/>
      <c r="AY72" s="4"/>
      <c r="AZ72" s="4"/>
      <c r="BA72" s="4"/>
      <c r="BB72" s="4"/>
      <c r="BC72" s="4"/>
      <c r="BD72" s="4"/>
      <c r="BE72" s="4"/>
      <c r="BF72" s="4"/>
      <c r="BG72" s="4"/>
      <c r="BH72" s="4"/>
      <c r="BI72" s="4"/>
      <c r="BJ72" s="4"/>
      <c r="BK72" s="4"/>
      <c r="BL72" s="4"/>
      <c r="BM72" s="4"/>
      <c r="BN72" s="4"/>
      <c r="BO72" s="4"/>
      <c r="BP72" s="4"/>
      <c r="BQ72" s="4"/>
      <c r="BR72" s="4"/>
    </row>
    <row r="73" spans="1:70" ht="27" customHeight="1" x14ac:dyDescent="0.25">
      <c r="A73" s="532"/>
      <c r="B73" s="917"/>
      <c r="C73" s="4"/>
      <c r="D73" s="917"/>
      <c r="E73" s="4"/>
      <c r="F73" s="917"/>
      <c r="G73" s="4"/>
      <c r="H73" s="920"/>
      <c r="I73" s="3"/>
      <c r="J73" s="920"/>
      <c r="K73" s="3"/>
      <c r="L73" s="920"/>
      <c r="M73" s="3"/>
      <c r="N73" s="920"/>
      <c r="O73" s="3"/>
      <c r="P73" s="3"/>
      <c r="Q73" s="533"/>
      <c r="R73" s="920"/>
      <c r="S73" s="534"/>
      <c r="T73" s="920"/>
      <c r="U73" s="920"/>
      <c r="V73" s="920"/>
      <c r="W73" s="535"/>
      <c r="X73"/>
      <c r="Y73"/>
      <c r="Z73"/>
      <c r="AA73"/>
      <c r="AB73" s="543"/>
      <c r="AC73" s="3"/>
      <c r="AD73" s="533"/>
      <c r="AE73" s="3"/>
      <c r="AF73" s="4"/>
      <c r="AG73" s="4"/>
      <c r="AH73" s="4"/>
      <c r="AI73" s="4"/>
      <c r="AJ73" s="4"/>
      <c r="AK73" s="4"/>
      <c r="AL73" s="4"/>
      <c r="AM73" s="4"/>
      <c r="AN73" s="4"/>
      <c r="AO73" s="4"/>
      <c r="AP73" s="4"/>
      <c r="AQ73" s="4"/>
      <c r="AR73" s="4"/>
      <c r="AS73" s="4"/>
      <c r="AT73" s="4"/>
      <c r="AU73" s="4"/>
      <c r="AV73" s="537"/>
      <c r="AW73" s="537"/>
      <c r="AX73" s="4"/>
      <c r="AY73" s="4"/>
      <c r="AZ73" s="4"/>
      <c r="BA73" s="4"/>
      <c r="BB73" s="4"/>
      <c r="BC73" s="4"/>
      <c r="BD73" s="4"/>
      <c r="BE73" s="4"/>
      <c r="BF73" s="4"/>
      <c r="BG73" s="4"/>
      <c r="BH73" s="4"/>
      <c r="BI73" s="4"/>
      <c r="BJ73" s="4"/>
      <c r="BK73" s="4"/>
      <c r="BL73" s="4"/>
      <c r="BM73" s="4"/>
      <c r="BN73" s="4"/>
      <c r="BO73" s="4"/>
      <c r="BP73" s="4"/>
      <c r="BQ73" s="4"/>
      <c r="BR73" s="4"/>
    </row>
    <row r="74" spans="1:70" ht="27" customHeight="1" x14ac:dyDescent="0.25">
      <c r="A74" s="532"/>
      <c r="B74" s="917"/>
      <c r="C74" s="4"/>
      <c r="D74" s="917"/>
      <c r="E74" s="4"/>
      <c r="F74" s="917"/>
      <c r="G74" s="4"/>
      <c r="H74" s="920"/>
      <c r="I74" s="3"/>
      <c r="J74" s="920"/>
      <c r="K74" s="3"/>
      <c r="L74" s="920"/>
      <c r="M74" s="3"/>
      <c r="N74" s="920"/>
      <c r="O74" s="3"/>
      <c r="P74" s="3"/>
      <c r="Q74" s="533"/>
      <c r="R74" s="920"/>
      <c r="S74" s="534"/>
      <c r="T74" s="920"/>
      <c r="U74" s="920"/>
      <c r="V74" s="920"/>
      <c r="W74" s="535"/>
      <c r="X74"/>
      <c r="Y74"/>
      <c r="Z74"/>
      <c r="AA74"/>
      <c r="AB74" s="543"/>
      <c r="AC74" s="3"/>
      <c r="AD74" s="533"/>
      <c r="AE74" s="3"/>
      <c r="AF74" s="4"/>
      <c r="AG74" s="4"/>
      <c r="AH74" s="4"/>
      <c r="AI74" s="4"/>
      <c r="AJ74" s="4"/>
      <c r="AK74" s="4"/>
      <c r="AL74" s="4"/>
      <c r="AM74" s="4"/>
      <c r="AN74" s="4"/>
      <c r="AO74" s="4"/>
      <c r="AP74" s="4"/>
      <c r="AQ74" s="4"/>
      <c r="AR74" s="4"/>
      <c r="AS74" s="4"/>
      <c r="AT74" s="4"/>
      <c r="AU74" s="4"/>
      <c r="AV74" s="537"/>
      <c r="AW74" s="537"/>
      <c r="AX74" s="4"/>
      <c r="AY74" s="4"/>
      <c r="AZ74" s="4"/>
      <c r="BA74" s="4"/>
      <c r="BB74" s="4"/>
      <c r="BC74" s="4"/>
      <c r="BD74" s="4"/>
      <c r="BE74" s="4"/>
      <c r="BF74" s="4"/>
      <c r="BG74" s="4"/>
      <c r="BH74" s="4"/>
      <c r="BI74" s="4"/>
      <c r="BJ74" s="4"/>
      <c r="BK74" s="4"/>
      <c r="BL74" s="4"/>
      <c r="BM74" s="4"/>
      <c r="BN74" s="4"/>
      <c r="BO74" s="4"/>
      <c r="BP74" s="4"/>
      <c r="BQ74" s="4"/>
      <c r="BR74" s="4"/>
    </row>
    <row r="75" spans="1:70" ht="27" customHeight="1" x14ac:dyDescent="0.25">
      <c r="A75" s="532"/>
      <c r="B75" s="917"/>
      <c r="C75" s="4"/>
      <c r="D75" s="917"/>
      <c r="E75" s="4"/>
      <c r="F75" s="917"/>
      <c r="G75" s="4"/>
      <c r="H75" s="920"/>
      <c r="I75" s="3"/>
      <c r="J75" s="920"/>
      <c r="K75" s="3"/>
      <c r="L75" s="920"/>
      <c r="M75" s="3"/>
      <c r="N75" s="920"/>
      <c r="O75" s="3"/>
      <c r="P75" s="3"/>
      <c r="Q75" s="533"/>
      <c r="R75" s="920"/>
      <c r="S75" s="534"/>
      <c r="T75" s="920"/>
      <c r="U75" s="920"/>
      <c r="V75" s="920"/>
      <c r="W75" s="535"/>
      <c r="X75"/>
      <c r="Y75"/>
      <c r="Z75"/>
      <c r="AA75"/>
      <c r="AB75" s="543"/>
      <c r="AC75" s="3"/>
      <c r="AD75" s="533"/>
      <c r="AE75" s="3"/>
      <c r="AF75" s="4"/>
      <c r="AG75" s="4"/>
      <c r="AH75" s="4"/>
      <c r="AI75" s="4"/>
      <c r="AJ75" s="4"/>
      <c r="AK75" s="4"/>
      <c r="AL75" s="4"/>
      <c r="AM75" s="4"/>
      <c r="AN75" s="4"/>
      <c r="AO75" s="4"/>
      <c r="AP75" s="4"/>
      <c r="AQ75" s="4"/>
      <c r="AR75" s="4"/>
      <c r="AS75" s="4"/>
      <c r="AT75" s="4"/>
      <c r="AU75" s="4"/>
      <c r="AV75" s="537"/>
      <c r="AW75" s="537"/>
      <c r="AX75" s="4"/>
      <c r="AY75" s="4"/>
      <c r="AZ75" s="4"/>
      <c r="BA75" s="4"/>
      <c r="BB75" s="4"/>
      <c r="BC75" s="4"/>
      <c r="BD75" s="4"/>
      <c r="BE75" s="4"/>
      <c r="BF75" s="4"/>
      <c r="BG75" s="4"/>
      <c r="BH75" s="4"/>
      <c r="BI75" s="4"/>
      <c r="BJ75" s="4"/>
      <c r="BK75" s="4"/>
      <c r="BL75" s="4"/>
      <c r="BM75" s="4"/>
      <c r="BN75" s="4"/>
      <c r="BO75" s="4"/>
      <c r="BP75" s="4"/>
      <c r="BQ75" s="4"/>
      <c r="BR75" s="4"/>
    </row>
    <row r="76" spans="1:70" ht="27" customHeight="1" x14ac:dyDescent="0.25">
      <c r="A76" s="532"/>
      <c r="B76" s="917"/>
      <c r="C76" s="4"/>
      <c r="D76" s="917"/>
      <c r="E76" s="4"/>
      <c r="F76" s="917"/>
      <c r="G76" s="4"/>
      <c r="H76" s="920"/>
      <c r="I76" s="3"/>
      <c r="J76" s="920"/>
      <c r="K76" s="3"/>
      <c r="L76" s="920"/>
      <c r="M76" s="3"/>
      <c r="N76" s="920"/>
      <c r="O76" s="3"/>
      <c r="P76" s="3"/>
      <c r="Q76" s="533"/>
      <c r="R76" s="920"/>
      <c r="S76" s="534"/>
      <c r="T76" s="920"/>
      <c r="U76" s="920"/>
      <c r="V76" s="920"/>
      <c r="W76" s="535"/>
      <c r="X76"/>
      <c r="Y76"/>
      <c r="Z76"/>
      <c r="AA76"/>
      <c r="AB76" s="543"/>
      <c r="AC76" s="3"/>
      <c r="AD76" s="533"/>
      <c r="AE76" s="3"/>
      <c r="AF76" s="4"/>
      <c r="AG76" s="4"/>
      <c r="AH76" s="4"/>
      <c r="AI76" s="4"/>
      <c r="AJ76" s="4"/>
      <c r="AK76" s="4"/>
      <c r="AL76" s="4"/>
      <c r="AM76" s="4"/>
      <c r="AN76" s="4"/>
      <c r="AO76" s="4"/>
      <c r="AP76" s="4"/>
      <c r="AQ76" s="4"/>
      <c r="AR76" s="4"/>
      <c r="AS76" s="4"/>
      <c r="AT76" s="4"/>
      <c r="AU76" s="4"/>
      <c r="AV76" s="537"/>
      <c r="AW76" s="537"/>
      <c r="AX76" s="4"/>
      <c r="AY76" s="4"/>
      <c r="AZ76" s="4"/>
      <c r="BA76" s="4"/>
      <c r="BB76" s="4"/>
      <c r="BC76" s="4"/>
      <c r="BD76" s="4"/>
      <c r="BE76" s="4"/>
      <c r="BF76" s="4"/>
      <c r="BG76" s="4"/>
      <c r="BH76" s="4"/>
      <c r="BI76" s="4"/>
      <c r="BJ76" s="4"/>
      <c r="BK76" s="4"/>
      <c r="BL76" s="4"/>
      <c r="BM76" s="4"/>
      <c r="BN76" s="4"/>
      <c r="BO76" s="4"/>
      <c r="BP76" s="4"/>
      <c r="BQ76" s="4"/>
      <c r="BR76" s="4"/>
    </row>
    <row r="77" spans="1:70" ht="27" customHeight="1" x14ac:dyDescent="0.25">
      <c r="A77" s="532"/>
      <c r="B77" s="917"/>
      <c r="C77" s="4"/>
      <c r="D77" s="917"/>
      <c r="E77" s="4"/>
      <c r="F77" s="917"/>
      <c r="G77" s="4"/>
      <c r="H77" s="920"/>
      <c r="I77" s="3"/>
      <c r="J77" s="920"/>
      <c r="K77" s="3"/>
      <c r="L77" s="920"/>
      <c r="M77" s="3"/>
      <c r="N77" s="920"/>
      <c r="O77" s="3"/>
      <c r="P77" s="3"/>
      <c r="Q77" s="533"/>
      <c r="R77" s="920"/>
      <c r="S77" s="534"/>
      <c r="T77" s="920"/>
      <c r="U77" s="920"/>
      <c r="V77" s="920"/>
      <c r="W77" s="535"/>
      <c r="X77"/>
      <c r="Y77"/>
      <c r="Z77"/>
      <c r="AA77"/>
      <c r="AB77" s="543"/>
      <c r="AC77" s="3"/>
      <c r="AD77" s="533"/>
      <c r="AE77" s="3"/>
      <c r="AF77" s="4"/>
      <c r="AG77" s="4"/>
      <c r="AH77" s="4"/>
      <c r="AI77" s="4"/>
      <c r="AJ77" s="4"/>
      <c r="AK77" s="4"/>
      <c r="AL77" s="4"/>
      <c r="AM77" s="4"/>
      <c r="AN77" s="4"/>
      <c r="AO77" s="4"/>
      <c r="AP77" s="4"/>
      <c r="AQ77" s="4"/>
      <c r="AR77" s="4"/>
      <c r="AS77" s="4"/>
      <c r="AT77" s="4"/>
      <c r="AU77" s="4"/>
      <c r="AV77" s="537"/>
      <c r="AW77" s="537"/>
      <c r="AX77" s="4"/>
      <c r="AY77" s="4"/>
      <c r="AZ77" s="4"/>
      <c r="BA77" s="4"/>
      <c r="BB77" s="4"/>
      <c r="BC77" s="4"/>
      <c r="BD77" s="4"/>
      <c r="BE77" s="4"/>
      <c r="BF77" s="4"/>
      <c r="BG77" s="4"/>
      <c r="BH77" s="4"/>
      <c r="BI77" s="4"/>
      <c r="BJ77" s="4"/>
      <c r="BK77" s="4"/>
      <c r="BL77" s="4"/>
      <c r="BM77" s="4"/>
      <c r="BN77" s="4"/>
      <c r="BO77" s="4"/>
      <c r="BP77" s="4"/>
      <c r="BQ77" s="4"/>
      <c r="BR77" s="4"/>
    </row>
    <row r="78" spans="1:70" ht="27" customHeight="1" x14ac:dyDescent="0.25">
      <c r="A78" s="532"/>
      <c r="B78" s="917"/>
      <c r="C78" s="4"/>
      <c r="D78" s="917"/>
      <c r="E78" s="4"/>
      <c r="F78" s="917"/>
      <c r="G78" s="4"/>
      <c r="H78" s="920"/>
      <c r="I78" s="3"/>
      <c r="J78" s="920"/>
      <c r="K78" s="3"/>
      <c r="L78" s="920"/>
      <c r="M78" s="3"/>
      <c r="N78" s="920"/>
      <c r="O78" s="3"/>
      <c r="P78" s="3"/>
      <c r="Q78" s="533"/>
      <c r="R78" s="920"/>
      <c r="S78" s="534"/>
      <c r="T78" s="920"/>
      <c r="U78" s="920"/>
      <c r="V78" s="920"/>
      <c r="W78" s="535"/>
      <c r="X78"/>
      <c r="Y78"/>
      <c r="Z78"/>
      <c r="AA78"/>
      <c r="AB78" s="543"/>
      <c r="AC78" s="3"/>
      <c r="AD78" s="533"/>
      <c r="AE78" s="3"/>
      <c r="AF78" s="4"/>
      <c r="AG78" s="4"/>
      <c r="AH78" s="4"/>
      <c r="AI78" s="4"/>
      <c r="AJ78" s="4"/>
      <c r="AK78" s="4"/>
      <c r="AL78" s="4"/>
      <c r="AM78" s="4"/>
      <c r="AN78" s="4"/>
      <c r="AO78" s="4"/>
      <c r="AP78" s="4"/>
      <c r="AQ78" s="4"/>
      <c r="AR78" s="4"/>
      <c r="AS78" s="4"/>
      <c r="AT78" s="4"/>
      <c r="AU78" s="4"/>
      <c r="AV78" s="537"/>
      <c r="AW78" s="537"/>
      <c r="AX78" s="4"/>
      <c r="AY78" s="4"/>
      <c r="AZ78" s="4"/>
      <c r="BA78" s="4"/>
      <c r="BB78" s="4"/>
      <c r="BC78" s="4"/>
      <c r="BD78" s="4"/>
      <c r="BE78" s="4"/>
      <c r="BF78" s="4"/>
      <c r="BG78" s="4"/>
      <c r="BH78" s="4"/>
      <c r="BI78" s="4"/>
      <c r="BJ78" s="4"/>
      <c r="BK78" s="4"/>
      <c r="BL78" s="4"/>
      <c r="BM78" s="4"/>
      <c r="BN78" s="4"/>
      <c r="BO78" s="4"/>
      <c r="BP78" s="4"/>
      <c r="BQ78" s="4"/>
      <c r="BR78" s="4"/>
    </row>
    <row r="79" spans="1:70" ht="27" customHeight="1" x14ac:dyDescent="0.25">
      <c r="A79" s="532"/>
      <c r="B79" s="917"/>
      <c r="C79" s="4"/>
      <c r="D79" s="917"/>
      <c r="E79" s="4"/>
      <c r="F79" s="917"/>
      <c r="G79" s="4"/>
      <c r="H79" s="920"/>
      <c r="I79" s="3"/>
      <c r="J79" s="920"/>
      <c r="K79" s="3"/>
      <c r="L79" s="920"/>
      <c r="M79" s="3"/>
      <c r="N79" s="920"/>
      <c r="O79" s="3"/>
      <c r="P79" s="3"/>
      <c r="Q79" s="533"/>
      <c r="R79" s="920"/>
      <c r="S79" s="534"/>
      <c r="T79" s="920"/>
      <c r="U79" s="920"/>
      <c r="V79" s="920"/>
      <c r="W79" s="535"/>
      <c r="X79"/>
      <c r="Y79"/>
      <c r="Z79"/>
      <c r="AA79"/>
      <c r="AB79" s="543"/>
      <c r="AC79" s="3"/>
      <c r="AD79" s="533"/>
      <c r="AE79" s="3"/>
      <c r="AF79" s="4"/>
      <c r="AG79" s="4"/>
      <c r="AH79" s="4"/>
      <c r="AI79" s="4"/>
      <c r="AJ79" s="4"/>
      <c r="AK79" s="4"/>
      <c r="AL79" s="4"/>
      <c r="AM79" s="4"/>
      <c r="AN79" s="4"/>
      <c r="AO79" s="4"/>
      <c r="AP79" s="4"/>
      <c r="AQ79" s="4"/>
      <c r="AR79" s="4"/>
      <c r="AS79" s="4"/>
      <c r="AT79" s="4"/>
      <c r="AU79" s="4"/>
      <c r="AV79" s="537"/>
      <c r="AW79" s="537"/>
      <c r="AX79" s="4"/>
      <c r="AY79" s="4"/>
      <c r="AZ79" s="4"/>
      <c r="BA79" s="4"/>
      <c r="BB79" s="4"/>
      <c r="BC79" s="4"/>
      <c r="BD79" s="4"/>
      <c r="BE79" s="4"/>
      <c r="BF79" s="4"/>
      <c r="BG79" s="4"/>
      <c r="BH79" s="4"/>
      <c r="BI79" s="4"/>
      <c r="BJ79" s="4"/>
      <c r="BK79" s="4"/>
      <c r="BL79" s="4"/>
      <c r="BM79" s="4"/>
      <c r="BN79" s="4"/>
      <c r="BO79" s="4"/>
      <c r="BP79" s="4"/>
      <c r="BQ79" s="4"/>
      <c r="BR79" s="4"/>
    </row>
    <row r="80" spans="1:70" ht="27" customHeight="1" x14ac:dyDescent="0.25">
      <c r="A80" s="532"/>
      <c r="B80" s="917"/>
      <c r="C80" s="4"/>
      <c r="D80" s="917"/>
      <c r="E80" s="4"/>
      <c r="F80" s="917"/>
      <c r="G80" s="4"/>
      <c r="H80" s="920"/>
      <c r="I80" s="3"/>
      <c r="J80" s="920"/>
      <c r="K80" s="3"/>
      <c r="L80" s="920"/>
      <c r="M80" s="3"/>
      <c r="N80" s="920"/>
      <c r="O80" s="3"/>
      <c r="P80" s="3"/>
      <c r="Q80" s="533"/>
      <c r="R80" s="920"/>
      <c r="S80" s="534"/>
      <c r="T80" s="920"/>
      <c r="U80" s="920"/>
      <c r="V80" s="920"/>
      <c r="W80" s="535"/>
      <c r="X80"/>
      <c r="Y80"/>
      <c r="Z80"/>
      <c r="AA80"/>
      <c r="AB80" s="543"/>
      <c r="AC80" s="3"/>
      <c r="AD80" s="533"/>
      <c r="AE80" s="3"/>
      <c r="AF80" s="4"/>
      <c r="AG80" s="4"/>
      <c r="AH80" s="4"/>
      <c r="AI80" s="4"/>
      <c r="AJ80" s="4"/>
      <c r="AK80" s="4"/>
      <c r="AL80" s="4"/>
      <c r="AM80" s="4"/>
      <c r="AN80" s="4"/>
      <c r="AO80" s="4"/>
      <c r="AP80" s="4"/>
      <c r="AQ80" s="4"/>
      <c r="AR80" s="4"/>
      <c r="AS80" s="4"/>
      <c r="AT80" s="4"/>
      <c r="AU80" s="4"/>
      <c r="AV80" s="537"/>
      <c r="AW80" s="537"/>
      <c r="AX80" s="4"/>
      <c r="AY80" s="4"/>
      <c r="AZ80" s="4"/>
      <c r="BA80" s="4"/>
      <c r="BB80" s="4"/>
      <c r="BC80" s="4"/>
      <c r="BD80" s="4"/>
      <c r="BE80" s="4"/>
      <c r="BF80" s="4"/>
      <c r="BG80" s="4"/>
      <c r="BH80" s="4"/>
      <c r="BI80" s="4"/>
      <c r="BJ80" s="4"/>
      <c r="BK80" s="4"/>
      <c r="BL80" s="4"/>
      <c r="BM80" s="4"/>
      <c r="BN80" s="4"/>
      <c r="BO80" s="4"/>
      <c r="BP80" s="4"/>
      <c r="BQ80" s="4"/>
      <c r="BR80" s="4"/>
    </row>
    <row r="81" spans="1:70" ht="27" customHeight="1" x14ac:dyDescent="0.25">
      <c r="A81" s="532"/>
      <c r="B81" s="917"/>
      <c r="C81" s="4"/>
      <c r="D81" s="917"/>
      <c r="E81" s="4"/>
      <c r="F81" s="917"/>
      <c r="G81" s="4"/>
      <c r="H81" s="920"/>
      <c r="I81" s="3"/>
      <c r="J81" s="920"/>
      <c r="K81" s="3"/>
      <c r="L81" s="920"/>
      <c r="M81" s="3"/>
      <c r="N81" s="920"/>
      <c r="O81" s="3"/>
      <c r="P81" s="3"/>
      <c r="Q81" s="533"/>
      <c r="R81" s="920"/>
      <c r="S81" s="534"/>
      <c r="T81" s="920"/>
      <c r="U81" s="920"/>
      <c r="V81" s="920"/>
      <c r="W81" s="535"/>
      <c r="X81"/>
      <c r="Y81"/>
      <c r="Z81"/>
      <c r="AA81"/>
      <c r="AB81" s="543"/>
      <c r="AC81" s="3"/>
      <c r="AD81" s="533"/>
      <c r="AE81" s="3"/>
      <c r="AF81" s="4"/>
      <c r="AG81" s="4"/>
      <c r="AH81" s="4"/>
      <c r="AI81" s="4"/>
      <c r="AJ81" s="4"/>
      <c r="AK81" s="4"/>
      <c r="AL81" s="4"/>
      <c r="AM81" s="4"/>
      <c r="AN81" s="4"/>
      <c r="AO81" s="4"/>
      <c r="AP81" s="4"/>
      <c r="AQ81" s="4"/>
      <c r="AR81" s="4"/>
      <c r="AS81" s="4"/>
      <c r="AT81" s="4"/>
      <c r="AU81" s="4"/>
      <c r="AV81" s="537"/>
      <c r="AW81" s="537"/>
      <c r="AX81" s="4"/>
      <c r="AY81" s="4"/>
      <c r="AZ81" s="4"/>
      <c r="BA81" s="4"/>
      <c r="BB81" s="4"/>
      <c r="BC81" s="4"/>
      <c r="BD81" s="4"/>
      <c r="BE81" s="4"/>
      <c r="BF81" s="4"/>
      <c r="BG81" s="4"/>
      <c r="BH81" s="4"/>
      <c r="BI81" s="4"/>
      <c r="BJ81" s="4"/>
      <c r="BK81" s="4"/>
      <c r="BL81" s="4"/>
      <c r="BM81" s="4"/>
      <c r="BN81" s="4"/>
      <c r="BO81" s="4"/>
      <c r="BP81" s="4"/>
      <c r="BQ81" s="4"/>
      <c r="BR81" s="4"/>
    </row>
    <row r="82" spans="1:70" ht="27" customHeight="1" x14ac:dyDescent="0.25">
      <c r="A82" s="532"/>
      <c r="B82" s="917"/>
      <c r="C82" s="4"/>
      <c r="D82" s="917"/>
      <c r="E82" s="4"/>
      <c r="F82" s="917"/>
      <c r="G82" s="4"/>
      <c r="H82" s="920"/>
      <c r="I82" s="3"/>
      <c r="J82" s="920"/>
      <c r="K82" s="3"/>
      <c r="L82" s="920"/>
      <c r="M82" s="3"/>
      <c r="N82" s="920"/>
      <c r="O82" s="3"/>
      <c r="P82" s="3"/>
      <c r="Q82" s="533"/>
      <c r="R82" s="920"/>
      <c r="S82" s="534"/>
      <c r="T82" s="920"/>
      <c r="U82" s="920"/>
      <c r="V82" s="920"/>
      <c r="W82" s="535"/>
      <c r="X82"/>
      <c r="Y82"/>
      <c r="Z82"/>
      <c r="AA82"/>
      <c r="AB82" s="543"/>
      <c r="AC82" s="3"/>
      <c r="AD82" s="533"/>
      <c r="AE82" s="3"/>
      <c r="AF82" s="4"/>
      <c r="AG82" s="4"/>
      <c r="AH82" s="4"/>
      <c r="AI82" s="4"/>
      <c r="AJ82" s="4"/>
      <c r="AK82" s="4"/>
      <c r="AL82" s="4"/>
      <c r="AM82" s="4"/>
      <c r="AN82" s="4"/>
      <c r="AO82" s="4"/>
      <c r="AP82" s="4"/>
      <c r="AQ82" s="4"/>
      <c r="AR82" s="4"/>
      <c r="AS82" s="4"/>
      <c r="AT82" s="4"/>
      <c r="AU82" s="4"/>
      <c r="AV82" s="537"/>
      <c r="AW82" s="537"/>
      <c r="AX82" s="4"/>
      <c r="AY82" s="4"/>
      <c r="AZ82" s="4"/>
      <c r="BA82" s="4"/>
      <c r="BB82" s="4"/>
      <c r="BC82" s="4"/>
      <c r="BD82" s="4"/>
      <c r="BE82" s="4"/>
      <c r="BF82" s="4"/>
      <c r="BG82" s="4"/>
      <c r="BH82" s="4"/>
      <c r="BI82" s="4"/>
      <c r="BJ82" s="4"/>
      <c r="BK82" s="4"/>
      <c r="BL82" s="4"/>
      <c r="BM82" s="4"/>
      <c r="BN82" s="4"/>
      <c r="BO82" s="4"/>
      <c r="BP82" s="4"/>
      <c r="BQ82" s="4"/>
      <c r="BR82" s="4"/>
    </row>
    <row r="83" spans="1:70" ht="27" customHeight="1" x14ac:dyDescent="0.25">
      <c r="A83" s="532"/>
      <c r="B83" s="917"/>
      <c r="C83" s="4"/>
      <c r="D83" s="917"/>
      <c r="E83" s="4"/>
      <c r="F83" s="917"/>
      <c r="G83" s="4"/>
      <c r="H83" s="920"/>
      <c r="I83" s="3"/>
      <c r="J83" s="920"/>
      <c r="K83" s="3"/>
      <c r="L83" s="920"/>
      <c r="M83" s="3"/>
      <c r="N83" s="920"/>
      <c r="O83" s="3"/>
      <c r="P83" s="3"/>
      <c r="Q83" s="533"/>
      <c r="R83" s="920"/>
      <c r="S83" s="534"/>
      <c r="T83" s="920"/>
      <c r="U83" s="920"/>
      <c r="V83" s="920"/>
      <c r="W83" s="535"/>
      <c r="X83"/>
      <c r="Y83"/>
      <c r="Z83"/>
      <c r="AA83"/>
      <c r="AB83" s="543"/>
      <c r="AC83" s="3"/>
      <c r="AD83" s="533"/>
      <c r="AE83" s="3"/>
      <c r="AF83" s="4"/>
      <c r="AG83" s="4"/>
      <c r="AH83" s="4"/>
      <c r="AI83" s="4"/>
      <c r="AJ83" s="4"/>
      <c r="AK83" s="4"/>
      <c r="AL83" s="4"/>
      <c r="AM83" s="4"/>
      <c r="AN83" s="4"/>
      <c r="AO83" s="4"/>
      <c r="AP83" s="4"/>
      <c r="AQ83" s="4"/>
      <c r="AR83" s="4"/>
      <c r="AS83" s="4"/>
      <c r="AT83" s="4"/>
      <c r="AU83" s="4"/>
      <c r="AV83" s="537"/>
      <c r="AW83" s="537"/>
      <c r="AX83" s="4"/>
      <c r="AY83" s="4"/>
      <c r="AZ83" s="4"/>
      <c r="BA83" s="4"/>
      <c r="BB83" s="4"/>
      <c r="BC83" s="4"/>
      <c r="BD83" s="4"/>
      <c r="BE83" s="4"/>
      <c r="BF83" s="4"/>
      <c r="BG83" s="4"/>
      <c r="BH83" s="4"/>
      <c r="BI83" s="4"/>
      <c r="BJ83" s="4"/>
      <c r="BK83" s="4"/>
      <c r="BL83" s="4"/>
      <c r="BM83" s="4"/>
      <c r="BN83" s="4"/>
      <c r="BO83" s="4"/>
      <c r="BP83" s="4"/>
      <c r="BQ83" s="4"/>
      <c r="BR83" s="4"/>
    </row>
    <row r="84" spans="1:70" ht="27" customHeight="1" x14ac:dyDescent="0.25">
      <c r="A84" s="532"/>
      <c r="B84" s="917"/>
      <c r="C84" s="4"/>
      <c r="D84" s="917"/>
      <c r="E84" s="4"/>
      <c r="F84" s="917"/>
      <c r="G84" s="4"/>
      <c r="H84" s="920"/>
      <c r="I84" s="3"/>
      <c r="J84" s="920"/>
      <c r="K84" s="3"/>
      <c r="L84" s="920"/>
      <c r="M84" s="3"/>
      <c r="N84" s="920"/>
      <c r="O84" s="3"/>
      <c r="P84" s="3"/>
      <c r="Q84" s="533"/>
      <c r="R84" s="920"/>
      <c r="S84" s="534"/>
      <c r="T84" s="920"/>
      <c r="U84" s="920"/>
      <c r="V84" s="920"/>
      <c r="W84" s="535"/>
      <c r="X84"/>
      <c r="Y84"/>
      <c r="Z84"/>
      <c r="AA84"/>
      <c r="AB84" s="543"/>
      <c r="AC84" s="3"/>
      <c r="AD84" s="533"/>
      <c r="AE84" s="3"/>
      <c r="AF84" s="4"/>
      <c r="AG84" s="4"/>
      <c r="AH84" s="4"/>
      <c r="AI84" s="4"/>
      <c r="AJ84" s="4"/>
      <c r="AK84" s="4"/>
      <c r="AL84" s="4"/>
      <c r="AM84" s="4"/>
      <c r="AN84" s="4"/>
      <c r="AO84" s="4"/>
      <c r="AP84" s="4"/>
      <c r="AQ84" s="4"/>
      <c r="AR84" s="4"/>
      <c r="AS84" s="4"/>
      <c r="AT84" s="4"/>
      <c r="AU84" s="4"/>
      <c r="AV84" s="537"/>
      <c r="AW84" s="537"/>
      <c r="AX84" s="4"/>
      <c r="AY84" s="4"/>
      <c r="AZ84" s="4"/>
      <c r="BA84" s="4"/>
      <c r="BB84" s="4"/>
      <c r="BC84" s="4"/>
      <c r="BD84" s="4"/>
      <c r="BE84" s="4"/>
      <c r="BF84" s="4"/>
      <c r="BG84" s="4"/>
      <c r="BH84" s="4"/>
      <c r="BI84" s="4"/>
      <c r="BJ84" s="4"/>
      <c r="BK84" s="4"/>
      <c r="BL84" s="4"/>
      <c r="BM84" s="4"/>
      <c r="BN84" s="4"/>
      <c r="BO84" s="4"/>
      <c r="BP84" s="4"/>
      <c r="BQ84" s="4"/>
      <c r="BR84" s="4"/>
    </row>
    <row r="85" spans="1:70" ht="27" customHeight="1" x14ac:dyDescent="0.25">
      <c r="A85" s="532"/>
      <c r="B85" s="917"/>
      <c r="C85" s="4"/>
      <c r="D85" s="917"/>
      <c r="E85" s="4"/>
      <c r="F85" s="917"/>
      <c r="G85" s="4"/>
      <c r="H85" s="920"/>
      <c r="I85" s="3"/>
      <c r="J85" s="920"/>
      <c r="K85" s="3"/>
      <c r="L85" s="920"/>
      <c r="M85" s="3"/>
      <c r="N85" s="920"/>
      <c r="O85" s="3"/>
      <c r="P85" s="3"/>
      <c r="Q85" s="533"/>
      <c r="R85" s="920"/>
      <c r="S85" s="534"/>
      <c r="T85" s="920"/>
      <c r="U85" s="920"/>
      <c r="V85" s="920"/>
      <c r="W85" s="535"/>
      <c r="X85"/>
      <c r="Y85"/>
      <c r="Z85"/>
      <c r="AA85"/>
      <c r="AB85" s="543"/>
      <c r="AC85" s="3"/>
      <c r="AD85" s="533"/>
      <c r="AE85" s="3"/>
      <c r="AF85" s="4"/>
      <c r="AG85" s="4"/>
      <c r="AH85" s="4"/>
      <c r="AI85" s="4"/>
      <c r="AJ85" s="4"/>
      <c r="AK85" s="4"/>
      <c r="AL85" s="4"/>
      <c r="AM85" s="4"/>
      <c r="AN85" s="4"/>
      <c r="AO85" s="4"/>
      <c r="AP85" s="4"/>
      <c r="AQ85" s="4"/>
      <c r="AR85" s="4"/>
      <c r="AS85" s="4"/>
      <c r="AT85" s="4"/>
      <c r="AU85" s="4"/>
      <c r="AV85" s="537"/>
      <c r="AW85" s="537"/>
      <c r="AX85" s="4"/>
      <c r="AY85" s="4"/>
      <c r="AZ85" s="4"/>
      <c r="BA85" s="4"/>
      <c r="BB85" s="4"/>
      <c r="BC85" s="4"/>
      <c r="BD85" s="4"/>
      <c r="BE85" s="4"/>
      <c r="BF85" s="4"/>
      <c r="BG85" s="4"/>
      <c r="BH85" s="4"/>
      <c r="BI85" s="4"/>
      <c r="BJ85" s="4"/>
      <c r="BK85" s="4"/>
      <c r="BL85" s="4"/>
      <c r="BM85" s="4"/>
      <c r="BN85" s="4"/>
      <c r="BO85" s="4"/>
      <c r="BP85" s="4"/>
      <c r="BQ85" s="4"/>
      <c r="BR85" s="4"/>
    </row>
    <row r="86" spans="1:70" ht="27" customHeight="1" x14ac:dyDescent="0.25">
      <c r="A86" s="532"/>
      <c r="B86" s="917"/>
      <c r="C86" s="4"/>
      <c r="D86" s="917"/>
      <c r="E86" s="4"/>
      <c r="F86" s="917"/>
      <c r="G86" s="4"/>
      <c r="H86" s="920"/>
      <c r="I86" s="3"/>
      <c r="J86" s="920"/>
      <c r="K86" s="3"/>
      <c r="L86" s="920"/>
      <c r="M86" s="3"/>
      <c r="N86" s="920"/>
      <c r="O86" s="3"/>
      <c r="P86" s="3"/>
      <c r="Q86" s="533"/>
      <c r="R86" s="920"/>
      <c r="S86" s="534"/>
      <c r="T86" s="920"/>
      <c r="U86" s="920"/>
      <c r="V86" s="920"/>
      <c r="W86" s="535"/>
      <c r="X86"/>
      <c r="Y86"/>
      <c r="Z86"/>
      <c r="AA86"/>
      <c r="AB86" s="543"/>
      <c r="AC86" s="3"/>
      <c r="AD86" s="533"/>
      <c r="AE86" s="3"/>
      <c r="AF86" s="4"/>
      <c r="AG86" s="4"/>
      <c r="AH86" s="4"/>
      <c r="AI86" s="4"/>
      <c r="AJ86" s="4"/>
      <c r="AK86" s="4"/>
      <c r="AL86" s="4"/>
      <c r="AM86" s="4"/>
      <c r="AN86" s="4"/>
      <c r="AO86" s="4"/>
      <c r="AP86" s="4"/>
      <c r="AQ86" s="4"/>
      <c r="AR86" s="4"/>
      <c r="AS86" s="4"/>
      <c r="AT86" s="4"/>
      <c r="AU86" s="4"/>
      <c r="AV86" s="537"/>
      <c r="AW86" s="537"/>
      <c r="AX86" s="4"/>
      <c r="AY86" s="4"/>
      <c r="AZ86" s="4"/>
      <c r="BA86" s="4"/>
      <c r="BB86" s="4"/>
      <c r="BC86" s="4"/>
      <c r="BD86" s="4"/>
      <c r="BE86" s="4"/>
      <c r="BF86" s="4"/>
      <c r="BG86" s="4"/>
      <c r="BH86" s="4"/>
      <c r="BI86" s="4"/>
      <c r="BJ86" s="4"/>
      <c r="BK86" s="4"/>
      <c r="BL86" s="4"/>
      <c r="BM86" s="4"/>
      <c r="BN86" s="4"/>
      <c r="BO86" s="4"/>
      <c r="BP86" s="4"/>
      <c r="BQ86" s="4"/>
      <c r="BR86" s="4"/>
    </row>
    <row r="87" spans="1:70" ht="27" customHeight="1" x14ac:dyDescent="0.25">
      <c r="A87" s="532"/>
      <c r="B87" s="917"/>
      <c r="C87" s="4"/>
      <c r="D87" s="917"/>
      <c r="E87" s="4"/>
      <c r="F87" s="917"/>
      <c r="G87" s="4"/>
      <c r="H87" s="920"/>
      <c r="I87" s="3"/>
      <c r="J87" s="920"/>
      <c r="K87" s="3"/>
      <c r="L87" s="920"/>
      <c r="M87" s="3"/>
      <c r="N87" s="920"/>
      <c r="O87" s="3"/>
      <c r="P87" s="3"/>
      <c r="Q87" s="533"/>
      <c r="R87" s="920"/>
      <c r="S87" s="534"/>
      <c r="T87" s="920"/>
      <c r="U87" s="920"/>
      <c r="V87" s="920"/>
      <c r="W87" s="535"/>
      <c r="X87"/>
      <c r="Y87"/>
      <c r="Z87"/>
      <c r="AA87"/>
      <c r="AB87" s="543"/>
      <c r="AC87" s="3"/>
      <c r="AD87" s="533"/>
      <c r="AE87" s="3"/>
      <c r="AF87" s="4"/>
      <c r="AG87" s="4"/>
      <c r="AH87" s="4"/>
      <c r="AI87" s="4"/>
      <c r="AJ87" s="4"/>
      <c r="AK87" s="4"/>
      <c r="AL87" s="4"/>
      <c r="AM87" s="4"/>
      <c r="AN87" s="4"/>
      <c r="AO87" s="4"/>
      <c r="AP87" s="4"/>
      <c r="AQ87" s="4"/>
      <c r="AR87" s="4"/>
      <c r="AS87" s="4"/>
      <c r="AT87" s="4"/>
      <c r="AU87" s="4"/>
      <c r="AV87" s="537"/>
      <c r="AW87" s="537"/>
      <c r="AX87" s="4"/>
      <c r="AY87" s="4"/>
      <c r="AZ87" s="4"/>
      <c r="BA87" s="4"/>
      <c r="BB87" s="4"/>
      <c r="BC87" s="4"/>
      <c r="BD87" s="4"/>
      <c r="BE87" s="4"/>
      <c r="BF87" s="4"/>
      <c r="BG87" s="4"/>
      <c r="BH87" s="4"/>
      <c r="BI87" s="4"/>
      <c r="BJ87" s="4"/>
      <c r="BK87" s="4"/>
      <c r="BL87" s="4"/>
      <c r="BM87" s="4"/>
      <c r="BN87" s="4"/>
      <c r="BO87" s="4"/>
      <c r="BP87" s="4"/>
      <c r="BQ87" s="4"/>
      <c r="BR87" s="4"/>
    </row>
    <row r="88" spans="1:70" ht="27" customHeight="1" x14ac:dyDescent="0.25">
      <c r="A88" s="532"/>
      <c r="B88" s="917"/>
      <c r="C88" s="4"/>
      <c r="D88" s="917"/>
      <c r="E88" s="4"/>
      <c r="F88" s="917"/>
      <c r="G88" s="4"/>
      <c r="H88" s="920"/>
      <c r="I88" s="3"/>
      <c r="J88" s="920"/>
      <c r="K88" s="3"/>
      <c r="L88" s="920"/>
      <c r="M88" s="3"/>
      <c r="N88" s="920"/>
      <c r="O88" s="3"/>
      <c r="P88" s="3"/>
      <c r="Q88" s="533"/>
      <c r="R88" s="920"/>
      <c r="S88" s="534"/>
      <c r="T88" s="920"/>
      <c r="U88" s="920"/>
      <c r="V88" s="920"/>
      <c r="W88" s="535"/>
      <c r="X88"/>
      <c r="Y88"/>
      <c r="Z88"/>
      <c r="AA88"/>
      <c r="AB88" s="543"/>
      <c r="AC88" s="3"/>
      <c r="AD88" s="533"/>
      <c r="AE88" s="3"/>
      <c r="AF88" s="4"/>
      <c r="AG88" s="4"/>
      <c r="AH88" s="4"/>
      <c r="AI88" s="4"/>
      <c r="AJ88" s="4"/>
      <c r="AK88" s="4"/>
      <c r="AL88" s="4"/>
      <c r="AM88" s="4"/>
      <c r="AN88" s="4"/>
      <c r="AO88" s="4"/>
      <c r="AP88" s="4"/>
      <c r="AQ88" s="4"/>
      <c r="AR88" s="4"/>
      <c r="AS88" s="4"/>
      <c r="AT88" s="4"/>
      <c r="AU88" s="4"/>
      <c r="AV88" s="537"/>
      <c r="AW88" s="537"/>
      <c r="AX88" s="4"/>
      <c r="AY88" s="4"/>
      <c r="AZ88" s="4"/>
      <c r="BA88" s="4"/>
      <c r="BB88" s="4"/>
      <c r="BC88" s="4"/>
      <c r="BD88" s="4"/>
      <c r="BE88" s="4"/>
      <c r="BF88" s="4"/>
      <c r="BG88" s="4"/>
      <c r="BH88" s="4"/>
      <c r="BI88" s="4"/>
      <c r="BJ88" s="4"/>
      <c r="BK88" s="4"/>
      <c r="BL88" s="4"/>
      <c r="BM88" s="4"/>
      <c r="BN88" s="4"/>
      <c r="BO88" s="4"/>
      <c r="BP88" s="4"/>
      <c r="BQ88" s="4"/>
      <c r="BR88" s="4"/>
    </row>
    <row r="89" spans="1:70" ht="27" customHeight="1" x14ac:dyDescent="0.25">
      <c r="A89" s="532"/>
      <c r="B89" s="917"/>
      <c r="C89" s="4"/>
      <c r="D89" s="917"/>
      <c r="E89" s="4"/>
      <c r="F89" s="917"/>
      <c r="G89" s="4"/>
      <c r="H89" s="920"/>
      <c r="I89" s="3"/>
      <c r="J89" s="920"/>
      <c r="K89" s="3"/>
      <c r="L89" s="920"/>
      <c r="M89" s="3"/>
      <c r="N89" s="920"/>
      <c r="O89" s="3"/>
      <c r="P89" s="3"/>
      <c r="Q89" s="533"/>
      <c r="R89" s="920"/>
      <c r="S89" s="534"/>
      <c r="T89" s="920"/>
      <c r="U89" s="920"/>
      <c r="V89" s="920"/>
      <c r="W89" s="535"/>
      <c r="X89"/>
      <c r="Y89"/>
      <c r="Z89"/>
      <c r="AA89"/>
      <c r="AB89" s="543"/>
      <c r="AC89" s="3"/>
      <c r="AD89" s="533"/>
      <c r="AE89" s="3"/>
      <c r="AF89" s="4"/>
      <c r="AG89" s="4"/>
      <c r="AH89" s="4"/>
      <c r="AI89" s="4"/>
      <c r="AJ89" s="4"/>
      <c r="AK89" s="4"/>
      <c r="AL89" s="4"/>
      <c r="AM89" s="4"/>
      <c r="AN89" s="4"/>
      <c r="AO89" s="4"/>
      <c r="AP89" s="4"/>
      <c r="AQ89" s="4"/>
      <c r="AR89" s="4"/>
      <c r="AS89" s="4"/>
      <c r="AT89" s="4"/>
      <c r="AU89" s="4"/>
      <c r="AV89" s="537"/>
      <c r="AW89" s="537"/>
      <c r="AX89" s="4"/>
      <c r="AY89" s="4"/>
      <c r="AZ89" s="4"/>
      <c r="BA89" s="4"/>
      <c r="BB89" s="4"/>
      <c r="BC89" s="4"/>
      <c r="BD89" s="4"/>
      <c r="BE89" s="4"/>
      <c r="BF89" s="4"/>
      <c r="BG89" s="4"/>
      <c r="BH89" s="4"/>
      <c r="BI89" s="4"/>
      <c r="BJ89" s="4"/>
      <c r="BK89" s="4"/>
      <c r="BL89" s="4"/>
      <c r="BM89" s="4"/>
      <c r="BN89" s="4"/>
      <c r="BO89" s="4"/>
      <c r="BP89" s="4"/>
      <c r="BQ89" s="4"/>
      <c r="BR89" s="4"/>
    </row>
    <row r="90" spans="1:70" ht="27" customHeight="1" x14ac:dyDescent="0.25">
      <c r="A90" s="532"/>
      <c r="B90" s="917"/>
      <c r="C90" s="4"/>
      <c r="D90" s="917"/>
      <c r="E90" s="4"/>
      <c r="F90" s="917"/>
      <c r="G90" s="4"/>
      <c r="H90" s="920"/>
      <c r="I90" s="3"/>
      <c r="J90" s="920"/>
      <c r="K90" s="3"/>
      <c r="L90" s="920"/>
      <c r="M90" s="3"/>
      <c r="N90" s="920"/>
      <c r="O90" s="3"/>
      <c r="P90" s="3"/>
      <c r="Q90" s="533"/>
      <c r="R90" s="920"/>
      <c r="S90" s="534"/>
      <c r="T90" s="920"/>
      <c r="U90" s="920"/>
      <c r="V90" s="920"/>
      <c r="W90" s="535"/>
      <c r="X90"/>
      <c r="Y90"/>
      <c r="Z90"/>
      <c r="AA90"/>
      <c r="AB90" s="543"/>
      <c r="AC90" s="3"/>
      <c r="AD90" s="533"/>
      <c r="AE90" s="3"/>
      <c r="AF90" s="4"/>
      <c r="AG90" s="4"/>
      <c r="AH90" s="4"/>
      <c r="AI90" s="4"/>
      <c r="AJ90" s="4"/>
      <c r="AK90" s="4"/>
      <c r="AL90" s="4"/>
      <c r="AM90" s="4"/>
      <c r="AN90" s="4"/>
      <c r="AO90" s="4"/>
      <c r="AP90" s="4"/>
      <c r="AQ90" s="4"/>
      <c r="AR90" s="4"/>
      <c r="AS90" s="4"/>
      <c r="AT90" s="4"/>
      <c r="AU90" s="4"/>
      <c r="AV90" s="537"/>
      <c r="AW90" s="537"/>
      <c r="AX90" s="4"/>
      <c r="AY90" s="4"/>
      <c r="AZ90" s="4"/>
      <c r="BA90" s="4"/>
      <c r="BB90" s="4"/>
      <c r="BC90" s="4"/>
      <c r="BD90" s="4"/>
      <c r="BE90" s="4"/>
      <c r="BF90" s="4"/>
      <c r="BG90" s="4"/>
      <c r="BH90" s="4"/>
      <c r="BI90" s="4"/>
      <c r="BJ90" s="4"/>
      <c r="BK90" s="4"/>
      <c r="BL90" s="4"/>
      <c r="BM90" s="4"/>
      <c r="BN90" s="4"/>
      <c r="BO90" s="4"/>
      <c r="BP90" s="4"/>
      <c r="BQ90" s="4"/>
      <c r="BR90" s="4"/>
    </row>
    <row r="91" spans="1:70" ht="27" customHeight="1" x14ac:dyDescent="0.25">
      <c r="A91" s="532"/>
      <c r="B91" s="917"/>
      <c r="C91" s="4"/>
      <c r="D91" s="917"/>
      <c r="E91" s="4"/>
      <c r="F91" s="917"/>
      <c r="G91" s="4"/>
      <c r="H91" s="920"/>
      <c r="I91" s="3"/>
      <c r="J91" s="920"/>
      <c r="K91" s="3"/>
      <c r="L91" s="920"/>
      <c r="M91" s="3"/>
      <c r="N91" s="920"/>
      <c r="O91" s="3"/>
      <c r="P91" s="3"/>
      <c r="Q91" s="533"/>
      <c r="R91" s="920"/>
      <c r="S91" s="534"/>
      <c r="T91" s="920"/>
      <c r="U91" s="920"/>
      <c r="V91" s="920"/>
      <c r="W91" s="535"/>
      <c r="X91"/>
      <c r="Y91"/>
      <c r="Z91"/>
      <c r="AA91"/>
      <c r="AB91" s="543"/>
      <c r="AC91" s="3"/>
      <c r="AD91" s="533"/>
      <c r="AE91" s="3"/>
      <c r="AF91" s="4"/>
      <c r="AG91" s="4"/>
      <c r="AH91" s="4"/>
      <c r="AI91" s="4"/>
      <c r="AJ91" s="4"/>
      <c r="AK91" s="4"/>
      <c r="AL91" s="4"/>
      <c r="AM91" s="4"/>
      <c r="AN91" s="4"/>
      <c r="AO91" s="4"/>
      <c r="AP91" s="4"/>
      <c r="AQ91" s="4"/>
      <c r="AR91" s="4"/>
      <c r="AS91" s="4"/>
      <c r="AT91" s="4"/>
      <c r="AU91" s="4"/>
      <c r="AV91" s="537"/>
      <c r="AW91" s="537"/>
      <c r="AX91" s="4"/>
      <c r="AY91" s="4"/>
      <c r="AZ91" s="4"/>
      <c r="BA91" s="4"/>
      <c r="BB91" s="4"/>
      <c r="BC91" s="4"/>
      <c r="BD91" s="4"/>
      <c r="BE91" s="4"/>
      <c r="BF91" s="4"/>
      <c r="BG91" s="4"/>
      <c r="BH91" s="4"/>
      <c r="BI91" s="4"/>
      <c r="BJ91" s="4"/>
      <c r="BK91" s="4"/>
      <c r="BL91" s="4"/>
      <c r="BM91" s="4"/>
      <c r="BN91" s="4"/>
      <c r="BO91" s="4"/>
      <c r="BP91" s="4"/>
      <c r="BQ91" s="4"/>
      <c r="BR91" s="4"/>
    </row>
    <row r="92" spans="1:70" ht="27" customHeight="1" x14ac:dyDescent="0.25">
      <c r="A92" s="532"/>
      <c r="B92" s="917"/>
      <c r="C92" s="4"/>
      <c r="D92" s="917"/>
      <c r="E92" s="4"/>
      <c r="F92" s="917"/>
      <c r="G92" s="4"/>
      <c r="H92" s="920"/>
      <c r="I92" s="3"/>
      <c r="J92" s="920"/>
      <c r="K92" s="3"/>
      <c r="L92" s="920"/>
      <c r="M92" s="3"/>
      <c r="N92" s="920"/>
      <c r="O92" s="3"/>
      <c r="P92" s="3"/>
      <c r="Q92" s="533"/>
      <c r="R92" s="920"/>
      <c r="S92" s="534"/>
      <c r="T92" s="920"/>
      <c r="U92" s="920"/>
      <c r="V92" s="920"/>
      <c r="W92" s="535"/>
      <c r="X92"/>
      <c r="Y92"/>
      <c r="Z92"/>
      <c r="AA92"/>
      <c r="AB92" s="543"/>
      <c r="AC92" s="3"/>
      <c r="AD92" s="533"/>
      <c r="AE92" s="3"/>
      <c r="AF92" s="4"/>
      <c r="AG92" s="4"/>
      <c r="AH92" s="4"/>
      <c r="AI92" s="4"/>
      <c r="AJ92" s="4"/>
      <c r="AK92" s="4"/>
      <c r="AL92" s="4"/>
      <c r="AM92" s="4"/>
      <c r="AN92" s="4"/>
      <c r="AO92" s="4"/>
      <c r="AP92" s="4"/>
      <c r="AQ92" s="4"/>
      <c r="AR92" s="4"/>
      <c r="AS92" s="4"/>
      <c r="AT92" s="4"/>
      <c r="AU92" s="4"/>
      <c r="AV92" s="537"/>
      <c r="AW92" s="537"/>
      <c r="AX92" s="4"/>
      <c r="AY92" s="4"/>
      <c r="AZ92" s="4"/>
      <c r="BA92" s="4"/>
      <c r="BB92" s="4"/>
      <c r="BC92" s="4"/>
      <c r="BD92" s="4"/>
      <c r="BE92" s="4"/>
      <c r="BF92" s="4"/>
      <c r="BG92" s="4"/>
      <c r="BH92" s="4"/>
      <c r="BI92" s="4"/>
      <c r="BJ92" s="4"/>
      <c r="BK92" s="4"/>
      <c r="BL92" s="4"/>
      <c r="BM92" s="4"/>
      <c r="BN92" s="4"/>
      <c r="BO92" s="4"/>
      <c r="BP92" s="4"/>
      <c r="BQ92" s="4"/>
      <c r="BR92" s="4"/>
    </row>
    <row r="93" spans="1:70" ht="27" customHeight="1" x14ac:dyDescent="0.25">
      <c r="A93" s="532"/>
      <c r="B93" s="917"/>
      <c r="C93" s="4"/>
      <c r="D93" s="917"/>
      <c r="E93" s="4"/>
      <c r="F93" s="917"/>
      <c r="G93" s="4"/>
      <c r="H93" s="920"/>
      <c r="I93" s="3"/>
      <c r="J93" s="920"/>
      <c r="K93" s="3"/>
      <c r="L93" s="920"/>
      <c r="M93" s="3"/>
      <c r="N93" s="920"/>
      <c r="O93" s="3"/>
      <c r="P93" s="3"/>
      <c r="Q93" s="533"/>
      <c r="R93" s="920"/>
      <c r="S93" s="534"/>
      <c r="T93" s="920"/>
      <c r="U93" s="920"/>
      <c r="V93" s="920"/>
      <c r="W93" s="535"/>
      <c r="X93"/>
      <c r="Y93"/>
      <c r="Z93"/>
      <c r="AA93"/>
      <c r="AB93" s="543"/>
      <c r="AC93" s="3"/>
      <c r="AD93" s="533"/>
      <c r="AE93" s="3"/>
      <c r="AF93" s="4"/>
      <c r="AG93" s="4"/>
      <c r="AH93" s="4"/>
      <c r="AI93" s="4"/>
      <c r="AJ93" s="4"/>
      <c r="AK93" s="4"/>
      <c r="AL93" s="4"/>
      <c r="AM93" s="4"/>
      <c r="AN93" s="4"/>
      <c r="AO93" s="4"/>
      <c r="AP93" s="4"/>
      <c r="AQ93" s="4"/>
      <c r="AR93" s="4"/>
      <c r="AS93" s="4"/>
      <c r="AT93" s="4"/>
      <c r="AU93" s="4"/>
      <c r="AV93" s="537"/>
      <c r="AW93" s="537"/>
      <c r="AX93" s="4"/>
      <c r="AY93" s="4"/>
      <c r="AZ93" s="4"/>
      <c r="BA93" s="4"/>
      <c r="BB93" s="4"/>
      <c r="BC93" s="4"/>
      <c r="BD93" s="4"/>
      <c r="BE93" s="4"/>
      <c r="BF93" s="4"/>
      <c r="BG93" s="4"/>
      <c r="BH93" s="4"/>
      <c r="BI93" s="4"/>
      <c r="BJ93" s="4"/>
      <c r="BK93" s="4"/>
      <c r="BL93" s="4"/>
      <c r="BM93" s="4"/>
      <c r="BN93" s="4"/>
      <c r="BO93" s="4"/>
      <c r="BP93" s="4"/>
      <c r="BQ93" s="4"/>
      <c r="BR93" s="4"/>
    </row>
    <row r="94" spans="1:70" ht="27" customHeight="1" x14ac:dyDescent="0.25">
      <c r="A94" s="532"/>
      <c r="B94" s="917"/>
      <c r="C94" s="4"/>
      <c r="D94" s="917"/>
      <c r="E94" s="4"/>
      <c r="F94" s="917"/>
      <c r="G94" s="4"/>
      <c r="H94" s="920"/>
      <c r="I94" s="3"/>
      <c r="J94" s="920"/>
      <c r="K94" s="3"/>
      <c r="L94" s="920"/>
      <c r="M94" s="3"/>
      <c r="N94" s="920"/>
      <c r="O94" s="3"/>
      <c r="P94" s="3"/>
      <c r="Q94" s="533"/>
      <c r="R94" s="920"/>
      <c r="S94" s="534"/>
      <c r="T94" s="920"/>
      <c r="U94" s="920"/>
      <c r="V94" s="920"/>
      <c r="W94" s="535"/>
      <c r="X94"/>
      <c r="Y94"/>
      <c r="Z94"/>
      <c r="AA94"/>
      <c r="AB94" s="543"/>
      <c r="AC94" s="3"/>
      <c r="AD94" s="533"/>
      <c r="AE94" s="3"/>
      <c r="AF94" s="4"/>
      <c r="AG94" s="4"/>
      <c r="AH94" s="4"/>
      <c r="AI94" s="4"/>
      <c r="AJ94" s="4"/>
      <c r="AK94" s="4"/>
      <c r="AL94" s="4"/>
      <c r="AM94" s="4"/>
      <c r="AN94" s="4"/>
      <c r="AO94" s="4"/>
      <c r="AP94" s="4"/>
      <c r="AQ94" s="4"/>
      <c r="AR94" s="4"/>
      <c r="AS94" s="4"/>
      <c r="AT94" s="4"/>
      <c r="AU94" s="4"/>
      <c r="AV94" s="537"/>
      <c r="AW94" s="537"/>
      <c r="AX94" s="4"/>
      <c r="AY94" s="4"/>
      <c r="AZ94" s="4"/>
      <c r="BA94" s="4"/>
      <c r="BB94" s="4"/>
      <c r="BC94" s="4"/>
      <c r="BD94" s="4"/>
      <c r="BE94" s="4"/>
      <c r="BF94" s="4"/>
      <c r="BG94" s="4"/>
      <c r="BH94" s="4"/>
      <c r="BI94" s="4"/>
      <c r="BJ94" s="4"/>
      <c r="BK94" s="4"/>
      <c r="BL94" s="4"/>
      <c r="BM94" s="4"/>
      <c r="BN94" s="4"/>
      <c r="BO94" s="4"/>
      <c r="BP94" s="4"/>
      <c r="BQ94" s="4"/>
      <c r="BR94" s="4"/>
    </row>
    <row r="95" spans="1:70" ht="27" customHeight="1" x14ac:dyDescent="0.25">
      <c r="A95" s="532"/>
      <c r="B95" s="917"/>
      <c r="C95" s="4"/>
      <c r="D95" s="917"/>
      <c r="E95" s="4"/>
      <c r="F95" s="917"/>
      <c r="G95" s="4"/>
      <c r="H95" s="920"/>
      <c r="I95" s="3"/>
      <c r="J95" s="920"/>
      <c r="K95" s="3"/>
      <c r="L95" s="920"/>
      <c r="M95" s="3"/>
      <c r="N95" s="920"/>
      <c r="O95" s="3"/>
      <c r="P95" s="3"/>
      <c r="Q95" s="533"/>
      <c r="R95" s="920"/>
      <c r="S95" s="534"/>
      <c r="T95" s="920"/>
      <c r="U95" s="920"/>
      <c r="V95" s="920"/>
      <c r="W95" s="535"/>
      <c r="X95"/>
      <c r="Y95"/>
      <c r="Z95"/>
      <c r="AA95"/>
      <c r="AB95" s="543"/>
      <c r="AC95" s="3"/>
      <c r="AD95" s="533"/>
      <c r="AE95" s="3"/>
      <c r="AF95" s="4"/>
      <c r="AG95" s="4"/>
      <c r="AH95" s="4"/>
      <c r="AI95" s="4"/>
      <c r="AJ95" s="4"/>
      <c r="AK95" s="4"/>
      <c r="AL95" s="4"/>
      <c r="AM95" s="4"/>
      <c r="AN95" s="4"/>
      <c r="AO95" s="4"/>
      <c r="AP95" s="4"/>
      <c r="AQ95" s="4"/>
      <c r="AR95" s="4"/>
      <c r="AS95" s="4"/>
      <c r="AT95" s="4"/>
      <c r="AU95" s="4"/>
      <c r="AV95" s="537"/>
      <c r="AW95" s="537"/>
      <c r="AX95" s="4"/>
      <c r="AY95" s="4"/>
      <c r="AZ95" s="4"/>
      <c r="BA95" s="4"/>
      <c r="BB95" s="4"/>
      <c r="BC95" s="4"/>
      <c r="BD95" s="4"/>
      <c r="BE95" s="4"/>
      <c r="BF95" s="4"/>
      <c r="BG95" s="4"/>
      <c r="BH95" s="4"/>
      <c r="BI95" s="4"/>
      <c r="BJ95" s="4"/>
      <c r="BK95" s="4"/>
      <c r="BL95" s="4"/>
      <c r="BM95" s="4"/>
      <c r="BN95" s="4"/>
      <c r="BO95" s="4"/>
      <c r="BP95" s="4"/>
      <c r="BQ95" s="4"/>
      <c r="BR95" s="4"/>
    </row>
    <row r="96" spans="1:70" ht="27" customHeight="1" x14ac:dyDescent="0.25">
      <c r="A96" s="532"/>
      <c r="B96" s="917"/>
      <c r="C96" s="4"/>
      <c r="D96" s="917"/>
      <c r="E96" s="4"/>
      <c r="F96" s="917"/>
      <c r="G96" s="4"/>
      <c r="H96" s="920"/>
      <c r="I96" s="3"/>
      <c r="J96" s="920"/>
      <c r="K96" s="3"/>
      <c r="L96" s="920"/>
      <c r="M96" s="3"/>
      <c r="N96" s="920"/>
      <c r="O96" s="3"/>
      <c r="P96" s="3"/>
      <c r="Q96" s="533"/>
      <c r="R96" s="920"/>
      <c r="S96" s="534"/>
      <c r="T96" s="920"/>
      <c r="U96" s="920"/>
      <c r="V96" s="920"/>
      <c r="W96" s="535"/>
      <c r="X96"/>
      <c r="Y96"/>
      <c r="Z96"/>
      <c r="AA96"/>
      <c r="AB96" s="543"/>
      <c r="AC96" s="3"/>
      <c r="AD96" s="533"/>
      <c r="AE96" s="3"/>
      <c r="AF96" s="4"/>
      <c r="AG96" s="4"/>
      <c r="AH96" s="4"/>
      <c r="AI96" s="4"/>
      <c r="AJ96" s="4"/>
      <c r="AK96" s="4"/>
      <c r="AL96" s="4"/>
      <c r="AM96" s="4"/>
      <c r="AN96" s="4"/>
      <c r="AO96" s="4"/>
      <c r="AP96" s="4"/>
      <c r="AQ96" s="4"/>
      <c r="AR96" s="4"/>
      <c r="AS96" s="4"/>
      <c r="AT96" s="4"/>
      <c r="AU96" s="4"/>
      <c r="AV96" s="537"/>
      <c r="AW96" s="537"/>
      <c r="AX96" s="4"/>
      <c r="AY96" s="4"/>
      <c r="AZ96" s="4"/>
      <c r="BA96" s="4"/>
      <c r="BB96" s="4"/>
      <c r="BC96" s="4"/>
      <c r="BD96" s="4"/>
      <c r="BE96" s="4"/>
      <c r="BF96" s="4"/>
      <c r="BG96" s="4"/>
      <c r="BH96" s="4"/>
      <c r="BI96" s="4"/>
      <c r="BJ96" s="4"/>
      <c r="BK96" s="4"/>
      <c r="BL96" s="4"/>
      <c r="BM96" s="4"/>
      <c r="BN96" s="4"/>
      <c r="BO96" s="4"/>
      <c r="BP96" s="4"/>
      <c r="BQ96" s="4"/>
      <c r="BR96" s="4"/>
    </row>
    <row r="97" spans="1:70" ht="27" customHeight="1" x14ac:dyDescent="0.25">
      <c r="A97" s="532"/>
      <c r="B97" s="917"/>
      <c r="C97" s="4"/>
      <c r="D97" s="917"/>
      <c r="E97" s="4"/>
      <c r="F97" s="917"/>
      <c r="G97" s="4"/>
      <c r="H97" s="920"/>
      <c r="I97" s="3"/>
      <c r="J97" s="920"/>
      <c r="K97" s="3"/>
      <c r="L97" s="920"/>
      <c r="M97" s="3"/>
      <c r="N97" s="920"/>
      <c r="O97" s="3"/>
      <c r="P97" s="3"/>
      <c r="Q97" s="533"/>
      <c r="R97" s="920"/>
      <c r="S97" s="534"/>
      <c r="T97" s="920"/>
      <c r="U97" s="920"/>
      <c r="V97" s="920"/>
      <c r="W97" s="535"/>
      <c r="X97"/>
      <c r="Y97"/>
      <c r="Z97"/>
      <c r="AA97"/>
      <c r="AB97" s="543"/>
      <c r="AC97" s="3"/>
      <c r="AD97" s="533"/>
      <c r="AE97" s="3"/>
      <c r="AF97" s="4"/>
      <c r="AG97" s="4"/>
      <c r="AH97" s="4"/>
      <c r="AI97" s="4"/>
      <c r="AJ97" s="4"/>
      <c r="AK97" s="4"/>
      <c r="AL97" s="4"/>
      <c r="AM97" s="4"/>
      <c r="AN97" s="4"/>
      <c r="AO97" s="4"/>
      <c r="AP97" s="4"/>
      <c r="AQ97" s="4"/>
      <c r="AR97" s="4"/>
      <c r="AS97" s="4"/>
      <c r="AT97" s="4"/>
      <c r="AU97" s="4"/>
      <c r="AV97" s="537"/>
      <c r="AW97" s="537"/>
      <c r="AX97" s="4"/>
      <c r="AY97" s="4"/>
      <c r="AZ97" s="4"/>
      <c r="BA97" s="4"/>
      <c r="BB97" s="4"/>
      <c r="BC97" s="4"/>
      <c r="BD97" s="4"/>
      <c r="BE97" s="4"/>
      <c r="BF97" s="4"/>
      <c r="BG97" s="4"/>
      <c r="BH97" s="4"/>
      <c r="BI97" s="4"/>
      <c r="BJ97" s="4"/>
      <c r="BK97" s="4"/>
      <c r="BL97" s="4"/>
      <c r="BM97" s="4"/>
      <c r="BN97" s="4"/>
      <c r="BO97" s="4"/>
      <c r="BP97" s="4"/>
      <c r="BQ97" s="4"/>
      <c r="BR97" s="4"/>
    </row>
    <row r="98" spans="1:70" ht="27" customHeight="1" x14ac:dyDescent="0.25">
      <c r="A98" s="532"/>
      <c r="B98" s="917"/>
      <c r="C98" s="4"/>
      <c r="D98" s="917"/>
      <c r="E98" s="4"/>
      <c r="F98" s="917"/>
      <c r="G98" s="4"/>
      <c r="H98" s="920"/>
      <c r="I98" s="3"/>
      <c r="J98" s="920"/>
      <c r="K98" s="3"/>
      <c r="L98" s="920"/>
      <c r="M98" s="3"/>
      <c r="N98" s="920"/>
      <c r="O98" s="3"/>
      <c r="P98" s="3"/>
      <c r="Q98" s="533"/>
      <c r="R98" s="920"/>
      <c r="S98" s="534"/>
      <c r="T98" s="920"/>
      <c r="U98" s="920"/>
      <c r="V98" s="920"/>
      <c r="W98" s="535"/>
      <c r="X98"/>
      <c r="Y98"/>
      <c r="Z98"/>
      <c r="AA98"/>
      <c r="AB98" s="543"/>
      <c r="AC98" s="3"/>
      <c r="AD98" s="533"/>
      <c r="AE98" s="3"/>
      <c r="AF98" s="4"/>
      <c r="AG98" s="4"/>
      <c r="AH98" s="4"/>
      <c r="AI98" s="4"/>
      <c r="AJ98" s="4"/>
      <c r="AK98" s="4"/>
      <c r="AL98" s="4"/>
      <c r="AM98" s="4"/>
      <c r="AN98" s="4"/>
      <c r="AO98" s="4"/>
      <c r="AP98" s="4"/>
      <c r="AQ98" s="4"/>
      <c r="AR98" s="4"/>
      <c r="AS98" s="4"/>
      <c r="AT98" s="4"/>
      <c r="AU98" s="4"/>
      <c r="AV98" s="537"/>
      <c r="AW98" s="537"/>
      <c r="AX98" s="4"/>
      <c r="AY98" s="4"/>
      <c r="AZ98" s="4"/>
      <c r="BA98" s="4"/>
      <c r="BB98" s="4"/>
      <c r="BC98" s="4"/>
      <c r="BD98" s="4"/>
      <c r="BE98" s="4"/>
      <c r="BF98" s="4"/>
      <c r="BG98" s="4"/>
      <c r="BH98" s="4"/>
      <c r="BI98" s="4"/>
      <c r="BJ98" s="4"/>
      <c r="BK98" s="4"/>
      <c r="BL98" s="4"/>
      <c r="BM98" s="4"/>
      <c r="BN98" s="4"/>
      <c r="BO98" s="4"/>
      <c r="BP98" s="4"/>
      <c r="BQ98" s="4"/>
      <c r="BR98" s="4"/>
    </row>
    <row r="99" spans="1:70" ht="27" customHeight="1" x14ac:dyDescent="0.25">
      <c r="A99" s="532"/>
      <c r="B99" s="917"/>
      <c r="C99" s="4"/>
      <c r="D99" s="917"/>
      <c r="E99" s="4"/>
      <c r="F99" s="917"/>
      <c r="G99" s="4"/>
      <c r="H99" s="920"/>
      <c r="I99" s="3"/>
      <c r="J99" s="920"/>
      <c r="K99" s="3"/>
      <c r="L99" s="920"/>
      <c r="M99" s="3"/>
      <c r="N99" s="920"/>
      <c r="O99" s="3"/>
      <c r="P99" s="3"/>
      <c r="Q99" s="533"/>
      <c r="R99" s="920"/>
      <c r="S99" s="534"/>
      <c r="T99" s="920"/>
      <c r="U99" s="920"/>
      <c r="V99" s="920"/>
      <c r="W99" s="535"/>
      <c r="X99"/>
      <c r="Y99"/>
      <c r="Z99"/>
      <c r="AA99"/>
      <c r="AB99" s="543"/>
      <c r="AC99" s="3"/>
      <c r="AD99" s="533"/>
      <c r="AE99" s="3"/>
      <c r="AF99" s="4"/>
      <c r="AG99" s="4"/>
      <c r="AH99" s="4"/>
      <c r="AI99" s="4"/>
      <c r="AJ99" s="4"/>
      <c r="AK99" s="4"/>
      <c r="AL99" s="4"/>
      <c r="AM99" s="4"/>
      <c r="AN99" s="4"/>
      <c r="AO99" s="4"/>
      <c r="AP99" s="4"/>
      <c r="AQ99" s="4"/>
      <c r="AR99" s="4"/>
      <c r="AS99" s="4"/>
      <c r="AT99" s="4"/>
      <c r="AU99" s="4"/>
      <c r="AV99" s="537"/>
      <c r="AW99" s="537"/>
      <c r="AX99" s="4"/>
      <c r="AY99" s="4"/>
      <c r="AZ99" s="4"/>
      <c r="BA99" s="4"/>
      <c r="BB99" s="4"/>
      <c r="BC99" s="4"/>
      <c r="BD99" s="4"/>
      <c r="BE99" s="4"/>
      <c r="BF99" s="4"/>
      <c r="BG99" s="4"/>
      <c r="BH99" s="4"/>
      <c r="BI99" s="4"/>
      <c r="BJ99" s="4"/>
      <c r="BK99" s="4"/>
      <c r="BL99" s="4"/>
      <c r="BM99" s="4"/>
      <c r="BN99" s="4"/>
      <c r="BO99" s="4"/>
      <c r="BP99" s="4"/>
      <c r="BQ99" s="4"/>
      <c r="BR99" s="4"/>
    </row>
    <row r="100" spans="1:70" ht="27" customHeight="1" x14ac:dyDescent="0.25">
      <c r="A100" s="532"/>
      <c r="B100" s="917"/>
      <c r="C100" s="4"/>
      <c r="D100" s="917"/>
      <c r="E100" s="4"/>
      <c r="F100" s="917"/>
      <c r="G100" s="4"/>
      <c r="H100" s="920"/>
      <c r="I100" s="3"/>
      <c r="J100" s="920"/>
      <c r="K100" s="3"/>
      <c r="L100" s="920"/>
      <c r="M100" s="3"/>
      <c r="N100" s="920"/>
      <c r="O100" s="3"/>
      <c r="P100" s="3"/>
      <c r="Q100" s="533"/>
      <c r="R100" s="920"/>
      <c r="S100" s="534"/>
      <c r="T100" s="920"/>
      <c r="U100" s="920"/>
      <c r="V100" s="920"/>
      <c r="W100" s="535"/>
      <c r="X100"/>
      <c r="Y100"/>
      <c r="Z100"/>
      <c r="AA100"/>
      <c r="AB100" s="543"/>
      <c r="AC100" s="3"/>
      <c r="AD100" s="533"/>
      <c r="AE100" s="3"/>
      <c r="AF100" s="4"/>
      <c r="AG100" s="4"/>
      <c r="AH100" s="4"/>
      <c r="AI100" s="4"/>
      <c r="AJ100" s="4"/>
      <c r="AK100" s="4"/>
      <c r="AL100" s="4"/>
      <c r="AM100" s="4"/>
      <c r="AN100" s="4"/>
      <c r="AO100" s="4"/>
      <c r="AP100" s="4"/>
      <c r="AQ100" s="4"/>
      <c r="AR100" s="4"/>
      <c r="AS100" s="4"/>
      <c r="AT100" s="4"/>
      <c r="AU100" s="4"/>
      <c r="AV100" s="537"/>
      <c r="AW100" s="537"/>
      <c r="AX100" s="4"/>
      <c r="AY100" s="4"/>
      <c r="AZ100" s="4"/>
      <c r="BA100" s="4"/>
      <c r="BB100" s="4"/>
      <c r="BC100" s="4"/>
      <c r="BD100" s="4"/>
      <c r="BE100" s="4"/>
      <c r="BF100" s="4"/>
      <c r="BG100" s="4"/>
      <c r="BH100" s="4"/>
      <c r="BI100" s="4"/>
      <c r="BJ100" s="4"/>
      <c r="BK100" s="4"/>
      <c r="BL100" s="4"/>
      <c r="BM100" s="4"/>
      <c r="BN100" s="4"/>
      <c r="BO100" s="4"/>
      <c r="BP100" s="4"/>
      <c r="BQ100" s="4"/>
      <c r="BR100" s="4"/>
    </row>
    <row r="101" spans="1:70" ht="27" customHeight="1" x14ac:dyDescent="0.25">
      <c r="A101" s="532"/>
      <c r="B101" s="917"/>
      <c r="C101" s="4"/>
      <c r="D101" s="917"/>
      <c r="E101" s="4"/>
      <c r="F101" s="917"/>
      <c r="G101" s="4"/>
      <c r="H101" s="920"/>
      <c r="I101" s="3"/>
      <c r="J101" s="920"/>
      <c r="K101" s="3"/>
      <c r="L101" s="920"/>
      <c r="M101" s="3"/>
      <c r="N101" s="920"/>
      <c r="O101" s="3"/>
      <c r="P101" s="3"/>
      <c r="Q101" s="533"/>
      <c r="R101" s="920"/>
      <c r="S101" s="534"/>
      <c r="T101" s="920"/>
      <c r="U101" s="920"/>
      <c r="V101" s="920"/>
      <c r="W101" s="535"/>
      <c r="X101"/>
      <c r="Y101"/>
      <c r="Z101"/>
      <c r="AA101"/>
      <c r="AB101" s="543"/>
      <c r="AC101" s="3"/>
      <c r="AD101" s="533"/>
      <c r="AE101" s="3"/>
      <c r="AF101" s="4"/>
      <c r="AG101" s="4"/>
      <c r="AH101" s="4"/>
      <c r="AI101" s="4"/>
      <c r="AJ101" s="4"/>
      <c r="AK101" s="4"/>
      <c r="AL101" s="4"/>
      <c r="AM101" s="4"/>
      <c r="AN101" s="4"/>
      <c r="AO101" s="4"/>
      <c r="AP101" s="4"/>
      <c r="AQ101" s="4"/>
      <c r="AR101" s="4"/>
      <c r="AS101" s="4"/>
      <c r="AT101" s="4"/>
      <c r="AU101" s="4"/>
      <c r="AV101" s="537"/>
      <c r="AW101" s="537"/>
      <c r="AX101" s="4"/>
      <c r="AY101" s="4"/>
      <c r="AZ101" s="4"/>
      <c r="BA101" s="4"/>
      <c r="BB101" s="4"/>
      <c r="BC101" s="4"/>
      <c r="BD101" s="4"/>
      <c r="BE101" s="4"/>
      <c r="BF101" s="4"/>
      <c r="BG101" s="4"/>
      <c r="BH101" s="4"/>
      <c r="BI101" s="4"/>
      <c r="BJ101" s="4"/>
      <c r="BK101" s="4"/>
      <c r="BL101" s="4"/>
      <c r="BM101" s="4"/>
      <c r="BN101" s="4"/>
      <c r="BO101" s="4"/>
      <c r="BP101" s="4"/>
      <c r="BQ101" s="4"/>
      <c r="BR101" s="4"/>
    </row>
    <row r="102" spans="1:70" ht="27" customHeight="1" x14ac:dyDescent="0.25">
      <c r="A102" s="532"/>
      <c r="B102" s="917"/>
      <c r="C102" s="4"/>
      <c r="D102" s="917"/>
      <c r="E102" s="4"/>
      <c r="F102" s="917"/>
      <c r="G102" s="4"/>
      <c r="H102" s="920"/>
      <c r="I102" s="3"/>
      <c r="J102" s="920"/>
      <c r="K102" s="3"/>
      <c r="L102" s="920"/>
      <c r="M102" s="3"/>
      <c r="N102" s="920"/>
      <c r="O102" s="3"/>
      <c r="P102" s="3"/>
      <c r="Q102" s="533"/>
      <c r="R102" s="920"/>
      <c r="S102" s="534"/>
      <c r="T102" s="920"/>
      <c r="U102" s="920"/>
      <c r="V102" s="920"/>
      <c r="W102" s="535"/>
      <c r="X102"/>
      <c r="Y102"/>
      <c r="Z102"/>
      <c r="AA102"/>
      <c r="AB102" s="543"/>
      <c r="AC102" s="3"/>
      <c r="AD102" s="533"/>
      <c r="AE102" s="3"/>
      <c r="AF102" s="4"/>
      <c r="AG102" s="4"/>
      <c r="AH102" s="4"/>
      <c r="AI102" s="4"/>
      <c r="AJ102" s="4"/>
      <c r="AK102" s="4"/>
      <c r="AL102" s="4"/>
      <c r="AM102" s="4"/>
      <c r="AN102" s="4"/>
      <c r="AO102" s="4"/>
      <c r="AP102" s="4"/>
      <c r="AQ102" s="4"/>
      <c r="AR102" s="4"/>
      <c r="AS102" s="4"/>
      <c r="AT102" s="4"/>
      <c r="AU102" s="4"/>
      <c r="AV102" s="537"/>
      <c r="AW102" s="537"/>
      <c r="AX102" s="4"/>
      <c r="AY102" s="4"/>
      <c r="AZ102" s="4"/>
      <c r="BA102" s="4"/>
      <c r="BB102" s="4"/>
      <c r="BC102" s="4"/>
      <c r="BD102" s="4"/>
      <c r="BE102" s="4"/>
      <c r="BF102" s="4"/>
      <c r="BG102" s="4"/>
      <c r="BH102" s="4"/>
      <c r="BI102" s="4"/>
      <c r="BJ102" s="4"/>
      <c r="BK102" s="4"/>
      <c r="BL102" s="4"/>
      <c r="BM102" s="4"/>
      <c r="BN102" s="4"/>
      <c r="BO102" s="4"/>
      <c r="BP102" s="4"/>
      <c r="BQ102" s="4"/>
      <c r="BR102" s="4"/>
    </row>
    <row r="103" spans="1:70" ht="27" customHeight="1" x14ac:dyDescent="0.25">
      <c r="A103" s="532"/>
      <c r="B103" s="917"/>
      <c r="C103" s="4"/>
      <c r="D103" s="917"/>
      <c r="E103" s="4"/>
      <c r="F103" s="917"/>
      <c r="G103" s="4"/>
      <c r="H103" s="920"/>
      <c r="I103" s="3"/>
      <c r="J103" s="920"/>
      <c r="K103" s="3"/>
      <c r="L103" s="920"/>
      <c r="M103" s="3"/>
      <c r="N103" s="920"/>
      <c r="O103" s="3"/>
      <c r="P103" s="3"/>
      <c r="Q103" s="533"/>
      <c r="R103" s="920"/>
      <c r="S103" s="534"/>
      <c r="T103" s="920"/>
      <c r="U103" s="920"/>
      <c r="V103" s="920"/>
      <c r="W103" s="535"/>
      <c r="X103"/>
      <c r="Y103"/>
      <c r="Z103"/>
      <c r="AA103"/>
      <c r="AB103" s="543"/>
      <c r="AC103" s="3"/>
      <c r="AD103" s="533"/>
      <c r="AE103" s="3"/>
      <c r="AF103" s="4"/>
      <c r="AG103" s="4"/>
      <c r="AH103" s="4"/>
      <c r="AI103" s="4"/>
      <c r="AJ103" s="4"/>
      <c r="AK103" s="4"/>
      <c r="AL103" s="4"/>
      <c r="AM103" s="4"/>
      <c r="AN103" s="4"/>
      <c r="AO103" s="4"/>
      <c r="AP103" s="4"/>
      <c r="AQ103" s="4"/>
      <c r="AR103" s="4"/>
      <c r="AS103" s="4"/>
      <c r="AT103" s="4"/>
      <c r="AU103" s="4"/>
      <c r="AV103" s="537"/>
      <c r="AW103" s="537"/>
      <c r="AX103" s="4"/>
      <c r="AY103" s="4"/>
      <c r="AZ103" s="4"/>
      <c r="BA103" s="4"/>
      <c r="BB103" s="4"/>
      <c r="BC103" s="4"/>
      <c r="BD103" s="4"/>
      <c r="BE103" s="4"/>
      <c r="BF103" s="4"/>
      <c r="BG103" s="4"/>
      <c r="BH103" s="4"/>
      <c r="BI103" s="4"/>
      <c r="BJ103" s="4"/>
      <c r="BK103" s="4"/>
      <c r="BL103" s="4"/>
      <c r="BM103" s="4"/>
      <c r="BN103" s="4"/>
      <c r="BO103" s="4"/>
      <c r="BP103" s="4"/>
      <c r="BQ103" s="4"/>
      <c r="BR103" s="4"/>
    </row>
    <row r="104" spans="1:70" ht="27" customHeight="1" x14ac:dyDescent="0.25">
      <c r="A104" s="532"/>
      <c r="B104" s="917"/>
      <c r="C104" s="4"/>
      <c r="D104" s="917"/>
      <c r="E104" s="4"/>
      <c r="F104" s="917"/>
      <c r="G104" s="4"/>
      <c r="H104" s="920"/>
      <c r="I104" s="3"/>
      <c r="J104" s="920"/>
      <c r="K104" s="3"/>
      <c r="L104" s="920"/>
      <c r="M104" s="3"/>
      <c r="N104" s="920"/>
      <c r="O104" s="3"/>
      <c r="P104" s="3"/>
      <c r="Q104" s="533"/>
      <c r="R104" s="920"/>
      <c r="S104" s="534"/>
      <c r="T104" s="920"/>
      <c r="U104" s="920"/>
      <c r="V104" s="920"/>
      <c r="W104" s="535"/>
      <c r="X104"/>
      <c r="Y104"/>
      <c r="Z104"/>
      <c r="AA104"/>
      <c r="AB104" s="543"/>
      <c r="AC104" s="3"/>
      <c r="AD104" s="533"/>
      <c r="AE104" s="3"/>
      <c r="AF104" s="4"/>
      <c r="AG104" s="4"/>
      <c r="AH104" s="4"/>
      <c r="AI104" s="4"/>
      <c r="AJ104" s="4"/>
      <c r="AK104" s="4"/>
      <c r="AL104" s="4"/>
      <c r="AM104" s="4"/>
      <c r="AN104" s="4"/>
      <c r="AO104" s="4"/>
      <c r="AP104" s="4"/>
      <c r="AQ104" s="4"/>
      <c r="AR104" s="4"/>
      <c r="AS104" s="4"/>
      <c r="AT104" s="4"/>
      <c r="AU104" s="4"/>
      <c r="AV104" s="537"/>
      <c r="AW104" s="537"/>
      <c r="AX104" s="4"/>
      <c r="AY104" s="4"/>
      <c r="AZ104" s="4"/>
      <c r="BA104" s="4"/>
      <c r="BB104" s="4"/>
      <c r="BC104" s="4"/>
      <c r="BD104" s="4"/>
      <c r="BE104" s="4"/>
      <c r="BF104" s="4"/>
      <c r="BG104" s="4"/>
      <c r="BH104" s="4"/>
      <c r="BI104" s="4"/>
      <c r="BJ104" s="4"/>
      <c r="BK104" s="4"/>
      <c r="BL104" s="4"/>
      <c r="BM104" s="4"/>
      <c r="BN104" s="4"/>
      <c r="BO104" s="4"/>
      <c r="BP104" s="4"/>
      <c r="BQ104" s="4"/>
      <c r="BR104" s="4"/>
    </row>
    <row r="105" spans="1:70" ht="27" customHeight="1" x14ac:dyDescent="0.25">
      <c r="A105" s="532"/>
      <c r="B105" s="917"/>
      <c r="C105" s="4"/>
      <c r="D105" s="917"/>
      <c r="E105" s="4"/>
      <c r="F105" s="917"/>
      <c r="G105" s="4"/>
      <c r="H105" s="920"/>
      <c r="I105" s="3"/>
      <c r="J105" s="920"/>
      <c r="K105" s="3"/>
      <c r="L105" s="920"/>
      <c r="M105" s="3"/>
      <c r="N105" s="920"/>
      <c r="O105" s="3"/>
      <c r="P105" s="3"/>
      <c r="Q105" s="533"/>
      <c r="R105" s="920"/>
      <c r="S105" s="534"/>
      <c r="T105" s="920"/>
      <c r="U105" s="920"/>
      <c r="V105" s="920"/>
      <c r="W105" s="535"/>
      <c r="X105"/>
      <c r="Y105"/>
      <c r="Z105"/>
      <c r="AA105"/>
      <c r="AB105" s="543"/>
      <c r="AC105" s="3"/>
      <c r="AD105" s="533"/>
      <c r="AE105" s="3"/>
      <c r="AF105" s="4"/>
      <c r="AG105" s="4"/>
      <c r="AH105" s="4"/>
      <c r="AI105" s="4"/>
      <c r="AJ105" s="4"/>
      <c r="AK105" s="4"/>
      <c r="AL105" s="4"/>
      <c r="AM105" s="4"/>
      <c r="AN105" s="4"/>
      <c r="AO105" s="4"/>
      <c r="AP105" s="4"/>
      <c r="AQ105" s="4"/>
      <c r="AR105" s="4"/>
      <c r="AS105" s="4"/>
      <c r="AT105" s="4"/>
      <c r="AU105" s="4"/>
      <c r="AV105" s="537"/>
      <c r="AW105" s="537"/>
      <c r="AX105" s="4"/>
      <c r="AY105" s="4"/>
      <c r="AZ105" s="4"/>
      <c r="BA105" s="4"/>
      <c r="BB105" s="4"/>
      <c r="BC105" s="4"/>
      <c r="BD105" s="4"/>
      <c r="BE105" s="4"/>
      <c r="BF105" s="4"/>
      <c r="BG105" s="4"/>
      <c r="BH105" s="4"/>
      <c r="BI105" s="4"/>
      <c r="BJ105" s="4"/>
      <c r="BK105" s="4"/>
      <c r="BL105" s="4"/>
      <c r="BM105" s="4"/>
      <c r="BN105" s="4"/>
      <c r="BO105" s="4"/>
      <c r="BP105" s="4"/>
      <c r="BQ105" s="4"/>
      <c r="BR105" s="4"/>
    </row>
    <row r="106" spans="1:70" ht="27" customHeight="1" x14ac:dyDescent="0.25">
      <c r="A106" s="532"/>
      <c r="B106" s="917"/>
      <c r="C106" s="4"/>
      <c r="D106" s="917"/>
      <c r="E106" s="4"/>
      <c r="F106" s="917"/>
      <c r="G106" s="4"/>
      <c r="H106" s="920"/>
      <c r="I106" s="3"/>
      <c r="J106" s="920"/>
      <c r="K106" s="3"/>
      <c r="L106" s="920"/>
      <c r="M106" s="3"/>
      <c r="N106" s="920"/>
      <c r="O106" s="3"/>
      <c r="P106" s="3"/>
      <c r="Q106" s="533"/>
      <c r="R106" s="920"/>
      <c r="S106" s="534"/>
      <c r="T106" s="920"/>
      <c r="U106" s="920"/>
      <c r="V106" s="920"/>
      <c r="W106" s="535"/>
      <c r="X106"/>
      <c r="Y106"/>
      <c r="Z106"/>
      <c r="AA106"/>
      <c r="AB106" s="543"/>
      <c r="AC106" s="3"/>
      <c r="AD106" s="533"/>
      <c r="AE106" s="3"/>
      <c r="AF106" s="4"/>
      <c r="AG106" s="4"/>
      <c r="AH106" s="4"/>
      <c r="AI106" s="4"/>
      <c r="AJ106" s="4"/>
      <c r="AK106" s="4"/>
      <c r="AL106" s="4"/>
      <c r="AM106" s="4"/>
      <c r="AN106" s="4"/>
      <c r="AO106" s="4"/>
      <c r="AP106" s="4"/>
      <c r="AQ106" s="4"/>
      <c r="AR106" s="4"/>
      <c r="AS106" s="4"/>
      <c r="AT106" s="4"/>
      <c r="AU106" s="4"/>
      <c r="AV106" s="537"/>
      <c r="AW106" s="537"/>
      <c r="AX106" s="4"/>
      <c r="AY106" s="4"/>
      <c r="AZ106" s="4"/>
      <c r="BA106" s="4"/>
      <c r="BB106" s="4"/>
      <c r="BC106" s="4"/>
      <c r="BD106" s="4"/>
      <c r="BE106" s="4"/>
      <c r="BF106" s="4"/>
      <c r="BG106" s="4"/>
      <c r="BH106" s="4"/>
      <c r="BI106" s="4"/>
      <c r="BJ106" s="4"/>
      <c r="BK106" s="4"/>
      <c r="BL106" s="4"/>
      <c r="BM106" s="4"/>
      <c r="BN106" s="4"/>
      <c r="BO106" s="4"/>
      <c r="BP106" s="4"/>
      <c r="BQ106" s="4"/>
      <c r="BR106" s="4"/>
    </row>
    <row r="107" spans="1:70" ht="27" customHeight="1" x14ac:dyDescent="0.25">
      <c r="A107" s="532"/>
      <c r="B107" s="917"/>
      <c r="C107" s="4"/>
      <c r="D107" s="917"/>
      <c r="E107" s="4"/>
      <c r="F107" s="917"/>
      <c r="G107" s="4"/>
      <c r="H107" s="920"/>
      <c r="I107" s="3"/>
      <c r="J107" s="920"/>
      <c r="K107" s="3"/>
      <c r="L107" s="920"/>
      <c r="M107" s="3"/>
      <c r="N107" s="920"/>
      <c r="O107" s="3"/>
      <c r="P107" s="3"/>
      <c r="Q107" s="533"/>
      <c r="R107" s="920"/>
      <c r="S107" s="534"/>
      <c r="T107" s="920"/>
      <c r="U107" s="920"/>
      <c r="V107" s="920"/>
      <c r="W107" s="535"/>
      <c r="X107"/>
      <c r="Y107"/>
      <c r="Z107"/>
      <c r="AA107"/>
      <c r="AB107" s="543"/>
      <c r="AC107" s="3"/>
      <c r="AD107" s="533"/>
      <c r="AE107" s="3"/>
      <c r="AF107" s="4"/>
      <c r="AG107" s="4"/>
      <c r="AH107" s="4"/>
      <c r="AI107" s="4"/>
      <c r="AJ107" s="4"/>
      <c r="AK107" s="4"/>
      <c r="AL107" s="4"/>
      <c r="AM107" s="4"/>
      <c r="AN107" s="4"/>
      <c r="AO107" s="4"/>
      <c r="AP107" s="4"/>
      <c r="AQ107" s="4"/>
      <c r="AR107" s="4"/>
      <c r="AS107" s="4"/>
      <c r="AT107" s="4"/>
      <c r="AU107" s="4"/>
      <c r="AV107" s="537"/>
      <c r="AW107" s="537"/>
      <c r="AX107" s="4"/>
      <c r="AY107" s="4"/>
      <c r="AZ107" s="4"/>
      <c r="BA107" s="4"/>
      <c r="BB107" s="4"/>
      <c r="BC107" s="4"/>
      <c r="BD107" s="4"/>
      <c r="BE107" s="4"/>
      <c r="BF107" s="4"/>
      <c r="BG107" s="4"/>
      <c r="BH107" s="4"/>
      <c r="BI107" s="4"/>
      <c r="BJ107" s="4"/>
      <c r="BK107" s="4"/>
      <c r="BL107" s="4"/>
      <c r="BM107" s="4"/>
      <c r="BN107" s="4"/>
      <c r="BO107" s="4"/>
      <c r="BP107" s="4"/>
      <c r="BQ107" s="4"/>
      <c r="BR107" s="4"/>
    </row>
    <row r="108" spans="1:70" ht="27" customHeight="1" x14ac:dyDescent="0.25">
      <c r="A108" s="532"/>
      <c r="B108" s="917"/>
      <c r="C108" s="4"/>
      <c r="D108" s="917"/>
      <c r="E108" s="4"/>
      <c r="F108" s="917"/>
      <c r="G108" s="4"/>
      <c r="H108" s="920"/>
      <c r="I108" s="3"/>
      <c r="J108" s="920"/>
      <c r="K108" s="3"/>
      <c r="L108" s="920"/>
      <c r="M108" s="3"/>
      <c r="N108" s="920"/>
      <c r="O108" s="3"/>
      <c r="P108" s="3"/>
      <c r="Q108" s="533"/>
      <c r="R108" s="920"/>
      <c r="S108" s="534"/>
      <c r="T108" s="920"/>
      <c r="U108" s="920"/>
      <c r="V108" s="920"/>
      <c r="W108" s="535"/>
      <c r="X108"/>
      <c r="Y108"/>
      <c r="Z108"/>
      <c r="AA108"/>
      <c r="AB108" s="543"/>
      <c r="AC108" s="3"/>
      <c r="AD108" s="533"/>
      <c r="AE108" s="3"/>
      <c r="AF108" s="4"/>
      <c r="AG108" s="4"/>
      <c r="AH108" s="4"/>
      <c r="AI108" s="4"/>
      <c r="AJ108" s="4"/>
      <c r="AK108" s="4"/>
      <c r="AL108" s="4"/>
      <c r="AM108" s="4"/>
      <c r="AN108" s="4"/>
      <c r="AO108" s="4"/>
      <c r="AP108" s="4"/>
      <c r="AQ108" s="4"/>
      <c r="AR108" s="4"/>
      <c r="AS108" s="4"/>
      <c r="AT108" s="4"/>
      <c r="AU108" s="4"/>
      <c r="AV108" s="537"/>
      <c r="AW108" s="537"/>
      <c r="AX108" s="4"/>
      <c r="AY108" s="4"/>
      <c r="AZ108" s="4"/>
      <c r="BA108" s="4"/>
      <c r="BB108" s="4"/>
      <c r="BC108" s="4"/>
      <c r="BD108" s="4"/>
      <c r="BE108" s="4"/>
      <c r="BF108" s="4"/>
      <c r="BG108" s="4"/>
      <c r="BH108" s="4"/>
      <c r="BI108" s="4"/>
      <c r="BJ108" s="4"/>
      <c r="BK108" s="4"/>
      <c r="BL108" s="4"/>
      <c r="BM108" s="4"/>
      <c r="BN108" s="4"/>
      <c r="BO108" s="4"/>
      <c r="BP108" s="4"/>
      <c r="BQ108" s="4"/>
      <c r="BR108" s="4"/>
    </row>
    <row r="109" spans="1:70" ht="27" customHeight="1" x14ac:dyDescent="0.25">
      <c r="A109" s="532"/>
      <c r="B109" s="917"/>
      <c r="C109" s="4"/>
      <c r="D109" s="917"/>
      <c r="E109" s="4"/>
      <c r="F109" s="917"/>
      <c r="G109" s="4"/>
      <c r="H109" s="920"/>
      <c r="I109" s="3"/>
      <c r="J109" s="920"/>
      <c r="K109" s="3"/>
      <c r="L109" s="920"/>
      <c r="M109" s="3"/>
      <c r="N109" s="920"/>
      <c r="O109" s="3"/>
      <c r="P109" s="3"/>
      <c r="Q109" s="533"/>
      <c r="R109" s="920"/>
      <c r="S109" s="534"/>
      <c r="T109" s="920"/>
      <c r="U109" s="920"/>
      <c r="V109" s="920"/>
      <c r="W109" s="535"/>
      <c r="X109"/>
      <c r="Y109"/>
      <c r="Z109"/>
      <c r="AA109"/>
      <c r="AB109" s="543"/>
      <c r="AC109" s="3"/>
      <c r="AD109" s="533"/>
      <c r="AE109" s="3"/>
      <c r="AF109" s="4"/>
      <c r="AG109" s="4"/>
      <c r="AH109" s="4"/>
      <c r="AI109" s="4"/>
      <c r="AJ109" s="4"/>
      <c r="AK109" s="4"/>
      <c r="AL109" s="4"/>
      <c r="AM109" s="4"/>
      <c r="AN109" s="4"/>
      <c r="AO109" s="4"/>
      <c r="AP109" s="4"/>
      <c r="AQ109" s="4"/>
      <c r="AR109" s="4"/>
      <c r="AS109" s="4"/>
      <c r="AT109" s="4"/>
      <c r="AU109" s="4"/>
      <c r="AV109" s="537"/>
      <c r="AW109" s="537"/>
      <c r="AX109" s="4"/>
      <c r="AY109" s="4"/>
      <c r="AZ109" s="4"/>
      <c r="BA109" s="4"/>
      <c r="BB109" s="4"/>
      <c r="BC109" s="4"/>
      <c r="BD109" s="4"/>
      <c r="BE109" s="4"/>
      <c r="BF109" s="4"/>
      <c r="BG109" s="4"/>
      <c r="BH109" s="4"/>
      <c r="BI109" s="4"/>
      <c r="BJ109" s="4"/>
      <c r="BK109" s="4"/>
      <c r="BL109" s="4"/>
      <c r="BM109" s="4"/>
      <c r="BN109" s="4"/>
      <c r="BO109" s="4"/>
      <c r="BP109" s="4"/>
      <c r="BQ109" s="4"/>
      <c r="BR109" s="4"/>
    </row>
    <row r="110" spans="1:70" ht="27" customHeight="1" x14ac:dyDescent="0.25">
      <c r="A110" s="532"/>
      <c r="B110" s="917"/>
      <c r="C110" s="4"/>
      <c r="D110" s="917"/>
      <c r="E110" s="4"/>
      <c r="F110" s="917"/>
      <c r="G110" s="4"/>
      <c r="H110" s="920"/>
      <c r="I110" s="3"/>
      <c r="J110" s="920"/>
      <c r="K110" s="3"/>
      <c r="L110" s="920"/>
      <c r="M110" s="3"/>
      <c r="N110" s="920"/>
      <c r="O110" s="3"/>
      <c r="P110" s="3"/>
      <c r="Q110" s="533"/>
      <c r="R110" s="920"/>
      <c r="S110" s="534"/>
      <c r="T110" s="920"/>
      <c r="U110" s="920"/>
      <c r="V110" s="920"/>
      <c r="W110" s="535"/>
      <c r="X110"/>
      <c r="Y110"/>
      <c r="Z110"/>
      <c r="AA110"/>
      <c r="AB110" s="543"/>
      <c r="AC110" s="3"/>
      <c r="AD110" s="533"/>
      <c r="AE110" s="3"/>
      <c r="AF110" s="4"/>
      <c r="AG110" s="4"/>
      <c r="AH110" s="4"/>
      <c r="AI110" s="4"/>
      <c r="AJ110" s="4"/>
      <c r="AK110" s="4"/>
      <c r="AL110" s="4"/>
      <c r="AM110" s="4"/>
      <c r="AN110" s="4"/>
      <c r="AO110" s="4"/>
      <c r="AP110" s="4"/>
      <c r="AQ110" s="4"/>
      <c r="AR110" s="4"/>
      <c r="AS110" s="4"/>
      <c r="AT110" s="4"/>
      <c r="AU110" s="4"/>
      <c r="AV110" s="537"/>
      <c r="AW110" s="537"/>
      <c r="AX110" s="4"/>
      <c r="AY110" s="4"/>
      <c r="AZ110" s="4"/>
      <c r="BA110" s="4"/>
      <c r="BB110" s="4"/>
      <c r="BC110" s="4"/>
      <c r="BD110" s="4"/>
      <c r="BE110" s="4"/>
      <c r="BF110" s="4"/>
      <c r="BG110" s="4"/>
      <c r="BH110" s="4"/>
      <c r="BI110" s="4"/>
      <c r="BJ110" s="4"/>
      <c r="BK110" s="4"/>
      <c r="BL110" s="4"/>
      <c r="BM110" s="4"/>
      <c r="BN110" s="4"/>
      <c r="BO110" s="4"/>
      <c r="BP110" s="4"/>
      <c r="BQ110" s="4"/>
      <c r="BR110" s="4"/>
    </row>
    <row r="111" spans="1:70" ht="27" customHeight="1" x14ac:dyDescent="0.25">
      <c r="A111" s="532"/>
      <c r="B111" s="917"/>
      <c r="C111" s="4"/>
      <c r="D111" s="917"/>
      <c r="E111" s="4"/>
      <c r="F111" s="917"/>
      <c r="G111" s="4"/>
      <c r="H111" s="920"/>
      <c r="I111" s="3"/>
      <c r="J111" s="920"/>
      <c r="K111" s="3"/>
      <c r="L111" s="920"/>
      <c r="M111" s="3"/>
      <c r="N111" s="920"/>
      <c r="O111" s="3"/>
      <c r="P111" s="3"/>
      <c r="Q111" s="533"/>
      <c r="R111" s="920"/>
      <c r="S111" s="534"/>
      <c r="T111" s="920"/>
      <c r="U111" s="920"/>
      <c r="V111" s="920"/>
      <c r="W111" s="535"/>
      <c r="X111"/>
      <c r="Y111"/>
      <c r="Z111"/>
      <c r="AA111"/>
      <c r="AB111"/>
      <c r="AC111" s="3"/>
      <c r="AD111" s="533"/>
      <c r="AE111" s="3"/>
      <c r="AF111" s="4"/>
      <c r="AG111" s="4"/>
      <c r="AH111" s="4"/>
      <c r="AI111" s="4"/>
      <c r="AJ111" s="4"/>
      <c r="AK111" s="4"/>
      <c r="AL111" s="4"/>
      <c r="AM111" s="4"/>
      <c r="AN111" s="4"/>
      <c r="AO111" s="4"/>
      <c r="AP111" s="4"/>
      <c r="AQ111" s="4"/>
      <c r="AR111" s="4"/>
      <c r="AS111" s="4"/>
      <c r="AT111" s="4"/>
      <c r="AU111" s="4"/>
      <c r="AV111" s="537"/>
      <c r="AW111" s="537"/>
      <c r="AX111" s="4"/>
      <c r="AY111" s="4"/>
      <c r="AZ111" s="4"/>
      <c r="BA111" s="4"/>
      <c r="BB111" s="4"/>
      <c r="BC111" s="4"/>
      <c r="BD111" s="4"/>
      <c r="BE111" s="4"/>
      <c r="BF111" s="4"/>
      <c r="BG111" s="4"/>
      <c r="BH111" s="4"/>
      <c r="BI111" s="4"/>
      <c r="BJ111" s="4"/>
      <c r="BK111" s="4"/>
      <c r="BL111" s="4"/>
      <c r="BM111" s="4"/>
      <c r="BN111" s="4"/>
      <c r="BO111" s="4"/>
      <c r="BP111" s="4"/>
      <c r="BQ111" s="4"/>
      <c r="BR111" s="4"/>
    </row>
    <row r="112" spans="1:70" ht="27" customHeight="1" x14ac:dyDescent="0.25">
      <c r="A112" s="532"/>
      <c r="B112" s="917"/>
      <c r="C112" s="4"/>
      <c r="D112" s="917"/>
      <c r="E112" s="4"/>
      <c r="F112" s="917"/>
      <c r="G112" s="4"/>
      <c r="H112" s="920"/>
      <c r="I112" s="3"/>
      <c r="J112" s="920"/>
      <c r="K112" s="3"/>
      <c r="L112" s="920"/>
      <c r="M112" s="3"/>
      <c r="N112" s="920"/>
      <c r="O112" s="3"/>
      <c r="P112" s="3"/>
      <c r="Q112" s="533"/>
      <c r="R112" s="920"/>
      <c r="S112" s="534"/>
      <c r="T112" s="920"/>
      <c r="U112" s="920"/>
      <c r="V112" s="920"/>
      <c r="W112" s="535"/>
      <c r="X112"/>
      <c r="Y112"/>
      <c r="Z112"/>
      <c r="AA112"/>
      <c r="AB112"/>
      <c r="AC112" s="3"/>
      <c r="AD112" s="533"/>
      <c r="AE112" s="3"/>
      <c r="AF112" s="4"/>
      <c r="AG112" s="4"/>
      <c r="AH112" s="4"/>
      <c r="AI112" s="4"/>
      <c r="AJ112" s="4"/>
      <c r="AK112" s="4"/>
      <c r="AL112" s="4"/>
      <c r="AM112" s="4"/>
      <c r="AN112" s="4"/>
      <c r="AO112" s="4"/>
      <c r="AP112" s="4"/>
      <c r="AQ112" s="4"/>
      <c r="AR112" s="4"/>
      <c r="AS112" s="4"/>
      <c r="AT112" s="4"/>
      <c r="AU112" s="4"/>
      <c r="AV112" s="537"/>
      <c r="AW112" s="537"/>
      <c r="AX112" s="4"/>
      <c r="AY112" s="4"/>
      <c r="AZ112" s="4"/>
      <c r="BA112" s="4"/>
      <c r="BB112" s="4"/>
      <c r="BC112" s="4"/>
      <c r="BD112" s="4"/>
      <c r="BE112" s="4"/>
      <c r="BF112" s="4"/>
      <c r="BG112" s="4"/>
      <c r="BH112" s="4"/>
      <c r="BI112" s="4"/>
      <c r="BJ112" s="4"/>
      <c r="BK112" s="4"/>
      <c r="BL112" s="4"/>
      <c r="BM112" s="4"/>
      <c r="BN112" s="4"/>
      <c r="BO112" s="4"/>
      <c r="BP112" s="4"/>
      <c r="BQ112" s="4"/>
      <c r="BR112" s="4"/>
    </row>
    <row r="113" spans="1:70" ht="27" customHeight="1" x14ac:dyDescent="0.25">
      <c r="A113" s="532"/>
      <c r="B113" s="917"/>
      <c r="C113" s="4"/>
      <c r="D113" s="917"/>
      <c r="E113" s="4"/>
      <c r="F113" s="917"/>
      <c r="G113" s="4"/>
      <c r="H113" s="920"/>
      <c r="I113" s="3"/>
      <c r="J113" s="920"/>
      <c r="K113" s="3"/>
      <c r="L113" s="920"/>
      <c r="M113" s="3"/>
      <c r="N113" s="920"/>
      <c r="O113" s="3"/>
      <c r="P113" s="3"/>
      <c r="Q113" s="533"/>
      <c r="R113" s="920"/>
      <c r="S113" s="534"/>
      <c r="T113" s="920"/>
      <c r="U113" s="920"/>
      <c r="V113" s="920"/>
      <c r="W113" s="535"/>
      <c r="X113"/>
      <c r="Y113"/>
      <c r="Z113"/>
      <c r="AA113"/>
      <c r="AB113"/>
      <c r="AC113" s="3"/>
      <c r="AD113" s="533"/>
      <c r="AE113" s="3"/>
      <c r="AF113" s="4"/>
      <c r="AG113" s="4"/>
      <c r="AH113" s="4"/>
      <c r="AI113" s="4"/>
      <c r="AJ113" s="4"/>
      <c r="AK113" s="4"/>
      <c r="AL113" s="4"/>
      <c r="AM113" s="4"/>
      <c r="AN113" s="4"/>
      <c r="AO113" s="4"/>
      <c r="AP113" s="4"/>
      <c r="AQ113" s="4"/>
      <c r="AR113" s="4"/>
      <c r="AS113" s="4"/>
      <c r="AT113" s="4"/>
      <c r="AU113" s="4"/>
      <c r="AV113" s="537"/>
      <c r="AW113" s="537"/>
      <c r="AX113" s="4"/>
      <c r="AY113" s="4"/>
      <c r="AZ113" s="4"/>
      <c r="BA113" s="4"/>
      <c r="BB113" s="4"/>
      <c r="BC113" s="4"/>
      <c r="BD113" s="4"/>
      <c r="BE113" s="4"/>
      <c r="BF113" s="4"/>
      <c r="BG113" s="4"/>
      <c r="BH113" s="4"/>
      <c r="BI113" s="4"/>
      <c r="BJ113" s="4"/>
      <c r="BK113" s="4"/>
      <c r="BL113" s="4"/>
      <c r="BM113" s="4"/>
      <c r="BN113" s="4"/>
      <c r="BO113" s="4"/>
      <c r="BP113" s="4"/>
      <c r="BQ113" s="4"/>
      <c r="BR113" s="4"/>
    </row>
    <row r="114" spans="1:70" ht="27" customHeight="1" x14ac:dyDescent="0.25">
      <c r="A114" s="532"/>
      <c r="B114" s="917"/>
      <c r="C114" s="4"/>
      <c r="D114" s="917"/>
      <c r="E114" s="4"/>
      <c r="F114" s="917"/>
      <c r="G114" s="4"/>
      <c r="H114" s="920"/>
      <c r="I114" s="3"/>
      <c r="J114" s="920"/>
      <c r="K114" s="3"/>
      <c r="L114" s="920"/>
      <c r="M114" s="3"/>
      <c r="N114" s="920"/>
      <c r="O114" s="3"/>
      <c r="P114" s="3"/>
      <c r="Q114" s="533"/>
      <c r="R114" s="920"/>
      <c r="S114" s="534"/>
      <c r="T114" s="920"/>
      <c r="U114" s="920"/>
      <c r="V114" s="920"/>
      <c r="W114" s="535"/>
      <c r="X114"/>
      <c r="Y114"/>
      <c r="Z114"/>
      <c r="AA114"/>
      <c r="AB114"/>
      <c r="AC114" s="3"/>
      <c r="AD114" s="533"/>
      <c r="AE114" s="3"/>
      <c r="AF114" s="4"/>
      <c r="AG114" s="4"/>
      <c r="AH114" s="4"/>
      <c r="AI114" s="4"/>
      <c r="AJ114" s="4"/>
      <c r="AK114" s="4"/>
      <c r="AL114" s="4"/>
      <c r="AM114" s="4"/>
      <c r="AN114" s="4"/>
      <c r="AO114" s="4"/>
      <c r="AP114" s="4"/>
      <c r="AQ114" s="4"/>
      <c r="AR114" s="4"/>
      <c r="AS114" s="4"/>
      <c r="AT114" s="4"/>
      <c r="AU114" s="4"/>
      <c r="AV114" s="537"/>
      <c r="AW114" s="537"/>
      <c r="AX114" s="4"/>
      <c r="AY114" s="4"/>
      <c r="AZ114" s="4"/>
      <c r="BA114" s="4"/>
      <c r="BB114" s="4"/>
      <c r="BC114" s="4"/>
      <c r="BD114" s="4"/>
      <c r="BE114" s="4"/>
      <c r="BF114" s="4"/>
      <c r="BG114" s="4"/>
      <c r="BH114" s="4"/>
      <c r="BI114" s="4"/>
      <c r="BJ114" s="4"/>
      <c r="BK114" s="4"/>
      <c r="BL114" s="4"/>
      <c r="BM114" s="4"/>
      <c r="BN114" s="4"/>
      <c r="BO114" s="4"/>
      <c r="BP114" s="4"/>
      <c r="BQ114" s="4"/>
      <c r="BR114" s="4"/>
    </row>
    <row r="115" spans="1:70" ht="27" customHeight="1" x14ac:dyDescent="0.25">
      <c r="A115" s="532"/>
      <c r="B115" s="917"/>
      <c r="C115" s="4"/>
      <c r="D115" s="917"/>
      <c r="E115" s="4"/>
      <c r="F115" s="917"/>
      <c r="G115" s="4"/>
      <c r="H115" s="920"/>
      <c r="I115" s="3"/>
      <c r="J115" s="920"/>
      <c r="K115" s="3"/>
      <c r="L115" s="920"/>
      <c r="M115" s="3"/>
      <c r="N115" s="920"/>
      <c r="O115" s="3"/>
      <c r="P115" s="3"/>
      <c r="Q115" s="533"/>
      <c r="R115" s="920"/>
      <c r="S115" s="534"/>
      <c r="T115" s="920"/>
      <c r="U115" s="920"/>
      <c r="V115" s="920"/>
      <c r="W115" s="535"/>
      <c r="X115"/>
      <c r="Y115"/>
      <c r="Z115"/>
      <c r="AA115"/>
      <c r="AB115"/>
      <c r="AC115" s="3"/>
      <c r="AD115" s="533"/>
      <c r="AE115" s="3"/>
      <c r="AF115" s="4"/>
      <c r="AG115" s="4"/>
      <c r="AH115" s="4"/>
      <c r="AI115" s="4"/>
      <c r="AJ115" s="4"/>
      <c r="AK115" s="4"/>
      <c r="AL115" s="4"/>
      <c r="AM115" s="4"/>
      <c r="AN115" s="4"/>
      <c r="AO115" s="4"/>
      <c r="AP115" s="4"/>
      <c r="AQ115" s="4"/>
      <c r="AR115" s="4"/>
      <c r="AS115" s="4"/>
      <c r="AT115" s="4"/>
      <c r="AU115" s="4"/>
      <c r="AV115" s="537"/>
      <c r="AW115" s="537"/>
      <c r="AX115" s="4"/>
      <c r="AY115" s="4"/>
      <c r="AZ115" s="4"/>
      <c r="BA115" s="4"/>
      <c r="BB115" s="4"/>
      <c r="BC115" s="4"/>
      <c r="BD115" s="4"/>
      <c r="BE115" s="4"/>
      <c r="BF115" s="4"/>
      <c r="BG115" s="4"/>
      <c r="BH115" s="4"/>
      <c r="BI115" s="4"/>
      <c r="BJ115" s="4"/>
      <c r="BK115" s="4"/>
      <c r="BL115" s="4"/>
      <c r="BM115" s="4"/>
      <c r="BN115" s="4"/>
      <c r="BO115" s="4"/>
      <c r="BP115" s="4"/>
      <c r="BQ115" s="4"/>
      <c r="BR115" s="4"/>
    </row>
    <row r="116" spans="1:70" ht="27" customHeight="1" x14ac:dyDescent="0.25">
      <c r="A116" s="532"/>
      <c r="B116" s="917"/>
      <c r="C116" s="4"/>
      <c r="D116" s="917"/>
      <c r="E116" s="4"/>
      <c r="F116" s="917"/>
      <c r="G116" s="4"/>
      <c r="H116" s="920"/>
      <c r="I116" s="3"/>
      <c r="J116" s="920"/>
      <c r="K116" s="3"/>
      <c r="L116" s="920"/>
      <c r="M116" s="3"/>
      <c r="N116" s="920"/>
      <c r="O116" s="3"/>
      <c r="P116" s="3"/>
      <c r="Q116" s="533"/>
      <c r="R116" s="920"/>
      <c r="S116" s="534"/>
      <c r="T116" s="920"/>
      <c r="U116" s="920"/>
      <c r="V116" s="920"/>
      <c r="W116" s="535"/>
      <c r="X116"/>
      <c r="Y116"/>
      <c r="Z116"/>
      <c r="AA116"/>
      <c r="AB116"/>
      <c r="AC116" s="3"/>
      <c r="AD116" s="533"/>
      <c r="AE116" s="3"/>
      <c r="AF116" s="4"/>
      <c r="AG116" s="4"/>
      <c r="AH116" s="4"/>
      <c r="AI116" s="4"/>
      <c r="AJ116" s="4"/>
      <c r="AK116" s="4"/>
      <c r="AL116" s="4"/>
      <c r="AM116" s="4"/>
      <c r="AN116" s="4"/>
      <c r="AO116" s="4"/>
      <c r="AP116" s="4"/>
      <c r="AQ116" s="4"/>
      <c r="AR116" s="4"/>
      <c r="AS116" s="4"/>
      <c r="AT116" s="4"/>
      <c r="AU116" s="4"/>
      <c r="AV116" s="537"/>
      <c r="AW116" s="537"/>
      <c r="AX116" s="4"/>
      <c r="AY116" s="4"/>
      <c r="AZ116" s="4"/>
      <c r="BA116" s="4"/>
      <c r="BB116" s="4"/>
      <c r="BC116" s="4"/>
      <c r="BD116" s="4"/>
      <c r="BE116" s="4"/>
      <c r="BF116" s="4"/>
      <c r="BG116" s="4"/>
      <c r="BH116" s="4"/>
      <c r="BI116" s="4"/>
      <c r="BJ116" s="4"/>
      <c r="BK116" s="4"/>
      <c r="BL116" s="4"/>
      <c r="BM116" s="4"/>
      <c r="BN116" s="4"/>
      <c r="BO116" s="4"/>
      <c r="BP116" s="4"/>
      <c r="BQ116" s="4"/>
      <c r="BR116" s="4"/>
    </row>
    <row r="117" spans="1:70" ht="27" customHeight="1" x14ac:dyDescent="0.25">
      <c r="A117" s="532"/>
      <c r="B117" s="917"/>
      <c r="C117" s="4"/>
      <c r="D117" s="917"/>
      <c r="E117" s="4"/>
      <c r="F117" s="917"/>
      <c r="G117" s="4"/>
      <c r="H117" s="920"/>
      <c r="I117" s="3"/>
      <c r="J117" s="920"/>
      <c r="K117" s="3"/>
      <c r="L117" s="920"/>
      <c r="M117" s="3"/>
      <c r="N117" s="920"/>
      <c r="O117" s="3"/>
      <c r="P117" s="3"/>
      <c r="Q117" s="533"/>
      <c r="R117" s="920"/>
      <c r="S117" s="534"/>
      <c r="T117" s="920"/>
      <c r="U117" s="920"/>
      <c r="V117" s="920"/>
      <c r="W117" s="535"/>
      <c r="X117"/>
      <c r="Y117"/>
      <c r="Z117"/>
      <c r="AA117"/>
      <c r="AB117"/>
      <c r="AC117" s="3"/>
      <c r="AD117" s="533"/>
      <c r="AE117" s="3"/>
      <c r="AF117" s="4"/>
      <c r="AG117" s="4"/>
      <c r="AH117" s="4"/>
      <c r="AI117" s="4"/>
      <c r="AJ117" s="4"/>
      <c r="AK117" s="4"/>
      <c r="AL117" s="4"/>
      <c r="AM117" s="4"/>
      <c r="AN117" s="4"/>
      <c r="AO117" s="4"/>
      <c r="AP117" s="4"/>
      <c r="AQ117" s="4"/>
      <c r="AR117" s="4"/>
      <c r="AS117" s="4"/>
      <c r="AT117" s="4"/>
      <c r="AU117" s="4"/>
      <c r="AV117" s="537"/>
      <c r="AW117" s="537"/>
      <c r="AX117" s="4"/>
      <c r="AY117" s="4"/>
      <c r="AZ117" s="4"/>
      <c r="BA117" s="4"/>
      <c r="BB117" s="4"/>
      <c r="BC117" s="4"/>
      <c r="BD117" s="4"/>
      <c r="BE117" s="4"/>
      <c r="BF117" s="4"/>
      <c r="BG117" s="4"/>
      <c r="BH117" s="4"/>
      <c r="BI117" s="4"/>
      <c r="BJ117" s="4"/>
      <c r="BK117" s="4"/>
      <c r="BL117" s="4"/>
      <c r="BM117" s="4"/>
      <c r="BN117" s="4"/>
      <c r="BO117" s="4"/>
      <c r="BP117" s="4"/>
      <c r="BQ117" s="4"/>
      <c r="BR117" s="4"/>
    </row>
    <row r="118" spans="1:70" ht="27" customHeight="1" x14ac:dyDescent="0.25">
      <c r="A118" s="532"/>
      <c r="B118" s="917"/>
      <c r="C118" s="4"/>
      <c r="D118" s="917"/>
      <c r="E118" s="4"/>
      <c r="F118" s="917"/>
      <c r="G118" s="4"/>
      <c r="H118" s="920"/>
      <c r="I118" s="3"/>
      <c r="J118" s="920"/>
      <c r="K118" s="3"/>
      <c r="L118" s="920"/>
      <c r="M118" s="3"/>
      <c r="N118" s="920"/>
      <c r="O118" s="3"/>
      <c r="P118" s="3"/>
      <c r="Q118" s="533"/>
      <c r="R118" s="920"/>
      <c r="S118" s="534"/>
      <c r="T118" s="920"/>
      <c r="U118" s="920"/>
      <c r="V118" s="920"/>
      <c r="W118" s="535"/>
      <c r="X118"/>
      <c r="Y118"/>
      <c r="Z118"/>
      <c r="AA118"/>
      <c r="AB118"/>
      <c r="AC118" s="3"/>
      <c r="AD118" s="533"/>
      <c r="AE118" s="3"/>
      <c r="AF118" s="4"/>
      <c r="AG118" s="4"/>
      <c r="AH118" s="4"/>
      <c r="AI118" s="4"/>
      <c r="AJ118" s="4"/>
      <c r="AK118" s="4"/>
      <c r="AL118" s="4"/>
      <c r="AM118" s="4"/>
      <c r="AN118" s="4"/>
      <c r="AO118" s="4"/>
      <c r="AP118" s="4"/>
      <c r="AQ118" s="4"/>
      <c r="AR118" s="4"/>
      <c r="AS118" s="4"/>
      <c r="AT118" s="4"/>
      <c r="AU118" s="4"/>
      <c r="AV118" s="537"/>
      <c r="AW118" s="537"/>
      <c r="AX118" s="4"/>
      <c r="AY118" s="4"/>
      <c r="AZ118" s="4"/>
      <c r="BA118" s="4"/>
      <c r="BB118" s="4"/>
      <c r="BC118" s="4"/>
      <c r="BD118" s="4"/>
      <c r="BE118" s="4"/>
      <c r="BF118" s="4"/>
      <c r="BG118" s="4"/>
      <c r="BH118" s="4"/>
      <c r="BI118" s="4"/>
      <c r="BJ118" s="4"/>
      <c r="BK118" s="4"/>
      <c r="BL118" s="4"/>
      <c r="BM118" s="4"/>
      <c r="BN118" s="4"/>
      <c r="BO118" s="4"/>
      <c r="BP118" s="4"/>
      <c r="BQ118" s="4"/>
      <c r="BR118" s="4"/>
    </row>
    <row r="119" spans="1:70" ht="27" customHeight="1" x14ac:dyDescent="0.25">
      <c r="A119" s="532"/>
      <c r="B119" s="917"/>
      <c r="C119" s="4"/>
      <c r="D119" s="917"/>
      <c r="E119" s="4"/>
      <c r="F119" s="917"/>
      <c r="G119" s="4"/>
      <c r="H119" s="920"/>
      <c r="I119" s="3"/>
      <c r="J119" s="920"/>
      <c r="K119" s="3"/>
      <c r="L119" s="920"/>
      <c r="M119" s="3"/>
      <c r="N119" s="920"/>
      <c r="O119" s="3"/>
      <c r="P119" s="3"/>
      <c r="Q119" s="533"/>
      <c r="R119" s="920"/>
      <c r="S119" s="534"/>
      <c r="T119" s="920"/>
      <c r="U119" s="920"/>
      <c r="V119" s="920"/>
      <c r="W119" s="535"/>
      <c r="X119"/>
      <c r="Y119"/>
      <c r="Z119"/>
      <c r="AA119"/>
      <c r="AB119"/>
      <c r="AC119" s="3"/>
      <c r="AD119" s="533"/>
      <c r="AE119" s="3"/>
      <c r="AF119" s="4"/>
      <c r="AG119" s="4"/>
      <c r="AH119" s="4"/>
      <c r="AI119" s="4"/>
      <c r="AJ119" s="4"/>
      <c r="AK119" s="4"/>
      <c r="AL119" s="4"/>
      <c r="AM119" s="4"/>
      <c r="AN119" s="4"/>
      <c r="AO119" s="4"/>
      <c r="AP119" s="4"/>
      <c r="AQ119" s="4"/>
      <c r="AR119" s="4"/>
      <c r="AS119" s="4"/>
      <c r="AT119" s="4"/>
      <c r="AU119" s="4"/>
      <c r="AV119" s="537"/>
      <c r="AW119" s="537"/>
      <c r="AX119" s="4"/>
      <c r="AY119" s="4"/>
      <c r="AZ119" s="4"/>
      <c r="BA119" s="4"/>
      <c r="BB119" s="4"/>
      <c r="BC119" s="4"/>
      <c r="BD119" s="4"/>
      <c r="BE119" s="4"/>
      <c r="BF119" s="4"/>
      <c r="BG119" s="4"/>
      <c r="BH119" s="4"/>
      <c r="BI119" s="4"/>
      <c r="BJ119" s="4"/>
      <c r="BK119" s="4"/>
      <c r="BL119" s="4"/>
      <c r="BM119" s="4"/>
      <c r="BN119" s="4"/>
      <c r="BO119" s="4"/>
      <c r="BP119" s="4"/>
      <c r="BQ119" s="4"/>
      <c r="BR119" s="4"/>
    </row>
    <row r="120" spans="1:70" ht="27" customHeight="1" x14ac:dyDescent="0.25">
      <c r="A120" s="532"/>
      <c r="B120" s="917"/>
      <c r="C120" s="4"/>
      <c r="D120" s="917"/>
      <c r="E120" s="4"/>
      <c r="F120" s="917"/>
      <c r="G120" s="4"/>
      <c r="H120" s="920"/>
      <c r="I120" s="3"/>
      <c r="J120" s="920"/>
      <c r="K120" s="3"/>
      <c r="L120" s="920"/>
      <c r="M120" s="3"/>
      <c r="N120" s="920"/>
      <c r="O120" s="3"/>
      <c r="P120" s="3"/>
      <c r="Q120" s="533"/>
      <c r="R120" s="920"/>
      <c r="S120" s="534"/>
      <c r="T120" s="920"/>
      <c r="U120" s="920"/>
      <c r="V120" s="920"/>
      <c r="W120" s="535"/>
      <c r="X120"/>
      <c r="Y120"/>
      <c r="Z120"/>
      <c r="AA120"/>
      <c r="AB120"/>
      <c r="AC120" s="3"/>
      <c r="AD120" s="533"/>
      <c r="AE120" s="3"/>
      <c r="AF120" s="4"/>
      <c r="AG120" s="4"/>
      <c r="AH120" s="4"/>
      <c r="AI120" s="4"/>
      <c r="AJ120" s="4"/>
      <c r="AK120" s="4"/>
      <c r="AL120" s="4"/>
      <c r="AM120" s="4"/>
      <c r="AN120" s="4"/>
      <c r="AO120" s="4"/>
      <c r="AP120" s="4"/>
      <c r="AQ120" s="4"/>
      <c r="AR120" s="4"/>
      <c r="AS120" s="4"/>
      <c r="AT120" s="4"/>
      <c r="AU120" s="4"/>
      <c r="AV120" s="537"/>
      <c r="AW120" s="537"/>
      <c r="AX120" s="4"/>
      <c r="AY120" s="4"/>
      <c r="AZ120" s="4"/>
      <c r="BA120" s="4"/>
      <c r="BB120" s="4"/>
      <c r="BC120" s="4"/>
      <c r="BD120" s="4"/>
      <c r="BE120" s="4"/>
      <c r="BF120" s="4"/>
      <c r="BG120" s="4"/>
      <c r="BH120" s="4"/>
      <c r="BI120" s="4"/>
      <c r="BJ120" s="4"/>
      <c r="BK120" s="4"/>
      <c r="BL120" s="4"/>
      <c r="BM120" s="4"/>
      <c r="BN120" s="4"/>
      <c r="BO120" s="4"/>
      <c r="BP120" s="4"/>
      <c r="BQ120" s="4"/>
      <c r="BR120" s="4"/>
    </row>
    <row r="121" spans="1:70" ht="27" customHeight="1" x14ac:dyDescent="0.25">
      <c r="A121" s="532"/>
      <c r="B121" s="917"/>
      <c r="C121" s="4"/>
      <c r="D121" s="917"/>
      <c r="E121" s="4"/>
      <c r="F121" s="917"/>
      <c r="G121" s="4"/>
      <c r="H121" s="920"/>
      <c r="I121" s="3"/>
      <c r="J121" s="920"/>
      <c r="K121" s="3"/>
      <c r="L121" s="920"/>
      <c r="M121" s="3"/>
      <c r="N121" s="920"/>
      <c r="O121" s="3"/>
      <c r="P121" s="3"/>
      <c r="Q121" s="533"/>
      <c r="R121" s="920"/>
      <c r="S121" s="534"/>
      <c r="T121" s="920"/>
      <c r="U121" s="920"/>
      <c r="V121" s="920"/>
      <c r="W121" s="535"/>
      <c r="X121"/>
      <c r="Y121"/>
      <c r="Z121"/>
      <c r="AA121"/>
      <c r="AB121"/>
      <c r="AC121" s="3"/>
      <c r="AD121" s="533"/>
      <c r="AE121" s="3"/>
      <c r="AF121" s="4"/>
      <c r="AG121" s="4"/>
      <c r="AH121" s="4"/>
      <c r="AI121" s="4"/>
      <c r="AJ121" s="4"/>
      <c r="AK121" s="4"/>
      <c r="AL121" s="4"/>
      <c r="AM121" s="4"/>
      <c r="AN121" s="4"/>
      <c r="AO121" s="4"/>
      <c r="AP121" s="4"/>
      <c r="AQ121" s="4"/>
      <c r="AR121" s="4"/>
      <c r="AS121" s="4"/>
      <c r="AT121" s="4"/>
      <c r="AU121" s="4"/>
      <c r="AV121" s="537"/>
      <c r="AW121" s="537"/>
      <c r="AX121" s="4"/>
      <c r="AY121" s="4"/>
      <c r="AZ121" s="4"/>
      <c r="BA121" s="4"/>
      <c r="BB121" s="4"/>
      <c r="BC121" s="4"/>
      <c r="BD121" s="4"/>
      <c r="BE121" s="4"/>
      <c r="BF121" s="4"/>
      <c r="BG121" s="4"/>
      <c r="BH121" s="4"/>
      <c r="BI121" s="4"/>
      <c r="BJ121" s="4"/>
      <c r="BK121" s="4"/>
      <c r="BL121" s="4"/>
      <c r="BM121" s="4"/>
      <c r="BN121" s="4"/>
      <c r="BO121" s="4"/>
      <c r="BP121" s="4"/>
      <c r="BQ121" s="4"/>
      <c r="BR121" s="4"/>
    </row>
    <row r="122" spans="1:70" ht="27" customHeight="1" x14ac:dyDescent="0.25">
      <c r="A122" s="532"/>
      <c r="B122" s="917"/>
      <c r="C122" s="4"/>
      <c r="D122" s="917"/>
      <c r="E122" s="4"/>
      <c r="F122" s="917"/>
      <c r="G122" s="4"/>
      <c r="H122" s="920"/>
      <c r="I122" s="3"/>
      <c r="J122" s="920"/>
      <c r="K122" s="3"/>
      <c r="L122" s="920"/>
      <c r="M122" s="3"/>
      <c r="N122" s="920"/>
      <c r="O122" s="3"/>
      <c r="P122" s="3"/>
      <c r="Q122" s="533"/>
      <c r="R122" s="920"/>
      <c r="S122" s="534"/>
      <c r="T122" s="920"/>
      <c r="U122" s="920"/>
      <c r="V122" s="920"/>
      <c r="W122" s="535"/>
      <c r="X122"/>
      <c r="Y122"/>
      <c r="Z122"/>
      <c r="AA122"/>
      <c r="AB122"/>
      <c r="AC122" s="3"/>
      <c r="AD122" s="533"/>
      <c r="AE122" s="3"/>
      <c r="AF122" s="4"/>
      <c r="AG122" s="4"/>
      <c r="AH122" s="4"/>
      <c r="AI122" s="4"/>
      <c r="AJ122" s="4"/>
      <c r="AK122" s="4"/>
      <c r="AL122" s="4"/>
      <c r="AM122" s="4"/>
      <c r="AN122" s="4"/>
      <c r="AO122" s="4"/>
      <c r="AP122" s="4"/>
      <c r="AQ122" s="4"/>
      <c r="AR122" s="4"/>
      <c r="AS122" s="4"/>
      <c r="AT122" s="4"/>
      <c r="AU122" s="4"/>
      <c r="AV122" s="537"/>
      <c r="AW122" s="537"/>
      <c r="AX122" s="4"/>
      <c r="AY122" s="4"/>
      <c r="AZ122" s="4"/>
      <c r="BA122" s="4"/>
      <c r="BB122" s="4"/>
      <c r="BC122" s="4"/>
      <c r="BD122" s="4"/>
      <c r="BE122" s="4"/>
      <c r="BF122" s="4"/>
      <c r="BG122" s="4"/>
      <c r="BH122" s="4"/>
      <c r="BI122" s="4"/>
      <c r="BJ122" s="4"/>
      <c r="BK122" s="4"/>
      <c r="BL122" s="4"/>
      <c r="BM122" s="4"/>
      <c r="BN122" s="4"/>
      <c r="BO122" s="4"/>
      <c r="BP122" s="4"/>
      <c r="BQ122" s="4"/>
      <c r="BR122" s="4"/>
    </row>
    <row r="123" spans="1:70" ht="27" customHeight="1" x14ac:dyDescent="0.25">
      <c r="A123" s="532"/>
      <c r="B123" s="917"/>
      <c r="C123" s="4"/>
      <c r="D123" s="917"/>
      <c r="E123" s="4"/>
      <c r="F123" s="917"/>
      <c r="G123" s="4"/>
      <c r="H123" s="920"/>
      <c r="I123" s="3"/>
      <c r="J123" s="920"/>
      <c r="K123" s="3"/>
      <c r="L123" s="920"/>
      <c r="M123" s="3"/>
      <c r="N123" s="920"/>
      <c r="O123" s="3"/>
      <c r="P123" s="3"/>
      <c r="Q123" s="533"/>
      <c r="R123" s="920"/>
      <c r="S123" s="534"/>
      <c r="T123" s="920"/>
      <c r="U123" s="920"/>
      <c r="V123" s="920"/>
      <c r="W123" s="535"/>
      <c r="X123"/>
      <c r="Y123"/>
      <c r="Z123"/>
      <c r="AA123"/>
      <c r="AB123"/>
      <c r="AC123" s="3"/>
      <c r="AD123" s="533"/>
      <c r="AE123" s="3"/>
      <c r="AF123" s="4"/>
      <c r="AG123" s="4"/>
      <c r="AH123" s="4"/>
      <c r="AI123" s="4"/>
      <c r="AJ123" s="4"/>
      <c r="AK123" s="4"/>
      <c r="AL123" s="4"/>
      <c r="AM123" s="4"/>
      <c r="AN123" s="4"/>
      <c r="AO123" s="4"/>
      <c r="AP123" s="4"/>
      <c r="AQ123" s="4"/>
      <c r="AR123" s="4"/>
      <c r="AS123" s="4"/>
      <c r="AT123" s="4"/>
      <c r="AU123" s="4"/>
      <c r="AV123" s="537"/>
      <c r="AW123" s="537"/>
      <c r="AX123" s="4"/>
      <c r="AY123" s="4"/>
      <c r="AZ123" s="4"/>
      <c r="BA123" s="4"/>
      <c r="BB123" s="4"/>
      <c r="BC123" s="4"/>
      <c r="BD123" s="4"/>
      <c r="BE123" s="4"/>
      <c r="BF123" s="4"/>
      <c r="BG123" s="4"/>
      <c r="BH123" s="4"/>
      <c r="BI123" s="4"/>
      <c r="BJ123" s="4"/>
      <c r="BK123" s="4"/>
      <c r="BL123" s="4"/>
      <c r="BM123" s="4"/>
      <c r="BN123" s="4"/>
      <c r="BO123" s="4"/>
      <c r="BP123" s="4"/>
      <c r="BQ123" s="4"/>
      <c r="BR123" s="4"/>
    </row>
    <row r="124" spans="1:70" ht="27" customHeight="1" x14ac:dyDescent="0.25">
      <c r="A124" s="532"/>
      <c r="B124" s="917"/>
      <c r="C124" s="4"/>
      <c r="D124" s="917"/>
      <c r="E124" s="4"/>
      <c r="F124" s="917"/>
      <c r="G124" s="4"/>
      <c r="H124" s="920"/>
      <c r="I124" s="3"/>
      <c r="J124" s="920"/>
      <c r="K124" s="3"/>
      <c r="L124" s="920"/>
      <c r="M124" s="3"/>
      <c r="N124" s="920"/>
      <c r="O124" s="3"/>
      <c r="P124" s="3"/>
      <c r="Q124" s="533"/>
      <c r="R124" s="920"/>
      <c r="S124" s="534"/>
      <c r="T124" s="920"/>
      <c r="U124" s="920"/>
      <c r="V124" s="920"/>
      <c r="W124" s="535"/>
      <c r="X124"/>
      <c r="Y124"/>
      <c r="Z124"/>
      <c r="AA124"/>
      <c r="AB124"/>
      <c r="AC124" s="3"/>
      <c r="AD124" s="533"/>
      <c r="AE124" s="3"/>
      <c r="AF124" s="4"/>
      <c r="AG124" s="4"/>
      <c r="AH124" s="4"/>
      <c r="AI124" s="4"/>
      <c r="AJ124" s="4"/>
      <c r="AK124" s="4"/>
      <c r="AL124" s="4"/>
      <c r="AM124" s="4"/>
      <c r="AN124" s="4"/>
      <c r="AO124" s="4"/>
      <c r="AP124" s="4"/>
      <c r="AQ124" s="4"/>
      <c r="AR124" s="4"/>
      <c r="AS124" s="4"/>
      <c r="AT124" s="4"/>
      <c r="AU124" s="4"/>
      <c r="AV124" s="537"/>
      <c r="AW124" s="537"/>
      <c r="AX124" s="4"/>
      <c r="AY124" s="4"/>
      <c r="AZ124" s="4"/>
      <c r="BA124" s="4"/>
      <c r="BB124" s="4"/>
      <c r="BC124" s="4"/>
      <c r="BD124" s="4"/>
      <c r="BE124" s="4"/>
      <c r="BF124" s="4"/>
      <c r="BG124" s="4"/>
      <c r="BH124" s="4"/>
      <c r="BI124" s="4"/>
      <c r="BJ124" s="4"/>
      <c r="BK124" s="4"/>
      <c r="BL124" s="4"/>
      <c r="BM124" s="4"/>
      <c r="BN124" s="4"/>
      <c r="BO124" s="4"/>
      <c r="BP124" s="4"/>
      <c r="BQ124" s="4"/>
      <c r="BR124" s="4"/>
    </row>
    <row r="125" spans="1:70" ht="27" customHeight="1" x14ac:dyDescent="0.25">
      <c r="A125" s="532"/>
      <c r="B125" s="917"/>
      <c r="C125" s="4"/>
      <c r="D125" s="917"/>
      <c r="E125" s="4"/>
      <c r="F125" s="917"/>
      <c r="G125" s="4"/>
      <c r="H125" s="920"/>
      <c r="I125" s="3"/>
      <c r="J125" s="920"/>
      <c r="K125" s="3"/>
      <c r="L125" s="920"/>
      <c r="M125" s="3"/>
      <c r="N125" s="920"/>
      <c r="O125" s="3"/>
      <c r="P125" s="3"/>
      <c r="Q125" s="533"/>
      <c r="R125" s="920"/>
      <c r="S125" s="534"/>
      <c r="T125" s="920"/>
      <c r="U125" s="920"/>
      <c r="V125" s="920"/>
      <c r="W125" s="535"/>
      <c r="X125"/>
      <c r="Y125"/>
      <c r="Z125"/>
      <c r="AA125"/>
      <c r="AB125"/>
      <c r="AC125" s="3"/>
      <c r="AD125" s="533"/>
      <c r="AE125" s="3"/>
      <c r="AF125" s="4"/>
      <c r="AG125" s="4"/>
      <c r="AH125" s="4"/>
      <c r="AI125" s="4"/>
      <c r="AJ125" s="4"/>
      <c r="AK125" s="4"/>
      <c r="AL125" s="4"/>
      <c r="AM125" s="4"/>
      <c r="AN125" s="4"/>
      <c r="AO125" s="4"/>
      <c r="AP125" s="4"/>
      <c r="AQ125" s="4"/>
      <c r="AR125" s="4"/>
      <c r="AS125" s="4"/>
      <c r="AT125" s="4"/>
      <c r="AU125" s="4"/>
      <c r="AV125" s="537"/>
      <c r="AW125" s="537"/>
      <c r="AX125" s="4"/>
      <c r="AY125" s="4"/>
      <c r="AZ125" s="4"/>
      <c r="BA125" s="4"/>
      <c r="BB125" s="4"/>
      <c r="BC125" s="4"/>
      <c r="BD125" s="4"/>
      <c r="BE125" s="4"/>
      <c r="BF125" s="4"/>
      <c r="BG125" s="4"/>
      <c r="BH125" s="4"/>
      <c r="BI125" s="4"/>
      <c r="BJ125" s="4"/>
      <c r="BK125" s="4"/>
      <c r="BL125" s="4"/>
      <c r="BM125" s="4"/>
      <c r="BN125" s="4"/>
      <c r="BO125" s="4"/>
      <c r="BP125" s="4"/>
      <c r="BQ125" s="4"/>
      <c r="BR125" s="4"/>
    </row>
    <row r="126" spans="1:70" ht="27" customHeight="1" x14ac:dyDescent="0.25">
      <c r="A126" s="532"/>
      <c r="B126" s="917"/>
      <c r="C126" s="4"/>
      <c r="D126" s="917"/>
      <c r="E126" s="4"/>
      <c r="F126" s="917"/>
      <c r="G126" s="4"/>
      <c r="H126" s="920"/>
      <c r="I126" s="3"/>
      <c r="J126" s="920"/>
      <c r="K126" s="3"/>
      <c r="L126" s="920"/>
      <c r="M126" s="3"/>
      <c r="N126" s="920"/>
      <c r="O126" s="3"/>
      <c r="P126" s="3"/>
      <c r="Q126" s="533"/>
      <c r="R126" s="920"/>
      <c r="S126" s="534"/>
      <c r="T126" s="920"/>
      <c r="U126" s="920"/>
      <c r="V126" s="920"/>
      <c r="W126" s="535"/>
      <c r="X126"/>
      <c r="Y126"/>
      <c r="Z126"/>
      <c r="AA126"/>
      <c r="AB126"/>
      <c r="AC126" s="3"/>
      <c r="AD126" s="533"/>
      <c r="AE126" s="3"/>
      <c r="AF126" s="4"/>
      <c r="AG126" s="4"/>
      <c r="AH126" s="4"/>
      <c r="AI126" s="4"/>
      <c r="AJ126" s="4"/>
      <c r="AK126" s="4"/>
      <c r="AL126" s="4"/>
      <c r="AM126" s="4"/>
      <c r="AN126" s="4"/>
      <c r="AO126" s="4"/>
      <c r="AP126" s="4"/>
      <c r="AQ126" s="4"/>
      <c r="AR126" s="4"/>
      <c r="AS126" s="4"/>
      <c r="AT126" s="4"/>
      <c r="AU126" s="4"/>
      <c r="AV126" s="537"/>
      <c r="AW126" s="537"/>
      <c r="AX126" s="4"/>
      <c r="AY126" s="4"/>
      <c r="AZ126" s="4"/>
      <c r="BA126" s="4"/>
      <c r="BB126" s="4"/>
      <c r="BC126" s="4"/>
      <c r="BD126" s="4"/>
      <c r="BE126" s="4"/>
      <c r="BF126" s="4"/>
      <c r="BG126" s="4"/>
      <c r="BH126" s="4"/>
      <c r="BI126" s="4"/>
      <c r="BJ126" s="4"/>
      <c r="BK126" s="4"/>
      <c r="BL126" s="4"/>
      <c r="BM126" s="4"/>
      <c r="BN126" s="4"/>
      <c r="BO126" s="4"/>
      <c r="BP126" s="4"/>
      <c r="BQ126" s="4"/>
      <c r="BR126" s="4"/>
    </row>
    <row r="127" spans="1:70" ht="27" customHeight="1" x14ac:dyDescent="0.25">
      <c r="A127" s="532"/>
      <c r="B127" s="917"/>
      <c r="C127" s="4"/>
      <c r="D127" s="917"/>
      <c r="E127" s="4"/>
      <c r="F127" s="917"/>
      <c r="G127" s="4"/>
      <c r="H127" s="920"/>
      <c r="I127" s="3"/>
      <c r="J127" s="920"/>
      <c r="K127" s="3"/>
      <c r="L127" s="920"/>
      <c r="M127" s="3"/>
      <c r="N127" s="920"/>
      <c r="O127" s="3"/>
      <c r="P127" s="3"/>
      <c r="Q127" s="533"/>
      <c r="R127" s="920"/>
      <c r="S127" s="534"/>
      <c r="T127" s="920"/>
      <c r="U127" s="920"/>
      <c r="V127" s="920"/>
      <c r="W127" s="535"/>
      <c r="X127"/>
      <c r="Y127"/>
      <c r="Z127"/>
      <c r="AA127"/>
      <c r="AB127"/>
      <c r="AC127" s="3"/>
      <c r="AD127" s="533"/>
      <c r="AE127" s="3"/>
      <c r="AF127" s="4"/>
      <c r="AG127" s="4"/>
      <c r="AH127" s="4"/>
      <c r="AI127" s="4"/>
      <c r="AJ127" s="4"/>
      <c r="AK127" s="4"/>
      <c r="AL127" s="4"/>
      <c r="AM127" s="4"/>
      <c r="AN127" s="4"/>
      <c r="AO127" s="4"/>
      <c r="AP127" s="4"/>
      <c r="AQ127" s="4"/>
      <c r="AR127" s="4"/>
      <c r="AS127" s="4"/>
      <c r="AT127" s="4"/>
      <c r="AU127" s="4"/>
      <c r="AV127" s="537"/>
      <c r="AW127" s="537"/>
      <c r="AX127" s="4"/>
      <c r="AY127" s="4"/>
      <c r="AZ127" s="4"/>
      <c r="BA127" s="4"/>
      <c r="BB127" s="4"/>
      <c r="BC127" s="4"/>
      <c r="BD127" s="4"/>
      <c r="BE127" s="4"/>
      <c r="BF127" s="4"/>
      <c r="BG127" s="4"/>
      <c r="BH127" s="4"/>
      <c r="BI127" s="4"/>
      <c r="BJ127" s="4"/>
      <c r="BK127" s="4"/>
      <c r="BL127" s="4"/>
      <c r="BM127" s="4"/>
      <c r="BN127" s="4"/>
      <c r="BO127" s="4"/>
      <c r="BP127" s="4"/>
      <c r="BQ127" s="4"/>
      <c r="BR127" s="4"/>
    </row>
    <row r="128" spans="1:70" ht="27" customHeight="1" x14ac:dyDescent="0.25">
      <c r="A128" s="532"/>
      <c r="B128" s="917"/>
      <c r="C128" s="4"/>
      <c r="D128" s="917"/>
      <c r="E128" s="4"/>
      <c r="F128" s="917"/>
      <c r="G128" s="4"/>
      <c r="H128" s="920"/>
      <c r="I128" s="3"/>
      <c r="J128" s="920"/>
      <c r="K128" s="3"/>
      <c r="L128" s="920"/>
      <c r="M128" s="3"/>
      <c r="N128" s="920"/>
      <c r="O128" s="3"/>
      <c r="P128" s="3"/>
      <c r="Q128" s="533"/>
      <c r="R128" s="920"/>
      <c r="S128" s="534"/>
      <c r="T128" s="920"/>
      <c r="U128" s="920"/>
      <c r="V128" s="920"/>
      <c r="W128" s="535"/>
      <c r="X128"/>
      <c r="Y128"/>
      <c r="Z128"/>
      <c r="AA128"/>
      <c r="AB128"/>
      <c r="AC128" s="3"/>
      <c r="AD128" s="533"/>
      <c r="AE128" s="3"/>
      <c r="AF128" s="4"/>
      <c r="AG128" s="4"/>
      <c r="AH128" s="4"/>
      <c r="AI128" s="4"/>
      <c r="AJ128" s="4"/>
      <c r="AK128" s="4"/>
      <c r="AL128" s="4"/>
      <c r="AM128" s="4"/>
      <c r="AN128" s="4"/>
      <c r="AO128" s="4"/>
      <c r="AP128" s="4"/>
      <c r="AQ128" s="4"/>
      <c r="AR128" s="4"/>
      <c r="AS128" s="4"/>
      <c r="AT128" s="4"/>
      <c r="AU128" s="4"/>
      <c r="AV128" s="537"/>
      <c r="AW128" s="537"/>
      <c r="AX128" s="4"/>
      <c r="AY128" s="4"/>
      <c r="AZ128" s="4"/>
      <c r="BA128" s="4"/>
      <c r="BB128" s="4"/>
      <c r="BC128" s="4"/>
      <c r="BD128" s="4"/>
      <c r="BE128" s="4"/>
      <c r="BF128" s="4"/>
      <c r="BG128" s="4"/>
      <c r="BH128" s="4"/>
      <c r="BI128" s="4"/>
      <c r="BJ128" s="4"/>
      <c r="BK128" s="4"/>
      <c r="BL128" s="4"/>
      <c r="BM128" s="4"/>
      <c r="BN128" s="4"/>
      <c r="BO128" s="4"/>
      <c r="BP128" s="4"/>
      <c r="BQ128" s="4"/>
      <c r="BR128" s="4"/>
    </row>
    <row r="129" spans="1:70" ht="27" customHeight="1" x14ac:dyDescent="0.25">
      <c r="A129" s="532"/>
      <c r="B129" s="917"/>
      <c r="C129" s="4"/>
      <c r="D129" s="917"/>
      <c r="E129" s="4"/>
      <c r="F129" s="917"/>
      <c r="G129" s="4"/>
      <c r="H129" s="920"/>
      <c r="I129" s="3"/>
      <c r="J129" s="920"/>
      <c r="K129" s="3"/>
      <c r="L129" s="920"/>
      <c r="M129" s="3"/>
      <c r="N129" s="920"/>
      <c r="O129" s="3"/>
      <c r="P129" s="3"/>
      <c r="Q129" s="533"/>
      <c r="R129" s="920"/>
      <c r="S129" s="534"/>
      <c r="T129" s="920"/>
      <c r="U129" s="920"/>
      <c r="V129" s="920"/>
      <c r="W129" s="535"/>
      <c r="X129"/>
      <c r="Y129"/>
      <c r="Z129"/>
      <c r="AA129"/>
      <c r="AB129"/>
      <c r="AC129" s="3"/>
      <c r="AD129" s="533"/>
      <c r="AE129" s="3"/>
      <c r="AF129" s="4"/>
      <c r="AG129" s="4"/>
      <c r="AH129" s="4"/>
      <c r="AI129" s="4"/>
      <c r="AJ129" s="4"/>
      <c r="AK129" s="4"/>
      <c r="AL129" s="4"/>
      <c r="AM129" s="4"/>
      <c r="AN129" s="4"/>
      <c r="AO129" s="4"/>
      <c r="AP129" s="4"/>
      <c r="AQ129" s="4"/>
      <c r="AR129" s="4"/>
      <c r="AS129" s="4"/>
      <c r="AT129" s="4"/>
      <c r="AU129" s="4"/>
      <c r="AV129" s="537"/>
      <c r="AW129" s="537"/>
      <c r="AX129" s="4"/>
      <c r="AY129" s="4"/>
      <c r="AZ129" s="4"/>
      <c r="BA129" s="4"/>
      <c r="BB129" s="4"/>
      <c r="BC129" s="4"/>
      <c r="BD129" s="4"/>
      <c r="BE129" s="4"/>
      <c r="BF129" s="4"/>
      <c r="BG129" s="4"/>
      <c r="BH129" s="4"/>
      <c r="BI129" s="4"/>
      <c r="BJ129" s="4"/>
      <c r="BK129" s="4"/>
      <c r="BL129" s="4"/>
      <c r="BM129" s="4"/>
      <c r="BN129" s="4"/>
      <c r="BO129" s="4"/>
      <c r="BP129" s="4"/>
      <c r="BQ129" s="4"/>
      <c r="BR129" s="4"/>
    </row>
    <row r="130" spans="1:70" ht="27" customHeight="1" x14ac:dyDescent="0.25">
      <c r="A130" s="532"/>
      <c r="B130" s="917"/>
      <c r="C130" s="4"/>
      <c r="D130" s="917"/>
      <c r="E130" s="4"/>
      <c r="F130" s="917"/>
      <c r="G130" s="4"/>
      <c r="H130" s="920"/>
      <c r="I130" s="3"/>
      <c r="J130" s="920"/>
      <c r="K130" s="3"/>
      <c r="L130" s="920"/>
      <c r="M130" s="3"/>
      <c r="N130" s="920"/>
      <c r="O130" s="3"/>
      <c r="P130" s="3"/>
      <c r="Q130" s="533"/>
      <c r="R130" s="920"/>
      <c r="S130" s="534"/>
      <c r="T130" s="920"/>
      <c r="U130" s="920"/>
      <c r="V130" s="920"/>
      <c r="W130" s="535"/>
      <c r="X130"/>
      <c r="Y130"/>
      <c r="Z130"/>
      <c r="AA130"/>
      <c r="AB130"/>
      <c r="AC130" s="3"/>
      <c r="AD130" s="533"/>
      <c r="AE130" s="3"/>
      <c r="AF130" s="4"/>
      <c r="AG130" s="4"/>
      <c r="AH130" s="4"/>
      <c r="AI130" s="4"/>
      <c r="AJ130" s="4"/>
      <c r="AK130" s="4"/>
      <c r="AL130" s="4"/>
      <c r="AM130" s="4"/>
      <c r="AN130" s="4"/>
      <c r="AO130" s="4"/>
      <c r="AP130" s="4"/>
      <c r="AQ130" s="4"/>
      <c r="AR130" s="4"/>
      <c r="AS130" s="4"/>
      <c r="AT130" s="4"/>
      <c r="AU130" s="4"/>
      <c r="AV130" s="537"/>
      <c r="AW130" s="537"/>
      <c r="AX130" s="4"/>
      <c r="AY130" s="4"/>
      <c r="AZ130" s="4"/>
      <c r="BA130" s="4"/>
      <c r="BB130" s="4"/>
      <c r="BC130" s="4"/>
      <c r="BD130" s="4"/>
      <c r="BE130" s="4"/>
      <c r="BF130" s="4"/>
      <c r="BG130" s="4"/>
      <c r="BH130" s="4"/>
      <c r="BI130" s="4"/>
      <c r="BJ130" s="4"/>
      <c r="BK130" s="4"/>
      <c r="BL130" s="4"/>
      <c r="BM130" s="4"/>
      <c r="BN130" s="4"/>
      <c r="BO130" s="4"/>
      <c r="BP130" s="4"/>
      <c r="BQ130" s="4"/>
      <c r="BR130" s="4"/>
    </row>
    <row r="131" spans="1:70" ht="27" customHeight="1" x14ac:dyDescent="0.25">
      <c r="A131" s="532"/>
      <c r="B131" s="917"/>
      <c r="C131" s="4"/>
      <c r="D131" s="917"/>
      <c r="E131" s="4"/>
      <c r="F131" s="917"/>
      <c r="G131" s="4"/>
      <c r="H131" s="920"/>
      <c r="I131" s="3"/>
      <c r="J131" s="920"/>
      <c r="K131" s="3"/>
      <c r="L131" s="920"/>
      <c r="M131" s="3"/>
      <c r="N131" s="920"/>
      <c r="O131" s="3"/>
      <c r="P131" s="3"/>
      <c r="Q131" s="533"/>
      <c r="R131" s="920"/>
      <c r="S131" s="534"/>
      <c r="T131" s="920"/>
      <c r="U131" s="920"/>
      <c r="V131" s="920"/>
      <c r="W131" s="535"/>
      <c r="X131"/>
      <c r="Y131"/>
      <c r="Z131"/>
      <c r="AA131"/>
      <c r="AB131"/>
      <c r="AC131" s="3"/>
      <c r="AD131" s="533"/>
      <c r="AE131" s="3"/>
      <c r="AF131" s="4"/>
      <c r="AG131" s="4"/>
      <c r="AH131" s="4"/>
      <c r="AI131" s="4"/>
      <c r="AJ131" s="4"/>
      <c r="AK131" s="4"/>
      <c r="AL131" s="4"/>
      <c r="AM131" s="4"/>
      <c r="AN131" s="4"/>
      <c r="AO131" s="4"/>
      <c r="AP131" s="4"/>
      <c r="AQ131" s="4"/>
      <c r="AR131" s="4"/>
      <c r="AS131" s="4"/>
      <c r="AT131" s="4"/>
      <c r="AU131" s="4"/>
      <c r="AV131" s="537"/>
      <c r="AW131" s="537"/>
      <c r="AX131" s="4"/>
      <c r="AY131" s="4"/>
      <c r="AZ131" s="4"/>
      <c r="BA131" s="4"/>
      <c r="BB131" s="4"/>
      <c r="BC131" s="4"/>
      <c r="BD131" s="4"/>
      <c r="BE131" s="4"/>
      <c r="BF131" s="4"/>
      <c r="BG131" s="4"/>
      <c r="BH131" s="4"/>
      <c r="BI131" s="4"/>
      <c r="BJ131" s="4"/>
      <c r="BK131" s="4"/>
      <c r="BL131" s="4"/>
      <c r="BM131" s="4"/>
      <c r="BN131" s="4"/>
      <c r="BO131" s="4"/>
      <c r="BP131" s="4"/>
      <c r="BQ131" s="4"/>
      <c r="BR131" s="4"/>
    </row>
    <row r="132" spans="1:70" ht="27" customHeight="1" x14ac:dyDescent="0.25">
      <c r="A132" s="532"/>
      <c r="B132" s="917"/>
      <c r="C132" s="4"/>
      <c r="D132" s="917"/>
      <c r="E132" s="4"/>
      <c r="F132" s="917"/>
      <c r="G132" s="4"/>
      <c r="H132" s="920"/>
      <c r="I132" s="3"/>
      <c r="J132" s="920"/>
      <c r="K132" s="3"/>
      <c r="L132" s="920"/>
      <c r="M132" s="3"/>
      <c r="N132" s="920"/>
      <c r="O132" s="3"/>
      <c r="P132" s="3"/>
      <c r="Q132" s="533"/>
      <c r="R132" s="920"/>
      <c r="S132" s="534"/>
      <c r="T132" s="920"/>
      <c r="U132" s="920"/>
      <c r="V132" s="920"/>
      <c r="W132" s="535"/>
      <c r="X132"/>
      <c r="Y132"/>
      <c r="Z132"/>
      <c r="AA132"/>
      <c r="AB132"/>
      <c r="AC132" s="3"/>
      <c r="AD132" s="533"/>
      <c r="AE132" s="3"/>
      <c r="AF132" s="4"/>
      <c r="AG132" s="4"/>
      <c r="AH132" s="4"/>
      <c r="AI132" s="4"/>
      <c r="AJ132" s="4"/>
      <c r="AK132" s="4"/>
      <c r="AL132" s="4"/>
      <c r="AM132" s="4"/>
      <c r="AN132" s="4"/>
      <c r="AO132" s="4"/>
      <c r="AP132" s="4"/>
      <c r="AQ132" s="4"/>
      <c r="AR132" s="4"/>
      <c r="AS132" s="4"/>
      <c r="AT132" s="4"/>
      <c r="AU132" s="4"/>
      <c r="AV132" s="537"/>
      <c r="AW132" s="537"/>
      <c r="AX132" s="4"/>
      <c r="AY132" s="4"/>
      <c r="AZ132" s="4"/>
      <c r="BA132" s="4"/>
      <c r="BB132" s="4"/>
      <c r="BC132" s="4"/>
      <c r="BD132" s="4"/>
      <c r="BE132" s="4"/>
      <c r="BF132" s="4"/>
      <c r="BG132" s="4"/>
      <c r="BH132" s="4"/>
      <c r="BI132" s="4"/>
      <c r="BJ132" s="4"/>
      <c r="BK132" s="4"/>
      <c r="BL132" s="4"/>
      <c r="BM132" s="4"/>
      <c r="BN132" s="4"/>
      <c r="BO132" s="4"/>
      <c r="BP132" s="4"/>
      <c r="BQ132" s="4"/>
      <c r="BR132" s="4"/>
    </row>
    <row r="133" spans="1:70" ht="27" customHeight="1" x14ac:dyDescent="0.25">
      <c r="A133" s="532"/>
      <c r="B133" s="917"/>
      <c r="C133" s="4"/>
      <c r="D133" s="917"/>
      <c r="E133" s="4"/>
      <c r="F133" s="917"/>
      <c r="G133" s="4"/>
      <c r="H133" s="920"/>
      <c r="I133" s="3"/>
      <c r="J133" s="920"/>
      <c r="K133" s="3"/>
      <c r="L133" s="920"/>
      <c r="M133" s="3"/>
      <c r="N133" s="920"/>
      <c r="O133" s="3"/>
      <c r="P133" s="3"/>
      <c r="Q133" s="533"/>
      <c r="R133" s="920"/>
      <c r="S133" s="534"/>
      <c r="T133" s="920"/>
      <c r="U133" s="920"/>
      <c r="V133" s="920"/>
      <c r="W133" s="535"/>
      <c r="X133"/>
      <c r="Y133"/>
      <c r="Z133"/>
      <c r="AA133"/>
      <c r="AB133"/>
      <c r="AC133" s="3"/>
      <c r="AD133" s="533"/>
      <c r="AE133" s="3"/>
      <c r="AF133" s="4"/>
      <c r="AG133" s="4"/>
      <c r="AH133" s="4"/>
      <c r="AI133" s="4"/>
      <c r="AJ133" s="4"/>
      <c r="AK133" s="4"/>
      <c r="AL133" s="4"/>
      <c r="AM133" s="4"/>
      <c r="AN133" s="4"/>
      <c r="AO133" s="4"/>
      <c r="AP133" s="4"/>
      <c r="AQ133" s="4"/>
      <c r="AR133" s="4"/>
      <c r="AS133" s="4"/>
      <c r="AT133" s="4"/>
      <c r="AU133" s="4"/>
      <c r="AV133" s="537"/>
      <c r="AW133" s="537"/>
      <c r="AX133" s="4"/>
      <c r="AY133" s="4"/>
      <c r="AZ133" s="4"/>
      <c r="BA133" s="4"/>
      <c r="BB133" s="4"/>
      <c r="BC133" s="4"/>
      <c r="BD133" s="4"/>
      <c r="BE133" s="4"/>
      <c r="BF133" s="4"/>
      <c r="BG133" s="4"/>
      <c r="BH133" s="4"/>
      <c r="BI133" s="4"/>
      <c r="BJ133" s="4"/>
      <c r="BK133" s="4"/>
      <c r="BL133" s="4"/>
      <c r="BM133" s="4"/>
      <c r="BN133" s="4"/>
      <c r="BO133" s="4"/>
      <c r="BP133" s="4"/>
      <c r="BQ133" s="4"/>
      <c r="BR133" s="4"/>
    </row>
    <row r="134" spans="1:70" ht="27" customHeight="1" x14ac:dyDescent="0.25">
      <c r="A134" s="532"/>
      <c r="B134" s="917"/>
      <c r="C134" s="4"/>
      <c r="D134" s="917"/>
      <c r="E134" s="4"/>
      <c r="F134" s="917"/>
      <c r="G134" s="4"/>
      <c r="H134" s="920"/>
      <c r="I134" s="3"/>
      <c r="J134" s="920"/>
      <c r="K134" s="3"/>
      <c r="L134" s="920"/>
      <c r="M134" s="3"/>
      <c r="N134" s="920"/>
      <c r="O134" s="3"/>
      <c r="P134" s="3"/>
      <c r="Q134" s="533"/>
      <c r="R134" s="920"/>
      <c r="S134" s="534"/>
      <c r="T134" s="920"/>
      <c r="U134" s="920"/>
      <c r="V134" s="920"/>
      <c r="W134" s="535"/>
      <c r="X134"/>
      <c r="Y134"/>
      <c r="Z134"/>
      <c r="AA134"/>
      <c r="AB134"/>
      <c r="AC134" s="3"/>
      <c r="AD134" s="533"/>
      <c r="AE134" s="3"/>
      <c r="AF134" s="4"/>
      <c r="AG134" s="4"/>
      <c r="AH134" s="4"/>
      <c r="AI134" s="4"/>
      <c r="AJ134" s="4"/>
      <c r="AK134" s="4"/>
      <c r="AL134" s="4"/>
      <c r="AM134" s="4"/>
      <c r="AN134" s="4"/>
      <c r="AO134" s="4"/>
      <c r="AP134" s="4"/>
      <c r="AQ134" s="4"/>
      <c r="AR134" s="4"/>
      <c r="AS134" s="4"/>
      <c r="AT134" s="4"/>
      <c r="AU134" s="4"/>
      <c r="AV134" s="537"/>
      <c r="AW134" s="537"/>
      <c r="AX134" s="4"/>
      <c r="AY134" s="4"/>
      <c r="AZ134" s="4"/>
      <c r="BA134" s="4"/>
      <c r="BB134" s="4"/>
      <c r="BC134" s="4"/>
      <c r="BD134" s="4"/>
      <c r="BE134" s="4"/>
      <c r="BF134" s="4"/>
      <c r="BG134" s="4"/>
      <c r="BH134" s="4"/>
      <c r="BI134" s="4"/>
      <c r="BJ134" s="4"/>
      <c r="BK134" s="4"/>
      <c r="BL134" s="4"/>
      <c r="BM134" s="4"/>
      <c r="BN134" s="4"/>
      <c r="BO134" s="4"/>
      <c r="BP134" s="4"/>
      <c r="BQ134" s="4"/>
      <c r="BR134" s="4"/>
    </row>
    <row r="135" spans="1:70" ht="27" customHeight="1" x14ac:dyDescent="0.25">
      <c r="A135" s="532"/>
      <c r="B135" s="917"/>
      <c r="C135" s="4"/>
      <c r="D135" s="917"/>
      <c r="E135" s="4"/>
      <c r="F135" s="917"/>
      <c r="G135" s="4"/>
      <c r="H135" s="920"/>
      <c r="I135" s="3"/>
      <c r="J135" s="920"/>
      <c r="K135" s="3"/>
      <c r="L135" s="920"/>
      <c r="M135" s="3"/>
      <c r="N135" s="920"/>
      <c r="O135" s="3"/>
      <c r="P135" s="3"/>
      <c r="Q135" s="533"/>
      <c r="R135" s="920"/>
      <c r="S135" s="534"/>
      <c r="T135" s="920"/>
      <c r="U135" s="920"/>
      <c r="V135" s="920"/>
      <c r="W135" s="535"/>
      <c r="X135"/>
      <c r="Y135"/>
      <c r="Z135"/>
      <c r="AA135"/>
      <c r="AB135"/>
      <c r="AC135" s="3"/>
      <c r="AD135" s="533"/>
      <c r="AE135" s="3"/>
      <c r="AF135" s="4"/>
      <c r="AG135" s="4"/>
      <c r="AH135" s="4"/>
      <c r="AI135" s="4"/>
      <c r="AJ135" s="4"/>
      <c r="AK135" s="4"/>
      <c r="AL135" s="4"/>
      <c r="AM135" s="4"/>
      <c r="AN135" s="4"/>
      <c r="AO135" s="4"/>
      <c r="AP135" s="4"/>
      <c r="AQ135" s="4"/>
      <c r="AR135" s="4"/>
      <c r="AS135" s="4"/>
      <c r="AT135" s="4"/>
      <c r="AU135" s="4"/>
      <c r="AV135" s="537"/>
      <c r="AW135" s="537"/>
      <c r="AX135" s="4"/>
      <c r="AY135" s="4"/>
      <c r="AZ135" s="4"/>
      <c r="BA135" s="4"/>
      <c r="BB135" s="4"/>
      <c r="BC135" s="4"/>
      <c r="BD135" s="4"/>
      <c r="BE135" s="4"/>
      <c r="BF135" s="4"/>
      <c r="BG135" s="4"/>
      <c r="BH135" s="4"/>
      <c r="BI135" s="4"/>
      <c r="BJ135" s="4"/>
      <c r="BK135" s="4"/>
      <c r="BL135" s="4"/>
      <c r="BM135" s="4"/>
      <c r="BN135" s="4"/>
      <c r="BO135" s="4"/>
      <c r="BP135" s="4"/>
      <c r="BQ135" s="4"/>
      <c r="BR135" s="4"/>
    </row>
    <row r="136" spans="1:70" ht="27" customHeight="1" x14ac:dyDescent="0.25">
      <c r="A136" s="532"/>
      <c r="B136" s="917"/>
      <c r="C136" s="4"/>
      <c r="D136" s="917"/>
      <c r="E136" s="4"/>
      <c r="F136" s="917"/>
      <c r="G136" s="4"/>
      <c r="H136" s="920"/>
      <c r="I136" s="3"/>
      <c r="J136" s="920"/>
      <c r="K136" s="3"/>
      <c r="L136" s="920"/>
      <c r="M136" s="3"/>
      <c r="N136" s="920"/>
      <c r="O136" s="3"/>
      <c r="P136" s="3"/>
      <c r="Q136" s="533"/>
      <c r="R136" s="920"/>
      <c r="S136" s="534"/>
      <c r="T136" s="920"/>
      <c r="U136" s="920"/>
      <c r="V136" s="920"/>
      <c r="W136" s="535"/>
      <c r="X136"/>
      <c r="Y136"/>
      <c r="Z136"/>
      <c r="AA136"/>
      <c r="AB136"/>
      <c r="AC136" s="3"/>
      <c r="AD136" s="533"/>
      <c r="AE136" s="3"/>
      <c r="AF136" s="4"/>
      <c r="AG136" s="4"/>
      <c r="AH136" s="4"/>
      <c r="AI136" s="4"/>
      <c r="AJ136" s="4"/>
      <c r="AK136" s="4"/>
      <c r="AL136" s="4"/>
      <c r="AM136" s="4"/>
      <c r="AN136" s="4"/>
      <c r="AO136" s="4"/>
      <c r="AP136" s="4"/>
      <c r="AQ136" s="4"/>
      <c r="AR136" s="4"/>
      <c r="AS136" s="4"/>
      <c r="AT136" s="4"/>
      <c r="AU136" s="4"/>
      <c r="AV136" s="537"/>
      <c r="AW136" s="537"/>
      <c r="AX136" s="4"/>
      <c r="AY136" s="4"/>
      <c r="AZ136" s="4"/>
      <c r="BA136" s="4"/>
      <c r="BB136" s="4"/>
      <c r="BC136" s="4"/>
      <c r="BD136" s="4"/>
      <c r="BE136" s="4"/>
      <c r="BF136" s="4"/>
      <c r="BG136" s="4"/>
      <c r="BH136" s="4"/>
      <c r="BI136" s="4"/>
      <c r="BJ136" s="4"/>
      <c r="BK136" s="4"/>
      <c r="BL136" s="4"/>
      <c r="BM136" s="4"/>
      <c r="BN136" s="4"/>
      <c r="BO136" s="4"/>
      <c r="BP136" s="4"/>
      <c r="BQ136" s="4"/>
      <c r="BR136" s="4"/>
    </row>
    <row r="137" spans="1:70" ht="27" customHeight="1" x14ac:dyDescent="0.25">
      <c r="A137" s="532"/>
      <c r="B137" s="917"/>
      <c r="C137" s="4"/>
      <c r="D137" s="917"/>
      <c r="E137" s="4"/>
      <c r="F137" s="917"/>
      <c r="G137" s="4"/>
      <c r="H137" s="920"/>
      <c r="I137" s="3"/>
      <c r="J137" s="920"/>
      <c r="K137" s="3"/>
      <c r="L137" s="920"/>
      <c r="M137" s="3"/>
      <c r="N137" s="920"/>
      <c r="O137" s="3"/>
      <c r="P137" s="3"/>
      <c r="Q137" s="533"/>
      <c r="R137" s="920"/>
      <c r="S137" s="534"/>
      <c r="T137" s="920"/>
      <c r="U137" s="920"/>
      <c r="V137" s="920"/>
      <c r="W137" s="535"/>
      <c r="X137"/>
      <c r="Y137"/>
      <c r="Z137"/>
      <c r="AA137"/>
      <c r="AB137"/>
      <c r="AC137" s="3"/>
      <c r="AD137" s="533"/>
      <c r="AE137" s="3"/>
      <c r="AF137" s="4"/>
      <c r="AG137" s="4"/>
      <c r="AH137" s="4"/>
      <c r="AI137" s="4"/>
      <c r="AJ137" s="4"/>
      <c r="AK137" s="4"/>
      <c r="AL137" s="4"/>
      <c r="AM137" s="4"/>
      <c r="AN137" s="4"/>
      <c r="AO137" s="4"/>
      <c r="AP137" s="4"/>
      <c r="AQ137" s="4"/>
      <c r="AR137" s="4"/>
      <c r="AS137" s="4"/>
      <c r="AT137" s="4"/>
      <c r="AU137" s="4"/>
      <c r="AV137" s="537"/>
      <c r="AW137" s="537"/>
      <c r="AX137" s="4"/>
      <c r="AY137" s="4"/>
      <c r="AZ137" s="4"/>
      <c r="BA137" s="4"/>
      <c r="BB137" s="4"/>
      <c r="BC137" s="4"/>
      <c r="BD137" s="4"/>
      <c r="BE137" s="4"/>
      <c r="BF137" s="4"/>
      <c r="BG137" s="4"/>
      <c r="BH137" s="4"/>
      <c r="BI137" s="4"/>
      <c r="BJ137" s="4"/>
      <c r="BK137" s="4"/>
      <c r="BL137" s="4"/>
      <c r="BM137" s="4"/>
      <c r="BN137" s="4"/>
      <c r="BO137" s="4"/>
      <c r="BP137" s="4"/>
      <c r="BQ137" s="4"/>
      <c r="BR137" s="4"/>
    </row>
    <row r="138" spans="1:70" ht="27" customHeight="1" x14ac:dyDescent="0.25">
      <c r="A138" s="532"/>
      <c r="B138" s="917"/>
      <c r="C138" s="4"/>
      <c r="D138" s="917"/>
      <c r="E138" s="4"/>
      <c r="F138" s="917"/>
      <c r="G138" s="4"/>
      <c r="H138" s="920"/>
      <c r="I138" s="3"/>
      <c r="J138" s="920"/>
      <c r="K138" s="3"/>
      <c r="L138" s="920"/>
      <c r="M138" s="3"/>
      <c r="N138" s="920"/>
      <c r="O138" s="3"/>
      <c r="P138" s="3"/>
      <c r="Q138" s="533"/>
      <c r="R138" s="920"/>
      <c r="S138" s="534"/>
      <c r="T138" s="920"/>
      <c r="U138" s="920"/>
      <c r="V138" s="920"/>
      <c r="W138" s="535"/>
      <c r="X138"/>
      <c r="Y138"/>
      <c r="Z138"/>
      <c r="AA138"/>
      <c r="AB138"/>
      <c r="AC138" s="3"/>
      <c r="AD138" s="533"/>
      <c r="AE138" s="3"/>
      <c r="AF138" s="4"/>
      <c r="AG138" s="4"/>
      <c r="AH138" s="4"/>
      <c r="AI138" s="4"/>
      <c r="AJ138" s="4"/>
      <c r="AK138" s="4"/>
      <c r="AL138" s="4"/>
      <c r="AM138" s="4"/>
      <c r="AN138" s="4"/>
      <c r="AO138" s="4"/>
      <c r="AP138" s="4"/>
      <c r="AQ138" s="4"/>
      <c r="AR138" s="4"/>
      <c r="AS138" s="4"/>
      <c r="AT138" s="4"/>
      <c r="AU138" s="4"/>
      <c r="AV138" s="537"/>
      <c r="AW138" s="537"/>
      <c r="AX138" s="4"/>
      <c r="AY138" s="4"/>
      <c r="AZ138" s="4"/>
      <c r="BA138" s="4"/>
      <c r="BB138" s="4"/>
      <c r="BC138" s="4"/>
      <c r="BD138" s="4"/>
      <c r="BE138" s="4"/>
      <c r="BF138" s="4"/>
      <c r="BG138" s="4"/>
      <c r="BH138" s="4"/>
      <c r="BI138" s="4"/>
      <c r="BJ138" s="4"/>
      <c r="BK138" s="4"/>
      <c r="BL138" s="4"/>
      <c r="BM138" s="4"/>
      <c r="BN138" s="4"/>
      <c r="BO138" s="4"/>
      <c r="BP138" s="4"/>
      <c r="BQ138" s="4"/>
      <c r="BR138" s="4"/>
    </row>
    <row r="139" spans="1:70" ht="27" customHeight="1" x14ac:dyDescent="0.25">
      <c r="A139" s="532"/>
      <c r="B139" s="917"/>
      <c r="C139" s="4"/>
      <c r="D139" s="917"/>
      <c r="E139" s="4"/>
      <c r="F139" s="917"/>
      <c r="G139" s="4"/>
      <c r="H139" s="920"/>
      <c r="I139" s="3"/>
      <c r="J139" s="920"/>
      <c r="K139" s="3"/>
      <c r="L139" s="920"/>
      <c r="M139" s="3"/>
      <c r="N139" s="920"/>
      <c r="O139" s="3"/>
      <c r="P139" s="3"/>
      <c r="Q139" s="533"/>
      <c r="R139" s="920"/>
      <c r="S139" s="534"/>
      <c r="T139" s="920"/>
      <c r="U139" s="920"/>
      <c r="V139" s="920"/>
      <c r="W139" s="535"/>
      <c r="X139"/>
      <c r="Y139"/>
      <c r="Z139"/>
      <c r="AA139"/>
      <c r="AB139"/>
      <c r="AC139" s="3"/>
      <c r="AD139" s="533"/>
      <c r="AE139" s="3"/>
      <c r="AF139" s="4"/>
      <c r="AG139" s="4"/>
      <c r="AH139" s="4"/>
      <c r="AI139" s="4"/>
      <c r="AJ139" s="4"/>
      <c r="AK139" s="4"/>
      <c r="AL139" s="4"/>
      <c r="AM139" s="4"/>
      <c r="AN139" s="4"/>
      <c r="AO139" s="4"/>
      <c r="AP139" s="4"/>
      <c r="AQ139" s="4"/>
      <c r="AR139" s="4"/>
      <c r="AS139" s="4"/>
      <c r="AT139" s="4"/>
      <c r="AU139" s="4"/>
      <c r="AV139" s="537"/>
      <c r="AW139" s="537"/>
      <c r="AX139" s="4"/>
      <c r="AY139" s="4"/>
      <c r="AZ139" s="4"/>
      <c r="BA139" s="4"/>
      <c r="BB139" s="4"/>
      <c r="BC139" s="4"/>
      <c r="BD139" s="4"/>
      <c r="BE139" s="4"/>
      <c r="BF139" s="4"/>
      <c r="BG139" s="4"/>
      <c r="BH139" s="4"/>
      <c r="BI139" s="4"/>
      <c r="BJ139" s="4"/>
      <c r="BK139" s="4"/>
      <c r="BL139" s="4"/>
      <c r="BM139" s="4"/>
      <c r="BN139" s="4"/>
      <c r="BO139" s="4"/>
      <c r="BP139" s="4"/>
      <c r="BQ139" s="4"/>
      <c r="BR139" s="4"/>
    </row>
    <row r="140" spans="1:70" ht="27" customHeight="1" x14ac:dyDescent="0.25">
      <c r="A140" s="532"/>
      <c r="B140" s="917"/>
      <c r="C140" s="4"/>
      <c r="D140" s="917"/>
      <c r="E140" s="4"/>
      <c r="F140" s="917"/>
      <c r="G140" s="4"/>
      <c r="H140" s="920"/>
      <c r="I140" s="3"/>
      <c r="J140" s="920"/>
      <c r="K140" s="3"/>
      <c r="L140" s="920"/>
      <c r="M140" s="3"/>
      <c r="N140" s="920"/>
      <c r="O140" s="3"/>
      <c r="P140" s="3"/>
      <c r="Q140" s="533"/>
      <c r="R140" s="920"/>
      <c r="S140" s="534"/>
      <c r="T140" s="920"/>
      <c r="U140" s="920"/>
      <c r="V140" s="920"/>
      <c r="W140" s="535"/>
      <c r="X140"/>
      <c r="Y140"/>
      <c r="Z140"/>
      <c r="AA140"/>
      <c r="AB140"/>
      <c r="AC140" s="3"/>
      <c r="AD140" s="533"/>
      <c r="AE140" s="3"/>
      <c r="AF140" s="4"/>
      <c r="AG140" s="4"/>
      <c r="AH140" s="4"/>
      <c r="AI140" s="4"/>
      <c r="AJ140" s="4"/>
      <c r="AK140" s="4"/>
      <c r="AL140" s="4"/>
      <c r="AM140" s="4"/>
      <c r="AN140" s="4"/>
      <c r="AO140" s="4"/>
      <c r="AP140" s="4"/>
      <c r="AQ140" s="4"/>
      <c r="AR140" s="4"/>
      <c r="AS140" s="4"/>
      <c r="AT140" s="4"/>
      <c r="AU140" s="4"/>
      <c r="AV140" s="537"/>
      <c r="AW140" s="537"/>
      <c r="AX140" s="4"/>
      <c r="AY140" s="4"/>
      <c r="AZ140" s="4"/>
      <c r="BA140" s="4"/>
      <c r="BB140" s="4"/>
      <c r="BC140" s="4"/>
      <c r="BD140" s="4"/>
      <c r="BE140" s="4"/>
      <c r="BF140" s="4"/>
      <c r="BG140" s="4"/>
      <c r="BH140" s="4"/>
      <c r="BI140" s="4"/>
      <c r="BJ140" s="4"/>
      <c r="BK140" s="4"/>
      <c r="BL140" s="4"/>
      <c r="BM140" s="4"/>
      <c r="BN140" s="4"/>
      <c r="BO140" s="4"/>
      <c r="BP140" s="4"/>
      <c r="BQ140" s="4"/>
      <c r="BR140" s="4"/>
    </row>
    <row r="141" spans="1:70" ht="27" customHeight="1" x14ac:dyDescent="0.25">
      <c r="A141" s="532"/>
      <c r="B141" s="917"/>
      <c r="C141" s="4"/>
      <c r="D141" s="917"/>
      <c r="E141" s="4"/>
      <c r="F141" s="917"/>
      <c r="G141" s="4"/>
      <c r="H141" s="920"/>
      <c r="I141" s="3"/>
      <c r="J141" s="920"/>
      <c r="K141" s="3"/>
      <c r="L141" s="920"/>
      <c r="M141" s="3"/>
      <c r="N141" s="920"/>
      <c r="O141" s="3"/>
      <c r="P141" s="3"/>
      <c r="Q141" s="533"/>
      <c r="R141" s="920"/>
      <c r="S141" s="534"/>
      <c r="T141" s="920"/>
      <c r="U141" s="920"/>
      <c r="V141" s="920"/>
      <c r="W141" s="535"/>
      <c r="X141"/>
      <c r="Y141"/>
      <c r="Z141"/>
      <c r="AA141"/>
      <c r="AB141"/>
      <c r="AC141" s="3"/>
      <c r="AD141" s="533"/>
      <c r="AE141" s="3"/>
      <c r="AF141" s="4"/>
      <c r="AG141" s="4"/>
      <c r="AH141" s="4"/>
      <c r="AI141" s="4"/>
      <c r="AJ141" s="4"/>
      <c r="AK141" s="4"/>
      <c r="AL141" s="4"/>
      <c r="AM141" s="4"/>
      <c r="AN141" s="4"/>
      <c r="AO141" s="4"/>
      <c r="AP141" s="4"/>
      <c r="AQ141" s="4"/>
      <c r="AR141" s="4"/>
      <c r="AS141" s="4"/>
      <c r="AT141" s="4"/>
      <c r="AU141" s="4"/>
      <c r="AV141" s="537"/>
      <c r="AW141" s="537"/>
      <c r="AX141" s="4"/>
      <c r="AY141" s="4"/>
      <c r="AZ141" s="4"/>
      <c r="BA141" s="4"/>
      <c r="BB141" s="4"/>
      <c r="BC141" s="4"/>
      <c r="BD141" s="4"/>
      <c r="BE141" s="4"/>
      <c r="BF141" s="4"/>
      <c r="BG141" s="4"/>
      <c r="BH141" s="4"/>
      <c r="BI141" s="4"/>
      <c r="BJ141" s="4"/>
      <c r="BK141" s="4"/>
      <c r="BL141" s="4"/>
      <c r="BM141" s="4"/>
      <c r="BN141" s="4"/>
      <c r="BO141" s="4"/>
      <c r="BP141" s="4"/>
      <c r="BQ141" s="4"/>
      <c r="BR141" s="4"/>
    </row>
    <row r="142" spans="1:70" ht="27" customHeight="1" x14ac:dyDescent="0.25">
      <c r="A142" s="532"/>
      <c r="B142" s="917"/>
      <c r="C142" s="4"/>
      <c r="D142" s="917"/>
      <c r="E142" s="4"/>
      <c r="F142" s="917"/>
      <c r="G142" s="4"/>
      <c r="H142" s="920"/>
      <c r="I142" s="3"/>
      <c r="J142" s="920"/>
      <c r="K142" s="3"/>
      <c r="L142" s="920"/>
      <c r="M142" s="3"/>
      <c r="N142" s="920"/>
      <c r="O142" s="3"/>
      <c r="P142" s="3"/>
      <c r="Q142" s="533"/>
      <c r="R142" s="920"/>
      <c r="S142" s="534"/>
      <c r="T142" s="920"/>
      <c r="U142" s="920"/>
      <c r="V142" s="920"/>
      <c r="W142" s="535"/>
      <c r="X142"/>
      <c r="Y142"/>
      <c r="Z142"/>
      <c r="AA142"/>
      <c r="AB142"/>
      <c r="AC142" s="3"/>
      <c r="AD142" s="533"/>
      <c r="AE142" s="3"/>
      <c r="AF142" s="4"/>
      <c r="AG142" s="4"/>
      <c r="AH142" s="4"/>
      <c r="AI142" s="4"/>
      <c r="AJ142" s="4"/>
      <c r="AK142" s="4"/>
      <c r="AL142" s="4"/>
      <c r="AM142" s="4"/>
      <c r="AN142" s="4"/>
      <c r="AO142" s="4"/>
      <c r="AP142" s="4"/>
      <c r="AQ142" s="4"/>
      <c r="AR142" s="4"/>
      <c r="AS142" s="4"/>
      <c r="AT142" s="4"/>
      <c r="AU142" s="4"/>
      <c r="AV142" s="537"/>
      <c r="AW142" s="537"/>
      <c r="AX142" s="4"/>
      <c r="AY142" s="4"/>
      <c r="AZ142" s="4"/>
      <c r="BA142" s="4"/>
      <c r="BB142" s="4"/>
      <c r="BC142" s="4"/>
      <c r="BD142" s="4"/>
      <c r="BE142" s="4"/>
      <c r="BF142" s="4"/>
      <c r="BG142" s="4"/>
      <c r="BH142" s="4"/>
      <c r="BI142" s="4"/>
      <c r="BJ142" s="4"/>
      <c r="BK142" s="4"/>
      <c r="BL142" s="4"/>
      <c r="BM142" s="4"/>
      <c r="BN142" s="4"/>
      <c r="BO142" s="4"/>
      <c r="BP142" s="4"/>
      <c r="BQ142" s="4"/>
      <c r="BR142" s="4"/>
    </row>
    <row r="143" spans="1:70" ht="27" customHeight="1" x14ac:dyDescent="0.25">
      <c r="A143" s="532"/>
      <c r="B143" s="917"/>
      <c r="C143" s="4"/>
      <c r="D143" s="917"/>
      <c r="E143" s="4"/>
      <c r="F143" s="917"/>
      <c r="G143" s="4"/>
      <c r="H143" s="920"/>
      <c r="I143" s="3"/>
      <c r="J143" s="920"/>
      <c r="K143" s="3"/>
      <c r="L143" s="920"/>
      <c r="M143" s="3"/>
      <c r="N143" s="920"/>
      <c r="O143" s="3"/>
      <c r="P143" s="3"/>
      <c r="Q143" s="533"/>
      <c r="R143" s="920"/>
      <c r="S143" s="534"/>
      <c r="T143" s="920"/>
      <c r="U143" s="920"/>
      <c r="V143" s="920"/>
      <c r="W143" s="535"/>
      <c r="X143"/>
      <c r="Y143"/>
      <c r="Z143"/>
      <c r="AA143"/>
      <c r="AB143"/>
      <c r="AC143" s="3"/>
      <c r="AD143" s="533"/>
      <c r="AE143" s="3"/>
      <c r="AF143" s="4"/>
      <c r="AG143" s="4"/>
      <c r="AH143" s="4"/>
      <c r="AI143" s="4"/>
      <c r="AJ143" s="4"/>
      <c r="AK143" s="4"/>
      <c r="AL143" s="4"/>
      <c r="AM143" s="4"/>
      <c r="AN143" s="4"/>
      <c r="AO143" s="4"/>
      <c r="AP143" s="4"/>
      <c r="AQ143" s="4"/>
      <c r="AR143" s="4"/>
      <c r="AS143" s="4"/>
      <c r="AT143" s="4"/>
      <c r="AU143" s="4"/>
      <c r="AV143" s="537"/>
      <c r="AW143" s="537"/>
      <c r="AX143" s="4"/>
      <c r="AY143" s="4"/>
      <c r="AZ143" s="4"/>
      <c r="BA143" s="4"/>
      <c r="BB143" s="4"/>
      <c r="BC143" s="4"/>
      <c r="BD143" s="4"/>
      <c r="BE143" s="4"/>
      <c r="BF143" s="4"/>
      <c r="BG143" s="4"/>
      <c r="BH143" s="4"/>
      <c r="BI143" s="4"/>
      <c r="BJ143" s="4"/>
      <c r="BK143" s="4"/>
      <c r="BL143" s="4"/>
      <c r="BM143" s="4"/>
      <c r="BN143" s="4"/>
      <c r="BO143" s="4"/>
      <c r="BP143" s="4"/>
      <c r="BQ143" s="4"/>
      <c r="BR143" s="4"/>
    </row>
    <row r="144" spans="1:70" ht="27" customHeight="1" x14ac:dyDescent="0.25">
      <c r="A144" s="532"/>
      <c r="B144" s="917"/>
      <c r="C144" s="4"/>
      <c r="D144" s="917"/>
      <c r="E144" s="4"/>
      <c r="F144" s="917"/>
      <c r="G144" s="4"/>
      <c r="H144" s="920"/>
      <c r="I144" s="3"/>
      <c r="J144" s="920"/>
      <c r="K144" s="3"/>
      <c r="L144" s="920"/>
      <c r="M144" s="3"/>
      <c r="N144" s="920"/>
      <c r="O144" s="3"/>
      <c r="P144" s="3"/>
      <c r="Q144" s="533"/>
      <c r="R144" s="920"/>
      <c r="S144" s="534"/>
      <c r="T144" s="920"/>
      <c r="U144" s="920"/>
      <c r="V144" s="920"/>
      <c r="W144" s="535"/>
      <c r="X144"/>
      <c r="Y144"/>
      <c r="Z144"/>
      <c r="AA144"/>
      <c r="AB144"/>
      <c r="AC144" s="3"/>
      <c r="AD144" s="533"/>
      <c r="AE144" s="3"/>
      <c r="AF144" s="4"/>
      <c r="AG144" s="4"/>
      <c r="AH144" s="4"/>
      <c r="AI144" s="4"/>
      <c r="AJ144" s="4"/>
      <c r="AK144" s="4"/>
      <c r="AL144" s="4"/>
      <c r="AM144" s="4"/>
      <c r="AN144" s="4"/>
      <c r="AO144" s="4"/>
      <c r="AP144" s="4"/>
      <c r="AQ144" s="4"/>
      <c r="AR144" s="4"/>
      <c r="AS144" s="4"/>
      <c r="AT144" s="4"/>
      <c r="AU144" s="4"/>
      <c r="AV144" s="537"/>
      <c r="AW144" s="537"/>
      <c r="AX144" s="4"/>
      <c r="AY144" s="4"/>
      <c r="AZ144" s="4"/>
      <c r="BA144" s="4"/>
      <c r="BB144" s="4"/>
      <c r="BC144" s="4"/>
      <c r="BD144" s="4"/>
      <c r="BE144" s="4"/>
      <c r="BF144" s="4"/>
      <c r="BG144" s="4"/>
      <c r="BH144" s="4"/>
      <c r="BI144" s="4"/>
      <c r="BJ144" s="4"/>
      <c r="BK144" s="4"/>
      <c r="BL144" s="4"/>
      <c r="BM144" s="4"/>
      <c r="BN144" s="4"/>
      <c r="BO144" s="4"/>
      <c r="BP144" s="4"/>
      <c r="BQ144" s="4"/>
      <c r="BR144" s="4"/>
    </row>
    <row r="145" spans="1:70" ht="27" customHeight="1" x14ac:dyDescent="0.25">
      <c r="A145" s="532"/>
      <c r="B145" s="917"/>
      <c r="C145" s="4"/>
      <c r="D145" s="917"/>
      <c r="E145" s="4"/>
      <c r="F145" s="917"/>
      <c r="G145" s="4"/>
      <c r="H145" s="920"/>
      <c r="I145" s="3"/>
      <c r="J145" s="920"/>
      <c r="K145" s="3"/>
      <c r="L145" s="920"/>
      <c r="M145" s="3"/>
      <c r="N145" s="920"/>
      <c r="O145" s="3"/>
      <c r="P145" s="3"/>
      <c r="Q145" s="533"/>
      <c r="R145" s="920"/>
      <c r="S145" s="534"/>
      <c r="T145" s="920"/>
      <c r="U145" s="920"/>
      <c r="V145" s="920"/>
      <c r="W145" s="535"/>
      <c r="X145"/>
      <c r="Y145"/>
      <c r="Z145"/>
      <c r="AA145"/>
      <c r="AB145"/>
      <c r="AC145" s="3"/>
      <c r="AD145" s="533"/>
      <c r="AE145" s="3"/>
      <c r="AF145" s="4"/>
      <c r="AG145" s="4"/>
      <c r="AH145" s="4"/>
      <c r="AI145" s="4"/>
      <c r="AJ145" s="4"/>
      <c r="AK145" s="4"/>
      <c r="AL145" s="4"/>
      <c r="AM145" s="4"/>
      <c r="AN145" s="4"/>
      <c r="AO145" s="4"/>
      <c r="AP145" s="4"/>
      <c r="AQ145" s="4"/>
      <c r="AR145" s="4"/>
      <c r="AS145" s="4"/>
      <c r="AT145" s="4"/>
      <c r="AU145" s="4"/>
      <c r="AV145" s="537"/>
      <c r="AW145" s="537"/>
      <c r="AX145" s="4"/>
      <c r="AY145" s="4"/>
      <c r="AZ145" s="4"/>
      <c r="BA145" s="4"/>
      <c r="BB145" s="4"/>
      <c r="BC145" s="4"/>
      <c r="BD145" s="4"/>
      <c r="BE145" s="4"/>
      <c r="BF145" s="4"/>
      <c r="BG145" s="4"/>
      <c r="BH145" s="4"/>
      <c r="BI145" s="4"/>
      <c r="BJ145" s="4"/>
      <c r="BK145" s="4"/>
      <c r="BL145" s="4"/>
      <c r="BM145" s="4"/>
      <c r="BN145" s="4"/>
      <c r="BO145" s="4"/>
      <c r="BP145" s="4"/>
      <c r="BQ145" s="4"/>
      <c r="BR145" s="4"/>
    </row>
    <row r="146" spans="1:70" ht="27" customHeight="1" x14ac:dyDescent="0.25">
      <c r="A146" s="532"/>
      <c r="B146" s="917"/>
      <c r="C146" s="4"/>
      <c r="D146" s="917"/>
      <c r="E146" s="4"/>
      <c r="F146" s="917"/>
      <c r="G146" s="4"/>
      <c r="H146" s="920"/>
      <c r="I146" s="3"/>
      <c r="J146" s="920"/>
      <c r="K146" s="3"/>
      <c r="L146" s="920"/>
      <c r="M146" s="3"/>
      <c r="N146" s="920"/>
      <c r="O146" s="3"/>
      <c r="P146" s="3"/>
      <c r="Q146" s="533"/>
      <c r="R146" s="920"/>
      <c r="S146" s="534"/>
      <c r="T146" s="920"/>
      <c r="U146" s="920"/>
      <c r="V146" s="920"/>
      <c r="W146" s="535"/>
      <c r="X146"/>
      <c r="Y146"/>
      <c r="Z146"/>
      <c r="AA146"/>
      <c r="AB146"/>
      <c r="AC146" s="3"/>
      <c r="AD146" s="533"/>
      <c r="AE146" s="3"/>
      <c r="AF146" s="4"/>
      <c r="AG146" s="4"/>
      <c r="AH146" s="4"/>
      <c r="AI146" s="4"/>
      <c r="AJ146" s="4"/>
      <c r="AK146" s="4"/>
      <c r="AL146" s="4"/>
      <c r="AM146" s="4"/>
      <c r="AN146" s="4"/>
      <c r="AO146" s="4"/>
      <c r="AP146" s="4"/>
      <c r="AQ146" s="4"/>
      <c r="AR146" s="4"/>
      <c r="AS146" s="4"/>
      <c r="AT146" s="4"/>
      <c r="AU146" s="4"/>
      <c r="AV146" s="537"/>
      <c r="AW146" s="537"/>
      <c r="AX146" s="4"/>
      <c r="AY146" s="4"/>
      <c r="AZ146" s="4"/>
      <c r="BA146" s="4"/>
      <c r="BB146" s="4"/>
      <c r="BC146" s="4"/>
      <c r="BD146" s="4"/>
      <c r="BE146" s="4"/>
      <c r="BF146" s="4"/>
      <c r="BG146" s="4"/>
      <c r="BH146" s="4"/>
      <c r="BI146" s="4"/>
      <c r="BJ146" s="4"/>
      <c r="BK146" s="4"/>
      <c r="BL146" s="4"/>
      <c r="BM146" s="4"/>
      <c r="BN146" s="4"/>
      <c r="BO146" s="4"/>
      <c r="BP146" s="4"/>
      <c r="BQ146" s="4"/>
      <c r="BR146" s="4"/>
    </row>
    <row r="147" spans="1:70" ht="27" customHeight="1" x14ac:dyDescent="0.25">
      <c r="A147" s="532"/>
      <c r="B147" s="917"/>
      <c r="C147" s="4"/>
      <c r="D147" s="917"/>
      <c r="E147" s="4"/>
      <c r="F147" s="917"/>
      <c r="G147" s="4"/>
      <c r="H147" s="920"/>
      <c r="I147" s="3"/>
      <c r="J147" s="920"/>
      <c r="K147" s="3"/>
      <c r="L147" s="920"/>
      <c r="M147" s="3"/>
      <c r="N147" s="920"/>
      <c r="O147" s="3"/>
      <c r="P147" s="3"/>
      <c r="Q147" s="533"/>
      <c r="R147" s="920"/>
      <c r="S147" s="534"/>
      <c r="T147" s="920"/>
      <c r="U147" s="920"/>
      <c r="V147" s="920"/>
      <c r="W147" s="535"/>
      <c r="X147"/>
      <c r="Y147"/>
      <c r="Z147"/>
      <c r="AA147"/>
      <c r="AB147"/>
      <c r="AC147" s="3"/>
      <c r="AD147" s="533"/>
      <c r="AE147" s="3"/>
      <c r="AF147" s="4"/>
      <c r="AG147" s="4"/>
      <c r="AH147" s="4"/>
      <c r="AI147" s="4"/>
      <c r="AJ147" s="4"/>
      <c r="AK147" s="4"/>
      <c r="AL147" s="4"/>
      <c r="AM147" s="4"/>
      <c r="AN147" s="4"/>
      <c r="AO147" s="4"/>
      <c r="AP147" s="4"/>
      <c r="AQ147" s="4"/>
      <c r="AR147" s="4"/>
      <c r="AS147" s="4"/>
      <c r="AT147" s="4"/>
      <c r="AU147" s="4"/>
      <c r="AV147" s="537"/>
      <c r="AW147" s="537"/>
      <c r="AX147" s="4"/>
      <c r="AY147" s="4"/>
      <c r="AZ147" s="4"/>
      <c r="BA147" s="4"/>
      <c r="BB147" s="4"/>
      <c r="BC147" s="4"/>
      <c r="BD147" s="4"/>
      <c r="BE147" s="4"/>
      <c r="BF147" s="4"/>
      <c r="BG147" s="4"/>
      <c r="BH147" s="4"/>
      <c r="BI147" s="4"/>
      <c r="BJ147" s="4"/>
      <c r="BK147" s="4"/>
      <c r="BL147" s="4"/>
      <c r="BM147" s="4"/>
      <c r="BN147" s="4"/>
      <c r="BO147" s="4"/>
      <c r="BP147" s="4"/>
      <c r="BQ147" s="4"/>
      <c r="BR147" s="4"/>
    </row>
    <row r="148" spans="1:70" ht="27" customHeight="1" x14ac:dyDescent="0.25">
      <c r="A148" s="532"/>
      <c r="B148" s="917"/>
      <c r="C148" s="4"/>
      <c r="D148" s="917"/>
      <c r="E148" s="4"/>
      <c r="F148" s="917"/>
      <c r="G148" s="4"/>
      <c r="H148" s="920"/>
      <c r="I148" s="3"/>
      <c r="J148" s="920"/>
      <c r="K148" s="3"/>
      <c r="L148" s="920"/>
      <c r="M148" s="3"/>
      <c r="N148" s="920"/>
      <c r="O148" s="3"/>
      <c r="P148" s="3"/>
      <c r="Q148" s="533"/>
      <c r="R148" s="920"/>
      <c r="S148" s="534"/>
      <c r="T148" s="920"/>
      <c r="U148" s="920"/>
      <c r="V148" s="920"/>
      <c r="W148" s="535"/>
      <c r="X148"/>
      <c r="Y148"/>
      <c r="Z148"/>
      <c r="AA148"/>
      <c r="AB148"/>
      <c r="AC148" s="3"/>
      <c r="AD148" s="533"/>
      <c r="AE148" s="3"/>
      <c r="AF148" s="4"/>
      <c r="AG148" s="4"/>
      <c r="AH148" s="4"/>
      <c r="AI148" s="4"/>
      <c r="AJ148" s="4"/>
      <c r="AK148" s="4"/>
      <c r="AL148" s="4"/>
      <c r="AM148" s="4"/>
      <c r="AN148" s="4"/>
      <c r="AO148" s="4"/>
      <c r="AP148" s="4"/>
      <c r="AQ148" s="4"/>
      <c r="AR148" s="4"/>
      <c r="AS148" s="4"/>
      <c r="AT148" s="4"/>
      <c r="AU148" s="4"/>
      <c r="AV148" s="537"/>
      <c r="AW148" s="537"/>
      <c r="AX148" s="4"/>
      <c r="AY148" s="4"/>
      <c r="AZ148" s="4"/>
      <c r="BA148" s="4"/>
      <c r="BB148" s="4"/>
      <c r="BC148" s="4"/>
      <c r="BD148" s="4"/>
      <c r="BE148" s="4"/>
      <c r="BF148" s="4"/>
      <c r="BG148" s="4"/>
      <c r="BH148" s="4"/>
      <c r="BI148" s="4"/>
      <c r="BJ148" s="4"/>
      <c r="BK148" s="4"/>
      <c r="BL148" s="4"/>
      <c r="BM148" s="4"/>
      <c r="BN148" s="4"/>
      <c r="BO148" s="4"/>
      <c r="BP148" s="4"/>
      <c r="BQ148" s="4"/>
      <c r="BR148" s="4"/>
    </row>
    <row r="149" spans="1:70" ht="27" customHeight="1" x14ac:dyDescent="0.25">
      <c r="A149" s="532"/>
      <c r="B149" s="917"/>
      <c r="C149" s="4"/>
      <c r="D149" s="917"/>
      <c r="E149" s="4"/>
      <c r="F149" s="917"/>
      <c r="G149" s="4"/>
      <c r="H149" s="920"/>
      <c r="I149" s="3"/>
      <c r="J149" s="920"/>
      <c r="K149" s="3"/>
      <c r="L149" s="920"/>
      <c r="M149" s="3"/>
      <c r="N149" s="920"/>
      <c r="O149" s="3"/>
      <c r="P149" s="3"/>
      <c r="Q149" s="533"/>
      <c r="R149" s="920"/>
      <c r="S149" s="534"/>
      <c r="T149" s="920"/>
      <c r="U149" s="920"/>
      <c r="V149" s="920"/>
      <c r="W149" s="535"/>
      <c r="X149"/>
      <c r="Y149"/>
      <c r="Z149"/>
      <c r="AA149"/>
      <c r="AB149"/>
      <c r="AC149" s="3"/>
      <c r="AD149" s="533"/>
      <c r="AE149" s="3"/>
      <c r="AF149" s="4"/>
      <c r="AG149" s="4"/>
      <c r="AH149" s="4"/>
      <c r="AI149" s="4"/>
      <c r="AJ149" s="4"/>
      <c r="AK149" s="4"/>
      <c r="AL149" s="4"/>
      <c r="AM149" s="4"/>
      <c r="AN149" s="4"/>
      <c r="AO149" s="4"/>
      <c r="AP149" s="4"/>
      <c r="AQ149" s="4"/>
      <c r="AR149" s="4"/>
      <c r="AS149" s="4"/>
      <c r="AT149" s="4"/>
      <c r="AU149" s="4"/>
      <c r="AV149" s="537"/>
      <c r="AW149" s="537"/>
      <c r="AX149" s="4"/>
      <c r="AY149" s="4"/>
      <c r="AZ149" s="4"/>
      <c r="BA149" s="4"/>
      <c r="BB149" s="4"/>
      <c r="BC149" s="4"/>
      <c r="BD149" s="4"/>
      <c r="BE149" s="4"/>
      <c r="BF149" s="4"/>
      <c r="BG149" s="4"/>
      <c r="BH149" s="4"/>
      <c r="BI149" s="4"/>
      <c r="BJ149" s="4"/>
      <c r="BK149" s="4"/>
      <c r="BL149" s="4"/>
      <c r="BM149" s="4"/>
      <c r="BN149" s="4"/>
      <c r="BO149" s="4"/>
      <c r="BP149" s="4"/>
      <c r="BQ149" s="4"/>
      <c r="BR149" s="4"/>
    </row>
    <row r="150" spans="1:70" ht="27" customHeight="1" x14ac:dyDescent="0.25">
      <c r="A150" s="532"/>
      <c r="B150" s="917"/>
      <c r="C150" s="4"/>
      <c r="D150" s="917"/>
      <c r="E150" s="4"/>
      <c r="F150" s="917"/>
      <c r="G150" s="4"/>
      <c r="H150" s="920"/>
      <c r="I150" s="3"/>
      <c r="J150" s="920"/>
      <c r="K150" s="3"/>
      <c r="L150" s="920"/>
      <c r="M150" s="3"/>
      <c r="N150" s="920"/>
      <c r="O150" s="3"/>
      <c r="P150" s="3"/>
      <c r="Q150" s="533"/>
      <c r="R150" s="920"/>
      <c r="S150" s="534"/>
      <c r="T150" s="920"/>
      <c r="U150" s="920"/>
      <c r="V150" s="920"/>
      <c r="W150" s="535"/>
      <c r="X150"/>
      <c r="Y150"/>
      <c r="Z150"/>
      <c r="AA150"/>
      <c r="AB150"/>
      <c r="AC150" s="3"/>
      <c r="AD150" s="533"/>
      <c r="AE150" s="3"/>
      <c r="AF150" s="4"/>
      <c r="AG150" s="4"/>
      <c r="AH150" s="4"/>
      <c r="AI150" s="4"/>
      <c r="AJ150" s="4"/>
      <c r="AK150" s="4"/>
      <c r="AL150" s="4"/>
      <c r="AM150" s="4"/>
      <c r="AN150" s="4"/>
      <c r="AO150" s="4"/>
      <c r="AP150" s="4"/>
      <c r="AQ150" s="4"/>
      <c r="AR150" s="4"/>
      <c r="AS150" s="4"/>
      <c r="AT150" s="4"/>
      <c r="AU150" s="4"/>
      <c r="AV150" s="537"/>
      <c r="AW150" s="537"/>
      <c r="AX150" s="4"/>
      <c r="AY150" s="4"/>
      <c r="AZ150" s="4"/>
      <c r="BA150" s="4"/>
      <c r="BB150" s="4"/>
      <c r="BC150" s="4"/>
      <c r="BD150" s="4"/>
      <c r="BE150" s="4"/>
      <c r="BF150" s="4"/>
      <c r="BG150" s="4"/>
      <c r="BH150" s="4"/>
      <c r="BI150" s="4"/>
      <c r="BJ150" s="4"/>
      <c r="BK150" s="4"/>
      <c r="BL150" s="4"/>
      <c r="BM150" s="4"/>
      <c r="BN150" s="4"/>
      <c r="BO150" s="4"/>
      <c r="BP150" s="4"/>
      <c r="BQ150" s="4"/>
      <c r="BR150" s="4"/>
    </row>
    <row r="151" spans="1:70" ht="27" customHeight="1" x14ac:dyDescent="0.25">
      <c r="A151" s="532"/>
      <c r="B151" s="917"/>
      <c r="C151" s="4"/>
      <c r="D151" s="917"/>
      <c r="E151" s="4"/>
      <c r="F151" s="917"/>
      <c r="G151" s="4"/>
      <c r="H151" s="920"/>
      <c r="I151" s="3"/>
      <c r="J151" s="920"/>
      <c r="K151" s="3"/>
      <c r="L151" s="920"/>
      <c r="M151" s="3"/>
      <c r="N151" s="920"/>
      <c r="O151" s="3"/>
      <c r="P151" s="3"/>
      <c r="Q151" s="533"/>
      <c r="R151" s="920"/>
      <c r="S151" s="534"/>
      <c r="T151" s="920"/>
      <c r="U151" s="920"/>
      <c r="V151" s="920"/>
      <c r="W151" s="535"/>
      <c r="X151"/>
      <c r="Y151"/>
      <c r="Z151"/>
      <c r="AA151"/>
      <c r="AB151"/>
      <c r="AC151" s="3"/>
      <c r="AD151" s="533"/>
      <c r="AE151" s="3"/>
      <c r="AF151" s="4"/>
      <c r="AG151" s="4"/>
      <c r="AH151" s="4"/>
      <c r="AI151" s="4"/>
      <c r="AJ151" s="4"/>
      <c r="AK151" s="4"/>
      <c r="AL151" s="4"/>
      <c r="AM151" s="4"/>
      <c r="AN151" s="4"/>
      <c r="AO151" s="4"/>
      <c r="AP151" s="4"/>
      <c r="AQ151" s="4"/>
      <c r="AR151" s="4"/>
      <c r="AS151" s="4"/>
      <c r="AT151" s="4"/>
      <c r="AU151" s="4"/>
      <c r="AV151" s="537"/>
      <c r="AW151" s="537"/>
      <c r="AX151" s="4"/>
      <c r="AY151" s="4"/>
      <c r="AZ151" s="4"/>
      <c r="BA151" s="4"/>
      <c r="BB151" s="4"/>
      <c r="BC151" s="4"/>
      <c r="BD151" s="4"/>
      <c r="BE151" s="4"/>
      <c r="BF151" s="4"/>
      <c r="BG151" s="4"/>
      <c r="BH151" s="4"/>
      <c r="BI151" s="4"/>
      <c r="BJ151" s="4"/>
      <c r="BK151" s="4"/>
      <c r="BL151" s="4"/>
      <c r="BM151" s="4"/>
      <c r="BN151" s="4"/>
      <c r="BO151" s="4"/>
      <c r="BP151" s="4"/>
      <c r="BQ151" s="4"/>
      <c r="BR151" s="4"/>
    </row>
    <row r="152" spans="1:70" ht="27" customHeight="1" x14ac:dyDescent="0.25">
      <c r="A152" s="532"/>
      <c r="B152" s="917"/>
      <c r="C152" s="4"/>
      <c r="D152" s="917"/>
      <c r="E152" s="4"/>
      <c r="F152" s="917"/>
      <c r="G152" s="4"/>
      <c r="H152" s="920"/>
      <c r="I152" s="3"/>
      <c r="J152" s="920"/>
      <c r="K152" s="3"/>
      <c r="L152" s="920"/>
      <c r="M152" s="3"/>
      <c r="N152" s="920"/>
      <c r="O152" s="3"/>
      <c r="P152" s="3"/>
      <c r="Q152" s="533"/>
      <c r="R152" s="920"/>
      <c r="S152" s="534"/>
      <c r="T152" s="920"/>
      <c r="U152" s="920"/>
      <c r="V152" s="920"/>
      <c r="W152" s="535"/>
      <c r="X152"/>
      <c r="Y152"/>
      <c r="Z152"/>
      <c r="AA152"/>
      <c r="AB152"/>
      <c r="AC152" s="3"/>
      <c r="AD152" s="533"/>
      <c r="AE152" s="3"/>
      <c r="AF152" s="4"/>
      <c r="AG152" s="4"/>
      <c r="AH152" s="4"/>
      <c r="AI152" s="4"/>
      <c r="AJ152" s="4"/>
      <c r="AK152" s="4"/>
      <c r="AL152" s="4"/>
      <c r="AM152" s="4"/>
      <c r="AN152" s="4"/>
      <c r="AO152" s="4"/>
      <c r="AP152" s="4"/>
      <c r="AQ152" s="4"/>
      <c r="AR152" s="4"/>
      <c r="AS152" s="4"/>
      <c r="AT152" s="4"/>
      <c r="AU152" s="4"/>
      <c r="AV152" s="537"/>
      <c r="AW152" s="537"/>
      <c r="AX152" s="4"/>
      <c r="AY152" s="4"/>
      <c r="AZ152" s="4"/>
      <c r="BA152" s="4"/>
      <c r="BB152" s="4"/>
      <c r="BC152" s="4"/>
      <c r="BD152" s="4"/>
      <c r="BE152" s="4"/>
      <c r="BF152" s="4"/>
      <c r="BG152" s="4"/>
      <c r="BH152" s="4"/>
      <c r="BI152" s="4"/>
      <c r="BJ152" s="4"/>
      <c r="BK152" s="4"/>
      <c r="BL152" s="4"/>
      <c r="BM152" s="4"/>
      <c r="BN152" s="4"/>
      <c r="BO152" s="4"/>
      <c r="BP152" s="4"/>
      <c r="BQ152" s="4"/>
      <c r="BR152" s="4"/>
    </row>
    <row r="153" spans="1:70" ht="27" customHeight="1" x14ac:dyDescent="0.25">
      <c r="A153" s="532"/>
      <c r="B153" s="917"/>
      <c r="C153" s="4"/>
      <c r="D153" s="917"/>
      <c r="E153" s="4"/>
      <c r="F153" s="917"/>
      <c r="G153" s="4"/>
      <c r="H153" s="920"/>
      <c r="I153" s="3"/>
      <c r="J153" s="920"/>
      <c r="K153" s="3"/>
      <c r="L153" s="920"/>
      <c r="M153" s="3"/>
      <c r="N153" s="920"/>
      <c r="O153" s="3"/>
      <c r="P153" s="3"/>
      <c r="Q153" s="533"/>
      <c r="R153" s="920"/>
      <c r="S153" s="534"/>
      <c r="T153" s="920"/>
      <c r="U153" s="920"/>
      <c r="V153" s="920"/>
      <c r="W153" s="535"/>
      <c r="X153"/>
      <c r="Y153"/>
      <c r="Z153"/>
      <c r="AA153"/>
      <c r="AB153"/>
      <c r="AC153" s="3"/>
      <c r="AD153" s="533"/>
      <c r="AE153" s="3"/>
      <c r="AF153" s="4"/>
      <c r="AG153" s="4"/>
      <c r="AH153" s="4"/>
      <c r="AI153" s="4"/>
      <c r="AJ153" s="4"/>
      <c r="AK153" s="4"/>
      <c r="AL153" s="4"/>
      <c r="AM153" s="4"/>
      <c r="AN153" s="4"/>
      <c r="AO153" s="4"/>
      <c r="AP153" s="4"/>
      <c r="AQ153" s="4"/>
      <c r="AR153" s="4"/>
      <c r="AS153" s="4"/>
      <c r="AT153" s="4"/>
      <c r="AU153" s="4"/>
      <c r="AV153" s="537"/>
      <c r="AW153" s="537"/>
      <c r="AX153" s="4"/>
      <c r="AY153" s="4"/>
      <c r="AZ153" s="4"/>
      <c r="BA153" s="4"/>
      <c r="BB153" s="4"/>
      <c r="BC153" s="4"/>
      <c r="BD153" s="4"/>
      <c r="BE153" s="4"/>
      <c r="BF153" s="4"/>
      <c r="BG153" s="4"/>
      <c r="BH153" s="4"/>
      <c r="BI153" s="4"/>
      <c r="BJ153" s="4"/>
      <c r="BK153" s="4"/>
      <c r="BL153" s="4"/>
      <c r="BM153" s="4"/>
      <c r="BN153" s="4"/>
      <c r="BO153" s="4"/>
      <c r="BP153" s="4"/>
      <c r="BQ153" s="4"/>
      <c r="BR153" s="4"/>
    </row>
    <row r="154" spans="1:70" ht="27" customHeight="1" x14ac:dyDescent="0.25">
      <c r="A154" s="532"/>
      <c r="B154" s="917"/>
      <c r="C154" s="4"/>
      <c r="D154" s="917"/>
      <c r="E154" s="4"/>
      <c r="F154" s="917"/>
      <c r="G154" s="4"/>
      <c r="H154" s="920"/>
      <c r="I154" s="3"/>
      <c r="J154" s="920"/>
      <c r="K154" s="3"/>
      <c r="L154" s="920"/>
      <c r="M154" s="3"/>
      <c r="N154" s="920"/>
      <c r="O154" s="3"/>
      <c r="P154" s="3"/>
      <c r="Q154" s="533"/>
      <c r="R154" s="920"/>
      <c r="S154" s="534"/>
      <c r="T154" s="920"/>
      <c r="U154" s="920"/>
      <c r="V154" s="920"/>
      <c r="W154" s="535"/>
      <c r="X154"/>
      <c r="Y154"/>
      <c r="Z154"/>
      <c r="AA154"/>
      <c r="AB154"/>
      <c r="AC154" s="3"/>
      <c r="AD154" s="533"/>
      <c r="AE154" s="3"/>
      <c r="AF154" s="4"/>
      <c r="AG154" s="4"/>
      <c r="AH154" s="4"/>
      <c r="AI154" s="4"/>
      <c r="AJ154" s="4"/>
      <c r="AK154" s="4"/>
      <c r="AL154" s="4"/>
      <c r="AM154" s="4"/>
      <c r="AN154" s="4"/>
      <c r="AO154" s="4"/>
      <c r="AP154" s="4"/>
      <c r="AQ154" s="4"/>
      <c r="AR154" s="4"/>
      <c r="AS154" s="4"/>
      <c r="AT154" s="4"/>
      <c r="AU154" s="4"/>
      <c r="AV154" s="537"/>
      <c r="AW154" s="537"/>
      <c r="AX154" s="4"/>
      <c r="AY154" s="4"/>
      <c r="AZ154" s="4"/>
      <c r="BA154" s="4"/>
      <c r="BB154" s="4"/>
      <c r="BC154" s="4"/>
      <c r="BD154" s="4"/>
      <c r="BE154" s="4"/>
      <c r="BF154" s="4"/>
      <c r="BG154" s="4"/>
      <c r="BH154" s="4"/>
      <c r="BI154" s="4"/>
      <c r="BJ154" s="4"/>
      <c r="BK154" s="4"/>
      <c r="BL154" s="4"/>
      <c r="BM154" s="4"/>
      <c r="BN154" s="4"/>
      <c r="BO154" s="4"/>
      <c r="BP154" s="4"/>
      <c r="BQ154" s="4"/>
      <c r="BR154" s="4"/>
    </row>
    <row r="155" spans="1:70" ht="27" customHeight="1" x14ac:dyDescent="0.25">
      <c r="A155" s="532"/>
      <c r="B155" s="917"/>
      <c r="C155" s="4"/>
      <c r="D155" s="917"/>
      <c r="E155" s="4"/>
      <c r="F155" s="917"/>
      <c r="G155" s="4"/>
      <c r="H155" s="920"/>
      <c r="I155" s="3"/>
      <c r="J155" s="920"/>
      <c r="K155" s="3"/>
      <c r="L155" s="920"/>
      <c r="M155" s="3"/>
      <c r="N155" s="920"/>
      <c r="O155" s="3"/>
      <c r="P155" s="3"/>
      <c r="Q155" s="533"/>
      <c r="R155" s="920"/>
      <c r="S155" s="534"/>
      <c r="T155" s="920"/>
      <c r="U155" s="920"/>
      <c r="V155" s="920"/>
      <c r="W155" s="535"/>
      <c r="X155"/>
      <c r="Y155"/>
      <c r="Z155"/>
      <c r="AA155"/>
      <c r="AB155"/>
      <c r="AC155" s="3"/>
      <c r="AD155" s="533"/>
      <c r="AE155" s="3"/>
      <c r="AF155" s="4"/>
      <c r="AG155" s="4"/>
      <c r="AH155" s="4"/>
      <c r="AI155" s="4"/>
      <c r="AJ155" s="4"/>
      <c r="AK155" s="4"/>
      <c r="AL155" s="4"/>
      <c r="AM155" s="4"/>
      <c r="AN155" s="4"/>
      <c r="AO155" s="4"/>
      <c r="AP155" s="4"/>
      <c r="AQ155" s="4"/>
      <c r="AR155" s="4"/>
      <c r="AS155" s="4"/>
      <c r="AT155" s="4"/>
      <c r="AU155" s="4"/>
      <c r="AV155" s="537"/>
      <c r="AW155" s="537"/>
      <c r="AX155" s="4"/>
      <c r="AY155" s="4"/>
      <c r="AZ155" s="4"/>
      <c r="BA155" s="4"/>
      <c r="BB155" s="4"/>
      <c r="BC155" s="4"/>
      <c r="BD155" s="4"/>
      <c r="BE155" s="4"/>
      <c r="BF155" s="4"/>
      <c r="BG155" s="4"/>
      <c r="BH155" s="4"/>
      <c r="BI155" s="4"/>
      <c r="BJ155" s="4"/>
      <c r="BK155" s="4"/>
      <c r="BL155" s="4"/>
      <c r="BM155" s="4"/>
      <c r="BN155" s="4"/>
      <c r="BO155" s="4"/>
      <c r="BP155" s="4"/>
      <c r="BQ155" s="4"/>
      <c r="BR155" s="4"/>
    </row>
    <row r="156" spans="1:70" ht="27" customHeight="1" x14ac:dyDescent="0.25">
      <c r="A156" s="532"/>
      <c r="B156" s="917"/>
      <c r="C156" s="4"/>
      <c r="D156" s="917"/>
      <c r="E156" s="4"/>
      <c r="F156" s="917"/>
      <c r="G156" s="4"/>
      <c r="H156" s="920"/>
      <c r="I156" s="3"/>
      <c r="J156" s="920"/>
      <c r="K156" s="3"/>
      <c r="L156" s="920"/>
      <c r="M156" s="3"/>
      <c r="N156" s="920"/>
      <c r="O156" s="3"/>
      <c r="P156" s="3"/>
      <c r="Q156" s="533"/>
      <c r="R156" s="920"/>
      <c r="S156" s="534"/>
      <c r="T156" s="920"/>
      <c r="U156" s="920"/>
      <c r="V156" s="920"/>
      <c r="W156" s="535"/>
      <c r="X156"/>
      <c r="Y156"/>
      <c r="Z156"/>
      <c r="AA156"/>
      <c r="AB156"/>
      <c r="AC156" s="3"/>
      <c r="AD156" s="533"/>
      <c r="AE156" s="3"/>
      <c r="AF156" s="4"/>
      <c r="AG156" s="4"/>
      <c r="AH156" s="4"/>
      <c r="AI156" s="4"/>
      <c r="AJ156" s="4"/>
      <c r="AK156" s="4"/>
      <c r="AL156" s="4"/>
      <c r="AM156" s="4"/>
      <c r="AN156" s="4"/>
      <c r="AO156" s="4"/>
      <c r="AP156" s="4"/>
      <c r="AQ156" s="4"/>
      <c r="AR156" s="4"/>
      <c r="AS156" s="4"/>
      <c r="AT156" s="4"/>
      <c r="AU156" s="4"/>
      <c r="AV156" s="537"/>
      <c r="AW156" s="537"/>
      <c r="AX156" s="4"/>
      <c r="AY156" s="4"/>
      <c r="AZ156" s="4"/>
      <c r="BA156" s="4"/>
      <c r="BB156" s="4"/>
      <c r="BC156" s="4"/>
      <c r="BD156" s="4"/>
      <c r="BE156" s="4"/>
      <c r="BF156" s="4"/>
      <c r="BG156" s="4"/>
      <c r="BH156" s="4"/>
      <c r="BI156" s="4"/>
      <c r="BJ156" s="4"/>
      <c r="BK156" s="4"/>
      <c r="BL156" s="4"/>
      <c r="BM156" s="4"/>
      <c r="BN156" s="4"/>
      <c r="BO156" s="4"/>
      <c r="BP156" s="4"/>
      <c r="BQ156" s="4"/>
      <c r="BR156" s="4"/>
    </row>
    <row r="157" spans="1:70" ht="27" customHeight="1" x14ac:dyDescent="0.25">
      <c r="A157" s="532"/>
      <c r="B157" s="917"/>
      <c r="C157" s="4"/>
      <c r="D157" s="917"/>
      <c r="E157" s="4"/>
      <c r="F157" s="917"/>
      <c r="G157" s="4"/>
      <c r="H157" s="920"/>
      <c r="I157" s="3"/>
      <c r="J157" s="920"/>
      <c r="K157" s="3"/>
      <c r="L157" s="920"/>
      <c r="M157" s="3"/>
      <c r="N157" s="920"/>
      <c r="O157" s="3"/>
      <c r="P157" s="3"/>
      <c r="Q157" s="533"/>
      <c r="R157" s="920"/>
      <c r="S157" s="534"/>
      <c r="T157" s="920"/>
      <c r="U157" s="920"/>
      <c r="V157" s="920"/>
      <c r="W157" s="535"/>
      <c r="X157"/>
      <c r="Y157"/>
      <c r="Z157"/>
      <c r="AA157"/>
      <c r="AB157"/>
      <c r="AC157" s="3"/>
      <c r="AD157" s="533"/>
      <c r="AE157" s="3"/>
      <c r="AF157" s="4"/>
      <c r="AG157" s="4"/>
      <c r="AH157" s="4"/>
      <c r="AI157" s="4"/>
      <c r="AJ157" s="4"/>
      <c r="AK157" s="4"/>
      <c r="AL157" s="4"/>
      <c r="AM157" s="4"/>
      <c r="AN157" s="4"/>
      <c r="AO157" s="4"/>
      <c r="AP157" s="4"/>
      <c r="AQ157" s="4"/>
      <c r="AR157" s="4"/>
      <c r="AS157" s="4"/>
      <c r="AT157" s="4"/>
      <c r="AU157" s="4"/>
      <c r="AV157" s="537"/>
      <c r="AW157" s="537"/>
      <c r="AX157" s="4"/>
      <c r="AY157" s="4"/>
      <c r="AZ157" s="4"/>
      <c r="BA157" s="4"/>
      <c r="BB157" s="4"/>
      <c r="BC157" s="4"/>
      <c r="BD157" s="4"/>
      <c r="BE157" s="4"/>
      <c r="BF157" s="4"/>
      <c r="BG157" s="4"/>
      <c r="BH157" s="4"/>
      <c r="BI157" s="4"/>
      <c r="BJ157" s="4"/>
      <c r="BK157" s="4"/>
      <c r="BL157" s="4"/>
      <c r="BM157" s="4"/>
      <c r="BN157" s="4"/>
      <c r="BO157" s="4"/>
      <c r="BP157" s="4"/>
      <c r="BQ157" s="4"/>
      <c r="BR157" s="4"/>
    </row>
    <row r="158" spans="1:70" ht="27" customHeight="1" x14ac:dyDescent="0.25">
      <c r="A158" s="532"/>
      <c r="B158" s="917"/>
      <c r="C158" s="4"/>
      <c r="D158" s="917"/>
      <c r="E158" s="4"/>
      <c r="F158" s="917"/>
      <c r="G158" s="4"/>
      <c r="H158" s="920"/>
      <c r="I158" s="3"/>
      <c r="J158" s="920"/>
      <c r="K158" s="3"/>
      <c r="L158" s="920"/>
      <c r="M158" s="3"/>
      <c r="N158" s="920"/>
      <c r="O158" s="3"/>
      <c r="P158" s="3"/>
      <c r="Q158" s="533"/>
      <c r="R158" s="920"/>
      <c r="S158" s="534"/>
      <c r="T158" s="920"/>
      <c r="U158" s="920"/>
      <c r="V158" s="920"/>
      <c r="W158" s="535"/>
      <c r="X158"/>
      <c r="Y158"/>
      <c r="Z158"/>
      <c r="AA158"/>
      <c r="AB158"/>
      <c r="AC158" s="3"/>
      <c r="AD158" s="533"/>
      <c r="AE158" s="3"/>
      <c r="AF158" s="4"/>
      <c r="AG158" s="4"/>
      <c r="AH158" s="4"/>
      <c r="AI158" s="4"/>
      <c r="AJ158" s="4"/>
      <c r="AK158" s="4"/>
      <c r="AL158" s="4"/>
      <c r="AM158" s="4"/>
      <c r="AN158" s="4"/>
      <c r="AO158" s="4"/>
      <c r="AP158" s="4"/>
      <c r="AQ158" s="4"/>
      <c r="AR158" s="4"/>
      <c r="AS158" s="4"/>
      <c r="AT158" s="4"/>
      <c r="AU158" s="4"/>
      <c r="AV158" s="537"/>
      <c r="AW158" s="537"/>
      <c r="AX158" s="4"/>
      <c r="AY158" s="4"/>
      <c r="AZ158" s="4"/>
      <c r="BA158" s="4"/>
      <c r="BB158" s="4"/>
      <c r="BC158" s="4"/>
      <c r="BD158" s="4"/>
      <c r="BE158" s="4"/>
      <c r="BF158" s="4"/>
      <c r="BG158" s="4"/>
      <c r="BH158" s="4"/>
      <c r="BI158" s="4"/>
      <c r="BJ158" s="4"/>
      <c r="BK158" s="4"/>
      <c r="BL158" s="4"/>
      <c r="BM158" s="4"/>
      <c r="BN158" s="4"/>
      <c r="BO158" s="4"/>
      <c r="BP158" s="4"/>
      <c r="BQ158" s="4"/>
      <c r="BR158" s="4"/>
    </row>
    <row r="159" spans="1:70" ht="27" customHeight="1" x14ac:dyDescent="0.25">
      <c r="A159" s="532"/>
      <c r="B159" s="917"/>
      <c r="C159" s="4"/>
      <c r="D159" s="917"/>
      <c r="E159" s="4"/>
      <c r="F159" s="917"/>
      <c r="G159" s="4"/>
      <c r="H159" s="920"/>
      <c r="I159" s="3"/>
      <c r="J159" s="920"/>
      <c r="K159" s="3"/>
      <c r="L159" s="920"/>
      <c r="M159" s="3"/>
      <c r="N159" s="920"/>
      <c r="O159" s="3"/>
      <c r="P159" s="3"/>
      <c r="Q159" s="533"/>
      <c r="R159" s="920"/>
      <c r="S159" s="534"/>
      <c r="T159" s="920"/>
      <c r="U159" s="920"/>
      <c r="V159" s="920"/>
      <c r="W159" s="535"/>
      <c r="X159"/>
      <c r="Y159"/>
      <c r="Z159"/>
      <c r="AA159"/>
      <c r="AB159"/>
      <c r="AC159" s="3"/>
      <c r="AD159" s="533"/>
      <c r="AE159" s="3"/>
      <c r="AF159" s="4"/>
      <c r="AG159" s="4"/>
      <c r="AH159" s="4"/>
      <c r="AI159" s="4"/>
      <c r="AJ159" s="4"/>
      <c r="AK159" s="4"/>
      <c r="AL159" s="4"/>
      <c r="AM159" s="4"/>
      <c r="AN159" s="4"/>
      <c r="AO159" s="4"/>
      <c r="AP159" s="4"/>
      <c r="AQ159" s="4"/>
      <c r="AR159" s="4"/>
      <c r="AS159" s="4"/>
      <c r="AT159" s="4"/>
      <c r="AU159" s="4"/>
      <c r="AV159" s="537"/>
      <c r="AW159" s="537"/>
      <c r="AX159" s="4"/>
      <c r="AY159" s="4"/>
      <c r="AZ159" s="4"/>
      <c r="BA159" s="4"/>
      <c r="BB159" s="4"/>
      <c r="BC159" s="4"/>
      <c r="BD159" s="4"/>
      <c r="BE159" s="4"/>
      <c r="BF159" s="4"/>
      <c r="BG159" s="4"/>
      <c r="BH159" s="4"/>
      <c r="BI159" s="4"/>
      <c r="BJ159" s="4"/>
      <c r="BK159" s="4"/>
      <c r="BL159" s="4"/>
      <c r="BM159" s="4"/>
      <c r="BN159" s="4"/>
      <c r="BO159" s="4"/>
      <c r="BP159" s="4"/>
      <c r="BQ159" s="4"/>
      <c r="BR159" s="4"/>
    </row>
    <row r="160" spans="1:70" ht="27" customHeight="1" x14ac:dyDescent="0.25">
      <c r="A160" s="532"/>
      <c r="B160" s="917"/>
      <c r="C160" s="4"/>
      <c r="D160" s="917"/>
      <c r="E160" s="4"/>
      <c r="F160" s="917"/>
      <c r="G160" s="4"/>
      <c r="H160" s="920"/>
      <c r="I160" s="3"/>
      <c r="J160" s="920"/>
      <c r="K160" s="3"/>
      <c r="L160" s="920"/>
      <c r="M160" s="3"/>
      <c r="N160" s="920"/>
      <c r="O160" s="3"/>
      <c r="P160" s="3"/>
      <c r="Q160" s="533"/>
      <c r="R160" s="920"/>
      <c r="S160" s="534"/>
      <c r="T160" s="920"/>
      <c r="U160" s="920"/>
      <c r="V160" s="920"/>
      <c r="W160" s="535"/>
      <c r="X160"/>
      <c r="Y160"/>
      <c r="Z160"/>
      <c r="AA160"/>
      <c r="AB160"/>
      <c r="AC160" s="3"/>
      <c r="AD160" s="533"/>
      <c r="AE160" s="3"/>
      <c r="AF160" s="4"/>
      <c r="AG160" s="4"/>
      <c r="AH160" s="4"/>
      <c r="AI160" s="4"/>
      <c r="AJ160" s="4"/>
      <c r="AK160" s="4"/>
      <c r="AL160" s="4"/>
      <c r="AM160" s="4"/>
      <c r="AN160" s="4"/>
      <c r="AO160" s="4"/>
      <c r="AP160" s="4"/>
      <c r="AQ160" s="4"/>
      <c r="AR160" s="4"/>
      <c r="AS160" s="4"/>
      <c r="AT160" s="4"/>
      <c r="AU160" s="4"/>
      <c r="AV160" s="537"/>
      <c r="AW160" s="537"/>
      <c r="AX160" s="4"/>
      <c r="AY160" s="4"/>
      <c r="AZ160" s="4"/>
      <c r="BA160" s="4"/>
      <c r="BB160" s="4"/>
      <c r="BC160" s="4"/>
      <c r="BD160" s="4"/>
      <c r="BE160" s="4"/>
      <c r="BF160" s="4"/>
      <c r="BG160" s="4"/>
      <c r="BH160" s="4"/>
      <c r="BI160" s="4"/>
      <c r="BJ160" s="4"/>
      <c r="BK160" s="4"/>
      <c r="BL160" s="4"/>
      <c r="BM160" s="4"/>
      <c r="BN160" s="4"/>
      <c r="BO160" s="4"/>
      <c r="BP160" s="4"/>
      <c r="BQ160" s="4"/>
      <c r="BR160" s="4"/>
    </row>
    <row r="161" spans="1:70" ht="27" customHeight="1" x14ac:dyDescent="0.25">
      <c r="A161" s="532"/>
      <c r="B161" s="917"/>
      <c r="C161" s="4"/>
      <c r="D161" s="917"/>
      <c r="E161" s="4"/>
      <c r="F161" s="917"/>
      <c r="G161" s="4"/>
      <c r="H161" s="920"/>
      <c r="I161" s="3"/>
      <c r="J161" s="920"/>
      <c r="K161" s="3"/>
      <c r="L161" s="920"/>
      <c r="M161" s="3"/>
      <c r="N161" s="920"/>
      <c r="O161" s="3"/>
      <c r="P161" s="3"/>
      <c r="Q161" s="533"/>
      <c r="R161" s="920"/>
      <c r="S161" s="534"/>
      <c r="T161" s="920"/>
      <c r="U161" s="920"/>
      <c r="V161" s="920"/>
      <c r="W161" s="535"/>
      <c r="X161"/>
      <c r="Y161"/>
      <c r="Z161"/>
      <c r="AA161"/>
      <c r="AB161"/>
      <c r="AC161" s="3"/>
      <c r="AD161" s="533"/>
      <c r="AE161" s="3"/>
      <c r="AF161" s="4"/>
      <c r="AG161" s="4"/>
      <c r="AH161" s="4"/>
      <c r="AI161" s="4"/>
      <c r="AJ161" s="4"/>
      <c r="AK161" s="4"/>
      <c r="AL161" s="4"/>
      <c r="AM161" s="4"/>
      <c r="AN161" s="4"/>
      <c r="AO161" s="4"/>
      <c r="AP161" s="4"/>
      <c r="AQ161" s="4"/>
      <c r="AR161" s="4"/>
      <c r="AS161" s="4"/>
      <c r="AT161" s="4"/>
      <c r="AU161" s="4"/>
      <c r="AV161" s="537"/>
      <c r="AW161" s="537"/>
      <c r="AX161" s="4"/>
      <c r="AY161" s="4"/>
      <c r="AZ161" s="4"/>
      <c r="BA161" s="4"/>
      <c r="BB161" s="4"/>
      <c r="BC161" s="4"/>
      <c r="BD161" s="4"/>
      <c r="BE161" s="4"/>
      <c r="BF161" s="4"/>
      <c r="BG161" s="4"/>
      <c r="BH161" s="4"/>
      <c r="BI161" s="4"/>
      <c r="BJ161" s="4"/>
      <c r="BK161" s="4"/>
      <c r="BL161" s="4"/>
      <c r="BM161" s="4"/>
      <c r="BN161" s="4"/>
      <c r="BO161" s="4"/>
      <c r="BP161" s="4"/>
      <c r="BQ161" s="4"/>
      <c r="BR161" s="4"/>
    </row>
    <row r="162" spans="1:70" ht="27" customHeight="1" x14ac:dyDescent="0.25">
      <c r="A162" s="532"/>
      <c r="B162" s="917"/>
      <c r="C162" s="4"/>
      <c r="D162" s="917"/>
      <c r="E162" s="4"/>
      <c r="F162" s="917"/>
      <c r="G162" s="4"/>
      <c r="H162" s="920"/>
      <c r="I162" s="3"/>
      <c r="J162" s="920"/>
      <c r="K162" s="3"/>
      <c r="L162" s="920"/>
      <c r="M162" s="3"/>
      <c r="N162" s="920"/>
      <c r="O162" s="3"/>
      <c r="P162" s="3"/>
      <c r="Q162" s="533"/>
      <c r="R162" s="920"/>
      <c r="S162" s="534"/>
      <c r="T162" s="920"/>
      <c r="U162" s="920"/>
      <c r="V162" s="920"/>
      <c r="W162" s="535"/>
      <c r="X162"/>
      <c r="Y162"/>
      <c r="Z162"/>
      <c r="AA162"/>
      <c r="AB162"/>
      <c r="AC162" s="3"/>
      <c r="AD162" s="533"/>
      <c r="AE162" s="3"/>
      <c r="AF162" s="4"/>
      <c r="AG162" s="4"/>
      <c r="AH162" s="4"/>
      <c r="AI162" s="4"/>
      <c r="AJ162" s="4"/>
      <c r="AK162" s="4"/>
      <c r="AL162" s="4"/>
      <c r="AM162" s="4"/>
      <c r="AN162" s="4"/>
      <c r="AO162" s="4"/>
      <c r="AP162" s="4"/>
      <c r="AQ162" s="4"/>
      <c r="AR162" s="4"/>
      <c r="AS162" s="4"/>
      <c r="AT162" s="4"/>
      <c r="AU162" s="4"/>
      <c r="AV162" s="537"/>
      <c r="AW162" s="537"/>
      <c r="AX162" s="4"/>
      <c r="AY162" s="4"/>
      <c r="AZ162" s="4"/>
      <c r="BA162" s="4"/>
      <c r="BB162" s="4"/>
      <c r="BC162" s="4"/>
      <c r="BD162" s="4"/>
      <c r="BE162" s="4"/>
      <c r="BF162" s="4"/>
      <c r="BG162" s="4"/>
      <c r="BH162" s="4"/>
      <c r="BI162" s="4"/>
      <c r="BJ162" s="4"/>
      <c r="BK162" s="4"/>
      <c r="BL162" s="4"/>
      <c r="BM162" s="4"/>
      <c r="BN162" s="4"/>
      <c r="BO162" s="4"/>
      <c r="BP162" s="4"/>
      <c r="BQ162" s="4"/>
      <c r="BR162" s="4"/>
    </row>
    <row r="163" spans="1:70" ht="27" customHeight="1" x14ac:dyDescent="0.25">
      <c r="A163" s="532"/>
      <c r="B163" s="917"/>
      <c r="C163" s="4"/>
      <c r="D163" s="917"/>
      <c r="E163" s="4"/>
      <c r="F163" s="917"/>
      <c r="G163" s="4"/>
      <c r="H163" s="920"/>
      <c r="I163" s="3"/>
      <c r="J163" s="920"/>
      <c r="K163" s="3"/>
      <c r="L163" s="920"/>
      <c r="M163" s="3"/>
      <c r="N163" s="920"/>
      <c r="O163" s="3"/>
      <c r="P163" s="3"/>
      <c r="Q163" s="533"/>
      <c r="R163" s="920"/>
      <c r="S163" s="534"/>
      <c r="T163" s="920"/>
      <c r="U163" s="920"/>
      <c r="V163" s="920"/>
      <c r="W163" s="535"/>
      <c r="X163"/>
      <c r="Y163"/>
      <c r="Z163"/>
      <c r="AA163"/>
      <c r="AB163"/>
      <c r="AC163" s="3"/>
      <c r="AD163" s="533"/>
      <c r="AE163" s="3"/>
      <c r="AF163" s="4"/>
      <c r="AG163" s="4"/>
      <c r="AH163" s="4"/>
      <c r="AI163" s="4"/>
      <c r="AJ163" s="4"/>
      <c r="AK163" s="4"/>
      <c r="AL163" s="4"/>
      <c r="AM163" s="4"/>
      <c r="AN163" s="4"/>
      <c r="AO163" s="4"/>
      <c r="AP163" s="4"/>
      <c r="AQ163" s="4"/>
      <c r="AR163" s="4"/>
      <c r="AS163" s="4"/>
      <c r="AT163" s="4"/>
      <c r="AU163" s="4"/>
      <c r="AV163" s="537"/>
      <c r="AW163" s="537"/>
      <c r="AX163" s="4"/>
      <c r="AY163" s="4"/>
      <c r="AZ163" s="4"/>
      <c r="BA163" s="4"/>
      <c r="BB163" s="4"/>
      <c r="BC163" s="4"/>
      <c r="BD163" s="4"/>
      <c r="BE163" s="4"/>
      <c r="BF163" s="4"/>
      <c r="BG163" s="4"/>
      <c r="BH163" s="4"/>
      <c r="BI163" s="4"/>
      <c r="BJ163" s="4"/>
      <c r="BK163" s="4"/>
      <c r="BL163" s="4"/>
      <c r="BM163" s="4"/>
      <c r="BN163" s="4"/>
      <c r="BO163" s="4"/>
      <c r="BP163" s="4"/>
      <c r="BQ163" s="4"/>
      <c r="BR163" s="4"/>
    </row>
    <row r="164" spans="1:70" ht="27" customHeight="1" x14ac:dyDescent="0.25">
      <c r="A164" s="532"/>
      <c r="B164" s="917"/>
      <c r="C164" s="4"/>
      <c r="D164" s="917"/>
      <c r="E164" s="4"/>
      <c r="F164" s="917"/>
      <c r="G164" s="4"/>
      <c r="H164" s="920"/>
      <c r="I164" s="3"/>
      <c r="J164" s="920"/>
      <c r="K164" s="3"/>
      <c r="L164" s="920"/>
      <c r="M164" s="3"/>
      <c r="N164" s="920"/>
      <c r="O164" s="3"/>
      <c r="P164" s="3"/>
      <c r="Q164" s="533"/>
      <c r="R164" s="920"/>
      <c r="S164" s="534"/>
      <c r="T164" s="920"/>
      <c r="U164" s="920"/>
      <c r="V164" s="920"/>
      <c r="W164" s="535"/>
      <c r="X164"/>
      <c r="Y164"/>
      <c r="Z164"/>
      <c r="AA164"/>
      <c r="AB164"/>
      <c r="AC164" s="3"/>
      <c r="AD164" s="533"/>
      <c r="AE164" s="3"/>
      <c r="AF164" s="4"/>
      <c r="AG164" s="4"/>
      <c r="AH164" s="4"/>
      <c r="AI164" s="4"/>
      <c r="AJ164" s="4"/>
      <c r="AK164" s="4"/>
      <c r="AL164" s="4"/>
      <c r="AM164" s="4"/>
      <c r="AN164" s="4"/>
      <c r="AO164" s="4"/>
      <c r="AP164" s="4"/>
      <c r="AQ164" s="4"/>
      <c r="AR164" s="4"/>
      <c r="AS164" s="4"/>
      <c r="AT164" s="4"/>
      <c r="AU164" s="4"/>
      <c r="AV164" s="537"/>
      <c r="AW164" s="537"/>
      <c r="AX164" s="4"/>
      <c r="AY164" s="4"/>
      <c r="AZ164" s="4"/>
      <c r="BA164" s="4"/>
      <c r="BB164" s="4"/>
      <c r="BC164" s="4"/>
      <c r="BD164" s="4"/>
      <c r="BE164" s="4"/>
      <c r="BF164" s="4"/>
      <c r="BG164" s="4"/>
      <c r="BH164" s="4"/>
      <c r="BI164" s="4"/>
      <c r="BJ164" s="4"/>
      <c r="BK164" s="4"/>
      <c r="BL164" s="4"/>
      <c r="BM164" s="4"/>
      <c r="BN164" s="4"/>
      <c r="BO164" s="4"/>
      <c r="BP164" s="4"/>
      <c r="BQ164" s="4"/>
      <c r="BR164" s="4"/>
    </row>
    <row r="165" spans="1:70" ht="27" customHeight="1" x14ac:dyDescent="0.25">
      <c r="A165" s="532"/>
      <c r="B165" s="917"/>
      <c r="C165" s="4"/>
      <c r="D165" s="917"/>
      <c r="E165" s="4"/>
      <c r="F165" s="917"/>
      <c r="G165" s="4"/>
      <c r="H165" s="920"/>
      <c r="I165" s="3"/>
      <c r="J165" s="920"/>
      <c r="K165" s="3"/>
      <c r="L165" s="920"/>
      <c r="M165" s="3"/>
      <c r="N165" s="920"/>
      <c r="O165" s="3"/>
      <c r="P165" s="3"/>
      <c r="Q165" s="533"/>
      <c r="R165" s="920"/>
      <c r="S165" s="534"/>
      <c r="T165" s="920"/>
      <c r="U165" s="920"/>
      <c r="V165" s="920"/>
      <c r="W165" s="535"/>
      <c r="X165"/>
      <c r="Y165"/>
      <c r="Z165"/>
      <c r="AA165"/>
      <c r="AB165"/>
      <c r="AC165" s="3"/>
      <c r="AD165" s="533"/>
      <c r="AE165" s="3"/>
      <c r="AF165" s="4"/>
      <c r="AG165" s="4"/>
      <c r="AH165" s="4"/>
      <c r="AI165" s="4"/>
      <c r="AJ165" s="4"/>
      <c r="AK165" s="4"/>
      <c r="AL165" s="4"/>
      <c r="AM165" s="4"/>
      <c r="AN165" s="4"/>
      <c r="AO165" s="4"/>
      <c r="AP165" s="4"/>
      <c r="AQ165" s="4"/>
      <c r="AR165" s="4"/>
      <c r="AS165" s="4"/>
      <c r="AT165" s="4"/>
      <c r="AU165" s="4"/>
      <c r="AV165" s="537"/>
      <c r="AW165" s="537"/>
      <c r="AX165" s="4"/>
      <c r="AY165" s="4"/>
      <c r="AZ165" s="4"/>
      <c r="BA165" s="4"/>
      <c r="BB165" s="4"/>
      <c r="BC165" s="4"/>
      <c r="BD165" s="4"/>
      <c r="BE165" s="4"/>
      <c r="BF165" s="4"/>
      <c r="BG165" s="4"/>
      <c r="BH165" s="4"/>
      <c r="BI165" s="4"/>
      <c r="BJ165" s="4"/>
      <c r="BK165" s="4"/>
      <c r="BL165" s="4"/>
      <c r="BM165" s="4"/>
      <c r="BN165" s="4"/>
      <c r="BO165" s="4"/>
      <c r="BP165" s="4"/>
      <c r="BQ165" s="4"/>
      <c r="BR165" s="4"/>
    </row>
    <row r="166" spans="1:70" ht="27" customHeight="1" x14ac:dyDescent="0.25">
      <c r="A166" s="532"/>
      <c r="B166" s="917"/>
      <c r="C166" s="4"/>
      <c r="D166" s="917"/>
      <c r="E166" s="4"/>
      <c r="F166" s="917"/>
      <c r="G166" s="4"/>
      <c r="H166" s="920"/>
      <c r="I166" s="3"/>
      <c r="J166" s="920"/>
      <c r="K166" s="3"/>
      <c r="L166" s="920"/>
      <c r="M166" s="3"/>
      <c r="N166" s="920"/>
      <c r="O166" s="3"/>
      <c r="P166" s="3"/>
      <c r="Q166" s="533"/>
      <c r="R166" s="920"/>
      <c r="S166" s="534"/>
      <c r="T166" s="920"/>
      <c r="U166" s="920"/>
      <c r="V166" s="920"/>
      <c r="W166" s="535"/>
      <c r="X166"/>
      <c r="Y166"/>
      <c r="Z166"/>
      <c r="AA166"/>
      <c r="AB166"/>
      <c r="AC166" s="3"/>
      <c r="AD166" s="533"/>
      <c r="AE166" s="3"/>
      <c r="AF166" s="4"/>
      <c r="AG166" s="4"/>
      <c r="AH166" s="4"/>
      <c r="AI166" s="4"/>
      <c r="AJ166" s="4"/>
      <c r="AK166" s="4"/>
      <c r="AL166" s="4"/>
      <c r="AM166" s="4"/>
      <c r="AN166" s="4"/>
      <c r="AO166" s="4"/>
      <c r="AP166" s="4"/>
      <c r="AQ166" s="4"/>
      <c r="AR166" s="4"/>
      <c r="AS166" s="4"/>
      <c r="AT166" s="4"/>
      <c r="AU166" s="4"/>
      <c r="AV166" s="537"/>
      <c r="AW166" s="537"/>
      <c r="AX166" s="4"/>
      <c r="AY166" s="4"/>
      <c r="AZ166" s="4"/>
      <c r="BA166" s="4"/>
      <c r="BB166" s="4"/>
      <c r="BC166" s="4"/>
      <c r="BD166" s="4"/>
      <c r="BE166" s="4"/>
      <c r="BF166" s="4"/>
      <c r="BG166" s="4"/>
      <c r="BH166" s="4"/>
      <c r="BI166" s="4"/>
      <c r="BJ166" s="4"/>
      <c r="BK166" s="4"/>
      <c r="BL166" s="4"/>
      <c r="BM166" s="4"/>
      <c r="BN166" s="4"/>
      <c r="BO166" s="4"/>
      <c r="BP166" s="4"/>
      <c r="BQ166" s="4"/>
      <c r="BR166" s="4"/>
    </row>
    <row r="167" spans="1:70" ht="27" customHeight="1" x14ac:dyDescent="0.25">
      <c r="A167" s="532"/>
      <c r="B167" s="917"/>
      <c r="C167" s="4"/>
      <c r="D167" s="917"/>
      <c r="E167" s="4"/>
      <c r="F167" s="917"/>
      <c r="G167" s="4"/>
      <c r="H167" s="920"/>
      <c r="I167" s="3"/>
      <c r="J167" s="920"/>
      <c r="K167" s="3"/>
      <c r="L167" s="920"/>
      <c r="M167" s="3"/>
      <c r="N167" s="920"/>
      <c r="O167" s="3"/>
      <c r="P167" s="3"/>
      <c r="Q167" s="533"/>
      <c r="R167" s="920"/>
      <c r="S167" s="534"/>
      <c r="T167" s="920"/>
      <c r="U167" s="920"/>
      <c r="V167" s="920"/>
      <c r="W167" s="535"/>
      <c r="X167"/>
      <c r="Y167"/>
      <c r="Z167"/>
      <c r="AA167"/>
      <c r="AB167"/>
      <c r="AC167" s="3"/>
      <c r="AD167" s="533"/>
      <c r="AE167" s="3"/>
      <c r="AF167" s="4"/>
      <c r="AG167" s="4"/>
      <c r="AH167" s="4"/>
      <c r="AI167" s="4"/>
      <c r="AJ167" s="4"/>
      <c r="AK167" s="4"/>
      <c r="AL167" s="4"/>
      <c r="AM167" s="4"/>
      <c r="AN167" s="4"/>
      <c r="AO167" s="4"/>
      <c r="AP167" s="4"/>
      <c r="AQ167" s="4"/>
      <c r="AR167" s="4"/>
      <c r="AS167" s="4"/>
      <c r="AT167" s="4"/>
      <c r="AU167" s="4"/>
      <c r="AV167" s="537"/>
      <c r="AW167" s="537"/>
      <c r="AX167" s="4"/>
      <c r="AY167" s="4"/>
      <c r="AZ167" s="4"/>
      <c r="BA167" s="4"/>
      <c r="BB167" s="4"/>
      <c r="BC167" s="4"/>
      <c r="BD167" s="4"/>
      <c r="BE167" s="4"/>
      <c r="BF167" s="4"/>
      <c r="BG167" s="4"/>
      <c r="BH167" s="4"/>
      <c r="BI167" s="4"/>
      <c r="BJ167" s="4"/>
      <c r="BK167" s="4"/>
      <c r="BL167" s="4"/>
      <c r="BM167" s="4"/>
      <c r="BN167" s="4"/>
      <c r="BO167" s="4"/>
      <c r="BP167" s="4"/>
      <c r="BQ167" s="4"/>
      <c r="BR167" s="4"/>
    </row>
    <row r="168" spans="1:70" ht="27" customHeight="1" x14ac:dyDescent="0.25">
      <c r="A168" s="532"/>
      <c r="B168" s="917"/>
      <c r="C168" s="4"/>
      <c r="D168" s="917"/>
      <c r="E168" s="4"/>
      <c r="F168" s="917"/>
      <c r="G168" s="4"/>
      <c r="H168" s="920"/>
      <c r="I168" s="3"/>
      <c r="J168" s="920"/>
      <c r="K168" s="3"/>
      <c r="L168" s="920"/>
      <c r="M168" s="3"/>
      <c r="N168" s="920"/>
      <c r="O168" s="3"/>
      <c r="P168" s="3"/>
      <c r="Q168" s="533"/>
      <c r="R168" s="920"/>
      <c r="S168" s="534"/>
      <c r="T168" s="920"/>
      <c r="U168" s="920"/>
      <c r="V168" s="920"/>
      <c r="W168" s="535"/>
      <c r="X168"/>
      <c r="Y168"/>
      <c r="Z168"/>
      <c r="AA168"/>
      <c r="AB168"/>
      <c r="AC168" s="3"/>
      <c r="AD168" s="533"/>
      <c r="AE168" s="3"/>
      <c r="AF168" s="4"/>
      <c r="AG168" s="4"/>
      <c r="AH168" s="4"/>
      <c r="AI168" s="4"/>
      <c r="AJ168" s="4"/>
      <c r="AK168" s="4"/>
      <c r="AL168" s="4"/>
      <c r="AM168" s="4"/>
      <c r="AN168" s="4"/>
      <c r="AO168" s="4"/>
      <c r="AP168" s="4"/>
      <c r="AQ168" s="4"/>
      <c r="AR168" s="4"/>
      <c r="AS168" s="4"/>
      <c r="AT168" s="4"/>
      <c r="AU168" s="4"/>
      <c r="AV168" s="537"/>
      <c r="AW168" s="537"/>
      <c r="AX168" s="4"/>
      <c r="AY168" s="4"/>
      <c r="AZ168" s="4"/>
      <c r="BA168" s="4"/>
      <c r="BB168" s="4"/>
      <c r="BC168" s="4"/>
      <c r="BD168" s="4"/>
      <c r="BE168" s="4"/>
      <c r="BF168" s="4"/>
      <c r="BG168" s="4"/>
      <c r="BH168" s="4"/>
      <c r="BI168" s="4"/>
      <c r="BJ168" s="4"/>
      <c r="BK168" s="4"/>
      <c r="BL168" s="4"/>
      <c r="BM168" s="4"/>
      <c r="BN168" s="4"/>
      <c r="BO168" s="4"/>
      <c r="BP168" s="4"/>
      <c r="BQ168" s="4"/>
      <c r="BR168" s="4"/>
    </row>
    <row r="169" spans="1:70" ht="27" customHeight="1" x14ac:dyDescent="0.25">
      <c r="A169" s="532"/>
      <c r="B169" s="917"/>
      <c r="C169" s="4"/>
      <c r="D169" s="917"/>
      <c r="E169" s="4"/>
      <c r="F169" s="917"/>
      <c r="G169" s="4"/>
      <c r="H169" s="920"/>
      <c r="I169" s="3"/>
      <c r="J169" s="920"/>
      <c r="K169" s="3"/>
      <c r="L169" s="920"/>
      <c r="M169" s="3"/>
      <c r="N169" s="920"/>
      <c r="O169" s="3"/>
      <c r="P169" s="3"/>
      <c r="Q169" s="533"/>
      <c r="R169" s="920"/>
      <c r="S169" s="534"/>
      <c r="T169" s="920"/>
      <c r="U169" s="920"/>
      <c r="V169" s="920"/>
      <c r="W169" s="535"/>
      <c r="X169"/>
      <c r="Y169"/>
      <c r="Z169"/>
      <c r="AA169"/>
      <c r="AB169"/>
      <c r="AC169" s="3"/>
      <c r="AD169" s="533"/>
      <c r="AE169" s="3"/>
      <c r="AF169" s="4"/>
      <c r="AG169" s="4"/>
      <c r="AH169" s="4"/>
      <c r="AI169" s="4"/>
      <c r="AJ169" s="4"/>
      <c r="AK169" s="4"/>
      <c r="AL169" s="4"/>
      <c r="AM169" s="4"/>
      <c r="AN169" s="4"/>
      <c r="AO169" s="4"/>
      <c r="AP169" s="4"/>
      <c r="AQ169" s="4"/>
      <c r="AR169" s="4"/>
      <c r="AS169" s="4"/>
      <c r="AT169" s="4"/>
      <c r="AU169" s="4"/>
      <c r="AV169" s="537"/>
      <c r="AW169" s="537"/>
      <c r="AX169" s="4"/>
      <c r="AY169" s="4"/>
      <c r="AZ169" s="4"/>
      <c r="BA169" s="4"/>
      <c r="BB169" s="4"/>
      <c r="BC169" s="4"/>
      <c r="BD169" s="4"/>
      <c r="BE169" s="4"/>
      <c r="BF169" s="4"/>
      <c r="BG169" s="4"/>
      <c r="BH169" s="4"/>
      <c r="BI169" s="4"/>
      <c r="BJ169" s="4"/>
      <c r="BK169" s="4"/>
      <c r="BL169" s="4"/>
      <c r="BM169" s="4"/>
      <c r="BN169" s="4"/>
      <c r="BO169" s="4"/>
      <c r="BP169" s="4"/>
      <c r="BQ169" s="4"/>
      <c r="BR169" s="4"/>
    </row>
    <row r="170" spans="1:70" ht="27" customHeight="1" x14ac:dyDescent="0.25">
      <c r="A170" s="532"/>
      <c r="B170" s="917"/>
      <c r="C170" s="4"/>
      <c r="D170" s="917"/>
      <c r="E170" s="4"/>
      <c r="F170" s="917"/>
      <c r="G170" s="4"/>
      <c r="H170" s="920"/>
      <c r="I170" s="3"/>
      <c r="J170" s="920"/>
      <c r="K170" s="3"/>
      <c r="L170" s="920"/>
      <c r="M170" s="3"/>
      <c r="N170" s="920"/>
      <c r="O170" s="3"/>
      <c r="P170" s="3"/>
      <c r="Q170" s="533"/>
      <c r="R170" s="920"/>
      <c r="S170" s="534"/>
      <c r="T170" s="920"/>
      <c r="U170" s="920"/>
      <c r="V170" s="920"/>
      <c r="W170" s="535"/>
      <c r="X170"/>
      <c r="Y170"/>
      <c r="Z170"/>
      <c r="AA170"/>
      <c r="AB170"/>
      <c r="AC170" s="3"/>
      <c r="AD170" s="533"/>
      <c r="AE170" s="3"/>
      <c r="AF170" s="4"/>
      <c r="AG170" s="4"/>
      <c r="AH170" s="4"/>
      <c r="AI170" s="4"/>
      <c r="AJ170" s="4"/>
      <c r="AK170" s="4"/>
      <c r="AL170" s="4"/>
      <c r="AM170" s="4"/>
      <c r="AN170" s="4"/>
      <c r="AO170" s="4"/>
      <c r="AP170" s="4"/>
      <c r="AQ170" s="4"/>
      <c r="AR170" s="4"/>
      <c r="AS170" s="4"/>
      <c r="AT170" s="4"/>
      <c r="AU170" s="4"/>
      <c r="AV170" s="537"/>
      <c r="AW170" s="537"/>
      <c r="AX170" s="4"/>
      <c r="AY170" s="4"/>
      <c r="AZ170" s="4"/>
      <c r="BA170" s="4"/>
      <c r="BB170" s="4"/>
      <c r="BC170" s="4"/>
      <c r="BD170" s="4"/>
      <c r="BE170" s="4"/>
      <c r="BF170" s="4"/>
      <c r="BG170" s="4"/>
      <c r="BH170" s="4"/>
      <c r="BI170" s="4"/>
      <c r="BJ170" s="4"/>
      <c r="BK170" s="4"/>
      <c r="BL170" s="4"/>
      <c r="BM170" s="4"/>
      <c r="BN170" s="4"/>
      <c r="BO170" s="4"/>
      <c r="BP170" s="4"/>
      <c r="BQ170" s="4"/>
      <c r="BR170" s="4"/>
    </row>
    <row r="171" spans="1:70" ht="27" customHeight="1" x14ac:dyDescent="0.25">
      <c r="A171" s="532"/>
      <c r="B171" s="917"/>
      <c r="C171" s="4"/>
      <c r="D171" s="917"/>
      <c r="E171" s="4"/>
      <c r="F171" s="917"/>
      <c r="G171" s="4"/>
      <c r="H171" s="920"/>
      <c r="I171" s="3"/>
      <c r="J171" s="920"/>
      <c r="K171" s="3"/>
      <c r="L171" s="920"/>
      <c r="M171" s="3"/>
      <c r="N171" s="920"/>
      <c r="O171" s="3"/>
      <c r="P171" s="3"/>
      <c r="Q171" s="533"/>
      <c r="R171" s="920"/>
      <c r="S171" s="534"/>
      <c r="T171" s="920"/>
      <c r="U171" s="920"/>
      <c r="V171" s="920"/>
      <c r="W171" s="535"/>
      <c r="X171"/>
      <c r="Y171"/>
      <c r="Z171"/>
      <c r="AA171"/>
      <c r="AB171"/>
      <c r="AC171" s="3"/>
      <c r="AD171" s="533"/>
      <c r="AE171" s="3"/>
      <c r="AF171" s="4"/>
      <c r="AG171" s="4"/>
      <c r="AH171" s="4"/>
      <c r="AI171" s="4"/>
      <c r="AJ171" s="4"/>
      <c r="AK171" s="4"/>
      <c r="AL171" s="4"/>
      <c r="AM171" s="4"/>
      <c r="AN171" s="4"/>
      <c r="AO171" s="4"/>
      <c r="AP171" s="4"/>
      <c r="AQ171" s="4"/>
      <c r="AR171" s="4"/>
      <c r="AS171" s="4"/>
      <c r="AT171" s="4"/>
      <c r="AU171" s="4"/>
      <c r="AV171" s="537"/>
      <c r="AW171" s="537"/>
      <c r="AX171" s="4"/>
      <c r="AY171" s="4"/>
      <c r="AZ171" s="4"/>
      <c r="BA171" s="4"/>
      <c r="BB171" s="4"/>
      <c r="BC171" s="4"/>
      <c r="BD171" s="4"/>
      <c r="BE171" s="4"/>
      <c r="BF171" s="4"/>
      <c r="BG171" s="4"/>
      <c r="BH171" s="4"/>
      <c r="BI171" s="4"/>
      <c r="BJ171" s="4"/>
      <c r="BK171" s="4"/>
      <c r="BL171" s="4"/>
      <c r="BM171" s="4"/>
      <c r="BN171" s="4"/>
      <c r="BO171" s="4"/>
      <c r="BP171" s="4"/>
      <c r="BQ171" s="4"/>
      <c r="BR171" s="4"/>
    </row>
    <row r="172" spans="1:70" ht="27" customHeight="1" x14ac:dyDescent="0.25">
      <c r="A172" s="532"/>
      <c r="B172" s="917"/>
      <c r="C172" s="4"/>
      <c r="D172" s="917"/>
      <c r="E172" s="4"/>
      <c r="F172" s="917"/>
      <c r="G172" s="4"/>
      <c r="H172" s="920"/>
      <c r="I172" s="3"/>
      <c r="J172" s="920"/>
      <c r="K172" s="3"/>
      <c r="L172" s="920"/>
      <c r="M172" s="3"/>
      <c r="N172" s="920"/>
      <c r="O172" s="3"/>
      <c r="P172" s="3"/>
      <c r="Q172" s="533"/>
      <c r="R172" s="920"/>
      <c r="S172" s="534"/>
      <c r="T172" s="920"/>
      <c r="U172" s="920"/>
      <c r="V172" s="920"/>
      <c r="W172" s="535"/>
      <c r="X172"/>
      <c r="Y172"/>
      <c r="Z172"/>
      <c r="AA172"/>
      <c r="AB172"/>
      <c r="AC172" s="3"/>
      <c r="AD172" s="533"/>
      <c r="AE172" s="3"/>
      <c r="AF172" s="4"/>
      <c r="AG172" s="4"/>
      <c r="AH172" s="4"/>
      <c r="AI172" s="4"/>
      <c r="AJ172" s="4"/>
      <c r="AK172" s="4"/>
      <c r="AL172" s="4"/>
      <c r="AM172" s="4"/>
      <c r="AN172" s="4"/>
      <c r="AO172" s="4"/>
      <c r="AP172" s="4"/>
      <c r="AQ172" s="4"/>
      <c r="AR172" s="4"/>
      <c r="AS172" s="4"/>
      <c r="AT172" s="4"/>
      <c r="AU172" s="4"/>
      <c r="AV172" s="537"/>
      <c r="AW172" s="537"/>
      <c r="AX172" s="4"/>
      <c r="AY172" s="4"/>
      <c r="AZ172" s="4"/>
      <c r="BA172" s="4"/>
      <c r="BB172" s="4"/>
      <c r="BC172" s="4"/>
      <c r="BD172" s="4"/>
      <c r="BE172" s="4"/>
      <c r="BF172" s="4"/>
      <c r="BG172" s="4"/>
      <c r="BH172" s="4"/>
      <c r="BI172" s="4"/>
      <c r="BJ172" s="4"/>
      <c r="BK172" s="4"/>
      <c r="BL172" s="4"/>
      <c r="BM172" s="4"/>
      <c r="BN172" s="4"/>
      <c r="BO172" s="4"/>
      <c r="BP172" s="4"/>
      <c r="BQ172" s="4"/>
      <c r="BR172" s="4"/>
    </row>
    <row r="173" spans="1:70" ht="27" customHeight="1" x14ac:dyDescent="0.25">
      <c r="A173" s="532"/>
      <c r="B173" s="917"/>
      <c r="C173" s="4"/>
      <c r="D173" s="917"/>
      <c r="E173" s="4"/>
      <c r="F173" s="917"/>
      <c r="G173" s="4"/>
      <c r="H173" s="920"/>
      <c r="I173" s="3"/>
      <c r="J173" s="920"/>
      <c r="K173" s="3"/>
      <c r="L173" s="920"/>
      <c r="M173" s="3"/>
      <c r="N173" s="920"/>
      <c r="O173" s="3"/>
      <c r="P173" s="3"/>
      <c r="Q173" s="533"/>
      <c r="R173" s="920"/>
      <c r="S173" s="534"/>
      <c r="T173" s="920"/>
      <c r="U173" s="920"/>
      <c r="V173" s="920"/>
      <c r="W173" s="535"/>
      <c r="X173"/>
      <c r="Y173"/>
      <c r="Z173"/>
      <c r="AA173"/>
      <c r="AB173"/>
      <c r="AC173" s="3"/>
      <c r="AD173" s="533"/>
      <c r="AE173" s="3"/>
      <c r="AF173" s="4"/>
      <c r="AG173" s="4"/>
      <c r="AH173" s="4"/>
      <c r="AI173" s="4"/>
      <c r="AJ173" s="4"/>
      <c r="AK173" s="4"/>
      <c r="AL173" s="4"/>
      <c r="AM173" s="4"/>
      <c r="AN173" s="4"/>
      <c r="AO173" s="4"/>
      <c r="AP173" s="4"/>
      <c r="AQ173" s="4"/>
      <c r="AR173" s="4"/>
      <c r="AS173" s="4"/>
      <c r="AT173" s="4"/>
      <c r="AU173" s="4"/>
      <c r="AV173" s="537"/>
      <c r="AW173" s="537"/>
      <c r="AX173" s="4"/>
      <c r="AY173" s="4"/>
      <c r="AZ173" s="4"/>
      <c r="BA173" s="4"/>
      <c r="BB173" s="4"/>
      <c r="BC173" s="4"/>
      <c r="BD173" s="4"/>
      <c r="BE173" s="4"/>
      <c r="BF173" s="4"/>
      <c r="BG173" s="4"/>
      <c r="BH173" s="4"/>
      <c r="BI173" s="4"/>
      <c r="BJ173" s="4"/>
      <c r="BK173" s="4"/>
      <c r="BL173" s="4"/>
      <c r="BM173" s="4"/>
      <c r="BN173" s="4"/>
      <c r="BO173" s="4"/>
      <c r="BP173" s="4"/>
      <c r="BQ173" s="4"/>
      <c r="BR173" s="4"/>
    </row>
    <row r="174" spans="1:70" ht="27" customHeight="1" x14ac:dyDescent="0.25">
      <c r="A174" s="532"/>
      <c r="B174" s="917"/>
      <c r="C174" s="4"/>
      <c r="D174" s="917"/>
      <c r="E174" s="4"/>
      <c r="F174" s="917"/>
      <c r="G174" s="4"/>
      <c r="H174" s="920"/>
      <c r="I174" s="3"/>
      <c r="J174" s="920"/>
      <c r="K174" s="3"/>
      <c r="L174" s="920"/>
      <c r="M174" s="3"/>
      <c r="N174" s="920"/>
      <c r="O174" s="3"/>
      <c r="P174" s="3"/>
      <c r="Q174" s="533"/>
      <c r="R174" s="920"/>
      <c r="S174" s="534"/>
      <c r="T174" s="920"/>
      <c r="U174" s="920"/>
      <c r="V174" s="920"/>
      <c r="W174" s="535"/>
      <c r="X174"/>
      <c r="Y174"/>
      <c r="Z174"/>
      <c r="AA174"/>
      <c r="AB174"/>
      <c r="AC174" s="3"/>
      <c r="AD174" s="533"/>
      <c r="AE174" s="3"/>
      <c r="AF174" s="4"/>
      <c r="AG174" s="4"/>
      <c r="AH174" s="4"/>
      <c r="AI174" s="4"/>
      <c r="AJ174" s="4"/>
      <c r="AK174" s="4"/>
      <c r="AL174" s="4"/>
      <c r="AM174" s="4"/>
      <c r="AN174" s="4"/>
      <c r="AO174" s="4"/>
      <c r="AP174" s="4"/>
      <c r="AQ174" s="4"/>
      <c r="AR174" s="4"/>
      <c r="AS174" s="4"/>
      <c r="AT174" s="4"/>
      <c r="AU174" s="4"/>
      <c r="AV174" s="537"/>
      <c r="AW174" s="537"/>
      <c r="AX174" s="4"/>
      <c r="AY174" s="4"/>
      <c r="AZ174" s="4"/>
      <c r="BA174" s="4"/>
      <c r="BB174" s="4"/>
      <c r="BC174" s="4"/>
      <c r="BD174" s="4"/>
      <c r="BE174" s="4"/>
      <c r="BF174" s="4"/>
      <c r="BG174" s="4"/>
      <c r="BH174" s="4"/>
      <c r="BI174" s="4"/>
      <c r="BJ174" s="4"/>
      <c r="BK174" s="4"/>
      <c r="BL174" s="4"/>
      <c r="BM174" s="4"/>
      <c r="BN174" s="4"/>
      <c r="BO174" s="4"/>
      <c r="BP174" s="4"/>
      <c r="BQ174" s="4"/>
      <c r="BR174" s="4"/>
    </row>
    <row r="175" spans="1:70" ht="27" customHeight="1" x14ac:dyDescent="0.25">
      <c r="A175" s="532"/>
      <c r="B175" s="917"/>
      <c r="C175" s="4"/>
      <c r="D175" s="917"/>
      <c r="E175" s="4"/>
      <c r="F175" s="917"/>
      <c r="G175" s="4"/>
      <c r="H175" s="920"/>
      <c r="I175" s="3"/>
      <c r="J175" s="920"/>
      <c r="K175" s="3"/>
      <c r="L175" s="920"/>
      <c r="M175" s="3"/>
      <c r="N175" s="920"/>
      <c r="O175" s="3"/>
      <c r="P175" s="3"/>
      <c r="Q175" s="533"/>
      <c r="R175" s="920"/>
      <c r="S175" s="534"/>
      <c r="T175" s="920"/>
      <c r="U175" s="920"/>
      <c r="V175" s="920"/>
      <c r="W175" s="535"/>
      <c r="X175"/>
      <c r="Y175"/>
      <c r="Z175"/>
      <c r="AA175"/>
      <c r="AB175"/>
      <c r="AC175" s="3"/>
      <c r="AD175" s="533"/>
      <c r="AE175" s="3"/>
      <c r="AF175" s="4"/>
      <c r="AG175" s="4"/>
      <c r="AH175" s="4"/>
      <c r="AI175" s="4"/>
      <c r="AJ175" s="4"/>
      <c r="AK175" s="4"/>
      <c r="AL175" s="4"/>
      <c r="AM175" s="4"/>
      <c r="AN175" s="4"/>
      <c r="AO175" s="4"/>
      <c r="AP175" s="4"/>
      <c r="AQ175" s="4"/>
      <c r="AR175" s="4"/>
      <c r="AS175" s="4"/>
      <c r="AT175" s="4"/>
      <c r="AU175" s="4"/>
      <c r="AV175" s="537"/>
      <c r="AW175" s="537"/>
      <c r="AX175" s="4"/>
      <c r="AY175" s="4"/>
      <c r="AZ175" s="4"/>
      <c r="BA175" s="4"/>
      <c r="BB175" s="4"/>
      <c r="BC175" s="4"/>
      <c r="BD175" s="4"/>
      <c r="BE175" s="4"/>
      <c r="BF175" s="4"/>
      <c r="BG175" s="4"/>
      <c r="BH175" s="4"/>
      <c r="BI175" s="4"/>
      <c r="BJ175" s="4"/>
      <c r="BK175" s="4"/>
      <c r="BL175" s="4"/>
      <c r="BM175" s="4"/>
      <c r="BN175" s="4"/>
      <c r="BO175" s="4"/>
      <c r="BP175" s="4"/>
      <c r="BQ175" s="4"/>
      <c r="BR175" s="4"/>
    </row>
    <row r="176" spans="1:70" ht="27" customHeight="1" x14ac:dyDescent="0.25">
      <c r="A176" s="532"/>
      <c r="B176" s="917"/>
      <c r="C176" s="4"/>
      <c r="D176" s="917"/>
      <c r="E176" s="4"/>
      <c r="F176" s="917"/>
      <c r="G176" s="4"/>
      <c r="H176" s="920"/>
      <c r="I176" s="3"/>
      <c r="J176" s="920"/>
      <c r="K176" s="3"/>
      <c r="L176" s="920"/>
      <c r="M176" s="3"/>
      <c r="N176" s="920"/>
      <c r="O176" s="3"/>
      <c r="P176" s="3"/>
      <c r="Q176" s="533"/>
      <c r="R176" s="920"/>
      <c r="S176" s="534"/>
      <c r="T176" s="920"/>
      <c r="U176" s="920"/>
      <c r="V176" s="920"/>
      <c r="W176" s="535"/>
      <c r="X176"/>
      <c r="Y176"/>
      <c r="Z176"/>
      <c r="AA176"/>
      <c r="AB176"/>
      <c r="AC176" s="3"/>
      <c r="AD176" s="533"/>
      <c r="AE176" s="3"/>
      <c r="AF176" s="4"/>
      <c r="AG176" s="4"/>
      <c r="AH176" s="4"/>
      <c r="AI176" s="4"/>
      <c r="AJ176" s="4"/>
      <c r="AK176" s="4"/>
      <c r="AL176" s="4"/>
      <c r="AM176" s="4"/>
      <c r="AN176" s="4"/>
      <c r="AO176" s="4"/>
      <c r="AP176" s="4"/>
      <c r="AQ176" s="4"/>
      <c r="AR176" s="4"/>
      <c r="AS176" s="4"/>
      <c r="AT176" s="4"/>
      <c r="AU176" s="4"/>
      <c r="AV176" s="537"/>
      <c r="AW176" s="537"/>
      <c r="AX176" s="4"/>
      <c r="AY176" s="4"/>
      <c r="AZ176" s="4"/>
      <c r="BA176" s="4"/>
      <c r="BB176" s="4"/>
      <c r="BC176" s="4"/>
      <c r="BD176" s="4"/>
      <c r="BE176" s="4"/>
      <c r="BF176" s="4"/>
      <c r="BG176" s="4"/>
      <c r="BH176" s="4"/>
      <c r="BI176" s="4"/>
      <c r="BJ176" s="4"/>
      <c r="BK176" s="4"/>
      <c r="BL176" s="4"/>
      <c r="BM176" s="4"/>
      <c r="BN176" s="4"/>
      <c r="BO176" s="4"/>
      <c r="BP176" s="4"/>
      <c r="BQ176" s="4"/>
      <c r="BR176" s="4"/>
    </row>
    <row r="177" spans="1:70" ht="27" customHeight="1" x14ac:dyDescent="0.25">
      <c r="A177" s="532"/>
      <c r="B177" s="917"/>
      <c r="C177" s="4"/>
      <c r="D177" s="917"/>
      <c r="E177" s="4"/>
      <c r="F177" s="917"/>
      <c r="G177" s="4"/>
      <c r="H177" s="920"/>
      <c r="I177" s="3"/>
      <c r="J177" s="920"/>
      <c r="K177" s="3"/>
      <c r="L177" s="920"/>
      <c r="M177" s="3"/>
      <c r="N177" s="920"/>
      <c r="O177" s="3"/>
      <c r="P177" s="3"/>
      <c r="Q177" s="533"/>
      <c r="R177" s="920"/>
      <c r="S177" s="534"/>
      <c r="T177" s="920"/>
      <c r="U177" s="920"/>
      <c r="V177" s="920"/>
      <c r="W177" s="535"/>
      <c r="X177"/>
      <c r="Y177"/>
      <c r="Z177"/>
      <c r="AA177"/>
      <c r="AB177"/>
      <c r="AC177" s="3"/>
      <c r="AD177" s="533"/>
      <c r="AE177" s="3"/>
      <c r="AF177" s="4"/>
      <c r="AG177" s="4"/>
      <c r="AH177" s="4"/>
      <c r="AI177" s="4"/>
      <c r="AJ177" s="4"/>
      <c r="AK177" s="4"/>
      <c r="AL177" s="4"/>
      <c r="AM177" s="4"/>
      <c r="AN177" s="4"/>
      <c r="AO177" s="4"/>
      <c r="AP177" s="4"/>
      <c r="AQ177" s="4"/>
      <c r="AR177" s="4"/>
      <c r="AS177" s="4"/>
      <c r="AT177" s="4"/>
      <c r="AU177" s="4"/>
      <c r="AV177" s="537"/>
      <c r="AW177" s="537"/>
      <c r="AX177" s="4"/>
      <c r="AY177" s="4"/>
      <c r="AZ177" s="4"/>
      <c r="BA177" s="4"/>
      <c r="BB177" s="4"/>
      <c r="BC177" s="4"/>
      <c r="BD177" s="4"/>
      <c r="BE177" s="4"/>
      <c r="BF177" s="4"/>
      <c r="BG177" s="4"/>
      <c r="BH177" s="4"/>
      <c r="BI177" s="4"/>
      <c r="BJ177" s="4"/>
      <c r="BK177" s="4"/>
      <c r="BL177" s="4"/>
      <c r="BM177" s="4"/>
      <c r="BN177" s="4"/>
      <c r="BO177" s="4"/>
      <c r="BP177" s="4"/>
      <c r="BQ177" s="4"/>
      <c r="BR177" s="4"/>
    </row>
    <row r="178" spans="1:70" ht="27" customHeight="1" x14ac:dyDescent="0.25">
      <c r="A178" s="532"/>
      <c r="B178" s="917"/>
      <c r="C178" s="4"/>
      <c r="D178" s="917"/>
      <c r="E178" s="4"/>
      <c r="F178" s="917"/>
      <c r="G178" s="4"/>
      <c r="H178" s="920"/>
      <c r="I178" s="3"/>
      <c r="J178" s="920"/>
      <c r="K178" s="3"/>
      <c r="L178" s="920"/>
      <c r="M178" s="3"/>
      <c r="N178" s="920"/>
      <c r="O178" s="3"/>
      <c r="P178" s="3"/>
      <c r="Q178" s="533"/>
      <c r="R178" s="920"/>
      <c r="S178" s="534"/>
      <c r="T178" s="920"/>
      <c r="U178" s="920"/>
      <c r="V178" s="920"/>
      <c r="W178" s="535"/>
      <c r="X178"/>
      <c r="Y178"/>
      <c r="Z178"/>
      <c r="AA178"/>
      <c r="AB178"/>
      <c r="AC178" s="3"/>
      <c r="AD178" s="533"/>
      <c r="AE178" s="3"/>
      <c r="AF178" s="4"/>
      <c r="AG178" s="4"/>
      <c r="AH178" s="4"/>
      <c r="AI178" s="4"/>
      <c r="AJ178" s="4"/>
      <c r="AK178" s="4"/>
      <c r="AL178" s="4"/>
      <c r="AM178" s="4"/>
      <c r="AN178" s="4"/>
      <c r="AO178" s="4"/>
      <c r="AP178" s="4"/>
      <c r="AQ178" s="4"/>
      <c r="AR178" s="4"/>
      <c r="AS178" s="4"/>
      <c r="AT178" s="4"/>
      <c r="AU178" s="4"/>
      <c r="AV178" s="537"/>
      <c r="AW178" s="537"/>
      <c r="AX178" s="4"/>
      <c r="AY178" s="4"/>
      <c r="AZ178" s="4"/>
      <c r="BA178" s="4"/>
      <c r="BB178" s="4"/>
      <c r="BC178" s="4"/>
      <c r="BD178" s="4"/>
      <c r="BE178" s="4"/>
      <c r="BF178" s="4"/>
      <c r="BG178" s="4"/>
      <c r="BH178" s="4"/>
      <c r="BI178" s="4"/>
      <c r="BJ178" s="4"/>
      <c r="BK178" s="4"/>
      <c r="BL178" s="4"/>
      <c r="BM178" s="4"/>
      <c r="BN178" s="4"/>
      <c r="BO178" s="4"/>
      <c r="BP178" s="4"/>
      <c r="BQ178" s="4"/>
      <c r="BR178" s="4"/>
    </row>
    <row r="179" spans="1:70" ht="27" customHeight="1" x14ac:dyDescent="0.25">
      <c r="A179" s="532"/>
      <c r="B179" s="917"/>
      <c r="C179" s="4"/>
      <c r="D179" s="917"/>
      <c r="E179" s="4"/>
      <c r="F179" s="917"/>
      <c r="G179" s="4"/>
      <c r="H179" s="920"/>
      <c r="I179" s="3"/>
      <c r="J179" s="920"/>
      <c r="K179" s="3"/>
      <c r="L179" s="920"/>
      <c r="M179" s="3"/>
      <c r="N179" s="920"/>
      <c r="O179" s="3"/>
      <c r="P179" s="3"/>
      <c r="Q179" s="533"/>
      <c r="R179" s="920"/>
      <c r="S179" s="534"/>
      <c r="T179" s="920"/>
      <c r="U179" s="920"/>
      <c r="V179" s="920"/>
      <c r="W179" s="535"/>
      <c r="X179"/>
      <c r="Y179"/>
      <c r="Z179"/>
      <c r="AA179"/>
      <c r="AB179"/>
      <c r="AC179" s="3"/>
      <c r="AD179" s="533"/>
      <c r="AE179" s="3"/>
      <c r="AF179" s="4"/>
      <c r="AG179" s="4"/>
      <c r="AH179" s="4"/>
      <c r="AI179" s="4"/>
      <c r="AJ179" s="4"/>
      <c r="AK179" s="4"/>
      <c r="AL179" s="4"/>
      <c r="AM179" s="4"/>
      <c r="AN179" s="4"/>
      <c r="AO179" s="4"/>
      <c r="AP179" s="4"/>
      <c r="AQ179" s="4"/>
      <c r="AR179" s="4"/>
      <c r="AS179" s="4"/>
      <c r="AT179" s="4"/>
      <c r="AU179" s="4"/>
      <c r="AV179" s="537"/>
      <c r="AW179" s="537"/>
      <c r="AX179" s="4"/>
      <c r="AY179" s="4"/>
      <c r="AZ179" s="4"/>
      <c r="BA179" s="4"/>
      <c r="BB179" s="4"/>
      <c r="BC179" s="4"/>
      <c r="BD179" s="4"/>
      <c r="BE179" s="4"/>
      <c r="BF179" s="4"/>
      <c r="BG179" s="4"/>
      <c r="BH179" s="4"/>
      <c r="BI179" s="4"/>
      <c r="BJ179" s="4"/>
      <c r="BK179" s="4"/>
      <c r="BL179" s="4"/>
      <c r="BM179" s="4"/>
      <c r="BN179" s="4"/>
      <c r="BO179" s="4"/>
      <c r="BP179" s="4"/>
      <c r="BQ179" s="4"/>
      <c r="BR179" s="4"/>
    </row>
    <row r="180" spans="1:70" ht="27" customHeight="1" x14ac:dyDescent="0.25">
      <c r="A180" s="532"/>
      <c r="B180" s="917"/>
      <c r="C180" s="4"/>
      <c r="D180" s="917"/>
      <c r="E180" s="4"/>
      <c r="F180" s="917"/>
      <c r="G180" s="4"/>
      <c r="H180" s="920"/>
      <c r="I180" s="3"/>
      <c r="J180" s="920"/>
      <c r="K180" s="3"/>
      <c r="L180" s="920"/>
      <c r="M180" s="3"/>
      <c r="N180" s="920"/>
      <c r="O180" s="3"/>
      <c r="P180" s="3"/>
      <c r="Q180" s="533"/>
      <c r="R180" s="920"/>
      <c r="S180" s="534"/>
      <c r="T180" s="920"/>
      <c r="U180" s="920"/>
      <c r="V180" s="920"/>
      <c r="W180" s="535"/>
      <c r="X180"/>
      <c r="Y180"/>
      <c r="Z180"/>
      <c r="AA180"/>
      <c r="AB180"/>
      <c r="AC180" s="3"/>
      <c r="AD180" s="533"/>
      <c r="AE180" s="3"/>
      <c r="AF180" s="4"/>
      <c r="AG180" s="4"/>
      <c r="AH180" s="4"/>
      <c r="AI180" s="4"/>
      <c r="AJ180" s="4"/>
      <c r="AK180" s="4"/>
      <c r="AL180" s="4"/>
      <c r="AM180" s="4"/>
      <c r="AN180" s="4"/>
      <c r="AO180" s="4"/>
      <c r="AP180" s="4"/>
      <c r="AQ180" s="4"/>
      <c r="AR180" s="4"/>
      <c r="AS180" s="4"/>
      <c r="AT180" s="4"/>
      <c r="AU180" s="4"/>
      <c r="AV180" s="537"/>
      <c r="AW180" s="537"/>
      <c r="AX180" s="4"/>
      <c r="AY180" s="4"/>
      <c r="AZ180" s="4"/>
      <c r="BA180" s="4"/>
      <c r="BB180" s="4"/>
      <c r="BC180" s="4"/>
      <c r="BD180" s="4"/>
      <c r="BE180" s="4"/>
      <c r="BF180" s="4"/>
      <c r="BG180" s="4"/>
      <c r="BH180" s="4"/>
      <c r="BI180" s="4"/>
      <c r="BJ180" s="4"/>
      <c r="BK180" s="4"/>
      <c r="BL180" s="4"/>
      <c r="BM180" s="4"/>
      <c r="BN180" s="4"/>
      <c r="BO180" s="4"/>
      <c r="BP180" s="4"/>
      <c r="BQ180" s="4"/>
      <c r="BR180" s="4"/>
    </row>
    <row r="181" spans="1:70" ht="27" customHeight="1" x14ac:dyDescent="0.25">
      <c r="A181" s="532"/>
      <c r="B181" s="917"/>
      <c r="C181" s="4"/>
      <c r="D181" s="917"/>
      <c r="E181" s="4"/>
      <c r="F181" s="917"/>
      <c r="G181" s="4"/>
      <c r="H181" s="920"/>
      <c r="I181" s="3"/>
      <c r="J181" s="920"/>
      <c r="K181" s="3"/>
      <c r="L181" s="920"/>
      <c r="M181" s="3"/>
      <c r="N181" s="920"/>
      <c r="O181" s="3"/>
      <c r="P181" s="3"/>
      <c r="Q181" s="533"/>
      <c r="R181" s="920"/>
      <c r="S181" s="534"/>
      <c r="T181" s="920"/>
      <c r="U181" s="920"/>
      <c r="V181" s="920"/>
      <c r="W181" s="535"/>
      <c r="X181"/>
      <c r="Y181"/>
      <c r="Z181"/>
      <c r="AA181"/>
      <c r="AB181"/>
      <c r="AC181" s="3"/>
      <c r="AD181" s="533"/>
      <c r="AE181" s="3"/>
      <c r="AF181" s="4"/>
      <c r="AG181" s="4"/>
      <c r="AH181" s="4"/>
      <c r="AI181" s="4"/>
      <c r="AJ181" s="4"/>
      <c r="AK181" s="4"/>
      <c r="AL181" s="4"/>
      <c r="AM181" s="4"/>
      <c r="AN181" s="4"/>
      <c r="AO181" s="4"/>
      <c r="AP181" s="4"/>
      <c r="AQ181" s="4"/>
      <c r="AR181" s="4"/>
      <c r="AS181" s="4"/>
      <c r="AT181" s="4"/>
      <c r="AU181" s="4"/>
      <c r="AV181" s="537"/>
      <c r="AW181" s="537"/>
      <c r="AX181" s="4"/>
      <c r="AY181" s="4"/>
      <c r="AZ181" s="4"/>
      <c r="BA181" s="4"/>
      <c r="BB181" s="4"/>
      <c r="BC181" s="4"/>
      <c r="BD181" s="4"/>
      <c r="BE181" s="4"/>
      <c r="BF181" s="4"/>
      <c r="BG181" s="4"/>
      <c r="BH181" s="4"/>
      <c r="BI181" s="4"/>
      <c r="BJ181" s="4"/>
      <c r="BK181" s="4"/>
      <c r="BL181" s="4"/>
      <c r="BM181" s="4"/>
      <c r="BN181" s="4"/>
      <c r="BO181" s="4"/>
      <c r="BP181" s="4"/>
      <c r="BQ181" s="4"/>
      <c r="BR181" s="4"/>
    </row>
    <row r="182" spans="1:70" ht="27" customHeight="1" x14ac:dyDescent="0.25">
      <c r="A182" s="532"/>
      <c r="B182" s="917"/>
      <c r="C182" s="4"/>
      <c r="D182" s="917"/>
      <c r="E182" s="4"/>
      <c r="F182" s="917"/>
      <c r="G182" s="4"/>
      <c r="H182" s="920"/>
      <c r="I182" s="3"/>
      <c r="J182" s="920"/>
      <c r="K182" s="3"/>
      <c r="L182" s="920"/>
      <c r="M182" s="3"/>
      <c r="N182" s="920"/>
      <c r="O182" s="3"/>
      <c r="P182" s="3"/>
      <c r="Q182" s="533"/>
      <c r="R182" s="920"/>
      <c r="S182" s="534"/>
      <c r="T182" s="920"/>
      <c r="U182" s="920"/>
      <c r="V182" s="920"/>
      <c r="W182" s="535"/>
      <c r="X182"/>
      <c r="Y182"/>
      <c r="Z182"/>
      <c r="AA182"/>
      <c r="AB182"/>
      <c r="AC182" s="3"/>
      <c r="AD182" s="533"/>
      <c r="AE182" s="3"/>
      <c r="AF182" s="4"/>
      <c r="AG182" s="4"/>
      <c r="AH182" s="4"/>
      <c r="AI182" s="4"/>
      <c r="AJ182" s="4"/>
      <c r="AK182" s="4"/>
      <c r="AL182" s="4"/>
      <c r="AM182" s="4"/>
      <c r="AN182" s="4"/>
      <c r="AO182" s="4"/>
      <c r="AP182" s="4"/>
      <c r="AQ182" s="4"/>
      <c r="AR182" s="4"/>
      <c r="AS182" s="4"/>
      <c r="AT182" s="4"/>
      <c r="AU182" s="4"/>
      <c r="AV182" s="537"/>
      <c r="AW182" s="537"/>
      <c r="AX182" s="4"/>
      <c r="AY182" s="4"/>
      <c r="AZ182" s="4"/>
      <c r="BA182" s="4"/>
      <c r="BB182" s="4"/>
      <c r="BC182" s="4"/>
      <c r="BD182" s="4"/>
      <c r="BE182" s="4"/>
      <c r="BF182" s="4"/>
      <c r="BG182" s="4"/>
      <c r="BH182" s="4"/>
      <c r="BI182" s="4"/>
      <c r="BJ182" s="4"/>
      <c r="BK182" s="4"/>
      <c r="BL182" s="4"/>
      <c r="BM182" s="4"/>
      <c r="BN182" s="4"/>
      <c r="BO182" s="4"/>
      <c r="BP182" s="4"/>
      <c r="BQ182" s="4"/>
      <c r="BR182" s="4"/>
    </row>
    <row r="183" spans="1:70" ht="27" customHeight="1" x14ac:dyDescent="0.25">
      <c r="A183" s="532"/>
      <c r="B183" s="917"/>
      <c r="C183" s="4"/>
      <c r="D183" s="917"/>
      <c r="E183" s="4"/>
      <c r="F183" s="917"/>
      <c r="G183" s="4"/>
      <c r="H183" s="920"/>
      <c r="I183" s="3"/>
      <c r="J183" s="920"/>
      <c r="K183" s="3"/>
      <c r="L183" s="920"/>
      <c r="M183" s="3"/>
      <c r="N183" s="920"/>
      <c r="O183" s="3"/>
      <c r="P183" s="3"/>
      <c r="Q183" s="533"/>
      <c r="R183" s="920"/>
      <c r="S183" s="534"/>
      <c r="T183" s="920"/>
      <c r="U183" s="920"/>
      <c r="V183" s="920"/>
      <c r="W183" s="535"/>
      <c r="X183"/>
      <c r="Y183"/>
      <c r="Z183"/>
      <c r="AA183"/>
      <c r="AB183"/>
      <c r="AC183" s="3"/>
      <c r="AD183" s="533"/>
      <c r="AE183" s="3"/>
      <c r="AF183" s="4"/>
      <c r="AG183" s="4"/>
      <c r="AH183" s="4"/>
      <c r="AI183" s="4"/>
      <c r="AJ183" s="4"/>
      <c r="AK183" s="4"/>
      <c r="AL183" s="4"/>
      <c r="AM183" s="4"/>
      <c r="AN183" s="4"/>
      <c r="AO183" s="4"/>
      <c r="AP183" s="4"/>
      <c r="AQ183" s="4"/>
      <c r="AR183" s="4"/>
      <c r="AS183" s="4"/>
      <c r="AT183" s="4"/>
      <c r="AU183" s="4"/>
      <c r="AV183" s="537"/>
      <c r="AW183" s="537"/>
      <c r="AX183" s="4"/>
      <c r="AY183" s="4"/>
      <c r="AZ183" s="4"/>
      <c r="BA183" s="4"/>
      <c r="BB183" s="4"/>
      <c r="BC183" s="4"/>
      <c r="BD183" s="4"/>
      <c r="BE183" s="4"/>
      <c r="BF183" s="4"/>
      <c r="BG183" s="4"/>
      <c r="BH183" s="4"/>
      <c r="BI183" s="4"/>
      <c r="BJ183" s="4"/>
      <c r="BK183" s="4"/>
      <c r="BL183" s="4"/>
      <c r="BM183" s="4"/>
      <c r="BN183" s="4"/>
      <c r="BO183" s="4"/>
      <c r="BP183" s="4"/>
      <c r="BQ183" s="4"/>
      <c r="BR183" s="4"/>
    </row>
    <row r="184" spans="1:70" ht="27" customHeight="1" x14ac:dyDescent="0.25">
      <c r="A184" s="532"/>
      <c r="B184" s="917"/>
      <c r="C184" s="4"/>
      <c r="D184" s="917"/>
      <c r="E184" s="4"/>
      <c r="F184" s="917"/>
      <c r="G184" s="4"/>
      <c r="H184" s="920"/>
      <c r="I184" s="3"/>
      <c r="J184" s="920"/>
      <c r="K184" s="3"/>
      <c r="L184" s="920"/>
      <c r="M184" s="3"/>
      <c r="N184" s="920"/>
      <c r="O184" s="3"/>
      <c r="P184" s="3"/>
      <c r="Q184" s="533"/>
      <c r="R184" s="920"/>
      <c r="S184" s="534"/>
      <c r="T184" s="920"/>
      <c r="U184" s="920"/>
      <c r="V184" s="920"/>
      <c r="W184" s="535"/>
      <c r="X184"/>
      <c r="Y184"/>
      <c r="Z184"/>
      <c r="AA184"/>
      <c r="AB184"/>
      <c r="AC184" s="3"/>
      <c r="AD184" s="533"/>
      <c r="AE184" s="3"/>
      <c r="AF184" s="4"/>
      <c r="AG184" s="4"/>
      <c r="AH184" s="4"/>
      <c r="AI184" s="4"/>
      <c r="AJ184" s="4"/>
      <c r="AK184" s="4"/>
      <c r="AL184" s="4"/>
      <c r="AM184" s="4"/>
      <c r="AN184" s="4"/>
      <c r="AO184" s="4"/>
      <c r="AP184" s="4"/>
      <c r="AQ184" s="4"/>
      <c r="AR184" s="4"/>
      <c r="AS184" s="4"/>
      <c r="AT184" s="4"/>
      <c r="AU184" s="4"/>
      <c r="AV184" s="537"/>
      <c r="AW184" s="537"/>
      <c r="AX184" s="4"/>
      <c r="AY184" s="4"/>
      <c r="AZ184" s="4"/>
      <c r="BA184" s="4"/>
      <c r="BB184" s="4"/>
      <c r="BC184" s="4"/>
      <c r="BD184" s="4"/>
      <c r="BE184" s="4"/>
      <c r="BF184" s="4"/>
      <c r="BG184" s="4"/>
      <c r="BH184" s="4"/>
      <c r="BI184" s="4"/>
      <c r="BJ184" s="4"/>
      <c r="BK184" s="4"/>
      <c r="BL184" s="4"/>
      <c r="BM184" s="4"/>
      <c r="BN184" s="4"/>
      <c r="BO184" s="4"/>
      <c r="BP184" s="4"/>
      <c r="BQ184" s="4"/>
      <c r="BR184" s="4"/>
    </row>
    <row r="185" spans="1:70" ht="27" customHeight="1" x14ac:dyDescent="0.25">
      <c r="A185" s="532"/>
      <c r="B185" s="917"/>
      <c r="C185" s="4"/>
      <c r="D185" s="917"/>
      <c r="E185" s="4"/>
      <c r="F185" s="917"/>
      <c r="G185" s="4"/>
      <c r="H185" s="920"/>
      <c r="I185" s="3"/>
      <c r="J185" s="920"/>
      <c r="K185" s="3"/>
      <c r="L185" s="920"/>
      <c r="M185" s="3"/>
      <c r="N185" s="920"/>
      <c r="O185" s="3"/>
      <c r="P185" s="3"/>
      <c r="Q185" s="533"/>
      <c r="R185" s="920"/>
      <c r="S185" s="534"/>
      <c r="T185" s="920"/>
      <c r="U185" s="920"/>
      <c r="V185" s="920"/>
      <c r="W185" s="535"/>
      <c r="X185"/>
      <c r="Y185"/>
      <c r="Z185"/>
      <c r="AA185"/>
      <c r="AB185"/>
      <c r="AC185" s="3"/>
      <c r="AD185" s="533"/>
      <c r="AE185" s="3"/>
      <c r="AF185" s="4"/>
      <c r="AG185" s="4"/>
      <c r="AH185" s="4"/>
      <c r="AI185" s="4"/>
      <c r="AJ185" s="4"/>
      <c r="AK185" s="4"/>
      <c r="AL185" s="4"/>
      <c r="AM185" s="4"/>
      <c r="AN185" s="4"/>
      <c r="AO185" s="4"/>
      <c r="AP185" s="4"/>
      <c r="AQ185" s="4"/>
      <c r="AR185" s="4"/>
      <c r="AS185" s="4"/>
      <c r="AT185" s="4"/>
      <c r="AU185" s="4"/>
      <c r="AV185" s="537"/>
      <c r="AW185" s="537"/>
      <c r="AX185" s="4"/>
      <c r="AY185" s="4"/>
      <c r="AZ185" s="4"/>
      <c r="BA185" s="4"/>
      <c r="BB185" s="4"/>
      <c r="BC185" s="4"/>
      <c r="BD185" s="4"/>
      <c r="BE185" s="4"/>
      <c r="BF185" s="4"/>
      <c r="BG185" s="4"/>
      <c r="BH185" s="4"/>
      <c r="BI185" s="4"/>
      <c r="BJ185" s="4"/>
      <c r="BK185" s="4"/>
      <c r="BL185" s="4"/>
      <c r="BM185" s="4"/>
      <c r="BN185" s="4"/>
      <c r="BO185" s="4"/>
      <c r="BP185" s="4"/>
      <c r="BQ185" s="4"/>
      <c r="BR185" s="4"/>
    </row>
    <row r="186" spans="1:70" ht="27" customHeight="1" x14ac:dyDescent="0.25">
      <c r="A186" s="532"/>
      <c r="B186" s="917"/>
      <c r="C186" s="4"/>
      <c r="D186" s="917"/>
      <c r="E186" s="4"/>
      <c r="F186" s="917"/>
      <c r="G186" s="4"/>
      <c r="H186" s="920"/>
      <c r="I186" s="3"/>
      <c r="J186" s="920"/>
      <c r="K186" s="3"/>
      <c r="L186" s="920"/>
      <c r="M186" s="3"/>
      <c r="N186" s="920"/>
      <c r="O186" s="3"/>
      <c r="P186" s="3"/>
      <c r="Q186" s="533"/>
      <c r="R186" s="920"/>
      <c r="S186" s="534"/>
      <c r="T186" s="920"/>
      <c r="U186" s="920"/>
      <c r="V186" s="920"/>
      <c r="W186" s="535"/>
      <c r="X186"/>
      <c r="Y186"/>
      <c r="Z186"/>
      <c r="AA186"/>
      <c r="AB186"/>
      <c r="AC186" s="3"/>
      <c r="AD186" s="533"/>
      <c r="AE186" s="3"/>
      <c r="AF186" s="4"/>
      <c r="AG186" s="4"/>
      <c r="AH186" s="4"/>
      <c r="AI186" s="4"/>
      <c r="AJ186" s="4"/>
      <c r="AK186" s="4"/>
      <c r="AL186" s="4"/>
      <c r="AM186" s="4"/>
      <c r="AN186" s="4"/>
      <c r="AO186" s="4"/>
      <c r="AP186" s="4"/>
      <c r="AQ186" s="4"/>
      <c r="AR186" s="4"/>
      <c r="AS186" s="4"/>
      <c r="AT186" s="4"/>
      <c r="AU186" s="4"/>
      <c r="AV186" s="537"/>
      <c r="AW186" s="537"/>
      <c r="AX186" s="4"/>
      <c r="AY186" s="4"/>
      <c r="AZ186" s="4"/>
      <c r="BA186" s="4"/>
      <c r="BB186" s="4"/>
      <c r="BC186" s="4"/>
      <c r="BD186" s="4"/>
      <c r="BE186" s="4"/>
      <c r="BF186" s="4"/>
      <c r="BG186" s="4"/>
      <c r="BH186" s="4"/>
      <c r="BI186" s="4"/>
      <c r="BJ186" s="4"/>
      <c r="BK186" s="4"/>
      <c r="BL186" s="4"/>
      <c r="BM186" s="4"/>
      <c r="BN186" s="4"/>
      <c r="BO186" s="4"/>
      <c r="BP186" s="4"/>
      <c r="BQ186" s="4"/>
      <c r="BR186" s="4"/>
    </row>
    <row r="187" spans="1:70" ht="27" customHeight="1" x14ac:dyDescent="0.25">
      <c r="A187" s="532"/>
      <c r="B187" s="917"/>
      <c r="C187" s="4"/>
      <c r="D187" s="917"/>
      <c r="E187" s="4"/>
      <c r="F187" s="917"/>
      <c r="G187" s="4"/>
      <c r="H187" s="920"/>
      <c r="I187" s="3"/>
      <c r="J187" s="920"/>
      <c r="K187" s="3"/>
      <c r="L187" s="920"/>
      <c r="M187" s="3"/>
      <c r="N187" s="920"/>
      <c r="O187" s="3"/>
      <c r="P187" s="3"/>
      <c r="Q187" s="533"/>
      <c r="R187" s="920"/>
      <c r="S187" s="534"/>
      <c r="T187" s="920"/>
      <c r="U187" s="920"/>
      <c r="V187" s="920"/>
      <c r="W187" s="535"/>
      <c r="X187"/>
      <c r="Y187"/>
      <c r="Z187"/>
      <c r="AA187"/>
      <c r="AB187"/>
      <c r="AC187" s="3"/>
      <c r="AD187" s="533"/>
      <c r="AE187" s="3"/>
      <c r="AF187" s="4"/>
      <c r="AG187" s="4"/>
      <c r="AH187" s="4"/>
      <c r="AI187" s="4"/>
      <c r="AJ187" s="4"/>
      <c r="AK187" s="4"/>
      <c r="AL187" s="4"/>
      <c r="AM187" s="4"/>
      <c r="AN187" s="4"/>
      <c r="AO187" s="4"/>
      <c r="AP187" s="4"/>
      <c r="AQ187" s="4"/>
      <c r="AR187" s="4"/>
      <c r="AS187" s="4"/>
      <c r="AT187" s="4"/>
      <c r="AU187" s="4"/>
      <c r="AV187" s="537"/>
      <c r="AW187" s="537"/>
      <c r="AX187" s="4"/>
      <c r="AY187" s="4"/>
      <c r="AZ187" s="4"/>
      <c r="BA187" s="4"/>
      <c r="BB187" s="4"/>
      <c r="BC187" s="4"/>
      <c r="BD187" s="4"/>
      <c r="BE187" s="4"/>
      <c r="BF187" s="4"/>
      <c r="BG187" s="4"/>
      <c r="BH187" s="4"/>
      <c r="BI187" s="4"/>
      <c r="BJ187" s="4"/>
      <c r="BK187" s="4"/>
      <c r="BL187" s="4"/>
      <c r="BM187" s="4"/>
      <c r="BN187" s="4"/>
      <c r="BO187" s="4"/>
      <c r="BP187" s="4"/>
      <c r="BQ187" s="4"/>
      <c r="BR187" s="4"/>
    </row>
    <row r="188" spans="1:70" ht="27" customHeight="1" x14ac:dyDescent="0.25">
      <c r="A188" s="532"/>
      <c r="B188" s="917"/>
      <c r="C188" s="4"/>
      <c r="D188" s="917"/>
      <c r="E188" s="4"/>
      <c r="F188" s="917"/>
      <c r="G188" s="4"/>
      <c r="H188" s="920"/>
      <c r="I188" s="3"/>
      <c r="J188" s="920"/>
      <c r="K188" s="3"/>
      <c r="L188" s="920"/>
      <c r="M188" s="3"/>
      <c r="N188" s="920"/>
      <c r="O188" s="3"/>
      <c r="P188" s="3"/>
      <c r="Q188" s="533"/>
      <c r="R188" s="920"/>
      <c r="S188" s="534"/>
      <c r="T188" s="920"/>
      <c r="U188" s="920"/>
      <c r="V188" s="920"/>
      <c r="W188" s="535"/>
      <c r="X188"/>
      <c r="Y188"/>
      <c r="Z188"/>
      <c r="AA188"/>
      <c r="AB188"/>
      <c r="AC188" s="3"/>
      <c r="AD188" s="533"/>
      <c r="AE188" s="3"/>
      <c r="AF188" s="4"/>
      <c r="AG188" s="4"/>
      <c r="AH188" s="4"/>
      <c r="AI188" s="4"/>
      <c r="AJ188" s="4"/>
      <c r="AK188" s="4"/>
      <c r="AL188" s="4"/>
      <c r="AM188" s="4"/>
      <c r="AN188" s="4"/>
      <c r="AO188" s="4"/>
      <c r="AP188" s="4"/>
      <c r="AQ188" s="4"/>
      <c r="AR188" s="4"/>
      <c r="AS188" s="4"/>
      <c r="AT188" s="4"/>
      <c r="AU188" s="4"/>
      <c r="AV188" s="537"/>
      <c r="AW188" s="537"/>
      <c r="AX188" s="4"/>
      <c r="AY188" s="4"/>
      <c r="AZ188" s="4"/>
      <c r="BA188" s="4"/>
      <c r="BB188" s="4"/>
      <c r="BC188" s="4"/>
      <c r="BD188" s="4"/>
      <c r="BE188" s="4"/>
      <c r="BF188" s="4"/>
      <c r="BG188" s="4"/>
      <c r="BH188" s="4"/>
      <c r="BI188" s="4"/>
      <c r="BJ188" s="4"/>
      <c r="BK188" s="4"/>
      <c r="BL188" s="4"/>
      <c r="BM188" s="4"/>
      <c r="BN188" s="4"/>
      <c r="BO188" s="4"/>
      <c r="BP188" s="4"/>
      <c r="BQ188" s="4"/>
      <c r="BR188" s="4"/>
    </row>
    <row r="189" spans="1:70" ht="27" customHeight="1" x14ac:dyDescent="0.25">
      <c r="A189" s="532"/>
      <c r="B189" s="917"/>
      <c r="C189" s="4"/>
      <c r="D189" s="917"/>
      <c r="E189" s="4"/>
      <c r="F189" s="917"/>
      <c r="G189" s="4"/>
      <c r="H189" s="920"/>
      <c r="I189" s="3"/>
      <c r="J189" s="920"/>
      <c r="K189" s="3"/>
      <c r="L189" s="920"/>
      <c r="M189" s="3"/>
      <c r="N189" s="920"/>
      <c r="O189" s="3"/>
      <c r="P189" s="3"/>
      <c r="Q189" s="533"/>
      <c r="R189" s="920"/>
      <c r="S189" s="534"/>
      <c r="T189" s="920"/>
      <c r="U189" s="920"/>
      <c r="V189" s="920"/>
      <c r="W189" s="535"/>
      <c r="X189"/>
      <c r="Y189"/>
      <c r="Z189"/>
      <c r="AA189"/>
      <c r="AB189"/>
      <c r="AC189" s="3"/>
      <c r="AD189" s="533"/>
      <c r="AE189" s="3"/>
      <c r="AF189" s="4"/>
      <c r="AG189" s="4"/>
      <c r="AH189" s="4"/>
      <c r="AI189" s="4"/>
      <c r="AJ189" s="4"/>
      <c r="AK189" s="4"/>
      <c r="AL189" s="4"/>
      <c r="AM189" s="4"/>
      <c r="AN189" s="4"/>
      <c r="AO189" s="4"/>
      <c r="AP189" s="4"/>
      <c r="AQ189" s="4"/>
      <c r="AR189" s="4"/>
      <c r="AS189" s="4"/>
      <c r="AT189" s="4"/>
      <c r="AU189" s="4"/>
      <c r="AV189" s="537"/>
      <c r="AW189" s="537"/>
      <c r="AX189" s="4"/>
      <c r="AY189" s="4"/>
      <c r="AZ189" s="4"/>
      <c r="BA189" s="4"/>
      <c r="BB189" s="4"/>
      <c r="BC189" s="4"/>
      <c r="BD189" s="4"/>
      <c r="BE189" s="4"/>
      <c r="BF189" s="4"/>
      <c r="BG189" s="4"/>
      <c r="BH189" s="4"/>
      <c r="BI189" s="4"/>
      <c r="BJ189" s="4"/>
      <c r="BK189" s="4"/>
      <c r="BL189" s="4"/>
      <c r="BM189" s="4"/>
      <c r="BN189" s="4"/>
      <c r="BO189" s="4"/>
      <c r="BP189" s="4"/>
      <c r="BQ189" s="4"/>
      <c r="BR189" s="4"/>
    </row>
    <row r="190" spans="1:70" ht="27" customHeight="1" x14ac:dyDescent="0.25">
      <c r="A190" s="532"/>
      <c r="B190" s="917"/>
      <c r="C190" s="4"/>
      <c r="D190" s="917"/>
      <c r="E190" s="4"/>
      <c r="F190" s="917"/>
      <c r="G190" s="4"/>
      <c r="H190" s="920"/>
      <c r="I190" s="3"/>
      <c r="J190" s="920"/>
      <c r="K190" s="3"/>
      <c r="L190" s="920"/>
      <c r="M190" s="3"/>
      <c r="N190" s="920"/>
      <c r="O190" s="3"/>
      <c r="P190" s="3"/>
      <c r="Q190" s="533"/>
      <c r="R190" s="920"/>
      <c r="S190" s="534"/>
      <c r="T190" s="920"/>
      <c r="U190" s="920"/>
      <c r="V190" s="920"/>
      <c r="W190" s="535"/>
      <c r="X190"/>
      <c r="Y190"/>
      <c r="Z190"/>
      <c r="AA190"/>
      <c r="AB190"/>
      <c r="AC190" s="3"/>
      <c r="AD190" s="533"/>
      <c r="AE190" s="3"/>
      <c r="AF190" s="4"/>
      <c r="AG190" s="4"/>
      <c r="AH190" s="4"/>
      <c r="AI190" s="4"/>
      <c r="AJ190" s="4"/>
      <c r="AK190" s="4"/>
      <c r="AL190" s="4"/>
      <c r="AM190" s="4"/>
      <c r="AN190" s="4"/>
      <c r="AO190" s="4"/>
      <c r="AP190" s="4"/>
      <c r="AQ190" s="4"/>
      <c r="AR190" s="4"/>
      <c r="AS190" s="4"/>
      <c r="AT190" s="4"/>
      <c r="AU190" s="4"/>
      <c r="AV190" s="537"/>
      <c r="AW190" s="537"/>
      <c r="AX190" s="4"/>
      <c r="AY190" s="4"/>
      <c r="AZ190" s="4"/>
      <c r="BA190" s="4"/>
      <c r="BB190" s="4"/>
      <c r="BC190" s="4"/>
      <c r="BD190" s="4"/>
      <c r="BE190" s="4"/>
      <c r="BF190" s="4"/>
      <c r="BG190" s="4"/>
      <c r="BH190" s="4"/>
      <c r="BI190" s="4"/>
      <c r="BJ190" s="4"/>
      <c r="BK190" s="4"/>
      <c r="BL190" s="4"/>
      <c r="BM190" s="4"/>
      <c r="BN190" s="4"/>
      <c r="BO190" s="4"/>
      <c r="BP190" s="4"/>
      <c r="BQ190" s="4"/>
      <c r="BR190" s="4"/>
    </row>
    <row r="191" spans="1:70" ht="27" customHeight="1" x14ac:dyDescent="0.25">
      <c r="A191" s="532"/>
      <c r="B191" s="917"/>
      <c r="C191" s="4"/>
      <c r="D191" s="917"/>
      <c r="E191" s="4"/>
      <c r="F191" s="917"/>
      <c r="G191" s="4"/>
      <c r="H191" s="920"/>
      <c r="I191" s="3"/>
      <c r="J191" s="920"/>
      <c r="K191" s="3"/>
      <c r="L191" s="920"/>
      <c r="M191" s="3"/>
      <c r="N191" s="920"/>
      <c r="O191" s="3"/>
      <c r="P191" s="3"/>
      <c r="Q191" s="533"/>
      <c r="R191" s="920"/>
      <c r="S191" s="534"/>
      <c r="T191" s="920"/>
      <c r="U191" s="920"/>
      <c r="V191" s="920"/>
      <c r="W191" s="535"/>
      <c r="X191"/>
      <c r="Y191"/>
      <c r="Z191"/>
      <c r="AA191"/>
      <c r="AB191"/>
      <c r="AC191" s="3"/>
      <c r="AD191" s="533"/>
      <c r="AE191" s="3"/>
      <c r="AF191" s="4"/>
      <c r="AG191" s="4"/>
      <c r="AH191" s="4"/>
      <c r="AI191" s="4"/>
      <c r="AJ191" s="4"/>
      <c r="AK191" s="4"/>
      <c r="AL191" s="4"/>
      <c r="AM191" s="4"/>
      <c r="AN191" s="4"/>
      <c r="AO191" s="4"/>
      <c r="AP191" s="4"/>
      <c r="AQ191" s="4"/>
      <c r="AR191" s="4"/>
      <c r="AS191" s="4"/>
      <c r="AT191" s="4"/>
      <c r="AU191" s="4"/>
      <c r="AV191" s="537"/>
      <c r="AW191" s="537"/>
      <c r="AX191" s="4"/>
      <c r="AY191" s="4"/>
      <c r="AZ191" s="4"/>
      <c r="BA191" s="4"/>
      <c r="BB191" s="4"/>
      <c r="BC191" s="4"/>
      <c r="BD191" s="4"/>
      <c r="BE191" s="4"/>
      <c r="BF191" s="4"/>
      <c r="BG191" s="4"/>
      <c r="BH191" s="4"/>
      <c r="BI191" s="4"/>
      <c r="BJ191" s="4"/>
      <c r="BK191" s="4"/>
      <c r="BL191" s="4"/>
      <c r="BM191" s="4"/>
      <c r="BN191" s="4"/>
      <c r="BO191" s="4"/>
      <c r="BP191" s="4"/>
      <c r="BQ191" s="4"/>
      <c r="BR191" s="4"/>
    </row>
    <row r="192" spans="1:70" ht="27" customHeight="1" x14ac:dyDescent="0.25">
      <c r="A192" s="532"/>
      <c r="B192" s="917"/>
      <c r="C192" s="4"/>
      <c r="D192" s="917"/>
      <c r="E192" s="4"/>
      <c r="F192" s="917"/>
      <c r="G192" s="4"/>
      <c r="H192" s="920"/>
      <c r="I192" s="3"/>
      <c r="J192" s="920"/>
      <c r="K192" s="3"/>
      <c r="L192" s="920"/>
      <c r="M192" s="3"/>
      <c r="N192" s="920"/>
      <c r="O192" s="3"/>
      <c r="P192" s="3"/>
      <c r="Q192" s="533"/>
      <c r="R192" s="920"/>
      <c r="S192" s="534"/>
      <c r="T192" s="920"/>
      <c r="U192" s="920"/>
      <c r="V192" s="920"/>
      <c r="W192" s="535"/>
      <c r="X192"/>
      <c r="Y192"/>
      <c r="Z192"/>
      <c r="AA192"/>
      <c r="AB192"/>
      <c r="AC192" s="3"/>
      <c r="AD192" s="533"/>
      <c r="AE192" s="3"/>
      <c r="AF192" s="4"/>
      <c r="AG192" s="4"/>
      <c r="AH192" s="4"/>
      <c r="AI192" s="4"/>
      <c r="AJ192" s="4"/>
      <c r="AK192" s="4"/>
      <c r="AL192" s="4"/>
      <c r="AM192" s="4"/>
      <c r="AN192" s="4"/>
      <c r="AO192" s="4"/>
      <c r="AP192" s="4"/>
      <c r="AQ192" s="4"/>
      <c r="AR192" s="4"/>
      <c r="AS192" s="4"/>
      <c r="AT192" s="4"/>
      <c r="AU192" s="4"/>
      <c r="AV192" s="537"/>
      <c r="AW192" s="537"/>
      <c r="AX192" s="4"/>
      <c r="AY192" s="4"/>
      <c r="AZ192" s="4"/>
      <c r="BA192" s="4"/>
      <c r="BB192" s="4"/>
      <c r="BC192" s="4"/>
      <c r="BD192" s="4"/>
      <c r="BE192" s="4"/>
      <c r="BF192" s="4"/>
      <c r="BG192" s="4"/>
      <c r="BH192" s="4"/>
      <c r="BI192" s="4"/>
      <c r="BJ192" s="4"/>
      <c r="BK192" s="4"/>
      <c r="BL192" s="4"/>
      <c r="BM192" s="4"/>
      <c r="BN192" s="4"/>
      <c r="BO192" s="4"/>
      <c r="BP192" s="4"/>
      <c r="BQ192" s="4"/>
      <c r="BR192" s="4"/>
    </row>
    <row r="193" spans="1:70" ht="27" customHeight="1" x14ac:dyDescent="0.25">
      <c r="A193" s="532"/>
      <c r="B193" s="917"/>
      <c r="C193" s="4"/>
      <c r="D193" s="917"/>
      <c r="E193" s="4"/>
      <c r="F193" s="917"/>
      <c r="G193" s="4"/>
      <c r="H193" s="920"/>
      <c r="I193" s="3"/>
      <c r="J193" s="920"/>
      <c r="K193" s="3"/>
      <c r="L193" s="920"/>
      <c r="M193" s="3"/>
      <c r="N193" s="920"/>
      <c r="O193" s="3"/>
      <c r="P193" s="3"/>
      <c r="Q193" s="533"/>
      <c r="R193" s="920"/>
      <c r="S193" s="534"/>
      <c r="T193" s="920"/>
      <c r="U193" s="920"/>
      <c r="V193" s="920"/>
      <c r="W193" s="535"/>
      <c r="X193"/>
      <c r="Y193"/>
      <c r="Z193"/>
      <c r="AA193"/>
      <c r="AB193"/>
      <c r="AC193" s="3"/>
      <c r="AD193" s="533"/>
      <c r="AE193" s="3"/>
      <c r="AF193" s="4"/>
      <c r="AG193" s="4"/>
      <c r="AH193" s="4"/>
      <c r="AI193" s="4"/>
      <c r="AJ193" s="4"/>
      <c r="AK193" s="4"/>
      <c r="AL193" s="4"/>
      <c r="AM193" s="4"/>
      <c r="AN193" s="4"/>
      <c r="AO193" s="4"/>
      <c r="AP193" s="4"/>
      <c r="AQ193" s="4"/>
      <c r="AR193" s="4"/>
      <c r="AS193" s="4"/>
      <c r="AT193" s="4"/>
      <c r="AU193" s="4"/>
      <c r="AV193" s="537"/>
      <c r="AW193" s="537"/>
      <c r="AX193" s="4"/>
      <c r="AY193" s="4"/>
      <c r="AZ193" s="4"/>
      <c r="BA193" s="4"/>
      <c r="BB193" s="4"/>
      <c r="BC193" s="4"/>
      <c r="BD193" s="4"/>
      <c r="BE193" s="4"/>
      <c r="BF193" s="4"/>
      <c r="BG193" s="4"/>
      <c r="BH193" s="4"/>
      <c r="BI193" s="4"/>
      <c r="BJ193" s="4"/>
      <c r="BK193" s="4"/>
      <c r="BL193" s="4"/>
      <c r="BM193" s="4"/>
      <c r="BN193" s="4"/>
      <c r="BO193" s="4"/>
      <c r="BP193" s="4"/>
      <c r="BQ193" s="4"/>
      <c r="BR193" s="4"/>
    </row>
    <row r="194" spans="1:70" ht="27" customHeight="1" x14ac:dyDescent="0.25">
      <c r="A194" s="532"/>
      <c r="B194" s="917"/>
      <c r="C194" s="4"/>
      <c r="D194" s="917"/>
      <c r="E194" s="4"/>
      <c r="F194" s="917"/>
      <c r="G194" s="4"/>
      <c r="H194" s="920"/>
      <c r="I194" s="3"/>
      <c r="J194" s="920"/>
      <c r="K194" s="3"/>
      <c r="L194" s="920"/>
      <c r="M194" s="3"/>
      <c r="N194" s="920"/>
      <c r="O194" s="3"/>
      <c r="P194" s="3"/>
      <c r="Q194" s="533"/>
      <c r="R194" s="920"/>
      <c r="S194" s="534"/>
      <c r="T194" s="920"/>
      <c r="U194" s="920"/>
      <c r="V194" s="920"/>
      <c r="W194" s="535"/>
      <c r="X194"/>
      <c r="Y194"/>
      <c r="Z194"/>
      <c r="AA194"/>
      <c r="AB194"/>
      <c r="AC194" s="3"/>
      <c r="AD194" s="533"/>
      <c r="AE194" s="3"/>
      <c r="AF194" s="4"/>
      <c r="AG194" s="4"/>
      <c r="AH194" s="4"/>
      <c r="AI194" s="4"/>
      <c r="AJ194" s="4"/>
      <c r="AK194" s="4"/>
      <c r="AL194" s="4"/>
      <c r="AM194" s="4"/>
      <c r="AN194" s="4"/>
      <c r="AO194" s="4"/>
      <c r="AP194" s="4"/>
      <c r="AQ194" s="4"/>
      <c r="AR194" s="4"/>
      <c r="AS194" s="4"/>
      <c r="AT194" s="4"/>
      <c r="AU194" s="4"/>
      <c r="AV194" s="537"/>
      <c r="AW194" s="537"/>
      <c r="AX194" s="4"/>
      <c r="AY194" s="4"/>
      <c r="AZ194" s="4"/>
      <c r="BA194" s="4"/>
      <c r="BB194" s="4"/>
      <c r="BC194" s="4"/>
      <c r="BD194" s="4"/>
      <c r="BE194" s="4"/>
      <c r="BF194" s="4"/>
      <c r="BG194" s="4"/>
      <c r="BH194" s="4"/>
      <c r="BI194" s="4"/>
      <c r="BJ194" s="4"/>
      <c r="BK194" s="4"/>
      <c r="BL194" s="4"/>
      <c r="BM194" s="4"/>
      <c r="BN194" s="4"/>
      <c r="BO194" s="4"/>
      <c r="BP194" s="4"/>
      <c r="BQ194" s="4"/>
      <c r="BR194" s="4"/>
    </row>
    <row r="195" spans="1:70" ht="27" customHeight="1" x14ac:dyDescent="0.25">
      <c r="A195" s="532"/>
      <c r="B195" s="917"/>
      <c r="C195" s="4"/>
      <c r="D195" s="917"/>
      <c r="E195" s="4"/>
      <c r="F195" s="917"/>
      <c r="G195" s="4"/>
      <c r="H195" s="920"/>
      <c r="I195" s="3"/>
      <c r="J195" s="920"/>
      <c r="K195" s="3"/>
      <c r="L195" s="920"/>
      <c r="M195" s="3"/>
      <c r="N195" s="920"/>
      <c r="O195" s="3"/>
      <c r="P195" s="3"/>
      <c r="Q195" s="533"/>
      <c r="R195" s="920"/>
      <c r="S195" s="534"/>
      <c r="T195" s="920"/>
      <c r="U195" s="920"/>
      <c r="V195" s="920"/>
      <c r="W195" s="535"/>
      <c r="X195"/>
      <c r="Y195"/>
      <c r="Z195"/>
      <c r="AA195"/>
      <c r="AB195"/>
      <c r="AC195" s="3"/>
      <c r="AD195" s="533"/>
      <c r="AE195" s="3"/>
      <c r="AF195" s="4"/>
      <c r="AG195" s="4"/>
      <c r="AH195" s="4"/>
      <c r="AI195" s="4"/>
      <c r="AJ195" s="4"/>
      <c r="AK195" s="4"/>
      <c r="AL195" s="4"/>
      <c r="AM195" s="4"/>
      <c r="AN195" s="4"/>
      <c r="AO195" s="4"/>
      <c r="AP195" s="4"/>
      <c r="AQ195" s="4"/>
      <c r="AR195" s="4"/>
      <c r="AS195" s="4"/>
      <c r="AT195" s="4"/>
      <c r="AU195" s="4"/>
      <c r="AV195" s="537"/>
      <c r="AW195" s="537"/>
      <c r="AX195" s="4"/>
      <c r="AY195" s="4"/>
      <c r="AZ195" s="4"/>
      <c r="BA195" s="4"/>
      <c r="BB195" s="4"/>
      <c r="BC195" s="4"/>
      <c r="BD195" s="4"/>
      <c r="BE195" s="4"/>
      <c r="BF195" s="4"/>
      <c r="BG195" s="4"/>
      <c r="BH195" s="4"/>
      <c r="BI195" s="4"/>
      <c r="BJ195" s="4"/>
      <c r="BK195" s="4"/>
      <c r="BL195" s="4"/>
      <c r="BM195" s="4"/>
      <c r="BN195" s="4"/>
      <c r="BO195" s="4"/>
      <c r="BP195" s="4"/>
      <c r="BQ195" s="4"/>
      <c r="BR195" s="4"/>
    </row>
    <row r="196" spans="1:70" ht="27" customHeight="1" x14ac:dyDescent="0.25">
      <c r="A196" s="532"/>
      <c r="B196" s="917"/>
      <c r="C196" s="4"/>
      <c r="D196" s="917"/>
      <c r="E196" s="4"/>
      <c r="F196" s="917"/>
      <c r="G196" s="4"/>
      <c r="H196" s="920"/>
      <c r="I196" s="3"/>
      <c r="J196" s="920"/>
      <c r="K196" s="3"/>
      <c r="L196" s="920"/>
      <c r="M196" s="3"/>
      <c r="N196" s="920"/>
      <c r="O196" s="3"/>
      <c r="P196" s="3"/>
      <c r="Q196" s="533"/>
      <c r="R196" s="920"/>
      <c r="S196" s="534"/>
      <c r="T196" s="920"/>
      <c r="U196" s="920"/>
      <c r="V196" s="920"/>
      <c r="W196" s="535"/>
      <c r="X196"/>
      <c r="Y196"/>
      <c r="Z196"/>
      <c r="AA196"/>
      <c r="AB196"/>
      <c r="AC196" s="3"/>
      <c r="AD196" s="533"/>
      <c r="AE196" s="3"/>
      <c r="AF196" s="4"/>
      <c r="AG196" s="4"/>
      <c r="AH196" s="4"/>
      <c r="AI196" s="4"/>
      <c r="AJ196" s="4"/>
      <c r="AK196" s="4"/>
      <c r="AL196" s="4"/>
      <c r="AM196" s="4"/>
      <c r="AN196" s="4"/>
      <c r="AO196" s="4"/>
      <c r="AP196" s="4"/>
      <c r="AQ196" s="4"/>
      <c r="AR196" s="4"/>
      <c r="AS196" s="4"/>
      <c r="AT196" s="4"/>
      <c r="AU196" s="4"/>
      <c r="AV196" s="537"/>
      <c r="AW196" s="537"/>
      <c r="AX196" s="4"/>
      <c r="AY196" s="4"/>
      <c r="AZ196" s="4"/>
      <c r="BA196" s="4"/>
      <c r="BB196" s="4"/>
      <c r="BC196" s="4"/>
      <c r="BD196" s="4"/>
      <c r="BE196" s="4"/>
      <c r="BF196" s="4"/>
      <c r="BG196" s="4"/>
      <c r="BH196" s="4"/>
      <c r="BI196" s="4"/>
      <c r="BJ196" s="4"/>
      <c r="BK196" s="4"/>
      <c r="BL196" s="4"/>
      <c r="BM196" s="4"/>
      <c r="BN196" s="4"/>
      <c r="BO196" s="4"/>
      <c r="BP196" s="4"/>
      <c r="BQ196" s="4"/>
      <c r="BR196" s="4"/>
    </row>
    <row r="197" spans="1:70" ht="27" customHeight="1" x14ac:dyDescent="0.25">
      <c r="A197" s="532"/>
      <c r="B197" s="917"/>
      <c r="C197" s="4"/>
      <c r="D197" s="917"/>
      <c r="E197" s="4"/>
      <c r="F197" s="917"/>
      <c r="G197" s="4"/>
      <c r="H197" s="920"/>
      <c r="I197" s="3"/>
      <c r="J197" s="920"/>
      <c r="K197" s="3"/>
      <c r="L197" s="920"/>
      <c r="M197" s="3"/>
      <c r="N197" s="920"/>
      <c r="O197" s="3"/>
      <c r="P197" s="3"/>
      <c r="Q197" s="533"/>
      <c r="R197" s="920"/>
      <c r="S197" s="534"/>
      <c r="T197" s="920"/>
      <c r="U197" s="920"/>
      <c r="V197" s="920"/>
      <c r="W197" s="535"/>
      <c r="X197"/>
      <c r="Y197"/>
      <c r="Z197"/>
      <c r="AA197"/>
      <c r="AB197"/>
      <c r="AC197" s="3"/>
      <c r="AD197" s="533"/>
      <c r="AE197" s="3"/>
      <c r="AF197" s="4"/>
      <c r="AG197" s="4"/>
      <c r="AH197" s="4"/>
      <c r="AI197" s="4"/>
      <c r="AJ197" s="4"/>
      <c r="AK197" s="4"/>
      <c r="AL197" s="4"/>
      <c r="AM197" s="4"/>
      <c r="AN197" s="4"/>
      <c r="AO197" s="4"/>
      <c r="AP197" s="4"/>
      <c r="AQ197" s="4"/>
      <c r="AR197" s="4"/>
      <c r="AS197" s="4"/>
      <c r="AT197" s="4"/>
      <c r="AU197" s="4"/>
      <c r="AV197" s="537"/>
      <c r="AW197" s="537"/>
      <c r="AX197" s="4"/>
      <c r="AY197" s="4"/>
      <c r="AZ197" s="4"/>
      <c r="BA197" s="4"/>
      <c r="BB197" s="4"/>
      <c r="BC197" s="4"/>
      <c r="BD197" s="4"/>
      <c r="BE197" s="4"/>
      <c r="BF197" s="4"/>
      <c r="BG197" s="4"/>
      <c r="BH197" s="4"/>
      <c r="BI197" s="4"/>
      <c r="BJ197" s="4"/>
      <c r="BK197" s="4"/>
      <c r="BL197" s="4"/>
      <c r="BM197" s="4"/>
      <c r="BN197" s="4"/>
      <c r="BO197" s="4"/>
      <c r="BP197" s="4"/>
      <c r="BQ197" s="4"/>
      <c r="BR197" s="4"/>
    </row>
    <row r="198" spans="1:70" ht="27" customHeight="1" x14ac:dyDescent="0.2">
      <c r="A198" s="532"/>
      <c r="B198" s="917"/>
      <c r="C198" s="4"/>
      <c r="D198" s="917"/>
      <c r="E198" s="4"/>
      <c r="F198" s="917"/>
      <c r="G198" s="4"/>
      <c r="H198" s="920"/>
      <c r="I198" s="3"/>
      <c r="J198" s="920"/>
      <c r="K198" s="3"/>
      <c r="L198" s="920"/>
      <c r="M198" s="3"/>
      <c r="N198" s="920"/>
      <c r="O198" s="3"/>
      <c r="P198" s="3"/>
      <c r="Q198" s="533"/>
      <c r="R198" s="920"/>
      <c r="S198" s="534"/>
      <c r="T198" s="920"/>
      <c r="U198" s="920"/>
      <c r="V198" s="920"/>
      <c r="W198" s="535"/>
      <c r="X198" s="687"/>
      <c r="Y198" s="687"/>
      <c r="Z198" s="687"/>
      <c r="AA198" s="678"/>
      <c r="AB198" s="543"/>
      <c r="AC198" s="3"/>
      <c r="AD198" s="533"/>
      <c r="AE198" s="3"/>
      <c r="AF198" s="4"/>
      <c r="AG198" s="4"/>
      <c r="AH198" s="4"/>
      <c r="AI198" s="4"/>
      <c r="AJ198" s="4"/>
      <c r="AK198" s="4"/>
      <c r="AL198" s="4"/>
      <c r="AM198" s="4"/>
      <c r="AN198" s="4"/>
      <c r="AO198" s="4"/>
      <c r="AP198" s="4"/>
      <c r="AQ198" s="4"/>
      <c r="AR198" s="4"/>
      <c r="AS198" s="4"/>
      <c r="AT198" s="4"/>
      <c r="AU198" s="4"/>
      <c r="AV198" s="537"/>
      <c r="AW198" s="537"/>
      <c r="AX198" s="4"/>
      <c r="AY198" s="4"/>
      <c r="AZ198" s="4"/>
      <c r="BA198" s="4"/>
      <c r="BB198" s="4"/>
      <c r="BC198" s="4"/>
      <c r="BD198" s="4"/>
      <c r="BE198" s="4"/>
      <c r="BF198" s="4"/>
      <c r="BG198" s="4"/>
      <c r="BH198" s="4"/>
      <c r="BI198" s="4"/>
      <c r="BJ198" s="4"/>
      <c r="BK198" s="4"/>
      <c r="BL198" s="4"/>
      <c r="BM198" s="4"/>
      <c r="BN198" s="4"/>
      <c r="BO198" s="4"/>
      <c r="BP198" s="4"/>
      <c r="BQ198" s="4"/>
      <c r="BR198" s="4"/>
    </row>
    <row r="199" spans="1:70" ht="27" customHeight="1" x14ac:dyDescent="0.2">
      <c r="A199" s="532"/>
      <c r="B199" s="917"/>
      <c r="C199" s="4"/>
      <c r="D199" s="917"/>
      <c r="E199" s="4"/>
      <c r="F199" s="917"/>
      <c r="G199" s="4"/>
      <c r="H199" s="920"/>
      <c r="I199" s="3"/>
      <c r="J199" s="920"/>
      <c r="K199" s="3"/>
      <c r="L199" s="920"/>
      <c r="M199" s="3"/>
      <c r="N199" s="920"/>
      <c r="O199" s="3"/>
      <c r="P199" s="3"/>
      <c r="Q199" s="533"/>
      <c r="R199" s="920"/>
      <c r="S199" s="534"/>
      <c r="T199" s="920"/>
      <c r="U199" s="920"/>
      <c r="V199" s="920"/>
      <c r="W199" s="535"/>
      <c r="X199" s="687"/>
      <c r="Y199" s="687"/>
      <c r="Z199" s="687"/>
      <c r="AA199" s="678"/>
      <c r="AB199" s="543"/>
      <c r="AC199" s="3"/>
      <c r="AD199" s="533"/>
      <c r="AE199" s="3"/>
      <c r="AF199" s="4"/>
      <c r="AG199" s="4"/>
      <c r="AH199" s="4"/>
      <c r="AI199" s="4"/>
      <c r="AJ199" s="4"/>
      <c r="AK199" s="4"/>
      <c r="AL199" s="4"/>
      <c r="AM199" s="4"/>
      <c r="AN199" s="4"/>
      <c r="AO199" s="4"/>
      <c r="AP199" s="4"/>
      <c r="AQ199" s="4"/>
      <c r="AR199" s="4"/>
      <c r="AS199" s="4"/>
      <c r="AT199" s="4"/>
      <c r="AU199" s="4"/>
      <c r="AV199" s="537"/>
      <c r="AW199" s="537"/>
      <c r="AX199" s="4"/>
      <c r="AY199" s="4"/>
      <c r="AZ199" s="4"/>
      <c r="BA199" s="4"/>
      <c r="BB199" s="4"/>
      <c r="BC199" s="4"/>
      <c r="BD199" s="4"/>
      <c r="BE199" s="4"/>
      <c r="BF199" s="4"/>
      <c r="BG199" s="4"/>
      <c r="BH199" s="4"/>
      <c r="BI199" s="4"/>
      <c r="BJ199" s="4"/>
      <c r="BK199" s="4"/>
      <c r="BL199" s="4"/>
      <c r="BM199" s="4"/>
      <c r="BN199" s="4"/>
      <c r="BO199" s="4"/>
      <c r="BP199" s="4"/>
      <c r="BQ199" s="4"/>
      <c r="BR199" s="4"/>
    </row>
    <row r="200" spans="1:70" ht="27" customHeight="1" x14ac:dyDescent="0.2">
      <c r="A200" s="532"/>
      <c r="B200" s="917"/>
      <c r="C200" s="4"/>
      <c r="D200" s="917"/>
      <c r="E200" s="4"/>
      <c r="F200" s="917"/>
      <c r="G200" s="4"/>
      <c r="H200" s="920"/>
      <c r="I200" s="3"/>
      <c r="J200" s="920"/>
      <c r="K200" s="3"/>
      <c r="L200" s="920"/>
      <c r="M200" s="3"/>
      <c r="N200" s="920"/>
      <c r="O200" s="3"/>
      <c r="P200" s="3"/>
      <c r="Q200" s="533"/>
      <c r="R200" s="920"/>
      <c r="S200" s="534"/>
      <c r="T200" s="920"/>
      <c r="U200" s="920"/>
      <c r="V200" s="920"/>
      <c r="W200" s="535"/>
      <c r="X200" s="687"/>
      <c r="Y200" s="687"/>
      <c r="Z200" s="687"/>
      <c r="AA200" s="678"/>
      <c r="AB200" s="543"/>
      <c r="AC200" s="3"/>
      <c r="AD200" s="533"/>
      <c r="AE200" s="3"/>
      <c r="AF200" s="4"/>
      <c r="AG200" s="4"/>
      <c r="AH200" s="4"/>
      <c r="AI200" s="4"/>
      <c r="AJ200" s="4"/>
      <c r="AK200" s="4"/>
      <c r="AL200" s="4"/>
      <c r="AM200" s="4"/>
      <c r="AN200" s="4"/>
      <c r="AO200" s="4"/>
      <c r="AP200" s="4"/>
      <c r="AQ200" s="4"/>
      <c r="AR200" s="4"/>
      <c r="AS200" s="4"/>
      <c r="AT200" s="4"/>
      <c r="AU200" s="4"/>
      <c r="AV200" s="537"/>
      <c r="AW200" s="537"/>
      <c r="AX200" s="4"/>
      <c r="AY200" s="4"/>
      <c r="AZ200" s="4"/>
      <c r="BA200" s="4"/>
      <c r="BB200" s="4"/>
      <c r="BC200" s="4"/>
      <c r="BD200" s="4"/>
      <c r="BE200" s="4"/>
      <c r="BF200" s="4"/>
      <c r="BG200" s="4"/>
      <c r="BH200" s="4"/>
      <c r="BI200" s="4"/>
      <c r="BJ200" s="4"/>
      <c r="BK200" s="4"/>
      <c r="BL200" s="4"/>
      <c r="BM200" s="4"/>
      <c r="BN200" s="4"/>
      <c r="BO200" s="4"/>
      <c r="BP200" s="4"/>
      <c r="BQ200" s="4"/>
      <c r="BR200" s="4"/>
    </row>
    <row r="201" spans="1:70" ht="27" customHeight="1" x14ac:dyDescent="0.2">
      <c r="A201" s="532"/>
      <c r="B201" s="917"/>
      <c r="C201" s="4"/>
      <c r="D201" s="917"/>
      <c r="E201" s="4"/>
      <c r="F201" s="917"/>
      <c r="G201" s="4"/>
      <c r="H201" s="920"/>
      <c r="I201" s="3"/>
      <c r="J201" s="920"/>
      <c r="K201" s="3"/>
      <c r="L201" s="920"/>
      <c r="M201" s="3"/>
      <c r="N201" s="920"/>
      <c r="O201" s="3"/>
      <c r="P201" s="3"/>
      <c r="Q201" s="533"/>
      <c r="R201" s="920"/>
      <c r="S201" s="534"/>
      <c r="T201" s="920"/>
      <c r="U201" s="920"/>
      <c r="V201" s="920"/>
      <c r="W201" s="535"/>
      <c r="X201" s="687"/>
      <c r="Y201" s="687"/>
      <c r="Z201" s="687"/>
      <c r="AA201" s="678"/>
      <c r="AB201" s="543"/>
      <c r="AC201" s="3"/>
      <c r="AD201" s="533"/>
      <c r="AE201" s="3"/>
      <c r="AF201" s="4"/>
      <c r="AG201" s="4"/>
      <c r="AH201" s="4"/>
      <c r="AI201" s="4"/>
      <c r="AJ201" s="4"/>
      <c r="AK201" s="4"/>
      <c r="AL201" s="4"/>
      <c r="AM201" s="4"/>
      <c r="AN201" s="4"/>
      <c r="AO201" s="4"/>
      <c r="AP201" s="4"/>
      <c r="AQ201" s="4"/>
      <c r="AR201" s="4"/>
      <c r="AS201" s="4"/>
      <c r="AT201" s="4"/>
      <c r="AU201" s="4"/>
      <c r="AV201" s="537"/>
      <c r="AW201" s="537"/>
      <c r="AX201" s="4"/>
      <c r="AY201" s="4"/>
      <c r="AZ201" s="4"/>
      <c r="BA201" s="4"/>
      <c r="BB201" s="4"/>
      <c r="BC201" s="4"/>
      <c r="BD201" s="4"/>
      <c r="BE201" s="4"/>
      <c r="BF201" s="4"/>
      <c r="BG201" s="4"/>
      <c r="BH201" s="4"/>
      <c r="BI201" s="4"/>
      <c r="BJ201" s="4"/>
      <c r="BK201" s="4"/>
      <c r="BL201" s="4"/>
      <c r="BM201" s="4"/>
      <c r="BN201" s="4"/>
      <c r="BO201" s="4"/>
      <c r="BP201" s="4"/>
      <c r="BQ201" s="4"/>
      <c r="BR201" s="4"/>
    </row>
    <row r="202" spans="1:70" ht="27" customHeight="1" x14ac:dyDescent="0.2">
      <c r="A202" s="532"/>
      <c r="B202" s="917"/>
      <c r="C202" s="4"/>
      <c r="D202" s="917"/>
      <c r="E202" s="4"/>
      <c r="F202" s="917"/>
      <c r="G202" s="4"/>
      <c r="H202" s="920"/>
      <c r="I202" s="3"/>
      <c r="J202" s="920"/>
      <c r="K202" s="3"/>
      <c r="L202" s="920"/>
      <c r="M202" s="3"/>
      <c r="N202" s="920"/>
      <c r="O202" s="3"/>
      <c r="P202" s="3"/>
      <c r="Q202" s="533"/>
      <c r="R202" s="920"/>
      <c r="S202" s="534"/>
      <c r="T202" s="920"/>
      <c r="U202" s="920"/>
      <c r="V202" s="920"/>
      <c r="W202" s="535"/>
      <c r="X202" s="687"/>
      <c r="Y202" s="687"/>
      <c r="Z202" s="687"/>
      <c r="AA202" s="678"/>
      <c r="AB202" s="543"/>
      <c r="AC202" s="3"/>
      <c r="AD202" s="533"/>
      <c r="AE202" s="3"/>
      <c r="AF202" s="4"/>
      <c r="AG202" s="4"/>
      <c r="AH202" s="4"/>
      <c r="AI202" s="4"/>
      <c r="AJ202" s="4"/>
      <c r="AK202" s="4"/>
      <c r="AL202" s="4"/>
      <c r="AM202" s="4"/>
      <c r="AN202" s="4"/>
      <c r="AO202" s="4"/>
      <c r="AP202" s="4"/>
      <c r="AQ202" s="4"/>
      <c r="AR202" s="4"/>
      <c r="AS202" s="4"/>
      <c r="AT202" s="4"/>
      <c r="AU202" s="4"/>
      <c r="AV202" s="537"/>
      <c r="AW202" s="537"/>
      <c r="AX202" s="4"/>
      <c r="AY202" s="4"/>
      <c r="AZ202" s="4"/>
      <c r="BA202" s="4"/>
      <c r="BB202" s="4"/>
      <c r="BC202" s="4"/>
      <c r="BD202" s="4"/>
      <c r="BE202" s="4"/>
      <c r="BF202" s="4"/>
      <c r="BG202" s="4"/>
      <c r="BH202" s="4"/>
      <c r="BI202" s="4"/>
      <c r="BJ202" s="4"/>
      <c r="BK202" s="4"/>
      <c r="BL202" s="4"/>
      <c r="BM202" s="4"/>
      <c r="BN202" s="4"/>
      <c r="BO202" s="4"/>
      <c r="BP202" s="4"/>
      <c r="BQ202" s="4"/>
      <c r="BR202" s="4"/>
    </row>
    <row r="203" spans="1:70" ht="27" customHeight="1" x14ac:dyDescent="0.2">
      <c r="A203" s="532"/>
      <c r="B203" s="917"/>
      <c r="C203" s="4"/>
      <c r="D203" s="917"/>
      <c r="E203" s="4"/>
      <c r="F203" s="917"/>
      <c r="G203" s="4"/>
      <c r="H203" s="920"/>
      <c r="I203" s="3"/>
      <c r="J203" s="920"/>
      <c r="K203" s="3"/>
      <c r="L203" s="920"/>
      <c r="M203" s="3"/>
      <c r="N203" s="920"/>
      <c r="O203" s="3"/>
      <c r="P203" s="3"/>
      <c r="Q203" s="533"/>
      <c r="R203" s="920"/>
      <c r="S203" s="534"/>
      <c r="T203" s="920"/>
      <c r="U203" s="920"/>
      <c r="V203" s="920"/>
      <c r="W203" s="535"/>
      <c r="X203" s="687"/>
      <c r="Y203" s="687"/>
      <c r="Z203" s="687"/>
      <c r="AA203" s="678"/>
      <c r="AB203" s="543"/>
      <c r="AC203" s="3"/>
      <c r="AD203" s="533"/>
      <c r="AE203" s="3"/>
      <c r="AF203" s="4"/>
      <c r="AG203" s="4"/>
      <c r="AH203" s="4"/>
      <c r="AI203" s="4"/>
      <c r="AJ203" s="4"/>
      <c r="AK203" s="4"/>
      <c r="AL203" s="4"/>
      <c r="AM203" s="4"/>
      <c r="AN203" s="4"/>
      <c r="AO203" s="4"/>
      <c r="AP203" s="4"/>
      <c r="AQ203" s="4"/>
      <c r="AR203" s="4"/>
      <c r="AS203" s="4"/>
      <c r="AT203" s="4"/>
      <c r="AU203" s="4"/>
      <c r="AV203" s="537"/>
      <c r="AW203" s="537"/>
      <c r="AX203" s="4"/>
      <c r="AY203" s="4"/>
      <c r="AZ203" s="4"/>
      <c r="BA203" s="4"/>
      <c r="BB203" s="4"/>
      <c r="BC203" s="4"/>
      <c r="BD203" s="4"/>
      <c r="BE203" s="4"/>
      <c r="BF203" s="4"/>
      <c r="BG203" s="4"/>
      <c r="BH203" s="4"/>
      <c r="BI203" s="4"/>
      <c r="BJ203" s="4"/>
      <c r="BK203" s="4"/>
      <c r="BL203" s="4"/>
      <c r="BM203" s="4"/>
      <c r="BN203" s="4"/>
      <c r="BO203" s="4"/>
      <c r="BP203" s="4"/>
      <c r="BQ203" s="4"/>
      <c r="BR203" s="4"/>
    </row>
    <row r="204" spans="1:70" ht="27" customHeight="1" x14ac:dyDescent="0.2">
      <c r="A204" s="532"/>
      <c r="B204" s="917"/>
      <c r="C204" s="4"/>
      <c r="D204" s="917"/>
      <c r="E204" s="4"/>
      <c r="F204" s="917"/>
      <c r="G204" s="4"/>
      <c r="H204" s="920"/>
      <c r="I204" s="3"/>
      <c r="J204" s="920"/>
      <c r="K204" s="3"/>
      <c r="L204" s="920"/>
      <c r="M204" s="3"/>
      <c r="N204" s="920"/>
      <c r="O204" s="3"/>
      <c r="P204" s="3"/>
      <c r="Q204" s="533"/>
      <c r="R204" s="920"/>
      <c r="S204" s="534"/>
      <c r="T204" s="920"/>
      <c r="U204" s="920"/>
      <c r="V204" s="920"/>
      <c r="W204" s="535"/>
      <c r="X204" s="687"/>
      <c r="Y204" s="687"/>
      <c r="Z204" s="687"/>
      <c r="AA204" s="678"/>
      <c r="AB204" s="543"/>
      <c r="AC204" s="3"/>
      <c r="AD204" s="533"/>
      <c r="AE204" s="3"/>
      <c r="AF204" s="4"/>
      <c r="AG204" s="4"/>
      <c r="AH204" s="4"/>
      <c r="AI204" s="4"/>
      <c r="AJ204" s="4"/>
      <c r="AK204" s="4"/>
      <c r="AL204" s="4"/>
      <c r="AM204" s="4"/>
      <c r="AN204" s="4"/>
      <c r="AO204" s="4"/>
      <c r="AP204" s="4"/>
      <c r="AQ204" s="4"/>
      <c r="AR204" s="4"/>
      <c r="AS204" s="4"/>
      <c r="AT204" s="4"/>
      <c r="AU204" s="4"/>
      <c r="AV204" s="537"/>
      <c r="AW204" s="537"/>
      <c r="AX204" s="4"/>
      <c r="AY204" s="4"/>
      <c r="AZ204" s="4"/>
      <c r="BA204" s="4"/>
      <c r="BB204" s="4"/>
      <c r="BC204" s="4"/>
      <c r="BD204" s="4"/>
      <c r="BE204" s="4"/>
      <c r="BF204" s="4"/>
      <c r="BG204" s="4"/>
      <c r="BH204" s="4"/>
      <c r="BI204" s="4"/>
      <c r="BJ204" s="4"/>
      <c r="BK204" s="4"/>
      <c r="BL204" s="4"/>
      <c r="BM204" s="4"/>
      <c r="BN204" s="4"/>
      <c r="BO204" s="4"/>
      <c r="BP204" s="4"/>
      <c r="BQ204" s="4"/>
      <c r="BR204" s="4"/>
    </row>
    <row r="205" spans="1:70" ht="27" customHeight="1" x14ac:dyDescent="0.2">
      <c r="A205" s="532"/>
      <c r="B205" s="917"/>
      <c r="C205" s="4"/>
      <c r="D205" s="917"/>
      <c r="E205" s="4"/>
      <c r="F205" s="917"/>
      <c r="G205" s="4"/>
      <c r="H205" s="920"/>
      <c r="I205" s="3"/>
      <c r="J205" s="920"/>
      <c r="K205" s="3"/>
      <c r="L205" s="920"/>
      <c r="M205" s="3"/>
      <c r="N205" s="920"/>
      <c r="O205" s="3"/>
      <c r="P205" s="3"/>
      <c r="Q205" s="533"/>
      <c r="R205" s="920"/>
      <c r="S205" s="534"/>
      <c r="T205" s="920"/>
      <c r="U205" s="920"/>
      <c r="V205" s="920"/>
      <c r="W205" s="535"/>
      <c r="X205" s="687"/>
      <c r="Y205" s="687"/>
      <c r="Z205" s="687"/>
      <c r="AA205" s="678"/>
      <c r="AB205" s="543"/>
      <c r="AC205" s="3"/>
      <c r="AD205" s="533"/>
      <c r="AE205" s="3"/>
      <c r="AF205" s="4"/>
      <c r="AG205" s="4"/>
      <c r="AH205" s="4"/>
      <c r="AI205" s="4"/>
      <c r="AJ205" s="4"/>
      <c r="AK205" s="4"/>
      <c r="AL205" s="4"/>
      <c r="AM205" s="4"/>
      <c r="AN205" s="4"/>
      <c r="AO205" s="4"/>
      <c r="AP205" s="4"/>
      <c r="AQ205" s="4"/>
      <c r="AR205" s="4"/>
      <c r="AS205" s="4"/>
      <c r="AT205" s="4"/>
      <c r="AU205" s="4"/>
      <c r="AV205" s="537"/>
      <c r="AW205" s="537"/>
      <c r="AX205" s="4"/>
      <c r="AY205" s="4"/>
      <c r="AZ205" s="4"/>
      <c r="BA205" s="4"/>
      <c r="BB205" s="4"/>
      <c r="BC205" s="4"/>
      <c r="BD205" s="4"/>
      <c r="BE205" s="4"/>
      <c r="BF205" s="4"/>
      <c r="BG205" s="4"/>
      <c r="BH205" s="4"/>
      <c r="BI205" s="4"/>
      <c r="BJ205" s="4"/>
      <c r="BK205" s="4"/>
      <c r="BL205" s="4"/>
      <c r="BM205" s="4"/>
      <c r="BN205" s="4"/>
      <c r="BO205" s="4"/>
      <c r="BP205" s="4"/>
      <c r="BQ205" s="4"/>
      <c r="BR205" s="4"/>
    </row>
    <row r="206" spans="1:70" ht="27" customHeight="1" x14ac:dyDescent="0.2">
      <c r="A206" s="532"/>
      <c r="B206" s="917"/>
      <c r="C206" s="4"/>
      <c r="D206" s="917"/>
      <c r="E206" s="4"/>
      <c r="F206" s="917"/>
      <c r="G206" s="4"/>
      <c r="H206" s="920"/>
      <c r="I206" s="3"/>
      <c r="J206" s="920"/>
      <c r="K206" s="3"/>
      <c r="L206" s="920"/>
      <c r="M206" s="3"/>
      <c r="N206" s="920"/>
      <c r="O206" s="3"/>
      <c r="P206" s="3"/>
      <c r="Q206" s="533"/>
      <c r="R206" s="920"/>
      <c r="S206" s="534"/>
      <c r="T206" s="920"/>
      <c r="U206" s="920"/>
      <c r="V206" s="920"/>
      <c r="W206" s="535"/>
      <c r="X206" s="687"/>
      <c r="Y206" s="687"/>
      <c r="Z206" s="687"/>
      <c r="AA206" s="678"/>
      <c r="AB206" s="543"/>
      <c r="AC206" s="3"/>
      <c r="AD206" s="533"/>
      <c r="AE206" s="3"/>
      <c r="AF206" s="4"/>
      <c r="AG206" s="4"/>
      <c r="AH206" s="4"/>
      <c r="AI206" s="4"/>
      <c r="AJ206" s="4"/>
      <c r="AK206" s="4"/>
      <c r="AL206" s="4"/>
      <c r="AM206" s="4"/>
      <c r="AN206" s="4"/>
      <c r="AO206" s="4"/>
      <c r="AP206" s="4"/>
      <c r="AQ206" s="4"/>
      <c r="AR206" s="4"/>
      <c r="AS206" s="4"/>
      <c r="AT206" s="4"/>
      <c r="AU206" s="4"/>
      <c r="AV206" s="537"/>
      <c r="AW206" s="537"/>
      <c r="AX206" s="4"/>
      <c r="AY206" s="4"/>
      <c r="AZ206" s="4"/>
      <c r="BA206" s="4"/>
      <c r="BB206" s="4"/>
      <c r="BC206" s="4"/>
      <c r="BD206" s="4"/>
      <c r="BE206" s="4"/>
      <c r="BF206" s="4"/>
      <c r="BG206" s="4"/>
      <c r="BH206" s="4"/>
      <c r="BI206" s="4"/>
      <c r="BJ206" s="4"/>
      <c r="BK206" s="4"/>
      <c r="BL206" s="4"/>
      <c r="BM206" s="4"/>
      <c r="BN206" s="4"/>
      <c r="BO206" s="4"/>
      <c r="BP206" s="4"/>
      <c r="BQ206" s="4"/>
      <c r="BR206" s="4"/>
    </row>
    <row r="207" spans="1:70" ht="27" customHeight="1" x14ac:dyDescent="0.2">
      <c r="A207" s="532"/>
      <c r="B207" s="917"/>
      <c r="C207" s="4"/>
      <c r="D207" s="917"/>
      <c r="E207" s="4"/>
      <c r="F207" s="917"/>
      <c r="G207" s="4"/>
      <c r="H207" s="920"/>
      <c r="I207" s="3"/>
      <c r="J207" s="920"/>
      <c r="K207" s="3"/>
      <c r="L207" s="920"/>
      <c r="M207" s="3"/>
      <c r="N207" s="920"/>
      <c r="O207" s="3"/>
      <c r="P207" s="3"/>
      <c r="Q207" s="533"/>
      <c r="R207" s="920"/>
      <c r="S207" s="534"/>
      <c r="T207" s="920"/>
      <c r="U207" s="920"/>
      <c r="V207" s="920"/>
      <c r="W207" s="535"/>
      <c r="X207" s="687"/>
      <c r="Y207" s="687"/>
      <c r="Z207" s="687"/>
      <c r="AA207" s="678"/>
      <c r="AB207" s="543"/>
      <c r="AC207" s="3"/>
      <c r="AD207" s="533"/>
      <c r="AE207" s="3"/>
      <c r="AF207" s="4"/>
      <c r="AG207" s="4"/>
      <c r="AH207" s="4"/>
      <c r="AI207" s="4"/>
      <c r="AJ207" s="4"/>
      <c r="AK207" s="4"/>
      <c r="AL207" s="4"/>
      <c r="AM207" s="4"/>
      <c r="AN207" s="4"/>
      <c r="AO207" s="4"/>
      <c r="AP207" s="4"/>
      <c r="AQ207" s="4"/>
      <c r="AR207" s="4"/>
      <c r="AS207" s="4"/>
      <c r="AT207" s="4"/>
      <c r="AU207" s="4"/>
      <c r="AV207" s="537"/>
      <c r="AW207" s="537"/>
      <c r="AX207" s="4"/>
      <c r="AY207" s="4"/>
      <c r="AZ207" s="4"/>
      <c r="BA207" s="4"/>
      <c r="BB207" s="4"/>
      <c r="BC207" s="4"/>
      <c r="BD207" s="4"/>
      <c r="BE207" s="4"/>
      <c r="BF207" s="4"/>
      <c r="BG207" s="4"/>
      <c r="BH207" s="4"/>
      <c r="BI207" s="4"/>
      <c r="BJ207" s="4"/>
      <c r="BK207" s="4"/>
      <c r="BL207" s="4"/>
      <c r="BM207" s="4"/>
      <c r="BN207" s="4"/>
      <c r="BO207" s="4"/>
      <c r="BP207" s="4"/>
      <c r="BQ207" s="4"/>
      <c r="BR207" s="4"/>
    </row>
    <row r="208" spans="1:70" ht="27" customHeight="1" x14ac:dyDescent="0.2">
      <c r="A208" s="532"/>
      <c r="B208" s="917"/>
      <c r="C208" s="4"/>
      <c r="D208" s="917"/>
      <c r="E208" s="4"/>
      <c r="F208" s="917"/>
      <c r="G208" s="4"/>
      <c r="H208" s="920"/>
      <c r="I208" s="3"/>
      <c r="J208" s="920"/>
      <c r="K208" s="3"/>
      <c r="L208" s="920"/>
      <c r="M208" s="3"/>
      <c r="N208" s="920"/>
      <c r="O208" s="3"/>
      <c r="P208" s="3"/>
      <c r="Q208" s="533"/>
      <c r="R208" s="920"/>
      <c r="S208" s="534"/>
      <c r="T208" s="920"/>
      <c r="U208" s="920"/>
      <c r="V208" s="920"/>
      <c r="W208" s="535"/>
      <c r="X208" s="687"/>
      <c r="Y208" s="687"/>
      <c r="Z208" s="687"/>
      <c r="AA208" s="678"/>
      <c r="AB208" s="543"/>
      <c r="AC208" s="3"/>
      <c r="AD208" s="533"/>
      <c r="AE208" s="3"/>
      <c r="AF208" s="4"/>
      <c r="AG208" s="4"/>
      <c r="AH208" s="4"/>
      <c r="AI208" s="4"/>
      <c r="AJ208" s="4"/>
      <c r="AK208" s="4"/>
      <c r="AL208" s="4"/>
      <c r="AM208" s="4"/>
      <c r="AN208" s="4"/>
      <c r="AO208" s="4"/>
      <c r="AP208" s="4"/>
      <c r="AQ208" s="4"/>
      <c r="AR208" s="4"/>
      <c r="AS208" s="4"/>
      <c r="AT208" s="4"/>
      <c r="AU208" s="4"/>
      <c r="AV208" s="537"/>
      <c r="AW208" s="537"/>
      <c r="AX208" s="4"/>
      <c r="AY208" s="4"/>
      <c r="AZ208" s="4"/>
      <c r="BA208" s="4"/>
      <c r="BB208" s="4"/>
      <c r="BC208" s="4"/>
      <c r="BD208" s="4"/>
      <c r="BE208" s="4"/>
      <c r="BF208" s="4"/>
      <c r="BG208" s="4"/>
      <c r="BH208" s="4"/>
      <c r="BI208" s="4"/>
      <c r="BJ208" s="4"/>
      <c r="BK208" s="4"/>
      <c r="BL208" s="4"/>
      <c r="BM208" s="4"/>
      <c r="BN208" s="4"/>
      <c r="BO208" s="4"/>
      <c r="BP208" s="4"/>
      <c r="BQ208" s="4"/>
      <c r="BR208" s="4"/>
    </row>
    <row r="209" spans="1:70" ht="27" customHeight="1" x14ac:dyDescent="0.2">
      <c r="A209" s="532"/>
      <c r="B209" s="917"/>
      <c r="C209" s="4"/>
      <c r="D209" s="917"/>
      <c r="E209" s="4"/>
      <c r="F209" s="917"/>
      <c r="G209" s="4"/>
      <c r="H209" s="920"/>
      <c r="I209" s="3"/>
      <c r="J209" s="920"/>
      <c r="K209" s="3"/>
      <c r="L209" s="920"/>
      <c r="M209" s="3"/>
      <c r="N209" s="920"/>
      <c r="O209" s="3"/>
      <c r="P209" s="3"/>
      <c r="Q209" s="533"/>
      <c r="R209" s="920"/>
      <c r="S209" s="534"/>
      <c r="T209" s="920"/>
      <c r="U209" s="920"/>
      <c r="V209" s="920"/>
      <c r="W209" s="535"/>
      <c r="X209" s="687"/>
      <c r="Y209" s="687"/>
      <c r="Z209" s="687"/>
      <c r="AA209" s="678"/>
      <c r="AB209" s="543"/>
      <c r="AC209" s="3"/>
      <c r="AD209" s="533"/>
      <c r="AE209" s="3"/>
      <c r="AF209" s="4"/>
      <c r="AG209" s="4"/>
      <c r="AH209" s="4"/>
      <c r="AI209" s="4"/>
      <c r="AJ209" s="4"/>
      <c r="AK209" s="4"/>
      <c r="AL209" s="4"/>
      <c r="AM209" s="4"/>
      <c r="AN209" s="4"/>
      <c r="AO209" s="4"/>
      <c r="AP209" s="4"/>
      <c r="AQ209" s="4"/>
      <c r="AR209" s="4"/>
      <c r="AS209" s="4"/>
      <c r="AT209" s="4"/>
      <c r="AU209" s="4"/>
      <c r="AV209" s="537"/>
      <c r="AW209" s="537"/>
      <c r="AX209" s="4"/>
      <c r="AY209" s="4"/>
      <c r="AZ209" s="4"/>
      <c r="BA209" s="4"/>
      <c r="BB209" s="4"/>
      <c r="BC209" s="4"/>
      <c r="BD209" s="4"/>
      <c r="BE209" s="4"/>
      <c r="BF209" s="4"/>
      <c r="BG209" s="4"/>
      <c r="BH209" s="4"/>
      <c r="BI209" s="4"/>
      <c r="BJ209" s="4"/>
      <c r="BK209" s="4"/>
      <c r="BL209" s="4"/>
      <c r="BM209" s="4"/>
      <c r="BN209" s="4"/>
      <c r="BO209" s="4"/>
      <c r="BP209" s="4"/>
      <c r="BQ209" s="4"/>
      <c r="BR209" s="4"/>
    </row>
    <row r="210" spans="1:70" ht="27" customHeight="1" x14ac:dyDescent="0.2">
      <c r="A210" s="532"/>
      <c r="B210" s="917"/>
      <c r="C210" s="4"/>
      <c r="D210" s="917"/>
      <c r="E210" s="4"/>
      <c r="F210" s="917"/>
      <c r="G210" s="4"/>
      <c r="H210" s="920"/>
      <c r="I210" s="3"/>
      <c r="J210" s="920"/>
      <c r="K210" s="3"/>
      <c r="L210" s="920"/>
      <c r="M210" s="3"/>
      <c r="N210" s="920"/>
      <c r="O210" s="3"/>
      <c r="P210" s="3"/>
      <c r="Q210" s="533"/>
      <c r="R210" s="920"/>
      <c r="S210" s="534"/>
      <c r="T210" s="920"/>
      <c r="U210" s="920"/>
      <c r="V210" s="920"/>
      <c r="W210" s="535"/>
      <c r="X210" s="687"/>
      <c r="Y210" s="687"/>
      <c r="Z210" s="687"/>
      <c r="AA210" s="678"/>
      <c r="AB210" s="543"/>
      <c r="AC210" s="3"/>
      <c r="AD210" s="533"/>
      <c r="AE210" s="3"/>
      <c r="AF210" s="4"/>
      <c r="AG210" s="4"/>
      <c r="AH210" s="4"/>
      <c r="AI210" s="4"/>
      <c r="AJ210" s="4"/>
      <c r="AK210" s="4"/>
      <c r="AL210" s="4"/>
      <c r="AM210" s="4"/>
      <c r="AN210" s="4"/>
      <c r="AO210" s="4"/>
      <c r="AP210" s="4"/>
      <c r="AQ210" s="4"/>
      <c r="AR210" s="4"/>
      <c r="AS210" s="4"/>
      <c r="AT210" s="4"/>
      <c r="AU210" s="4"/>
      <c r="AV210" s="537"/>
      <c r="AW210" s="537"/>
      <c r="AX210" s="4"/>
      <c r="AY210" s="4"/>
      <c r="AZ210" s="4"/>
      <c r="BA210" s="4"/>
      <c r="BB210" s="4"/>
      <c r="BC210" s="4"/>
      <c r="BD210" s="4"/>
      <c r="BE210" s="4"/>
      <c r="BF210" s="4"/>
      <c r="BG210" s="4"/>
      <c r="BH210" s="4"/>
      <c r="BI210" s="4"/>
      <c r="BJ210" s="4"/>
      <c r="BK210" s="4"/>
      <c r="BL210" s="4"/>
      <c r="BM210" s="4"/>
      <c r="BN210" s="4"/>
      <c r="BO210" s="4"/>
      <c r="BP210" s="4"/>
      <c r="BQ210" s="4"/>
      <c r="BR210" s="4"/>
    </row>
    <row r="211" spans="1:70" ht="27" customHeight="1" x14ac:dyDescent="0.2">
      <c r="A211" s="532"/>
      <c r="B211" s="917"/>
      <c r="C211" s="4"/>
      <c r="D211" s="917"/>
      <c r="E211" s="4"/>
      <c r="F211" s="917"/>
      <c r="G211" s="4"/>
      <c r="H211" s="920"/>
      <c r="I211" s="3"/>
      <c r="J211" s="920"/>
      <c r="K211" s="3"/>
      <c r="L211" s="920"/>
      <c r="M211" s="3"/>
      <c r="N211" s="920"/>
      <c r="O211" s="3"/>
      <c r="P211" s="3"/>
      <c r="Q211" s="533"/>
      <c r="R211" s="920"/>
      <c r="S211" s="534"/>
      <c r="T211" s="920"/>
      <c r="U211" s="920"/>
      <c r="V211" s="920"/>
      <c r="W211" s="535"/>
      <c r="X211" s="687"/>
      <c r="Y211" s="687"/>
      <c r="Z211" s="687"/>
      <c r="AA211" s="678"/>
      <c r="AB211" s="543"/>
      <c r="AC211" s="3"/>
      <c r="AD211" s="533"/>
      <c r="AE211" s="3"/>
      <c r="AF211" s="4"/>
      <c r="AG211" s="4"/>
      <c r="AH211" s="4"/>
      <c r="AI211" s="4"/>
      <c r="AJ211" s="4"/>
      <c r="AK211" s="4"/>
      <c r="AL211" s="4"/>
      <c r="AM211" s="4"/>
      <c r="AN211" s="4"/>
      <c r="AO211" s="4"/>
      <c r="AP211" s="4"/>
      <c r="AQ211" s="4"/>
      <c r="AR211" s="4"/>
      <c r="AS211" s="4"/>
      <c r="AT211" s="4"/>
      <c r="AU211" s="4"/>
      <c r="AV211" s="537"/>
      <c r="AW211" s="537"/>
      <c r="AX211" s="4"/>
      <c r="AY211" s="4"/>
      <c r="AZ211" s="4"/>
      <c r="BA211" s="4"/>
      <c r="BB211" s="4"/>
      <c r="BC211" s="4"/>
      <c r="BD211" s="4"/>
      <c r="BE211" s="4"/>
      <c r="BF211" s="4"/>
      <c r="BG211" s="4"/>
      <c r="BH211" s="4"/>
      <c r="BI211" s="4"/>
      <c r="BJ211" s="4"/>
      <c r="BK211" s="4"/>
      <c r="BL211" s="4"/>
      <c r="BM211" s="4"/>
      <c r="BN211" s="4"/>
      <c r="BO211" s="4"/>
      <c r="BP211" s="4"/>
      <c r="BQ211" s="4"/>
      <c r="BR211" s="4"/>
    </row>
    <row r="212" spans="1:70" ht="27" customHeight="1" x14ac:dyDescent="0.2">
      <c r="A212" s="532"/>
      <c r="B212" s="917"/>
      <c r="C212" s="4"/>
      <c r="D212" s="917"/>
      <c r="E212" s="4"/>
      <c r="F212" s="917"/>
      <c r="G212" s="4"/>
      <c r="H212" s="920"/>
      <c r="I212" s="3"/>
      <c r="J212" s="920"/>
      <c r="K212" s="3"/>
      <c r="L212" s="920"/>
      <c r="M212" s="3"/>
      <c r="N212" s="920"/>
      <c r="O212" s="3"/>
      <c r="P212" s="3"/>
      <c r="Q212" s="533"/>
      <c r="R212" s="920"/>
      <c r="S212" s="534"/>
      <c r="T212" s="920"/>
      <c r="U212" s="920"/>
      <c r="V212" s="920"/>
      <c r="W212" s="535"/>
      <c r="X212" s="687"/>
      <c r="Y212" s="687"/>
      <c r="Z212" s="687"/>
      <c r="AA212" s="678"/>
      <c r="AB212" s="543"/>
      <c r="AC212" s="3"/>
      <c r="AD212" s="533"/>
      <c r="AE212" s="3"/>
      <c r="AF212" s="4"/>
      <c r="AG212" s="4"/>
      <c r="AH212" s="4"/>
      <c r="AI212" s="4"/>
      <c r="AJ212" s="4"/>
      <c r="AK212" s="4"/>
      <c r="AL212" s="4"/>
      <c r="AM212" s="4"/>
      <c r="AN212" s="4"/>
      <c r="AO212" s="4"/>
      <c r="AP212" s="4"/>
      <c r="AQ212" s="4"/>
      <c r="AR212" s="4"/>
      <c r="AS212" s="4"/>
      <c r="AT212" s="4"/>
      <c r="AU212" s="4"/>
      <c r="AV212" s="537"/>
      <c r="AW212" s="537"/>
      <c r="AX212" s="4"/>
      <c r="AY212" s="4"/>
      <c r="AZ212" s="4"/>
      <c r="BA212" s="4"/>
      <c r="BB212" s="4"/>
      <c r="BC212" s="4"/>
      <c r="BD212" s="4"/>
      <c r="BE212" s="4"/>
      <c r="BF212" s="4"/>
      <c r="BG212" s="4"/>
      <c r="BH212" s="4"/>
      <c r="BI212" s="4"/>
      <c r="BJ212" s="4"/>
      <c r="BK212" s="4"/>
      <c r="BL212" s="4"/>
      <c r="BM212" s="4"/>
      <c r="BN212" s="4"/>
      <c r="BO212" s="4"/>
      <c r="BP212" s="4"/>
      <c r="BQ212" s="4"/>
      <c r="BR212" s="4"/>
    </row>
    <row r="213" spans="1:70" ht="27" customHeight="1" x14ac:dyDescent="0.2">
      <c r="A213" s="532"/>
      <c r="B213" s="917"/>
      <c r="C213" s="4"/>
      <c r="D213" s="917"/>
      <c r="E213" s="4"/>
      <c r="F213" s="917"/>
      <c r="G213" s="4"/>
      <c r="H213" s="920"/>
      <c r="I213" s="3"/>
      <c r="J213" s="920"/>
      <c r="K213" s="3"/>
      <c r="L213" s="920"/>
      <c r="M213" s="3"/>
      <c r="N213" s="920"/>
      <c r="O213" s="3"/>
      <c r="P213" s="3"/>
      <c r="Q213" s="533"/>
      <c r="R213" s="920"/>
      <c r="S213" s="534"/>
      <c r="T213" s="920"/>
      <c r="U213" s="920"/>
      <c r="V213" s="920"/>
      <c r="W213" s="535"/>
      <c r="X213" s="687"/>
      <c r="Y213" s="687"/>
      <c r="Z213" s="687"/>
      <c r="AA213" s="678"/>
      <c r="AB213" s="543"/>
      <c r="AC213" s="3"/>
      <c r="AD213" s="533"/>
      <c r="AE213" s="3"/>
      <c r="AF213" s="4"/>
      <c r="AG213" s="4"/>
      <c r="AH213" s="4"/>
      <c r="AI213" s="4"/>
      <c r="AJ213" s="4"/>
      <c r="AK213" s="4"/>
      <c r="AL213" s="4"/>
      <c r="AM213" s="4"/>
      <c r="AN213" s="4"/>
      <c r="AO213" s="4"/>
      <c r="AP213" s="4"/>
      <c r="AQ213" s="4"/>
      <c r="AR213" s="4"/>
      <c r="AS213" s="4"/>
      <c r="AT213" s="4"/>
      <c r="AU213" s="4"/>
      <c r="AV213" s="537"/>
      <c r="AW213" s="537"/>
      <c r="AX213" s="4"/>
      <c r="AY213" s="4"/>
      <c r="AZ213" s="4"/>
      <c r="BA213" s="4"/>
      <c r="BB213" s="4"/>
      <c r="BC213" s="4"/>
      <c r="BD213" s="4"/>
      <c r="BE213" s="4"/>
      <c r="BF213" s="4"/>
      <c r="BG213" s="4"/>
      <c r="BH213" s="4"/>
      <c r="BI213" s="4"/>
      <c r="BJ213" s="4"/>
      <c r="BK213" s="4"/>
      <c r="BL213" s="4"/>
      <c r="BM213" s="4"/>
      <c r="BN213" s="4"/>
      <c r="BO213" s="4"/>
      <c r="BP213" s="4"/>
      <c r="BQ213" s="4"/>
      <c r="BR213" s="4"/>
    </row>
    <row r="214" spans="1:70" ht="27" customHeight="1" x14ac:dyDescent="0.2">
      <c r="A214" s="532"/>
      <c r="B214" s="917"/>
      <c r="C214" s="4"/>
      <c r="D214" s="917"/>
      <c r="E214" s="4"/>
      <c r="F214" s="917"/>
      <c r="G214" s="4"/>
      <c r="H214" s="920"/>
      <c r="I214" s="3"/>
      <c r="J214" s="920"/>
      <c r="K214" s="3"/>
      <c r="L214" s="920"/>
      <c r="M214" s="3"/>
      <c r="N214" s="920"/>
      <c r="O214" s="3"/>
      <c r="P214" s="3"/>
      <c r="Q214" s="533"/>
      <c r="R214" s="920"/>
      <c r="S214" s="534"/>
      <c r="T214" s="920"/>
      <c r="U214" s="920"/>
      <c r="V214" s="920"/>
      <c r="W214" s="535"/>
      <c r="X214" s="687"/>
      <c r="Y214" s="687"/>
      <c r="Z214" s="687"/>
      <c r="AA214" s="678"/>
      <c r="AB214" s="543"/>
      <c r="AC214" s="3"/>
      <c r="AD214" s="533"/>
      <c r="AE214" s="3"/>
      <c r="AF214" s="4"/>
      <c r="AG214" s="4"/>
      <c r="AH214" s="4"/>
      <c r="AI214" s="4"/>
      <c r="AJ214" s="4"/>
      <c r="AK214" s="4"/>
      <c r="AL214" s="4"/>
      <c r="AM214" s="4"/>
      <c r="AN214" s="4"/>
      <c r="AO214" s="4"/>
      <c r="AP214" s="4"/>
      <c r="AQ214" s="4"/>
      <c r="AR214" s="4"/>
      <c r="AS214" s="4"/>
      <c r="AT214" s="4"/>
      <c r="AU214" s="4"/>
      <c r="AV214" s="537"/>
      <c r="AW214" s="537"/>
      <c r="AX214" s="4"/>
      <c r="AY214" s="4"/>
      <c r="AZ214" s="4"/>
      <c r="BA214" s="4"/>
      <c r="BB214" s="4"/>
      <c r="BC214" s="4"/>
      <c r="BD214" s="4"/>
      <c r="BE214" s="4"/>
      <c r="BF214" s="4"/>
      <c r="BG214" s="4"/>
      <c r="BH214" s="4"/>
      <c r="BI214" s="4"/>
      <c r="BJ214" s="4"/>
      <c r="BK214" s="4"/>
      <c r="BL214" s="4"/>
      <c r="BM214" s="4"/>
      <c r="BN214" s="4"/>
      <c r="BO214" s="4"/>
      <c r="BP214" s="4"/>
      <c r="BQ214" s="4"/>
      <c r="BR214" s="4"/>
    </row>
    <row r="215" spans="1:70" ht="27" customHeight="1" x14ac:dyDescent="0.2">
      <c r="A215" s="532"/>
      <c r="B215" s="917"/>
      <c r="C215" s="4"/>
      <c r="D215" s="917"/>
      <c r="E215" s="4"/>
      <c r="F215" s="917"/>
      <c r="G215" s="4"/>
      <c r="H215" s="920"/>
      <c r="I215" s="3"/>
      <c r="J215" s="920"/>
      <c r="K215" s="3"/>
      <c r="L215" s="920"/>
      <c r="M215" s="3"/>
      <c r="N215" s="920"/>
      <c r="O215" s="3"/>
      <c r="P215" s="3"/>
      <c r="Q215" s="533"/>
      <c r="R215" s="920"/>
      <c r="S215" s="534"/>
      <c r="T215" s="920"/>
      <c r="U215" s="920"/>
      <c r="V215" s="920"/>
      <c r="W215" s="535"/>
      <c r="X215" s="687"/>
      <c r="Y215" s="687"/>
      <c r="Z215" s="687"/>
      <c r="AA215" s="678"/>
      <c r="AB215" s="543"/>
      <c r="AC215" s="3"/>
      <c r="AD215" s="533"/>
      <c r="AE215" s="3"/>
      <c r="AF215" s="4"/>
      <c r="AG215" s="4"/>
      <c r="AH215" s="4"/>
      <c r="AI215" s="4"/>
      <c r="AJ215" s="4"/>
      <c r="AK215" s="4"/>
      <c r="AL215" s="4"/>
      <c r="AM215" s="4"/>
      <c r="AN215" s="4"/>
      <c r="AO215" s="4"/>
      <c r="AP215" s="4"/>
      <c r="AQ215" s="4"/>
      <c r="AR215" s="4"/>
      <c r="AS215" s="4"/>
      <c r="AT215" s="4"/>
      <c r="AU215" s="4"/>
      <c r="AV215" s="537"/>
      <c r="AW215" s="537"/>
      <c r="AX215" s="4"/>
      <c r="AY215" s="4"/>
      <c r="AZ215" s="4"/>
      <c r="BA215" s="4"/>
      <c r="BB215" s="4"/>
      <c r="BC215" s="4"/>
      <c r="BD215" s="4"/>
      <c r="BE215" s="4"/>
      <c r="BF215" s="4"/>
      <c r="BG215" s="4"/>
      <c r="BH215" s="4"/>
      <c r="BI215" s="4"/>
      <c r="BJ215" s="4"/>
      <c r="BK215" s="4"/>
      <c r="BL215" s="4"/>
      <c r="BM215" s="4"/>
      <c r="BN215" s="4"/>
      <c r="BO215" s="4"/>
      <c r="BP215" s="4"/>
      <c r="BQ215" s="4"/>
      <c r="BR215" s="4"/>
    </row>
    <row r="216" spans="1:70" ht="27" customHeight="1" x14ac:dyDescent="0.2">
      <c r="A216" s="532"/>
      <c r="B216" s="917"/>
      <c r="C216" s="4"/>
      <c r="D216" s="917"/>
      <c r="E216" s="4"/>
      <c r="F216" s="917"/>
      <c r="G216" s="4"/>
      <c r="H216" s="920"/>
      <c r="I216" s="3"/>
      <c r="J216" s="920"/>
      <c r="K216" s="3"/>
      <c r="L216" s="920"/>
      <c r="M216" s="3"/>
      <c r="N216" s="920"/>
      <c r="O216" s="3"/>
      <c r="P216" s="3"/>
      <c r="Q216" s="533"/>
      <c r="R216" s="920"/>
      <c r="S216" s="534"/>
      <c r="T216" s="920"/>
      <c r="U216" s="920"/>
      <c r="V216" s="920"/>
      <c r="W216" s="535"/>
      <c r="X216" s="687"/>
      <c r="Y216" s="687"/>
      <c r="Z216" s="687"/>
      <c r="AA216" s="678"/>
      <c r="AB216" s="543"/>
      <c r="AC216" s="3"/>
      <c r="AD216" s="533"/>
      <c r="AE216" s="3"/>
      <c r="AF216" s="4"/>
      <c r="AG216" s="4"/>
      <c r="AH216" s="4"/>
      <c r="AI216" s="4"/>
      <c r="AJ216" s="4"/>
      <c r="AK216" s="4"/>
      <c r="AL216" s="4"/>
      <c r="AM216" s="4"/>
      <c r="AN216" s="4"/>
      <c r="AO216" s="4"/>
      <c r="AP216" s="4"/>
      <c r="AQ216" s="4"/>
      <c r="AR216" s="4"/>
      <c r="AS216" s="4"/>
      <c r="AT216" s="4"/>
      <c r="AU216" s="4"/>
      <c r="AV216" s="537"/>
      <c r="AW216" s="537"/>
      <c r="AX216" s="4"/>
      <c r="AY216" s="4"/>
      <c r="AZ216" s="4"/>
      <c r="BA216" s="4"/>
      <c r="BB216" s="4"/>
      <c r="BC216" s="4"/>
      <c r="BD216" s="4"/>
      <c r="BE216" s="4"/>
      <c r="BF216" s="4"/>
      <c r="BG216" s="4"/>
      <c r="BH216" s="4"/>
      <c r="BI216" s="4"/>
      <c r="BJ216" s="4"/>
      <c r="BK216" s="4"/>
      <c r="BL216" s="4"/>
      <c r="BM216" s="4"/>
      <c r="BN216" s="4"/>
      <c r="BO216" s="4"/>
      <c r="BP216" s="4"/>
      <c r="BQ216" s="4"/>
      <c r="BR216" s="4"/>
    </row>
    <row r="217" spans="1:70" ht="27" customHeight="1" x14ac:dyDescent="0.2">
      <c r="A217" s="532"/>
      <c r="B217" s="917"/>
      <c r="C217" s="4"/>
      <c r="D217" s="917"/>
      <c r="E217" s="4"/>
      <c r="F217" s="917"/>
      <c r="G217" s="4"/>
      <c r="H217" s="920"/>
      <c r="I217" s="3"/>
      <c r="J217" s="920"/>
      <c r="K217" s="3"/>
      <c r="L217" s="920"/>
      <c r="M217" s="3"/>
      <c r="N217" s="920"/>
      <c r="O217" s="3"/>
      <c r="P217" s="3"/>
      <c r="Q217" s="533"/>
      <c r="R217" s="920"/>
      <c r="S217" s="534"/>
      <c r="T217" s="920"/>
      <c r="U217" s="920"/>
      <c r="V217" s="920"/>
      <c r="W217" s="535"/>
      <c r="X217" s="687"/>
      <c r="Y217" s="687"/>
      <c r="Z217" s="687"/>
      <c r="AA217" s="678"/>
      <c r="AB217" s="543"/>
      <c r="AC217" s="3"/>
      <c r="AD217" s="533"/>
      <c r="AE217" s="3"/>
      <c r="AF217" s="4"/>
      <c r="AG217" s="4"/>
      <c r="AH217" s="4"/>
      <c r="AI217" s="4"/>
      <c r="AJ217" s="4"/>
      <c r="AK217" s="4"/>
      <c r="AL217" s="4"/>
      <c r="AM217" s="4"/>
      <c r="AN217" s="4"/>
      <c r="AO217" s="4"/>
      <c r="AP217" s="4"/>
      <c r="AQ217" s="4"/>
      <c r="AR217" s="4"/>
      <c r="AS217" s="4"/>
      <c r="AT217" s="4"/>
      <c r="AU217" s="4"/>
      <c r="AV217" s="537"/>
      <c r="AW217" s="537"/>
      <c r="AX217" s="4"/>
      <c r="AY217" s="4"/>
      <c r="AZ217" s="4"/>
      <c r="BA217" s="4"/>
      <c r="BB217" s="4"/>
      <c r="BC217" s="4"/>
      <c r="BD217" s="4"/>
      <c r="BE217" s="4"/>
      <c r="BF217" s="4"/>
      <c r="BG217" s="4"/>
      <c r="BH217" s="4"/>
      <c r="BI217" s="4"/>
      <c r="BJ217" s="4"/>
      <c r="BK217" s="4"/>
      <c r="BL217" s="4"/>
      <c r="BM217" s="4"/>
      <c r="BN217" s="4"/>
      <c r="BO217" s="4"/>
      <c r="BP217" s="4"/>
      <c r="BQ217" s="4"/>
      <c r="BR217" s="4"/>
    </row>
    <row r="218" spans="1:70" ht="27" customHeight="1" x14ac:dyDescent="0.2">
      <c r="A218" s="532"/>
      <c r="B218" s="917"/>
      <c r="C218" s="4"/>
      <c r="D218" s="917"/>
      <c r="E218" s="4"/>
      <c r="F218" s="917"/>
      <c r="G218" s="4"/>
      <c r="H218" s="920"/>
      <c r="I218" s="3"/>
      <c r="J218" s="920"/>
      <c r="K218" s="3"/>
      <c r="L218" s="920"/>
      <c r="M218" s="3"/>
      <c r="N218" s="920"/>
      <c r="O218" s="3"/>
      <c r="P218" s="3"/>
      <c r="Q218" s="533"/>
      <c r="R218" s="920"/>
      <c r="S218" s="534"/>
      <c r="T218" s="920"/>
      <c r="U218" s="920"/>
      <c r="V218" s="920"/>
      <c r="W218" s="535"/>
      <c r="X218" s="687"/>
      <c r="Y218" s="687"/>
      <c r="Z218" s="687"/>
      <c r="AA218" s="678"/>
      <c r="AB218" s="543"/>
      <c r="AC218" s="3"/>
      <c r="AD218" s="533"/>
      <c r="AE218" s="3"/>
      <c r="AF218" s="4"/>
      <c r="AG218" s="4"/>
      <c r="AH218" s="4"/>
      <c r="AI218" s="4"/>
      <c r="AJ218" s="4"/>
      <c r="AK218" s="4"/>
      <c r="AL218" s="4"/>
      <c r="AM218" s="4"/>
      <c r="AN218" s="4"/>
      <c r="AO218" s="4"/>
      <c r="AP218" s="4"/>
      <c r="AQ218" s="4"/>
      <c r="AR218" s="4"/>
      <c r="AS218" s="4"/>
      <c r="AT218" s="4"/>
      <c r="AU218" s="4"/>
      <c r="AV218" s="537"/>
      <c r="AW218" s="537"/>
      <c r="AX218" s="4"/>
      <c r="AY218" s="4"/>
      <c r="AZ218" s="4"/>
      <c r="BA218" s="4"/>
      <c r="BB218" s="4"/>
      <c r="BC218" s="4"/>
      <c r="BD218" s="4"/>
      <c r="BE218" s="4"/>
      <c r="BF218" s="4"/>
      <c r="BG218" s="4"/>
      <c r="BH218" s="4"/>
      <c r="BI218" s="4"/>
      <c r="BJ218" s="4"/>
      <c r="BK218" s="4"/>
      <c r="BL218" s="4"/>
      <c r="BM218" s="4"/>
      <c r="BN218" s="4"/>
      <c r="BO218" s="4"/>
      <c r="BP218" s="4"/>
      <c r="BQ218" s="4"/>
      <c r="BR218" s="4"/>
    </row>
    <row r="219" spans="1:70" ht="27" customHeight="1" x14ac:dyDescent="0.2">
      <c r="A219" s="532"/>
      <c r="B219" s="917"/>
      <c r="C219" s="4"/>
      <c r="D219" s="917"/>
      <c r="E219" s="4"/>
      <c r="F219" s="917"/>
      <c r="G219" s="4"/>
      <c r="H219" s="920"/>
      <c r="I219" s="3"/>
      <c r="J219" s="920"/>
      <c r="K219" s="3"/>
      <c r="L219" s="920"/>
      <c r="M219" s="3"/>
      <c r="N219" s="920"/>
      <c r="O219" s="3"/>
      <c r="P219" s="3"/>
      <c r="Q219" s="533"/>
      <c r="R219" s="920"/>
      <c r="S219" s="534"/>
      <c r="T219" s="920"/>
      <c r="U219" s="920"/>
      <c r="V219" s="920"/>
      <c r="W219" s="535"/>
      <c r="X219" s="687"/>
      <c r="Y219" s="687"/>
      <c r="Z219" s="687"/>
      <c r="AA219" s="678"/>
      <c r="AB219" s="543"/>
      <c r="AC219" s="3"/>
      <c r="AD219" s="533"/>
      <c r="AE219" s="3"/>
      <c r="AF219" s="4"/>
      <c r="AG219" s="4"/>
      <c r="AH219" s="4"/>
      <c r="AI219" s="4"/>
      <c r="AJ219" s="4"/>
      <c r="AK219" s="4"/>
      <c r="AL219" s="4"/>
      <c r="AM219" s="4"/>
      <c r="AN219" s="4"/>
      <c r="AO219" s="4"/>
      <c r="AP219" s="4"/>
      <c r="AQ219" s="4"/>
      <c r="AR219" s="4"/>
      <c r="AS219" s="4"/>
      <c r="AT219" s="4"/>
      <c r="AU219" s="4"/>
      <c r="AV219" s="537"/>
      <c r="AW219" s="537"/>
      <c r="AX219" s="4"/>
      <c r="AY219" s="4"/>
      <c r="AZ219" s="4"/>
      <c r="BA219" s="4"/>
      <c r="BB219" s="4"/>
      <c r="BC219" s="4"/>
      <c r="BD219" s="4"/>
      <c r="BE219" s="4"/>
      <c r="BF219" s="4"/>
      <c r="BG219" s="4"/>
      <c r="BH219" s="4"/>
      <c r="BI219" s="4"/>
      <c r="BJ219" s="4"/>
      <c r="BK219" s="4"/>
      <c r="BL219" s="4"/>
      <c r="BM219" s="4"/>
      <c r="BN219" s="4"/>
      <c r="BO219" s="4"/>
      <c r="BP219" s="4"/>
      <c r="BQ219" s="4"/>
      <c r="BR219" s="4"/>
    </row>
    <row r="220" spans="1:70" ht="27" customHeight="1" x14ac:dyDescent="0.2">
      <c r="A220" s="532"/>
      <c r="B220" s="917"/>
      <c r="C220" s="4"/>
      <c r="D220" s="917"/>
      <c r="E220" s="4"/>
      <c r="F220" s="917"/>
      <c r="G220" s="4"/>
      <c r="H220" s="920"/>
      <c r="I220" s="3"/>
      <c r="J220" s="920"/>
      <c r="K220" s="3"/>
      <c r="L220" s="920"/>
      <c r="M220" s="3"/>
      <c r="N220" s="920"/>
      <c r="O220" s="3"/>
      <c r="P220" s="3"/>
      <c r="Q220" s="533"/>
      <c r="R220" s="920"/>
      <c r="S220" s="534"/>
      <c r="T220" s="920"/>
      <c r="U220" s="920"/>
      <c r="V220" s="920"/>
      <c r="W220" s="535"/>
      <c r="X220" s="687"/>
      <c r="Y220" s="687"/>
      <c r="Z220" s="687"/>
      <c r="AA220" s="678"/>
      <c r="AB220" s="543"/>
      <c r="AC220" s="3"/>
      <c r="AD220" s="533"/>
      <c r="AE220" s="3"/>
      <c r="AF220" s="4"/>
      <c r="AG220" s="4"/>
      <c r="AH220" s="4"/>
      <c r="AI220" s="4"/>
      <c r="AJ220" s="4"/>
      <c r="AK220" s="4"/>
      <c r="AL220" s="4"/>
      <c r="AM220" s="4"/>
      <c r="AN220" s="4"/>
      <c r="AO220" s="4"/>
      <c r="AP220" s="4"/>
      <c r="AQ220" s="4"/>
      <c r="AR220" s="4"/>
      <c r="AS220" s="4"/>
      <c r="AT220" s="4"/>
      <c r="AU220" s="4"/>
      <c r="AV220" s="537"/>
      <c r="AW220" s="537"/>
      <c r="AX220" s="4"/>
      <c r="AY220" s="4"/>
      <c r="AZ220" s="4"/>
      <c r="BA220" s="4"/>
      <c r="BB220" s="4"/>
      <c r="BC220" s="4"/>
      <c r="BD220" s="4"/>
      <c r="BE220" s="4"/>
      <c r="BF220" s="4"/>
      <c r="BG220" s="4"/>
      <c r="BH220" s="4"/>
      <c r="BI220" s="4"/>
      <c r="BJ220" s="4"/>
      <c r="BK220" s="4"/>
      <c r="BL220" s="4"/>
      <c r="BM220" s="4"/>
      <c r="BN220" s="4"/>
      <c r="BO220" s="4"/>
      <c r="BP220" s="4"/>
      <c r="BQ220" s="4"/>
      <c r="BR220" s="4"/>
    </row>
    <row r="221" spans="1:70" ht="27" customHeight="1" x14ac:dyDescent="0.2">
      <c r="A221" s="532"/>
      <c r="B221" s="917"/>
      <c r="C221" s="4"/>
      <c r="D221" s="917"/>
      <c r="E221" s="4"/>
      <c r="F221" s="917"/>
      <c r="G221" s="4"/>
      <c r="H221" s="920"/>
      <c r="I221" s="3"/>
      <c r="J221" s="920"/>
      <c r="K221" s="3"/>
      <c r="L221" s="920"/>
      <c r="M221" s="3"/>
      <c r="N221" s="920"/>
      <c r="O221" s="3"/>
      <c r="P221" s="3"/>
      <c r="Q221" s="533"/>
      <c r="R221" s="920"/>
      <c r="S221" s="534"/>
      <c r="T221" s="920"/>
      <c r="U221" s="920"/>
      <c r="V221" s="920"/>
      <c r="W221" s="535"/>
      <c r="X221" s="687"/>
      <c r="Y221" s="687"/>
      <c r="Z221" s="687"/>
      <c r="AA221" s="678"/>
      <c r="AB221" s="543"/>
      <c r="AC221" s="3"/>
      <c r="AD221" s="533"/>
      <c r="AE221" s="3"/>
      <c r="AF221" s="4"/>
      <c r="AG221" s="4"/>
      <c r="AH221" s="4"/>
      <c r="AI221" s="4"/>
      <c r="AJ221" s="4"/>
      <c r="AK221" s="4"/>
      <c r="AL221" s="4"/>
      <c r="AM221" s="4"/>
      <c r="AN221" s="4"/>
      <c r="AO221" s="4"/>
      <c r="AP221" s="4"/>
      <c r="AQ221" s="4"/>
      <c r="AR221" s="4"/>
      <c r="AS221" s="4"/>
      <c r="AT221" s="4"/>
      <c r="AU221" s="4"/>
      <c r="AV221" s="537"/>
      <c r="AW221" s="537"/>
      <c r="AX221" s="4"/>
      <c r="AY221" s="4"/>
      <c r="AZ221" s="4"/>
      <c r="BA221" s="4"/>
      <c r="BB221" s="4"/>
      <c r="BC221" s="4"/>
      <c r="BD221" s="4"/>
      <c r="BE221" s="4"/>
      <c r="BF221" s="4"/>
      <c r="BG221" s="4"/>
      <c r="BH221" s="4"/>
      <c r="BI221" s="4"/>
      <c r="BJ221" s="4"/>
      <c r="BK221" s="4"/>
      <c r="BL221" s="4"/>
      <c r="BM221" s="4"/>
      <c r="BN221" s="4"/>
      <c r="BO221" s="4"/>
      <c r="BP221" s="4"/>
      <c r="BQ221" s="4"/>
      <c r="BR221" s="4"/>
    </row>
    <row r="222" spans="1:70" ht="27" customHeight="1" x14ac:dyDescent="0.2">
      <c r="A222" s="532"/>
      <c r="B222" s="917"/>
      <c r="C222" s="4"/>
      <c r="D222" s="917"/>
      <c r="E222" s="4"/>
      <c r="F222" s="917"/>
      <c r="G222" s="4"/>
      <c r="H222" s="920"/>
      <c r="I222" s="3"/>
      <c r="J222" s="920"/>
      <c r="K222" s="3"/>
      <c r="L222" s="920"/>
      <c r="M222" s="3"/>
      <c r="N222" s="920"/>
      <c r="O222" s="3"/>
      <c r="P222" s="3"/>
      <c r="Q222" s="533"/>
      <c r="R222" s="920"/>
      <c r="S222" s="534"/>
      <c r="T222" s="920"/>
      <c r="U222" s="920"/>
      <c r="V222" s="920"/>
      <c r="W222" s="535"/>
      <c r="X222" s="687"/>
      <c r="Y222" s="687"/>
      <c r="Z222" s="687"/>
      <c r="AA222" s="678"/>
      <c r="AB222" s="543"/>
      <c r="AC222" s="3"/>
      <c r="AD222" s="533"/>
      <c r="AE222" s="3"/>
      <c r="AF222" s="4"/>
      <c r="AG222" s="4"/>
      <c r="AH222" s="4"/>
      <c r="AI222" s="4"/>
      <c r="AJ222" s="4"/>
      <c r="AK222" s="4"/>
      <c r="AL222" s="4"/>
      <c r="AM222" s="4"/>
      <c r="AN222" s="4"/>
      <c r="AO222" s="4"/>
      <c r="AP222" s="4"/>
      <c r="AQ222" s="4"/>
      <c r="AR222" s="4"/>
      <c r="AS222" s="4"/>
      <c r="AT222" s="4"/>
      <c r="AU222" s="4"/>
      <c r="AV222" s="537"/>
      <c r="AW222" s="537"/>
      <c r="AX222" s="4"/>
      <c r="AY222" s="4"/>
      <c r="AZ222" s="4"/>
      <c r="BA222" s="4"/>
      <c r="BB222" s="4"/>
      <c r="BC222" s="4"/>
      <c r="BD222" s="4"/>
      <c r="BE222" s="4"/>
      <c r="BF222" s="4"/>
      <c r="BG222" s="4"/>
      <c r="BH222" s="4"/>
      <c r="BI222" s="4"/>
      <c r="BJ222" s="4"/>
      <c r="BK222" s="4"/>
      <c r="BL222" s="4"/>
      <c r="BM222" s="4"/>
      <c r="BN222" s="4"/>
      <c r="BO222" s="4"/>
      <c r="BP222" s="4"/>
      <c r="BQ222" s="4"/>
      <c r="BR222" s="4"/>
    </row>
    <row r="223" spans="1:70" ht="27" customHeight="1" x14ac:dyDescent="0.2">
      <c r="A223" s="532"/>
      <c r="B223" s="917"/>
      <c r="C223" s="4"/>
      <c r="D223" s="917"/>
      <c r="E223" s="4"/>
      <c r="F223" s="917"/>
      <c r="G223" s="4"/>
      <c r="H223" s="920"/>
      <c r="I223" s="3"/>
      <c r="J223" s="920"/>
      <c r="K223" s="3"/>
      <c r="L223" s="920"/>
      <c r="M223" s="3"/>
      <c r="N223" s="920"/>
      <c r="O223" s="3"/>
      <c r="P223" s="3"/>
      <c r="Q223" s="533"/>
      <c r="R223" s="920"/>
      <c r="S223" s="534"/>
      <c r="T223" s="920"/>
      <c r="U223" s="920"/>
      <c r="V223" s="920"/>
      <c r="W223" s="535"/>
      <c r="X223" s="687"/>
      <c r="Y223" s="687"/>
      <c r="Z223" s="687"/>
      <c r="AA223" s="678"/>
      <c r="AB223" s="543"/>
      <c r="AC223" s="3"/>
      <c r="AD223" s="533"/>
      <c r="AE223" s="3"/>
      <c r="AF223" s="4"/>
      <c r="AG223" s="4"/>
      <c r="AH223" s="4"/>
      <c r="AI223" s="4"/>
      <c r="AJ223" s="4"/>
      <c r="AK223" s="4"/>
      <c r="AL223" s="4"/>
      <c r="AM223" s="4"/>
      <c r="AN223" s="4"/>
      <c r="AO223" s="4"/>
      <c r="AP223" s="4"/>
      <c r="AQ223" s="4"/>
      <c r="AR223" s="4"/>
      <c r="AS223" s="4"/>
      <c r="AT223" s="4"/>
      <c r="AU223" s="4"/>
      <c r="AV223" s="537"/>
      <c r="AW223" s="537"/>
      <c r="AX223" s="4"/>
      <c r="AY223" s="4"/>
      <c r="AZ223" s="4"/>
      <c r="BA223" s="4"/>
      <c r="BB223" s="4"/>
      <c r="BC223" s="4"/>
      <c r="BD223" s="4"/>
      <c r="BE223" s="4"/>
      <c r="BF223" s="4"/>
      <c r="BG223" s="4"/>
      <c r="BH223" s="4"/>
      <c r="BI223" s="4"/>
      <c r="BJ223" s="4"/>
      <c r="BK223" s="4"/>
      <c r="BL223" s="4"/>
      <c r="BM223" s="4"/>
      <c r="BN223" s="4"/>
      <c r="BO223" s="4"/>
      <c r="BP223" s="4"/>
      <c r="BQ223" s="4"/>
      <c r="BR223" s="4"/>
    </row>
    <row r="224" spans="1:70" ht="27" customHeight="1" x14ac:dyDescent="0.2">
      <c r="A224" s="532"/>
      <c r="B224" s="917"/>
      <c r="C224" s="4"/>
      <c r="D224" s="917"/>
      <c r="E224" s="4"/>
      <c r="F224" s="917"/>
      <c r="G224" s="4"/>
      <c r="H224" s="920"/>
      <c r="I224" s="3"/>
      <c r="J224" s="920"/>
      <c r="K224" s="3"/>
      <c r="L224" s="920"/>
      <c r="M224" s="3"/>
      <c r="N224" s="920"/>
      <c r="O224" s="3"/>
      <c r="P224" s="3"/>
      <c r="Q224" s="533"/>
      <c r="R224" s="920"/>
      <c r="S224" s="534"/>
      <c r="T224" s="920"/>
      <c r="U224" s="920"/>
      <c r="V224" s="920"/>
      <c r="W224" s="535"/>
      <c r="X224" s="687"/>
      <c r="Y224" s="687"/>
      <c r="Z224" s="687"/>
      <c r="AA224" s="678"/>
      <c r="AB224" s="543"/>
      <c r="AC224" s="3"/>
      <c r="AD224" s="533"/>
      <c r="AE224" s="3"/>
      <c r="AF224" s="4"/>
      <c r="AG224" s="4"/>
      <c r="AH224" s="4"/>
      <c r="AI224" s="4"/>
      <c r="AJ224" s="4"/>
      <c r="AK224" s="4"/>
      <c r="AL224" s="4"/>
      <c r="AM224" s="4"/>
      <c r="AN224" s="4"/>
      <c r="AO224" s="4"/>
      <c r="AP224" s="4"/>
      <c r="AQ224" s="4"/>
      <c r="AR224" s="4"/>
      <c r="AS224" s="4"/>
      <c r="AT224" s="4"/>
      <c r="AU224" s="4"/>
      <c r="AV224" s="537"/>
      <c r="AW224" s="537"/>
      <c r="AX224" s="4"/>
      <c r="AY224" s="4"/>
      <c r="AZ224" s="4"/>
      <c r="BA224" s="4"/>
      <c r="BB224" s="4"/>
      <c r="BC224" s="4"/>
      <c r="BD224" s="4"/>
      <c r="BE224" s="4"/>
      <c r="BF224" s="4"/>
      <c r="BG224" s="4"/>
      <c r="BH224" s="4"/>
      <c r="BI224" s="4"/>
      <c r="BJ224" s="4"/>
      <c r="BK224" s="4"/>
      <c r="BL224" s="4"/>
      <c r="BM224" s="4"/>
      <c r="BN224" s="4"/>
      <c r="BO224" s="4"/>
      <c r="BP224" s="4"/>
      <c r="BQ224" s="4"/>
      <c r="BR224" s="4"/>
    </row>
    <row r="225" spans="1:70" ht="27" customHeight="1" x14ac:dyDescent="0.2">
      <c r="A225" s="532"/>
      <c r="B225" s="917"/>
      <c r="C225" s="4"/>
      <c r="D225" s="917"/>
      <c r="E225" s="4"/>
      <c r="F225" s="917"/>
      <c r="G225" s="4"/>
      <c r="H225" s="920"/>
      <c r="I225" s="3"/>
      <c r="J225" s="920"/>
      <c r="K225" s="3"/>
      <c r="L225" s="920"/>
      <c r="M225" s="3"/>
      <c r="N225" s="920"/>
      <c r="O225" s="3"/>
      <c r="P225" s="3"/>
      <c r="Q225" s="533"/>
      <c r="R225" s="920"/>
      <c r="S225" s="534"/>
      <c r="T225" s="920"/>
      <c r="U225" s="920"/>
      <c r="V225" s="920"/>
      <c r="W225" s="535"/>
      <c r="X225" s="687"/>
      <c r="Y225" s="687"/>
      <c r="Z225" s="687"/>
      <c r="AA225" s="678"/>
      <c r="AB225" s="543"/>
      <c r="AC225" s="3"/>
      <c r="AD225" s="533"/>
      <c r="AE225" s="3"/>
      <c r="AF225" s="4"/>
      <c r="AG225" s="4"/>
      <c r="AH225" s="4"/>
      <c r="AI225" s="4"/>
      <c r="AJ225" s="4"/>
      <c r="AK225" s="4"/>
      <c r="AL225" s="4"/>
      <c r="AM225" s="4"/>
      <c r="AN225" s="4"/>
      <c r="AO225" s="4"/>
      <c r="AP225" s="4"/>
      <c r="AQ225" s="4"/>
      <c r="AR225" s="4"/>
      <c r="AS225" s="4"/>
      <c r="AT225" s="4"/>
      <c r="AU225" s="4"/>
      <c r="AV225" s="537"/>
      <c r="AW225" s="537"/>
      <c r="AX225" s="4"/>
      <c r="AY225" s="4"/>
      <c r="AZ225" s="4"/>
      <c r="BA225" s="4"/>
      <c r="BB225" s="4"/>
      <c r="BC225" s="4"/>
      <c r="BD225" s="4"/>
      <c r="BE225" s="4"/>
      <c r="BF225" s="4"/>
      <c r="BG225" s="4"/>
      <c r="BH225" s="4"/>
      <c r="BI225" s="4"/>
      <c r="BJ225" s="4"/>
      <c r="BK225" s="4"/>
      <c r="BL225" s="4"/>
      <c r="BM225" s="4"/>
      <c r="BN225" s="4"/>
      <c r="BO225" s="4"/>
      <c r="BP225" s="4"/>
      <c r="BQ225" s="4"/>
      <c r="BR225" s="4"/>
    </row>
    <row r="226" spans="1:70" ht="27" customHeight="1" x14ac:dyDescent="0.2">
      <c r="A226" s="532"/>
      <c r="B226" s="917"/>
      <c r="C226" s="4"/>
      <c r="D226" s="917"/>
      <c r="E226" s="4"/>
      <c r="F226" s="917"/>
      <c r="G226" s="4"/>
      <c r="H226" s="920"/>
      <c r="I226" s="3"/>
      <c r="J226" s="920"/>
      <c r="K226" s="3"/>
      <c r="L226" s="920"/>
      <c r="M226" s="3"/>
      <c r="N226" s="920"/>
      <c r="O226" s="3"/>
      <c r="P226" s="3"/>
      <c r="Q226" s="533"/>
      <c r="R226" s="920"/>
      <c r="S226" s="534"/>
      <c r="T226" s="920"/>
      <c r="U226" s="920"/>
      <c r="V226" s="920"/>
      <c r="W226" s="535"/>
      <c r="X226" s="687"/>
      <c r="Y226" s="687"/>
      <c r="Z226" s="687"/>
      <c r="AA226" s="678"/>
      <c r="AB226" s="543"/>
      <c r="AC226" s="3"/>
      <c r="AD226" s="533"/>
      <c r="AE226" s="3"/>
      <c r="AF226" s="4"/>
      <c r="AG226" s="4"/>
      <c r="AH226" s="4"/>
      <c r="AI226" s="4"/>
      <c r="AJ226" s="4"/>
      <c r="AK226" s="4"/>
      <c r="AL226" s="4"/>
      <c r="AM226" s="4"/>
      <c r="AN226" s="4"/>
      <c r="AO226" s="4"/>
      <c r="AP226" s="4"/>
      <c r="AQ226" s="4"/>
      <c r="AR226" s="4"/>
      <c r="AS226" s="4"/>
      <c r="AT226" s="4"/>
      <c r="AU226" s="4"/>
      <c r="AV226" s="537"/>
      <c r="AW226" s="537"/>
      <c r="AX226" s="4"/>
      <c r="AY226" s="4"/>
      <c r="AZ226" s="4"/>
      <c r="BA226" s="4"/>
      <c r="BB226" s="4"/>
      <c r="BC226" s="4"/>
      <c r="BD226" s="4"/>
      <c r="BE226" s="4"/>
      <c r="BF226" s="4"/>
      <c r="BG226" s="4"/>
      <c r="BH226" s="4"/>
      <c r="BI226" s="4"/>
      <c r="BJ226" s="4"/>
      <c r="BK226" s="4"/>
      <c r="BL226" s="4"/>
      <c r="BM226" s="4"/>
      <c r="BN226" s="4"/>
      <c r="BO226" s="4"/>
      <c r="BP226" s="4"/>
      <c r="BQ226" s="4"/>
      <c r="BR226" s="4"/>
    </row>
    <row r="227" spans="1:70" ht="27" customHeight="1" x14ac:dyDescent="0.2">
      <c r="A227" s="532"/>
      <c r="B227" s="917"/>
      <c r="C227" s="4"/>
      <c r="D227" s="917"/>
      <c r="E227" s="4"/>
      <c r="F227" s="917"/>
      <c r="G227" s="4"/>
      <c r="H227" s="920"/>
      <c r="I227" s="3"/>
      <c r="J227" s="920"/>
      <c r="K227" s="3"/>
      <c r="L227" s="920"/>
      <c r="M227" s="3"/>
      <c r="N227" s="920"/>
      <c r="O227" s="3"/>
      <c r="P227" s="3"/>
      <c r="Q227" s="533"/>
      <c r="R227" s="920"/>
      <c r="S227" s="534"/>
      <c r="T227" s="920"/>
      <c r="U227" s="920"/>
      <c r="V227" s="920"/>
      <c r="W227" s="535"/>
      <c r="X227" s="687"/>
      <c r="Y227" s="687"/>
      <c r="Z227" s="687"/>
      <c r="AA227" s="678"/>
      <c r="AB227" s="543"/>
      <c r="AC227" s="3"/>
      <c r="AD227" s="533"/>
      <c r="AE227" s="3"/>
      <c r="AF227" s="4"/>
      <c r="AG227" s="4"/>
      <c r="AH227" s="4"/>
      <c r="AI227" s="4"/>
      <c r="AJ227" s="4"/>
      <c r="AK227" s="4"/>
      <c r="AL227" s="4"/>
      <c r="AM227" s="4"/>
      <c r="AN227" s="4"/>
      <c r="AO227" s="4"/>
      <c r="AP227" s="4"/>
      <c r="AQ227" s="4"/>
      <c r="AR227" s="4"/>
      <c r="AS227" s="4"/>
      <c r="AT227" s="4"/>
      <c r="AU227" s="4"/>
      <c r="AV227" s="537"/>
      <c r="AW227" s="537"/>
      <c r="AX227" s="4"/>
      <c r="AY227" s="4"/>
      <c r="AZ227" s="4"/>
      <c r="BA227" s="4"/>
      <c r="BB227" s="4"/>
      <c r="BC227" s="4"/>
      <c r="BD227" s="4"/>
      <c r="BE227" s="4"/>
      <c r="BF227" s="4"/>
      <c r="BG227" s="4"/>
      <c r="BH227" s="4"/>
      <c r="BI227" s="4"/>
      <c r="BJ227" s="4"/>
      <c r="BK227" s="4"/>
      <c r="BL227" s="4"/>
      <c r="BM227" s="4"/>
      <c r="BN227" s="4"/>
      <c r="BO227" s="4"/>
      <c r="BP227" s="4"/>
      <c r="BQ227" s="4"/>
      <c r="BR227" s="4"/>
    </row>
    <row r="228" spans="1:70" ht="27" customHeight="1" x14ac:dyDescent="0.2">
      <c r="A228" s="532"/>
      <c r="B228" s="917"/>
      <c r="C228" s="4"/>
      <c r="D228" s="917"/>
      <c r="E228" s="4"/>
      <c r="F228" s="917"/>
      <c r="G228" s="4"/>
      <c r="H228" s="920"/>
      <c r="I228" s="3"/>
      <c r="J228" s="920"/>
      <c r="K228" s="3"/>
      <c r="L228" s="920"/>
      <c r="M228" s="3"/>
      <c r="N228" s="920"/>
      <c r="O228" s="3"/>
      <c r="P228" s="3"/>
      <c r="Q228" s="533"/>
      <c r="R228" s="920"/>
      <c r="S228" s="534"/>
      <c r="T228" s="920"/>
      <c r="U228" s="920"/>
      <c r="V228" s="920"/>
      <c r="W228" s="535"/>
      <c r="X228" s="687"/>
      <c r="Y228" s="687"/>
      <c r="Z228" s="687"/>
      <c r="AA228" s="678"/>
      <c r="AB228" s="543"/>
      <c r="AC228" s="3"/>
      <c r="AD228" s="533"/>
      <c r="AE228" s="3"/>
      <c r="AF228" s="4"/>
      <c r="AG228" s="4"/>
      <c r="AH228" s="4"/>
      <c r="AI228" s="4"/>
      <c r="AJ228" s="4"/>
      <c r="AK228" s="4"/>
      <c r="AL228" s="4"/>
      <c r="AM228" s="4"/>
      <c r="AN228" s="4"/>
      <c r="AO228" s="4"/>
      <c r="AP228" s="4"/>
      <c r="AQ228" s="4"/>
      <c r="AR228" s="4"/>
      <c r="AS228" s="4"/>
      <c r="AT228" s="4"/>
      <c r="AU228" s="4"/>
      <c r="AV228" s="537"/>
      <c r="AW228" s="537"/>
      <c r="AX228" s="4"/>
      <c r="AY228" s="4"/>
      <c r="AZ228" s="4"/>
      <c r="BA228" s="4"/>
      <c r="BB228" s="4"/>
      <c r="BC228" s="4"/>
      <c r="BD228" s="4"/>
      <c r="BE228" s="4"/>
      <c r="BF228" s="4"/>
      <c r="BG228" s="4"/>
      <c r="BH228" s="4"/>
      <c r="BI228" s="4"/>
      <c r="BJ228" s="4"/>
      <c r="BK228" s="4"/>
      <c r="BL228" s="4"/>
      <c r="BM228" s="4"/>
      <c r="BN228" s="4"/>
      <c r="BO228" s="4"/>
      <c r="BP228" s="4"/>
      <c r="BQ228" s="4"/>
      <c r="BR228" s="4"/>
    </row>
    <row r="229" spans="1:70" ht="27" customHeight="1" x14ac:dyDescent="0.2">
      <c r="A229" s="532"/>
      <c r="B229" s="917"/>
      <c r="C229" s="4"/>
      <c r="D229" s="917"/>
      <c r="E229" s="4"/>
      <c r="F229" s="917"/>
      <c r="G229" s="4"/>
      <c r="H229" s="920"/>
      <c r="I229" s="3"/>
      <c r="J229" s="920"/>
      <c r="K229" s="3"/>
      <c r="L229" s="920"/>
      <c r="M229" s="3"/>
      <c r="N229" s="920"/>
      <c r="O229" s="3"/>
      <c r="P229" s="3"/>
      <c r="Q229" s="533"/>
      <c r="R229" s="920"/>
      <c r="S229" s="534"/>
      <c r="T229" s="920"/>
      <c r="U229" s="920"/>
      <c r="V229" s="920"/>
      <c r="W229" s="535"/>
      <c r="X229" s="687"/>
      <c r="Y229" s="687"/>
      <c r="Z229" s="687"/>
      <c r="AA229" s="678"/>
      <c r="AB229" s="543"/>
      <c r="AC229" s="3"/>
      <c r="AD229" s="533"/>
      <c r="AE229" s="3"/>
      <c r="AF229" s="4"/>
      <c r="AG229" s="4"/>
      <c r="AH229" s="4"/>
      <c r="AI229" s="4"/>
      <c r="AJ229" s="4"/>
      <c r="AK229" s="4"/>
      <c r="AL229" s="4"/>
      <c r="AM229" s="4"/>
      <c r="AN229" s="4"/>
      <c r="AO229" s="4"/>
      <c r="AP229" s="4"/>
      <c r="AQ229" s="4"/>
      <c r="AR229" s="4"/>
      <c r="AS229" s="4"/>
      <c r="AT229" s="4"/>
      <c r="AU229" s="4"/>
      <c r="AV229" s="537"/>
      <c r="AW229" s="537"/>
      <c r="AX229" s="4"/>
      <c r="AY229" s="4"/>
      <c r="AZ229" s="4"/>
      <c r="BA229" s="4"/>
      <c r="BB229" s="4"/>
      <c r="BC229" s="4"/>
      <c r="BD229" s="4"/>
      <c r="BE229" s="4"/>
      <c r="BF229" s="4"/>
      <c r="BG229" s="4"/>
      <c r="BH229" s="4"/>
      <c r="BI229" s="4"/>
      <c r="BJ229" s="4"/>
      <c r="BK229" s="4"/>
      <c r="BL229" s="4"/>
      <c r="BM229" s="4"/>
      <c r="BN229" s="4"/>
      <c r="BO229" s="4"/>
      <c r="BP229" s="4"/>
      <c r="BQ229" s="4"/>
      <c r="BR229" s="4"/>
    </row>
    <row r="230" spans="1:70" ht="27" customHeight="1" x14ac:dyDescent="0.2">
      <c r="A230" s="532"/>
      <c r="B230" s="917"/>
      <c r="C230" s="4"/>
      <c r="D230" s="917"/>
      <c r="E230" s="4"/>
      <c r="F230" s="917"/>
      <c r="G230" s="4"/>
      <c r="H230" s="920"/>
      <c r="I230" s="3"/>
      <c r="J230" s="920"/>
      <c r="K230" s="3"/>
      <c r="L230" s="920"/>
      <c r="M230" s="3"/>
      <c r="N230" s="920"/>
      <c r="O230" s="3"/>
      <c r="P230" s="3"/>
      <c r="Q230" s="533"/>
      <c r="R230" s="920"/>
      <c r="S230" s="534"/>
      <c r="T230" s="920"/>
      <c r="U230" s="920"/>
      <c r="V230" s="920"/>
      <c r="W230" s="535"/>
      <c r="X230" s="687"/>
      <c r="Y230" s="687"/>
      <c r="Z230" s="687"/>
      <c r="AA230" s="678"/>
      <c r="AB230" s="543"/>
      <c r="AC230" s="3"/>
      <c r="AD230" s="533"/>
      <c r="AE230" s="3"/>
      <c r="AF230" s="4"/>
      <c r="AG230" s="4"/>
      <c r="AH230" s="4"/>
      <c r="AI230" s="4"/>
      <c r="AJ230" s="4"/>
      <c r="AK230" s="4"/>
      <c r="AL230" s="4"/>
      <c r="AM230" s="4"/>
      <c r="AN230" s="4"/>
      <c r="AO230" s="4"/>
      <c r="AP230" s="4"/>
      <c r="AQ230" s="4"/>
      <c r="AR230" s="4"/>
      <c r="AS230" s="4"/>
      <c r="AT230" s="4"/>
      <c r="AU230" s="4"/>
      <c r="AV230" s="537"/>
      <c r="AW230" s="537"/>
      <c r="AX230" s="4"/>
      <c r="AY230" s="4"/>
      <c r="AZ230" s="4"/>
      <c r="BA230" s="4"/>
      <c r="BB230" s="4"/>
      <c r="BC230" s="4"/>
      <c r="BD230" s="4"/>
      <c r="BE230" s="4"/>
      <c r="BF230" s="4"/>
      <c r="BG230" s="4"/>
      <c r="BH230" s="4"/>
      <c r="BI230" s="4"/>
      <c r="BJ230" s="4"/>
      <c r="BK230" s="4"/>
      <c r="BL230" s="4"/>
      <c r="BM230" s="4"/>
      <c r="BN230" s="4"/>
      <c r="BO230" s="4"/>
      <c r="BP230" s="4"/>
      <c r="BQ230" s="4"/>
      <c r="BR230" s="4"/>
    </row>
    <row r="231" spans="1:70" ht="27" customHeight="1" x14ac:dyDescent="0.2">
      <c r="A231" s="532"/>
      <c r="B231" s="917"/>
      <c r="C231" s="4"/>
      <c r="D231" s="917"/>
      <c r="E231" s="4"/>
      <c r="F231" s="917"/>
      <c r="G231" s="4"/>
      <c r="H231" s="920"/>
      <c r="I231" s="3"/>
      <c r="J231" s="920"/>
      <c r="K231" s="3"/>
      <c r="L231" s="920"/>
      <c r="M231" s="3"/>
      <c r="N231" s="920"/>
      <c r="O231" s="3"/>
      <c r="P231" s="3"/>
      <c r="Q231" s="533"/>
      <c r="R231" s="920"/>
      <c r="S231" s="534"/>
      <c r="T231" s="920"/>
      <c r="U231" s="920"/>
      <c r="V231" s="920"/>
      <c r="W231" s="535"/>
      <c r="X231" s="687"/>
      <c r="Y231" s="687"/>
      <c r="Z231" s="687"/>
      <c r="AA231" s="678"/>
      <c r="AB231" s="543"/>
      <c r="AC231" s="3"/>
      <c r="AD231" s="533"/>
      <c r="AE231" s="3"/>
      <c r="AF231" s="4"/>
      <c r="AG231" s="4"/>
      <c r="AH231" s="4"/>
      <c r="AI231" s="4"/>
      <c r="AJ231" s="4"/>
      <c r="AK231" s="4"/>
      <c r="AL231" s="4"/>
      <c r="AM231" s="4"/>
      <c r="AN231" s="4"/>
      <c r="AO231" s="4"/>
      <c r="AP231" s="4"/>
      <c r="AQ231" s="4"/>
      <c r="AR231" s="4"/>
      <c r="AS231" s="4"/>
      <c r="AT231" s="4"/>
      <c r="AU231" s="4"/>
      <c r="AV231" s="537"/>
      <c r="AW231" s="537"/>
      <c r="AX231" s="4"/>
      <c r="AY231" s="4"/>
      <c r="AZ231" s="4"/>
      <c r="BA231" s="4"/>
      <c r="BB231" s="4"/>
      <c r="BC231" s="4"/>
      <c r="BD231" s="4"/>
      <c r="BE231" s="4"/>
      <c r="BF231" s="4"/>
      <c r="BG231" s="4"/>
      <c r="BH231" s="4"/>
      <c r="BI231" s="4"/>
      <c r="BJ231" s="4"/>
      <c r="BK231" s="4"/>
      <c r="BL231" s="4"/>
      <c r="BM231" s="4"/>
      <c r="BN231" s="4"/>
      <c r="BO231" s="4"/>
      <c r="BP231" s="4"/>
      <c r="BQ231" s="4"/>
      <c r="BR231" s="4"/>
    </row>
    <row r="232" spans="1:70" ht="27" customHeight="1" x14ac:dyDescent="0.2">
      <c r="A232" s="532"/>
      <c r="B232" s="917"/>
      <c r="C232" s="4"/>
      <c r="D232" s="917"/>
      <c r="E232" s="4"/>
      <c r="F232" s="917"/>
      <c r="G232" s="4"/>
      <c r="H232" s="920"/>
      <c r="I232" s="3"/>
      <c r="J232" s="920"/>
      <c r="K232" s="3"/>
      <c r="L232" s="920"/>
      <c r="M232" s="3"/>
      <c r="N232" s="920"/>
      <c r="O232" s="3"/>
      <c r="P232" s="3"/>
      <c r="Q232" s="533"/>
      <c r="R232" s="920"/>
      <c r="S232" s="534"/>
      <c r="T232" s="920"/>
      <c r="U232" s="920"/>
      <c r="V232" s="920"/>
      <c r="W232" s="535"/>
      <c r="X232" s="687"/>
      <c r="Y232" s="687"/>
      <c r="Z232" s="687"/>
      <c r="AA232" s="678"/>
      <c r="AB232" s="543"/>
      <c r="AC232" s="3"/>
      <c r="AD232" s="533"/>
      <c r="AE232" s="3"/>
      <c r="AF232" s="4"/>
      <c r="AG232" s="4"/>
      <c r="AH232" s="4"/>
      <c r="AI232" s="4"/>
      <c r="AJ232" s="4"/>
      <c r="AK232" s="4"/>
      <c r="AL232" s="4"/>
      <c r="AM232" s="4"/>
      <c r="AN232" s="4"/>
      <c r="AO232" s="4"/>
      <c r="AP232" s="4"/>
      <c r="AQ232" s="4"/>
      <c r="AR232" s="4"/>
      <c r="AS232" s="4"/>
      <c r="AT232" s="4"/>
      <c r="AU232" s="4"/>
      <c r="AV232" s="537"/>
      <c r="AW232" s="537"/>
      <c r="AX232" s="4"/>
      <c r="AY232" s="4"/>
      <c r="AZ232" s="4"/>
      <c r="BA232" s="4"/>
      <c r="BB232" s="4"/>
      <c r="BC232" s="4"/>
      <c r="BD232" s="4"/>
      <c r="BE232" s="4"/>
      <c r="BF232" s="4"/>
      <c r="BG232" s="4"/>
      <c r="BH232" s="4"/>
      <c r="BI232" s="4"/>
      <c r="BJ232" s="4"/>
      <c r="BK232" s="4"/>
      <c r="BL232" s="4"/>
      <c r="BM232" s="4"/>
      <c r="BN232" s="4"/>
      <c r="BO232" s="4"/>
      <c r="BP232" s="4"/>
      <c r="BQ232" s="4"/>
      <c r="BR232" s="4"/>
    </row>
    <row r="233" spans="1:70" ht="27" customHeight="1" x14ac:dyDescent="0.2">
      <c r="A233" s="532"/>
      <c r="B233" s="917"/>
      <c r="C233" s="4"/>
      <c r="D233" s="917"/>
      <c r="E233" s="4"/>
      <c r="F233" s="917"/>
      <c r="G233" s="4"/>
      <c r="H233" s="920"/>
      <c r="I233" s="3"/>
      <c r="J233" s="920"/>
      <c r="K233" s="3"/>
      <c r="L233" s="920"/>
      <c r="M233" s="3"/>
      <c r="N233" s="920"/>
      <c r="O233" s="3"/>
      <c r="P233" s="3"/>
      <c r="Q233" s="533"/>
      <c r="R233" s="920"/>
      <c r="S233" s="534"/>
      <c r="T233" s="920"/>
      <c r="U233" s="920"/>
      <c r="V233" s="920"/>
      <c r="W233" s="535"/>
      <c r="X233" s="687"/>
      <c r="Y233" s="687"/>
      <c r="Z233" s="687"/>
      <c r="AA233" s="678"/>
      <c r="AB233" s="543"/>
      <c r="AC233" s="3"/>
      <c r="AD233" s="533"/>
      <c r="AE233" s="3"/>
      <c r="AF233" s="4"/>
      <c r="AG233" s="4"/>
      <c r="AH233" s="4"/>
      <c r="AI233" s="4"/>
      <c r="AJ233" s="4"/>
      <c r="AK233" s="4"/>
      <c r="AL233" s="4"/>
      <c r="AM233" s="4"/>
      <c r="AN233" s="4"/>
      <c r="AO233" s="4"/>
      <c r="AP233" s="4"/>
      <c r="AQ233" s="4"/>
      <c r="AR233" s="4"/>
      <c r="AS233" s="4"/>
      <c r="AT233" s="4"/>
      <c r="AU233" s="4"/>
      <c r="AV233" s="537"/>
      <c r="AW233" s="537"/>
      <c r="AX233" s="4"/>
      <c r="AY233" s="4"/>
      <c r="AZ233" s="4"/>
      <c r="BA233" s="4"/>
      <c r="BB233" s="4"/>
      <c r="BC233" s="4"/>
      <c r="BD233" s="4"/>
      <c r="BE233" s="4"/>
      <c r="BF233" s="4"/>
      <c r="BG233" s="4"/>
      <c r="BH233" s="4"/>
      <c r="BI233" s="4"/>
      <c r="BJ233" s="4"/>
      <c r="BK233" s="4"/>
      <c r="BL233" s="4"/>
      <c r="BM233" s="4"/>
      <c r="BN233" s="4"/>
      <c r="BO233" s="4"/>
      <c r="BP233" s="4"/>
      <c r="BQ233" s="4"/>
      <c r="BR233" s="4"/>
    </row>
    <row r="234" spans="1:70" ht="27" customHeight="1" x14ac:dyDescent="0.2">
      <c r="A234" s="532"/>
      <c r="B234" s="917"/>
      <c r="C234" s="4"/>
      <c r="D234" s="917"/>
      <c r="E234" s="4"/>
      <c r="F234" s="917"/>
      <c r="G234" s="4"/>
      <c r="H234" s="920"/>
      <c r="I234" s="3"/>
      <c r="J234" s="920"/>
      <c r="K234" s="3"/>
      <c r="L234" s="920"/>
      <c r="M234" s="3"/>
      <c r="N234" s="920"/>
      <c r="O234" s="3"/>
      <c r="P234" s="3"/>
      <c r="Q234" s="533"/>
      <c r="R234" s="920"/>
      <c r="S234" s="534"/>
      <c r="T234" s="920"/>
      <c r="U234" s="920"/>
      <c r="V234" s="920"/>
      <c r="W234" s="535"/>
      <c r="X234" s="687"/>
      <c r="Y234" s="687"/>
      <c r="Z234" s="687"/>
      <c r="AA234" s="678"/>
      <c r="AB234" s="543"/>
      <c r="AC234" s="3"/>
      <c r="AD234" s="533"/>
      <c r="AE234" s="3"/>
      <c r="AF234" s="4"/>
      <c r="AG234" s="4"/>
      <c r="AH234" s="4"/>
      <c r="AI234" s="4"/>
      <c r="AJ234" s="4"/>
      <c r="AK234" s="4"/>
      <c r="AL234" s="4"/>
      <c r="AM234" s="4"/>
      <c r="AN234" s="4"/>
      <c r="AO234" s="4"/>
      <c r="AP234" s="4"/>
      <c r="AQ234" s="4"/>
      <c r="AR234" s="4"/>
      <c r="AS234" s="4"/>
      <c r="AT234" s="4"/>
      <c r="AU234" s="4"/>
      <c r="AV234" s="537"/>
      <c r="AW234" s="537"/>
      <c r="AX234" s="4"/>
      <c r="AY234" s="4"/>
      <c r="AZ234" s="4"/>
      <c r="BA234" s="4"/>
      <c r="BB234" s="4"/>
      <c r="BC234" s="4"/>
      <c r="BD234" s="4"/>
      <c r="BE234" s="4"/>
      <c r="BF234" s="4"/>
      <c r="BG234" s="4"/>
      <c r="BH234" s="4"/>
      <c r="BI234" s="4"/>
      <c r="BJ234" s="4"/>
      <c r="BK234" s="4"/>
      <c r="BL234" s="4"/>
      <c r="BM234" s="4"/>
      <c r="BN234" s="4"/>
      <c r="BO234" s="4"/>
      <c r="BP234" s="4"/>
      <c r="BQ234" s="4"/>
      <c r="BR234" s="4"/>
    </row>
    <row r="235" spans="1:70" ht="27" customHeight="1" x14ac:dyDescent="0.2">
      <c r="A235" s="532"/>
      <c r="B235" s="917"/>
      <c r="C235" s="4"/>
      <c r="D235" s="917"/>
      <c r="E235" s="4"/>
      <c r="F235" s="917"/>
      <c r="G235" s="4"/>
      <c r="H235" s="920"/>
      <c r="I235" s="3"/>
      <c r="J235" s="920"/>
      <c r="K235" s="3"/>
      <c r="L235" s="920"/>
      <c r="M235" s="3"/>
      <c r="N235" s="920"/>
      <c r="O235" s="3"/>
      <c r="P235" s="3"/>
      <c r="Q235" s="533"/>
      <c r="R235" s="920"/>
      <c r="S235" s="534"/>
      <c r="T235" s="920"/>
      <c r="U235" s="920"/>
      <c r="V235" s="920"/>
      <c r="W235" s="535"/>
      <c r="X235" s="687"/>
      <c r="Y235" s="687"/>
      <c r="Z235" s="687"/>
      <c r="AA235" s="678"/>
      <c r="AB235" s="543"/>
      <c r="AC235" s="3"/>
      <c r="AD235" s="533"/>
      <c r="AE235" s="3"/>
      <c r="AF235" s="4"/>
      <c r="AG235" s="4"/>
      <c r="AH235" s="4"/>
      <c r="AI235" s="4"/>
      <c r="AJ235" s="4"/>
      <c r="AK235" s="4"/>
      <c r="AL235" s="4"/>
      <c r="AM235" s="4"/>
      <c r="AN235" s="4"/>
      <c r="AO235" s="4"/>
      <c r="AP235" s="4"/>
      <c r="AQ235" s="4"/>
      <c r="AR235" s="4"/>
      <c r="AS235" s="4"/>
      <c r="AT235" s="4"/>
      <c r="AU235" s="4"/>
      <c r="AV235" s="537"/>
      <c r="AW235" s="537"/>
      <c r="AX235" s="4"/>
      <c r="AY235" s="4"/>
      <c r="AZ235" s="4"/>
      <c r="BA235" s="4"/>
      <c r="BB235" s="4"/>
      <c r="BC235" s="4"/>
      <c r="BD235" s="4"/>
      <c r="BE235" s="4"/>
      <c r="BF235" s="4"/>
      <c r="BG235" s="4"/>
      <c r="BH235" s="4"/>
      <c r="BI235" s="4"/>
      <c r="BJ235" s="4"/>
      <c r="BK235" s="4"/>
      <c r="BL235" s="4"/>
      <c r="BM235" s="4"/>
      <c r="BN235" s="4"/>
      <c r="BO235" s="4"/>
      <c r="BP235" s="4"/>
      <c r="BQ235" s="4"/>
      <c r="BR235" s="4"/>
    </row>
    <row r="236" spans="1:70" ht="27" customHeight="1" x14ac:dyDescent="0.2">
      <c r="A236" s="532"/>
      <c r="B236" s="917"/>
      <c r="C236" s="4"/>
      <c r="D236" s="917"/>
      <c r="E236" s="4"/>
      <c r="F236" s="917"/>
      <c r="G236" s="4"/>
      <c r="H236" s="920"/>
      <c r="I236" s="3"/>
      <c r="J236" s="920"/>
      <c r="K236" s="3"/>
      <c r="L236" s="920"/>
      <c r="M236" s="3"/>
      <c r="N236" s="920"/>
      <c r="O236" s="3"/>
      <c r="P236" s="3"/>
      <c r="Q236" s="533"/>
      <c r="R236" s="920"/>
      <c r="S236" s="534"/>
      <c r="T236" s="920"/>
      <c r="U236" s="920"/>
      <c r="V236" s="920"/>
      <c r="W236" s="535"/>
      <c r="X236" s="687"/>
      <c r="Y236" s="687"/>
      <c r="Z236" s="687"/>
      <c r="AA236" s="678"/>
      <c r="AB236" s="543"/>
      <c r="AC236" s="3"/>
      <c r="AD236" s="533"/>
      <c r="AE236" s="3"/>
      <c r="AF236" s="4"/>
      <c r="AG236" s="4"/>
      <c r="AH236" s="4"/>
      <c r="AI236" s="4"/>
      <c r="AJ236" s="4"/>
      <c r="AK236" s="4"/>
      <c r="AL236" s="4"/>
      <c r="AM236" s="4"/>
      <c r="AN236" s="4"/>
      <c r="AO236" s="4"/>
      <c r="AP236" s="4"/>
      <c r="AQ236" s="4"/>
      <c r="AR236" s="4"/>
      <c r="AS236" s="4"/>
      <c r="AT236" s="4"/>
      <c r="AU236" s="4"/>
      <c r="AV236" s="537"/>
      <c r="AW236" s="537"/>
      <c r="AX236" s="4"/>
      <c r="AY236" s="4"/>
      <c r="AZ236" s="4"/>
      <c r="BA236" s="4"/>
      <c r="BB236" s="4"/>
      <c r="BC236" s="4"/>
      <c r="BD236" s="4"/>
      <c r="BE236" s="4"/>
      <c r="BF236" s="4"/>
      <c r="BG236" s="4"/>
      <c r="BH236" s="4"/>
      <c r="BI236" s="4"/>
      <c r="BJ236" s="4"/>
      <c r="BK236" s="4"/>
      <c r="BL236" s="4"/>
      <c r="BM236" s="4"/>
      <c r="BN236" s="4"/>
      <c r="BO236" s="4"/>
      <c r="BP236" s="4"/>
      <c r="BQ236" s="4"/>
      <c r="BR236" s="4"/>
    </row>
    <row r="237" spans="1:70" ht="27" customHeight="1" x14ac:dyDescent="0.2">
      <c r="A237" s="532"/>
      <c r="B237" s="917"/>
      <c r="C237" s="4"/>
      <c r="D237" s="917"/>
      <c r="E237" s="4"/>
      <c r="F237" s="917"/>
      <c r="G237" s="4"/>
      <c r="H237" s="920"/>
      <c r="I237" s="3"/>
      <c r="J237" s="920"/>
      <c r="K237" s="3"/>
      <c r="L237" s="920"/>
      <c r="M237" s="3"/>
      <c r="N237" s="920"/>
      <c r="O237" s="3"/>
      <c r="P237" s="3"/>
      <c r="Q237" s="533"/>
      <c r="R237" s="920"/>
      <c r="S237" s="534"/>
      <c r="T237" s="920"/>
      <c r="U237" s="920"/>
      <c r="V237" s="920"/>
      <c r="W237" s="535"/>
      <c r="X237" s="687"/>
      <c r="Y237" s="687"/>
      <c r="Z237" s="687"/>
      <c r="AA237" s="678"/>
      <c r="AB237" s="543"/>
      <c r="AC237" s="3"/>
      <c r="AD237" s="533"/>
      <c r="AE237" s="3"/>
      <c r="AF237" s="4"/>
      <c r="AG237" s="4"/>
      <c r="AH237" s="4"/>
      <c r="AI237" s="4"/>
      <c r="AJ237" s="4"/>
      <c r="AK237" s="4"/>
      <c r="AL237" s="4"/>
      <c r="AM237" s="4"/>
      <c r="AN237" s="4"/>
      <c r="AO237" s="4"/>
      <c r="AP237" s="4"/>
      <c r="AQ237" s="4"/>
      <c r="AR237" s="4"/>
      <c r="AS237" s="4"/>
      <c r="AT237" s="4"/>
      <c r="AU237" s="4"/>
      <c r="AV237" s="537"/>
      <c r="AW237" s="537"/>
      <c r="AX237" s="4"/>
      <c r="AY237" s="4"/>
      <c r="AZ237" s="4"/>
      <c r="BA237" s="4"/>
      <c r="BB237" s="4"/>
      <c r="BC237" s="4"/>
      <c r="BD237" s="4"/>
      <c r="BE237" s="4"/>
      <c r="BF237" s="4"/>
      <c r="BG237" s="4"/>
      <c r="BH237" s="4"/>
      <c r="BI237" s="4"/>
      <c r="BJ237" s="4"/>
      <c r="BK237" s="4"/>
      <c r="BL237" s="4"/>
      <c r="BM237" s="4"/>
      <c r="BN237" s="4"/>
      <c r="BO237" s="4"/>
      <c r="BP237" s="4"/>
      <c r="BQ237" s="4"/>
      <c r="BR237" s="4"/>
    </row>
    <row r="238" spans="1:70" ht="27" customHeight="1" x14ac:dyDescent="0.2">
      <c r="A238" s="532"/>
      <c r="B238" s="917"/>
      <c r="C238" s="4"/>
      <c r="D238" s="917"/>
      <c r="E238" s="4"/>
      <c r="F238" s="917"/>
      <c r="G238" s="4"/>
      <c r="H238" s="920"/>
      <c r="I238" s="3"/>
      <c r="J238" s="920"/>
      <c r="K238" s="3"/>
      <c r="L238" s="920"/>
      <c r="M238" s="3"/>
      <c r="N238" s="920"/>
      <c r="O238" s="3"/>
      <c r="P238" s="3"/>
      <c r="Q238" s="533"/>
      <c r="R238" s="920"/>
      <c r="S238" s="534"/>
      <c r="T238" s="920"/>
      <c r="U238" s="920"/>
      <c r="V238" s="920"/>
      <c r="W238" s="535"/>
      <c r="X238" s="687"/>
      <c r="Y238" s="687"/>
      <c r="Z238" s="687"/>
      <c r="AA238" s="678"/>
      <c r="AB238" s="543"/>
      <c r="AC238" s="3"/>
      <c r="AD238" s="533"/>
      <c r="AE238" s="3"/>
      <c r="AF238" s="4"/>
      <c r="AG238" s="4"/>
      <c r="AH238" s="4"/>
      <c r="AI238" s="4"/>
      <c r="AJ238" s="4"/>
      <c r="AK238" s="4"/>
      <c r="AL238" s="4"/>
      <c r="AM238" s="4"/>
      <c r="AN238" s="4"/>
      <c r="AO238" s="4"/>
      <c r="AP238" s="4"/>
      <c r="AQ238" s="4"/>
      <c r="AR238" s="4"/>
      <c r="AS238" s="4"/>
      <c r="AT238" s="4"/>
      <c r="AU238" s="4"/>
      <c r="AV238" s="537"/>
      <c r="AW238" s="537"/>
      <c r="AX238" s="4"/>
      <c r="AY238" s="4"/>
      <c r="AZ238" s="4"/>
      <c r="BA238" s="4"/>
      <c r="BB238" s="4"/>
      <c r="BC238" s="4"/>
      <c r="BD238" s="4"/>
      <c r="BE238" s="4"/>
      <c r="BF238" s="4"/>
      <c r="BG238" s="4"/>
      <c r="BH238" s="4"/>
      <c r="BI238" s="4"/>
      <c r="BJ238" s="4"/>
      <c r="BK238" s="4"/>
      <c r="BL238" s="4"/>
      <c r="BM238" s="4"/>
      <c r="BN238" s="4"/>
      <c r="BO238" s="4"/>
      <c r="BP238" s="4"/>
      <c r="BQ238" s="4"/>
      <c r="BR238" s="4"/>
    </row>
    <row r="239" spans="1:70" ht="27" customHeight="1" x14ac:dyDescent="0.2">
      <c r="A239" s="532"/>
      <c r="B239" s="917"/>
      <c r="C239" s="4"/>
      <c r="D239" s="917"/>
      <c r="E239" s="4"/>
      <c r="F239" s="917"/>
      <c r="G239" s="4"/>
      <c r="H239" s="920"/>
      <c r="I239" s="3"/>
      <c r="J239" s="920"/>
      <c r="K239" s="3"/>
      <c r="L239" s="920"/>
      <c r="M239" s="3"/>
      <c r="N239" s="920"/>
      <c r="O239" s="3"/>
      <c r="P239" s="3"/>
      <c r="Q239" s="533"/>
      <c r="R239" s="920"/>
      <c r="S239" s="534"/>
      <c r="T239" s="920"/>
      <c r="U239" s="920"/>
      <c r="V239" s="920"/>
      <c r="W239" s="535"/>
      <c r="X239" s="687"/>
      <c r="Y239" s="687"/>
      <c r="Z239" s="687"/>
      <c r="AA239" s="678"/>
      <c r="AB239" s="543"/>
      <c r="AC239" s="3"/>
      <c r="AD239" s="533"/>
      <c r="AE239" s="3"/>
      <c r="AF239" s="4"/>
      <c r="AG239" s="4"/>
      <c r="AH239" s="4"/>
      <c r="AI239" s="4"/>
      <c r="AJ239" s="4"/>
      <c r="AK239" s="4"/>
      <c r="AL239" s="4"/>
      <c r="AM239" s="4"/>
      <c r="AN239" s="4"/>
      <c r="AO239" s="4"/>
      <c r="AP239" s="4"/>
      <c r="AQ239" s="4"/>
      <c r="AR239" s="4"/>
      <c r="AS239" s="4"/>
      <c r="AT239" s="4"/>
      <c r="AU239" s="4"/>
      <c r="AV239" s="537"/>
      <c r="AW239" s="537"/>
      <c r="AX239" s="4"/>
      <c r="AY239" s="4"/>
      <c r="AZ239" s="4"/>
      <c r="BA239" s="4"/>
      <c r="BB239" s="4"/>
      <c r="BC239" s="4"/>
      <c r="BD239" s="4"/>
      <c r="BE239" s="4"/>
      <c r="BF239" s="4"/>
      <c r="BG239" s="4"/>
      <c r="BH239" s="4"/>
      <c r="BI239" s="4"/>
      <c r="BJ239" s="4"/>
      <c r="BK239" s="4"/>
      <c r="BL239" s="4"/>
      <c r="BM239" s="4"/>
      <c r="BN239" s="4"/>
      <c r="BO239" s="4"/>
      <c r="BP239" s="4"/>
      <c r="BQ239" s="4"/>
      <c r="BR239" s="4"/>
    </row>
    <row r="240" spans="1:70" ht="27" customHeight="1" x14ac:dyDescent="0.2">
      <c r="A240" s="532"/>
      <c r="B240" s="917"/>
      <c r="C240" s="4"/>
      <c r="D240" s="917"/>
      <c r="E240" s="4"/>
      <c r="F240" s="917"/>
      <c r="G240" s="4"/>
      <c r="H240" s="920"/>
      <c r="I240" s="3"/>
      <c r="J240" s="920"/>
      <c r="K240" s="3"/>
      <c r="L240" s="920"/>
      <c r="M240" s="3"/>
      <c r="N240" s="920"/>
      <c r="O240" s="3"/>
      <c r="P240" s="3"/>
      <c r="Q240" s="533"/>
      <c r="R240" s="920"/>
      <c r="S240" s="534"/>
      <c r="T240" s="920"/>
      <c r="U240" s="920"/>
      <c r="V240" s="920"/>
      <c r="W240" s="535"/>
      <c r="X240" s="687"/>
      <c r="Y240" s="687"/>
      <c r="Z240" s="687"/>
      <c r="AA240" s="678"/>
      <c r="AB240" s="543"/>
      <c r="AC240" s="3"/>
      <c r="AD240" s="533"/>
      <c r="AE240" s="3"/>
      <c r="AF240" s="4"/>
      <c r="AG240" s="4"/>
      <c r="AH240" s="4"/>
      <c r="AI240" s="4"/>
      <c r="AJ240" s="4"/>
      <c r="AK240" s="4"/>
      <c r="AL240" s="4"/>
      <c r="AM240" s="4"/>
      <c r="AN240" s="4"/>
      <c r="AO240" s="4"/>
      <c r="AP240" s="4"/>
      <c r="AQ240" s="4"/>
      <c r="AR240" s="4"/>
      <c r="AS240" s="4"/>
      <c r="AT240" s="4"/>
      <c r="AU240" s="4"/>
      <c r="AV240" s="537"/>
      <c r="AW240" s="537"/>
      <c r="AX240" s="4"/>
      <c r="AY240" s="4"/>
      <c r="AZ240" s="4"/>
      <c r="BA240" s="4"/>
      <c r="BB240" s="4"/>
      <c r="BC240" s="4"/>
      <c r="BD240" s="4"/>
      <c r="BE240" s="4"/>
      <c r="BF240" s="4"/>
      <c r="BG240" s="4"/>
      <c r="BH240" s="4"/>
      <c r="BI240" s="4"/>
      <c r="BJ240" s="4"/>
      <c r="BK240" s="4"/>
      <c r="BL240" s="4"/>
      <c r="BM240" s="4"/>
      <c r="BN240" s="4"/>
      <c r="BO240" s="4"/>
      <c r="BP240" s="4"/>
      <c r="BQ240" s="4"/>
      <c r="BR240" s="4"/>
    </row>
    <row r="241" spans="1:70" ht="27" customHeight="1" x14ac:dyDescent="0.2">
      <c r="A241" s="532"/>
      <c r="B241" s="917"/>
      <c r="C241" s="4"/>
      <c r="D241" s="917"/>
      <c r="E241" s="4"/>
      <c r="F241" s="917"/>
      <c r="G241" s="4"/>
      <c r="H241" s="920"/>
      <c r="I241" s="3"/>
      <c r="J241" s="920"/>
      <c r="K241" s="3"/>
      <c r="L241" s="920"/>
      <c r="M241" s="3"/>
      <c r="N241" s="920"/>
      <c r="O241" s="3"/>
      <c r="P241" s="3"/>
      <c r="Q241" s="533"/>
      <c r="R241" s="920"/>
      <c r="S241" s="534"/>
      <c r="T241" s="920"/>
      <c r="U241" s="920"/>
      <c r="V241" s="920"/>
      <c r="W241" s="535"/>
      <c r="X241" s="687"/>
      <c r="Y241" s="687"/>
      <c r="Z241" s="687"/>
      <c r="AA241" s="678"/>
      <c r="AB241" s="543"/>
      <c r="AC241" s="3"/>
      <c r="AD241" s="533"/>
      <c r="AE241" s="3"/>
      <c r="AF241" s="4"/>
      <c r="AG241" s="4"/>
      <c r="AH241" s="4"/>
      <c r="AI241" s="4"/>
      <c r="AJ241" s="4"/>
      <c r="AK241" s="4"/>
      <c r="AL241" s="4"/>
      <c r="AM241" s="4"/>
      <c r="AN241" s="4"/>
      <c r="AO241" s="4"/>
      <c r="AP241" s="4"/>
      <c r="AQ241" s="4"/>
      <c r="AR241" s="4"/>
      <c r="AS241" s="4"/>
      <c r="AT241" s="4"/>
      <c r="AU241" s="4"/>
      <c r="AV241" s="537"/>
      <c r="AW241" s="537"/>
      <c r="AX241" s="4"/>
      <c r="AY241" s="4"/>
      <c r="AZ241" s="4"/>
      <c r="BA241" s="4"/>
      <c r="BB241" s="4"/>
      <c r="BC241" s="4"/>
      <c r="BD241" s="4"/>
      <c r="BE241" s="4"/>
      <c r="BF241" s="4"/>
      <c r="BG241" s="4"/>
      <c r="BH241" s="4"/>
      <c r="BI241" s="4"/>
      <c r="BJ241" s="4"/>
      <c r="BK241" s="4"/>
      <c r="BL241" s="4"/>
      <c r="BM241" s="4"/>
      <c r="BN241" s="4"/>
      <c r="BO241" s="4"/>
      <c r="BP241" s="4"/>
      <c r="BQ241" s="4"/>
      <c r="BR241" s="4"/>
    </row>
    <row r="242" spans="1:70" ht="27" customHeight="1" x14ac:dyDescent="0.2">
      <c r="A242" s="532"/>
      <c r="B242" s="917"/>
      <c r="C242" s="4"/>
      <c r="D242" s="917"/>
      <c r="E242" s="4"/>
      <c r="F242" s="917"/>
      <c r="G242" s="4"/>
      <c r="H242" s="920"/>
      <c r="I242" s="3"/>
      <c r="J242" s="920"/>
      <c r="K242" s="3"/>
      <c r="L242" s="920"/>
      <c r="M242" s="3"/>
      <c r="N242" s="920"/>
      <c r="O242" s="3"/>
      <c r="P242" s="3"/>
      <c r="Q242" s="533"/>
      <c r="R242" s="920"/>
      <c r="S242" s="534"/>
      <c r="T242" s="920"/>
      <c r="U242" s="920"/>
      <c r="V242" s="920"/>
      <c r="W242" s="535"/>
      <c r="X242" s="687"/>
      <c r="Y242" s="687"/>
      <c r="Z242" s="687"/>
      <c r="AA242" s="678"/>
      <c r="AB242" s="543"/>
      <c r="AC242" s="3"/>
      <c r="AD242" s="533"/>
      <c r="AE242" s="3"/>
      <c r="AF242" s="4"/>
      <c r="AG242" s="4"/>
      <c r="AH242" s="4"/>
      <c r="AI242" s="4"/>
      <c r="AJ242" s="4"/>
      <c r="AK242" s="4"/>
      <c r="AL242" s="4"/>
      <c r="AM242" s="4"/>
      <c r="AN242" s="4"/>
      <c r="AO242" s="4"/>
      <c r="AP242" s="4"/>
      <c r="AQ242" s="4"/>
      <c r="AR242" s="4"/>
      <c r="AS242" s="4"/>
      <c r="AT242" s="4"/>
      <c r="AU242" s="4"/>
      <c r="AV242" s="537"/>
      <c r="AW242" s="537"/>
      <c r="AX242" s="4"/>
      <c r="AY242" s="4"/>
      <c r="AZ242" s="4"/>
      <c r="BA242" s="4"/>
      <c r="BB242" s="4"/>
      <c r="BC242" s="4"/>
      <c r="BD242" s="4"/>
      <c r="BE242" s="4"/>
      <c r="BF242" s="4"/>
      <c r="BG242" s="4"/>
      <c r="BH242" s="4"/>
      <c r="BI242" s="4"/>
      <c r="BJ242" s="4"/>
      <c r="BK242" s="4"/>
      <c r="BL242" s="4"/>
      <c r="BM242" s="4"/>
      <c r="BN242" s="4"/>
      <c r="BO242" s="4"/>
      <c r="BP242" s="4"/>
      <c r="BQ242" s="4"/>
      <c r="BR242" s="4"/>
    </row>
    <row r="243" spans="1:70" ht="27" customHeight="1" x14ac:dyDescent="0.2">
      <c r="A243" s="532"/>
      <c r="B243" s="917"/>
      <c r="C243" s="4"/>
      <c r="D243" s="917"/>
      <c r="E243" s="4"/>
      <c r="F243" s="917"/>
      <c r="G243" s="4"/>
      <c r="H243" s="920"/>
      <c r="I243" s="3"/>
      <c r="J243" s="920"/>
      <c r="K243" s="3"/>
      <c r="L243" s="920"/>
      <c r="M243" s="3"/>
      <c r="N243" s="920"/>
      <c r="O243" s="3"/>
      <c r="P243" s="3"/>
      <c r="Q243" s="533"/>
      <c r="R243" s="920"/>
      <c r="S243" s="534"/>
      <c r="T243" s="920"/>
      <c r="U243" s="920"/>
      <c r="V243" s="920"/>
      <c r="W243" s="535"/>
      <c r="X243" s="687"/>
      <c r="Y243" s="687"/>
      <c r="Z243" s="687"/>
      <c r="AA243" s="678"/>
      <c r="AB243" s="543"/>
      <c r="AC243" s="3"/>
      <c r="AD243" s="533"/>
      <c r="AE243" s="3"/>
      <c r="AF243" s="4"/>
      <c r="AG243" s="4"/>
      <c r="AH243" s="4"/>
      <c r="AI243" s="4"/>
      <c r="AJ243" s="4"/>
      <c r="AK243" s="4"/>
      <c r="AL243" s="4"/>
      <c r="AM243" s="4"/>
      <c r="AN243" s="4"/>
      <c r="AO243" s="4"/>
      <c r="AP243" s="4"/>
      <c r="AQ243" s="4"/>
      <c r="AR243" s="4"/>
      <c r="AS243" s="4"/>
      <c r="AT243" s="4"/>
      <c r="AU243" s="4"/>
      <c r="AV243" s="537"/>
      <c r="AW243" s="537"/>
      <c r="AX243" s="4"/>
      <c r="AY243" s="4"/>
      <c r="AZ243" s="4"/>
      <c r="BA243" s="4"/>
      <c r="BB243" s="4"/>
      <c r="BC243" s="4"/>
      <c r="BD243" s="4"/>
      <c r="BE243" s="4"/>
      <c r="BF243" s="4"/>
      <c r="BG243" s="4"/>
      <c r="BH243" s="4"/>
      <c r="BI243" s="4"/>
      <c r="BJ243" s="4"/>
      <c r="BK243" s="4"/>
      <c r="BL243" s="4"/>
      <c r="BM243" s="4"/>
      <c r="BN243" s="4"/>
      <c r="BO243" s="4"/>
      <c r="BP243" s="4"/>
      <c r="BQ243" s="4"/>
      <c r="BR243" s="4"/>
    </row>
    <row r="244" spans="1:70" ht="27" customHeight="1" x14ac:dyDescent="0.2">
      <c r="A244" s="532"/>
      <c r="B244" s="917"/>
      <c r="C244" s="4"/>
      <c r="D244" s="917"/>
      <c r="E244" s="4"/>
      <c r="F244" s="917"/>
      <c r="G244" s="4"/>
      <c r="H244" s="920"/>
      <c r="I244" s="3"/>
      <c r="J244" s="920"/>
      <c r="K244" s="3"/>
      <c r="L244" s="920"/>
      <c r="M244" s="3"/>
      <c r="N244" s="920"/>
      <c r="O244" s="3"/>
      <c r="P244" s="3"/>
      <c r="Q244" s="533"/>
      <c r="R244" s="920"/>
      <c r="S244" s="534"/>
      <c r="T244" s="920"/>
      <c r="U244" s="920"/>
      <c r="V244" s="920"/>
      <c r="W244" s="535"/>
      <c r="X244" s="687"/>
      <c r="Y244" s="687"/>
      <c r="Z244" s="687"/>
      <c r="AA244" s="678"/>
      <c r="AB244" s="543"/>
      <c r="AC244" s="3"/>
      <c r="AD244" s="533"/>
      <c r="AE244" s="3"/>
      <c r="AF244" s="4"/>
      <c r="AG244" s="4"/>
      <c r="AH244" s="4"/>
      <c r="AI244" s="4"/>
      <c r="AJ244" s="4"/>
      <c r="AK244" s="4"/>
      <c r="AL244" s="4"/>
      <c r="AM244" s="4"/>
      <c r="AN244" s="4"/>
      <c r="AO244" s="4"/>
      <c r="AP244" s="4"/>
      <c r="AQ244" s="4"/>
      <c r="AR244" s="4"/>
      <c r="AS244" s="4"/>
      <c r="AT244" s="4"/>
      <c r="AU244" s="4"/>
      <c r="AV244" s="537"/>
      <c r="AW244" s="537"/>
      <c r="AX244" s="4"/>
      <c r="AY244" s="4"/>
      <c r="AZ244" s="4"/>
      <c r="BA244" s="4"/>
      <c r="BB244" s="4"/>
      <c r="BC244" s="4"/>
      <c r="BD244" s="4"/>
      <c r="BE244" s="4"/>
      <c r="BF244" s="4"/>
      <c r="BG244" s="4"/>
      <c r="BH244" s="4"/>
      <c r="BI244" s="4"/>
      <c r="BJ244" s="4"/>
      <c r="BK244" s="4"/>
      <c r="BL244" s="4"/>
      <c r="BM244" s="4"/>
      <c r="BN244" s="4"/>
      <c r="BO244" s="4"/>
      <c r="BP244" s="4"/>
      <c r="BQ244" s="4"/>
      <c r="BR244" s="4"/>
    </row>
    <row r="245" spans="1:70" ht="27" customHeight="1" x14ac:dyDescent="0.2">
      <c r="A245" s="532"/>
      <c r="B245" s="917"/>
      <c r="C245" s="4"/>
      <c r="D245" s="917"/>
      <c r="E245" s="4"/>
      <c r="F245" s="917"/>
      <c r="G245" s="4"/>
      <c r="H245" s="920"/>
      <c r="I245" s="3"/>
      <c r="J245" s="920"/>
      <c r="K245" s="3"/>
      <c r="L245" s="920"/>
      <c r="M245" s="3"/>
      <c r="N245" s="920"/>
      <c r="O245" s="3"/>
      <c r="P245" s="3"/>
      <c r="Q245" s="533"/>
      <c r="R245" s="920"/>
      <c r="S245" s="534"/>
      <c r="T245" s="920"/>
      <c r="U245" s="920"/>
      <c r="V245" s="920"/>
      <c r="W245" s="535"/>
      <c r="X245" s="687"/>
      <c r="Y245" s="687"/>
      <c r="Z245" s="687"/>
      <c r="AA245" s="678"/>
      <c r="AB245" s="543"/>
      <c r="AC245" s="3"/>
      <c r="AD245" s="533"/>
      <c r="AE245" s="3"/>
      <c r="AF245" s="4"/>
      <c r="AG245" s="4"/>
      <c r="AH245" s="4"/>
      <c r="AI245" s="4"/>
      <c r="AJ245" s="4"/>
      <c r="AK245" s="4"/>
      <c r="AL245" s="4"/>
      <c r="AM245" s="4"/>
      <c r="AN245" s="4"/>
      <c r="AO245" s="4"/>
      <c r="AP245" s="4"/>
      <c r="AQ245" s="4"/>
      <c r="AR245" s="4"/>
      <c r="AS245" s="4"/>
      <c r="AT245" s="4"/>
      <c r="AU245" s="4"/>
      <c r="AV245" s="537"/>
      <c r="AW245" s="537"/>
      <c r="AX245" s="4"/>
      <c r="AY245" s="4"/>
      <c r="AZ245" s="4"/>
      <c r="BA245" s="4"/>
      <c r="BB245" s="4"/>
      <c r="BC245" s="4"/>
      <c r="BD245" s="4"/>
      <c r="BE245" s="4"/>
      <c r="BF245" s="4"/>
      <c r="BG245" s="4"/>
      <c r="BH245" s="4"/>
      <c r="BI245" s="4"/>
      <c r="BJ245" s="4"/>
      <c r="BK245" s="4"/>
      <c r="BL245" s="4"/>
      <c r="BM245" s="4"/>
      <c r="BN245" s="4"/>
      <c r="BO245" s="4"/>
      <c r="BP245" s="4"/>
      <c r="BQ245" s="4"/>
      <c r="BR245" s="4"/>
    </row>
    <row r="246" spans="1:70" ht="27" customHeight="1" x14ac:dyDescent="0.2">
      <c r="A246" s="532"/>
      <c r="B246" s="917"/>
      <c r="C246" s="4"/>
      <c r="D246" s="917"/>
      <c r="E246" s="4"/>
      <c r="F246" s="917"/>
      <c r="G246" s="4"/>
      <c r="H246" s="920"/>
      <c r="I246" s="3"/>
      <c r="J246" s="920"/>
      <c r="K246" s="3"/>
      <c r="L246" s="920"/>
      <c r="M246" s="3"/>
      <c r="N246" s="920"/>
      <c r="O246" s="3"/>
      <c r="P246" s="3"/>
      <c r="Q246" s="533"/>
      <c r="R246" s="920"/>
      <c r="S246" s="534"/>
      <c r="T246" s="920"/>
      <c r="U246" s="920"/>
      <c r="V246" s="920"/>
      <c r="W246" s="535"/>
      <c r="X246" s="687"/>
      <c r="Y246" s="687"/>
      <c r="Z246" s="687"/>
      <c r="AA246" s="678"/>
      <c r="AB246" s="543"/>
      <c r="AC246" s="3"/>
      <c r="AD246" s="533"/>
      <c r="AE246" s="3"/>
      <c r="AF246" s="4"/>
      <c r="AG246" s="4"/>
      <c r="AH246" s="4"/>
      <c r="AI246" s="4"/>
      <c r="AJ246" s="4"/>
      <c r="AK246" s="4"/>
      <c r="AL246" s="4"/>
      <c r="AM246" s="4"/>
      <c r="AN246" s="4"/>
      <c r="AO246" s="4"/>
      <c r="AP246" s="4"/>
      <c r="AQ246" s="4"/>
      <c r="AR246" s="4"/>
      <c r="AS246" s="4"/>
      <c r="AT246" s="4"/>
      <c r="AU246" s="4"/>
      <c r="AV246" s="537"/>
      <c r="AW246" s="537"/>
      <c r="AX246" s="4"/>
      <c r="AY246" s="4"/>
      <c r="AZ246" s="4"/>
      <c r="BA246" s="4"/>
      <c r="BB246" s="4"/>
      <c r="BC246" s="4"/>
      <c r="BD246" s="4"/>
      <c r="BE246" s="4"/>
      <c r="BF246" s="4"/>
      <c r="BG246" s="4"/>
      <c r="BH246" s="4"/>
      <c r="BI246" s="4"/>
      <c r="BJ246" s="4"/>
      <c r="BK246" s="4"/>
      <c r="BL246" s="4"/>
      <c r="BM246" s="4"/>
      <c r="BN246" s="4"/>
      <c r="BO246" s="4"/>
      <c r="BP246" s="4"/>
      <c r="BQ246" s="4"/>
      <c r="BR246" s="4"/>
    </row>
    <row r="247" spans="1:70" ht="27" customHeight="1" x14ac:dyDescent="0.2">
      <c r="A247" s="532"/>
      <c r="B247" s="917"/>
      <c r="C247" s="4"/>
      <c r="D247" s="917"/>
      <c r="E247" s="4"/>
      <c r="F247" s="917"/>
      <c r="G247" s="4"/>
      <c r="H247" s="920"/>
      <c r="I247" s="3"/>
      <c r="J247" s="920"/>
      <c r="K247" s="3"/>
      <c r="L247" s="920"/>
      <c r="M247" s="3"/>
      <c r="N247" s="920"/>
      <c r="O247" s="3"/>
      <c r="P247" s="3"/>
      <c r="Q247" s="533"/>
      <c r="R247" s="920"/>
      <c r="S247" s="534"/>
      <c r="T247" s="920"/>
      <c r="U247" s="920"/>
      <c r="V247" s="920"/>
      <c r="W247" s="535"/>
      <c r="X247" s="687"/>
      <c r="Y247" s="687"/>
      <c r="Z247" s="687"/>
      <c r="AA247" s="678"/>
      <c r="AB247" s="543"/>
      <c r="AC247" s="3"/>
      <c r="AD247" s="533"/>
      <c r="AE247" s="3"/>
      <c r="AF247" s="4"/>
      <c r="AG247" s="4"/>
      <c r="AH247" s="4"/>
      <c r="AI247" s="4"/>
      <c r="AJ247" s="4"/>
      <c r="AK247" s="4"/>
      <c r="AL247" s="4"/>
      <c r="AM247" s="4"/>
      <c r="AN247" s="4"/>
      <c r="AO247" s="4"/>
      <c r="AP247" s="4"/>
      <c r="AQ247" s="4"/>
      <c r="AR247" s="4"/>
      <c r="AS247" s="4"/>
      <c r="AT247" s="4"/>
      <c r="AU247" s="4"/>
      <c r="AV247" s="537"/>
      <c r="AW247" s="537"/>
      <c r="AX247" s="4"/>
      <c r="AY247" s="4"/>
      <c r="AZ247" s="4"/>
      <c r="BA247" s="4"/>
      <c r="BB247" s="4"/>
      <c r="BC247" s="4"/>
      <c r="BD247" s="4"/>
      <c r="BE247" s="4"/>
      <c r="BF247" s="4"/>
      <c r="BG247" s="4"/>
      <c r="BH247" s="4"/>
      <c r="BI247" s="4"/>
      <c r="BJ247" s="4"/>
      <c r="BK247" s="4"/>
      <c r="BL247" s="4"/>
      <c r="BM247" s="4"/>
      <c r="BN247" s="4"/>
      <c r="BO247" s="4"/>
      <c r="BP247" s="4"/>
      <c r="BQ247" s="4"/>
      <c r="BR247" s="4"/>
    </row>
    <row r="248" spans="1:70" ht="27" customHeight="1" x14ac:dyDescent="0.2">
      <c r="A248" s="532"/>
      <c r="B248" s="917"/>
      <c r="C248" s="4"/>
      <c r="D248" s="917"/>
      <c r="E248" s="4"/>
      <c r="F248" s="917"/>
      <c r="G248" s="4"/>
      <c r="H248" s="920"/>
      <c r="I248" s="3"/>
      <c r="J248" s="920"/>
      <c r="K248" s="3"/>
      <c r="L248" s="920"/>
      <c r="M248" s="3"/>
      <c r="N248" s="920"/>
      <c r="O248" s="3"/>
      <c r="P248" s="3"/>
      <c r="Q248" s="533"/>
      <c r="R248" s="920"/>
      <c r="S248" s="534"/>
      <c r="T248" s="920"/>
      <c r="U248" s="920"/>
      <c r="V248" s="920"/>
      <c r="W248" s="535"/>
      <c r="X248" s="687"/>
      <c r="Y248" s="687"/>
      <c r="Z248" s="687"/>
      <c r="AA248" s="678"/>
      <c r="AB248" s="543"/>
      <c r="AC248" s="3"/>
      <c r="AD248" s="533"/>
      <c r="AE248" s="3"/>
      <c r="AF248" s="4"/>
      <c r="AG248" s="4"/>
      <c r="AH248" s="4"/>
      <c r="AI248" s="4"/>
      <c r="AJ248" s="4"/>
      <c r="AK248" s="4"/>
      <c r="AL248" s="4"/>
      <c r="AM248" s="4"/>
      <c r="AN248" s="4"/>
      <c r="AO248" s="4"/>
      <c r="AP248" s="4"/>
      <c r="AQ248" s="4"/>
      <c r="AR248" s="4"/>
      <c r="AS248" s="4"/>
      <c r="AT248" s="4"/>
      <c r="AU248" s="4"/>
      <c r="AV248" s="537"/>
      <c r="AW248" s="537"/>
      <c r="AX248" s="4"/>
      <c r="AY248" s="4"/>
      <c r="AZ248" s="4"/>
      <c r="BA248" s="4"/>
      <c r="BB248" s="4"/>
      <c r="BC248" s="4"/>
      <c r="BD248" s="4"/>
      <c r="BE248" s="4"/>
      <c r="BF248" s="4"/>
      <c r="BG248" s="4"/>
      <c r="BH248" s="4"/>
      <c r="BI248" s="4"/>
      <c r="BJ248" s="4"/>
      <c r="BK248" s="4"/>
      <c r="BL248" s="4"/>
      <c r="BM248" s="4"/>
      <c r="BN248" s="4"/>
      <c r="BO248" s="4"/>
      <c r="BP248" s="4"/>
      <c r="BQ248" s="4"/>
      <c r="BR248" s="4"/>
    </row>
    <row r="249" spans="1:70" ht="27" customHeight="1" x14ac:dyDescent="0.2">
      <c r="A249" s="532"/>
      <c r="B249" s="917"/>
      <c r="C249" s="4"/>
      <c r="D249" s="917"/>
      <c r="E249" s="4"/>
      <c r="F249" s="917"/>
      <c r="G249" s="4"/>
      <c r="H249" s="920"/>
      <c r="I249" s="3"/>
      <c r="J249" s="920"/>
      <c r="K249" s="3"/>
      <c r="L249" s="920"/>
      <c r="M249" s="3"/>
      <c r="N249" s="920"/>
      <c r="O249" s="3"/>
      <c r="P249" s="3"/>
      <c r="Q249" s="533"/>
      <c r="R249" s="920"/>
      <c r="S249" s="534"/>
      <c r="T249" s="920"/>
      <c r="U249" s="920"/>
      <c r="V249" s="920"/>
      <c r="W249" s="535"/>
      <c r="X249" s="687"/>
      <c r="Y249" s="687"/>
      <c r="Z249" s="687"/>
      <c r="AA249" s="678"/>
      <c r="AB249" s="543"/>
      <c r="AC249" s="3"/>
      <c r="AD249" s="533"/>
      <c r="AE249" s="3"/>
      <c r="AF249" s="4"/>
      <c r="AG249" s="4"/>
      <c r="AH249" s="4"/>
      <c r="AI249" s="4"/>
      <c r="AJ249" s="4"/>
      <c r="AK249" s="4"/>
      <c r="AL249" s="4"/>
      <c r="AM249" s="4"/>
      <c r="AN249" s="4"/>
      <c r="AO249" s="4"/>
      <c r="AP249" s="4"/>
      <c r="AQ249" s="4"/>
      <c r="AR249" s="4"/>
      <c r="AS249" s="4"/>
      <c r="AT249" s="4"/>
      <c r="AU249" s="4"/>
      <c r="AV249" s="537"/>
      <c r="AW249" s="537"/>
      <c r="AX249" s="4"/>
      <c r="AY249" s="4"/>
      <c r="AZ249" s="4"/>
      <c r="BA249" s="4"/>
      <c r="BB249" s="4"/>
      <c r="BC249" s="4"/>
      <c r="BD249" s="4"/>
      <c r="BE249" s="4"/>
      <c r="BF249" s="4"/>
      <c r="BG249" s="4"/>
      <c r="BH249" s="4"/>
      <c r="BI249" s="4"/>
      <c r="BJ249" s="4"/>
      <c r="BK249" s="4"/>
      <c r="BL249" s="4"/>
      <c r="BM249" s="4"/>
      <c r="BN249" s="4"/>
      <c r="BO249" s="4"/>
      <c r="BP249" s="4"/>
      <c r="BQ249" s="4"/>
      <c r="BR249" s="4"/>
    </row>
    <row r="250" spans="1:70" ht="27" customHeight="1" x14ac:dyDescent="0.2">
      <c r="A250" s="532"/>
      <c r="B250" s="917"/>
      <c r="C250" s="4"/>
      <c r="D250" s="917"/>
      <c r="E250" s="4"/>
      <c r="F250" s="917"/>
      <c r="G250" s="4"/>
      <c r="H250" s="920"/>
      <c r="I250" s="3"/>
      <c r="J250" s="920"/>
      <c r="K250" s="3"/>
      <c r="L250" s="920"/>
      <c r="M250" s="3"/>
      <c r="N250" s="920"/>
      <c r="O250" s="3"/>
      <c r="P250" s="3"/>
      <c r="Q250" s="533"/>
      <c r="R250" s="920"/>
      <c r="S250" s="534"/>
      <c r="T250" s="920"/>
      <c r="U250" s="920"/>
      <c r="V250" s="920"/>
      <c r="W250" s="535"/>
      <c r="X250" s="687"/>
      <c r="Y250" s="687"/>
      <c r="Z250" s="687"/>
      <c r="AA250" s="678"/>
      <c r="AB250" s="543"/>
      <c r="AC250" s="3"/>
      <c r="AD250" s="533"/>
      <c r="AE250" s="3"/>
      <c r="AF250" s="4"/>
      <c r="AG250" s="4"/>
      <c r="AH250" s="4"/>
      <c r="AI250" s="4"/>
      <c r="AJ250" s="4"/>
      <c r="AK250" s="4"/>
      <c r="AL250" s="4"/>
      <c r="AM250" s="4"/>
      <c r="AN250" s="4"/>
      <c r="AO250" s="4"/>
      <c r="AP250" s="4"/>
      <c r="AQ250" s="4"/>
      <c r="AR250" s="4"/>
      <c r="AS250" s="4"/>
      <c r="AT250" s="4"/>
      <c r="AU250" s="4"/>
      <c r="AV250" s="537"/>
      <c r="AW250" s="537"/>
      <c r="AX250" s="4"/>
      <c r="AY250" s="4"/>
      <c r="AZ250" s="4"/>
      <c r="BA250" s="4"/>
      <c r="BB250" s="4"/>
      <c r="BC250" s="4"/>
      <c r="BD250" s="4"/>
      <c r="BE250" s="4"/>
      <c r="BF250" s="4"/>
      <c r="BG250" s="4"/>
      <c r="BH250" s="4"/>
      <c r="BI250" s="4"/>
      <c r="BJ250" s="4"/>
      <c r="BK250" s="4"/>
      <c r="BL250" s="4"/>
      <c r="BM250" s="4"/>
      <c r="BN250" s="4"/>
      <c r="BO250" s="4"/>
      <c r="BP250" s="4"/>
      <c r="BQ250" s="4"/>
      <c r="BR250" s="4"/>
    </row>
    <row r="251" spans="1:70" ht="27" customHeight="1" x14ac:dyDescent="0.2">
      <c r="A251" s="532"/>
      <c r="B251" s="917"/>
      <c r="C251" s="4"/>
      <c r="D251" s="917"/>
      <c r="E251" s="4"/>
      <c r="F251" s="917"/>
      <c r="G251" s="4"/>
      <c r="H251" s="920"/>
      <c r="I251" s="3"/>
      <c r="J251" s="920"/>
      <c r="K251" s="3"/>
      <c r="L251" s="920"/>
      <c r="M251" s="3"/>
      <c r="N251" s="920"/>
      <c r="O251" s="3"/>
      <c r="P251" s="3"/>
      <c r="Q251" s="533"/>
      <c r="R251" s="920"/>
      <c r="S251" s="534"/>
      <c r="T251" s="920"/>
      <c r="U251" s="920"/>
      <c r="V251" s="920"/>
      <c r="W251" s="535"/>
      <c r="X251" s="687"/>
      <c r="Y251" s="687"/>
      <c r="Z251" s="687"/>
      <c r="AA251" s="678"/>
      <c r="AB251" s="543"/>
      <c r="AC251" s="3"/>
      <c r="AD251" s="533"/>
      <c r="AE251" s="3"/>
      <c r="AF251" s="4"/>
      <c r="AG251" s="4"/>
      <c r="AH251" s="4"/>
      <c r="AI251" s="4"/>
      <c r="AJ251" s="4"/>
      <c r="AK251" s="4"/>
      <c r="AL251" s="4"/>
      <c r="AM251" s="4"/>
      <c r="AN251" s="4"/>
      <c r="AO251" s="4"/>
      <c r="AP251" s="4"/>
      <c r="AQ251" s="4"/>
      <c r="AR251" s="4"/>
      <c r="AS251" s="4"/>
      <c r="AT251" s="4"/>
      <c r="AU251" s="4"/>
      <c r="AV251" s="537"/>
      <c r="AW251" s="537"/>
      <c r="AX251" s="4"/>
      <c r="AY251" s="4"/>
      <c r="AZ251" s="4"/>
      <c r="BA251" s="4"/>
      <c r="BB251" s="4"/>
      <c r="BC251" s="4"/>
      <c r="BD251" s="4"/>
      <c r="BE251" s="4"/>
      <c r="BF251" s="4"/>
      <c r="BG251" s="4"/>
      <c r="BH251" s="4"/>
      <c r="BI251" s="4"/>
      <c r="BJ251" s="4"/>
      <c r="BK251" s="4"/>
      <c r="BL251" s="4"/>
      <c r="BM251" s="4"/>
      <c r="BN251" s="4"/>
      <c r="BO251" s="4"/>
      <c r="BP251" s="4"/>
      <c r="BQ251" s="4"/>
      <c r="BR251" s="4"/>
    </row>
    <row r="252" spans="1:70" ht="27" customHeight="1" x14ac:dyDescent="0.2">
      <c r="A252" s="532"/>
      <c r="B252" s="917"/>
      <c r="C252" s="4"/>
      <c r="D252" s="917"/>
      <c r="E252" s="4"/>
      <c r="F252" s="917"/>
      <c r="G252" s="4"/>
      <c r="H252" s="920"/>
      <c r="I252" s="3"/>
      <c r="J252" s="920"/>
      <c r="K252" s="3"/>
      <c r="L252" s="920"/>
      <c r="M252" s="3"/>
      <c r="N252" s="920"/>
      <c r="O252" s="3"/>
      <c r="P252" s="3"/>
      <c r="Q252" s="533"/>
      <c r="R252" s="920"/>
      <c r="S252" s="534"/>
      <c r="T252" s="920"/>
      <c r="U252" s="920"/>
      <c r="V252" s="920"/>
      <c r="W252" s="535"/>
      <c r="X252" s="687"/>
      <c r="Y252" s="687"/>
      <c r="Z252" s="687"/>
      <c r="AA252" s="678"/>
      <c r="AB252" s="543"/>
      <c r="AC252" s="3"/>
      <c r="AD252" s="533"/>
      <c r="AE252" s="3"/>
      <c r="AF252" s="4"/>
      <c r="AG252" s="4"/>
      <c r="AH252" s="4"/>
      <c r="AI252" s="4"/>
      <c r="AJ252" s="4"/>
      <c r="AK252" s="4"/>
      <c r="AL252" s="4"/>
      <c r="AM252" s="4"/>
      <c r="AN252" s="4"/>
      <c r="AO252" s="4"/>
      <c r="AP252" s="4"/>
      <c r="AQ252" s="4"/>
      <c r="AR252" s="4"/>
      <c r="AS252" s="4"/>
      <c r="AT252" s="4"/>
      <c r="AU252" s="4"/>
      <c r="AV252" s="537"/>
      <c r="AW252" s="537"/>
      <c r="AX252" s="4"/>
      <c r="AY252" s="4"/>
      <c r="AZ252" s="4"/>
      <c r="BA252" s="4"/>
      <c r="BB252" s="4"/>
      <c r="BC252" s="4"/>
      <c r="BD252" s="4"/>
      <c r="BE252" s="4"/>
      <c r="BF252" s="4"/>
      <c r="BG252" s="4"/>
      <c r="BH252" s="4"/>
      <c r="BI252" s="4"/>
      <c r="BJ252" s="4"/>
      <c r="BK252" s="4"/>
      <c r="BL252" s="4"/>
      <c r="BM252" s="4"/>
      <c r="BN252" s="4"/>
      <c r="BO252" s="4"/>
      <c r="BP252" s="4"/>
      <c r="BQ252" s="4"/>
      <c r="BR252" s="4"/>
    </row>
    <row r="253" spans="1:70" ht="27" customHeight="1" x14ac:dyDescent="0.2">
      <c r="A253" s="532"/>
      <c r="B253" s="917"/>
      <c r="C253" s="4"/>
      <c r="D253" s="917"/>
      <c r="E253" s="4"/>
      <c r="F253" s="917"/>
      <c r="G253" s="4"/>
      <c r="H253" s="920"/>
      <c r="I253" s="3"/>
      <c r="J253" s="920"/>
      <c r="K253" s="3"/>
      <c r="L253" s="920"/>
      <c r="M253" s="3"/>
      <c r="N253" s="920"/>
      <c r="O253" s="3"/>
      <c r="P253" s="3"/>
      <c r="Q253" s="533"/>
      <c r="R253" s="920"/>
      <c r="S253" s="534"/>
      <c r="T253" s="920"/>
      <c r="U253" s="920"/>
      <c r="V253" s="920"/>
      <c r="W253" s="535"/>
      <c r="X253" s="687"/>
      <c r="Y253" s="687"/>
      <c r="Z253" s="687"/>
      <c r="AA253" s="678"/>
      <c r="AB253" s="543"/>
      <c r="AC253" s="3"/>
      <c r="AD253" s="533"/>
      <c r="AE253" s="3"/>
      <c r="AF253" s="4"/>
      <c r="AG253" s="4"/>
      <c r="AH253" s="4"/>
      <c r="AI253" s="4"/>
      <c r="AJ253" s="4"/>
      <c r="AK253" s="4"/>
      <c r="AL253" s="4"/>
      <c r="AM253" s="4"/>
      <c r="AN253" s="4"/>
      <c r="AO253" s="4"/>
      <c r="AP253" s="4"/>
      <c r="AQ253" s="4"/>
      <c r="AR253" s="4"/>
      <c r="AS253" s="4"/>
      <c r="AT253" s="4"/>
      <c r="AU253" s="4"/>
      <c r="AV253" s="537"/>
      <c r="AW253" s="537"/>
      <c r="AX253" s="4"/>
      <c r="AY253" s="4"/>
      <c r="AZ253" s="4"/>
      <c r="BA253" s="4"/>
      <c r="BB253" s="4"/>
      <c r="BC253" s="4"/>
      <c r="BD253" s="4"/>
      <c r="BE253" s="4"/>
      <c r="BF253" s="4"/>
      <c r="BG253" s="4"/>
      <c r="BH253" s="4"/>
      <c r="BI253" s="4"/>
      <c r="BJ253" s="4"/>
      <c r="BK253" s="4"/>
      <c r="BL253" s="4"/>
      <c r="BM253" s="4"/>
      <c r="BN253" s="4"/>
      <c r="BO253" s="4"/>
      <c r="BP253" s="4"/>
      <c r="BQ253" s="4"/>
      <c r="BR253" s="4"/>
    </row>
    <row r="254" spans="1:70" ht="27" customHeight="1" x14ac:dyDescent="0.2">
      <c r="A254" s="532"/>
      <c r="B254" s="917"/>
      <c r="C254" s="4"/>
      <c r="D254" s="917"/>
      <c r="E254" s="4"/>
      <c r="F254" s="917"/>
      <c r="G254" s="4"/>
      <c r="H254" s="920"/>
      <c r="I254" s="3"/>
      <c r="J254" s="920"/>
      <c r="K254" s="3"/>
      <c r="L254" s="920"/>
      <c r="M254" s="3"/>
      <c r="N254" s="920"/>
      <c r="O254" s="3"/>
      <c r="P254" s="3"/>
      <c r="Q254" s="533"/>
      <c r="R254" s="920"/>
      <c r="S254" s="534"/>
      <c r="T254" s="920"/>
      <c r="U254" s="920"/>
      <c r="V254" s="920"/>
      <c r="W254" s="535"/>
      <c r="X254" s="687"/>
      <c r="Y254" s="687"/>
      <c r="Z254" s="687"/>
      <c r="AA254" s="678"/>
      <c r="AB254" s="543"/>
      <c r="AC254" s="3"/>
      <c r="AD254" s="533"/>
      <c r="AE254" s="3"/>
      <c r="AF254" s="4"/>
      <c r="AG254" s="4"/>
      <c r="AH254" s="4"/>
      <c r="AI254" s="4"/>
      <c r="AJ254" s="4"/>
      <c r="AK254" s="4"/>
      <c r="AL254" s="4"/>
      <c r="AM254" s="4"/>
      <c r="AN254" s="4"/>
      <c r="AO254" s="4"/>
      <c r="AP254" s="4"/>
      <c r="AQ254" s="4"/>
      <c r="AR254" s="4"/>
      <c r="AS254" s="4"/>
      <c r="AT254" s="4"/>
      <c r="AU254" s="4"/>
      <c r="AV254" s="537"/>
      <c r="AW254" s="537"/>
      <c r="AX254" s="4"/>
      <c r="AY254" s="4"/>
      <c r="AZ254" s="4"/>
      <c r="BA254" s="4"/>
      <c r="BB254" s="4"/>
      <c r="BC254" s="4"/>
      <c r="BD254" s="4"/>
      <c r="BE254" s="4"/>
      <c r="BF254" s="4"/>
      <c r="BG254" s="4"/>
      <c r="BH254" s="4"/>
      <c r="BI254" s="4"/>
      <c r="BJ254" s="4"/>
      <c r="BK254" s="4"/>
      <c r="BL254" s="4"/>
      <c r="BM254" s="4"/>
      <c r="BN254" s="4"/>
      <c r="BO254" s="4"/>
      <c r="BP254" s="4"/>
      <c r="BQ254" s="4"/>
      <c r="BR254" s="4"/>
    </row>
    <row r="255" spans="1:70" ht="27" customHeight="1" x14ac:dyDescent="0.2">
      <c r="A255" s="532"/>
      <c r="B255" s="917"/>
      <c r="C255" s="4"/>
      <c r="D255" s="917"/>
      <c r="E255" s="4"/>
      <c r="F255" s="917"/>
      <c r="G255" s="4"/>
      <c r="H255" s="920"/>
      <c r="I255" s="3"/>
      <c r="J255" s="920"/>
      <c r="K255" s="3"/>
      <c r="L255" s="920"/>
      <c r="M255" s="3"/>
      <c r="N255" s="920"/>
      <c r="O255" s="3"/>
      <c r="P255" s="3"/>
      <c r="Q255" s="533"/>
      <c r="R255" s="920"/>
      <c r="S255" s="534"/>
      <c r="T255" s="920"/>
      <c r="U255" s="920"/>
      <c r="V255" s="920"/>
      <c r="W255" s="535"/>
      <c r="X255" s="687"/>
      <c r="Y255" s="687"/>
      <c r="Z255" s="687"/>
      <c r="AA255" s="678"/>
      <c r="AB255" s="543"/>
      <c r="AC255" s="3"/>
      <c r="AD255" s="533"/>
      <c r="AE255" s="3"/>
      <c r="AF255" s="4"/>
      <c r="AG255" s="4"/>
      <c r="AH255" s="4"/>
      <c r="AI255" s="4"/>
      <c r="AJ255" s="4"/>
      <c r="AK255" s="4"/>
      <c r="AL255" s="4"/>
      <c r="AM255" s="4"/>
      <c r="AN255" s="4"/>
      <c r="AO255" s="4"/>
      <c r="AP255" s="4"/>
      <c r="AQ255" s="4"/>
      <c r="AR255" s="4"/>
      <c r="AS255" s="4"/>
      <c r="AT255" s="4"/>
      <c r="AU255" s="4"/>
      <c r="AV255" s="537"/>
      <c r="AW255" s="537"/>
      <c r="AX255" s="4"/>
      <c r="AY255" s="4"/>
      <c r="AZ255" s="4"/>
      <c r="BA255" s="4"/>
      <c r="BB255" s="4"/>
      <c r="BC255" s="4"/>
      <c r="BD255" s="4"/>
      <c r="BE255" s="4"/>
      <c r="BF255" s="4"/>
      <c r="BG255" s="4"/>
      <c r="BH255" s="4"/>
      <c r="BI255" s="4"/>
      <c r="BJ255" s="4"/>
      <c r="BK255" s="4"/>
      <c r="BL255" s="4"/>
      <c r="BM255" s="4"/>
      <c r="BN255" s="4"/>
      <c r="BO255" s="4"/>
      <c r="BP255" s="4"/>
      <c r="BQ255" s="4"/>
      <c r="BR255" s="4"/>
    </row>
    <row r="256" spans="1:70" ht="27" customHeight="1" x14ac:dyDescent="0.2">
      <c r="A256" s="532"/>
      <c r="B256" s="917"/>
      <c r="C256" s="4"/>
      <c r="D256" s="917"/>
      <c r="E256" s="4"/>
      <c r="F256" s="917"/>
      <c r="G256" s="4"/>
      <c r="H256" s="920"/>
      <c r="I256" s="3"/>
      <c r="J256" s="920"/>
      <c r="K256" s="3"/>
      <c r="L256" s="920"/>
      <c r="M256" s="3"/>
      <c r="N256" s="920"/>
      <c r="O256" s="3"/>
      <c r="P256" s="3"/>
      <c r="Q256" s="533"/>
      <c r="R256" s="920"/>
      <c r="S256" s="534"/>
      <c r="T256" s="920"/>
      <c r="U256" s="920"/>
      <c r="V256" s="920"/>
      <c r="W256" s="535"/>
      <c r="X256" s="687"/>
      <c r="Y256" s="687"/>
      <c r="Z256" s="687"/>
      <c r="AA256" s="678"/>
      <c r="AB256" s="543"/>
      <c r="AC256" s="3"/>
      <c r="AD256" s="533"/>
      <c r="AE256" s="3"/>
      <c r="AF256" s="4"/>
      <c r="AG256" s="4"/>
      <c r="AH256" s="4"/>
      <c r="AI256" s="4"/>
      <c r="AJ256" s="4"/>
      <c r="AK256" s="4"/>
      <c r="AL256" s="4"/>
      <c r="AM256" s="4"/>
      <c r="AN256" s="4"/>
      <c r="AO256" s="4"/>
      <c r="AP256" s="4"/>
      <c r="AQ256" s="4"/>
      <c r="AR256" s="4"/>
      <c r="AS256" s="4"/>
      <c r="AT256" s="4"/>
      <c r="AU256" s="4"/>
      <c r="AV256" s="537"/>
      <c r="AW256" s="537"/>
      <c r="AX256" s="4"/>
      <c r="AY256" s="4"/>
      <c r="AZ256" s="4"/>
      <c r="BA256" s="4"/>
      <c r="BB256" s="4"/>
      <c r="BC256" s="4"/>
      <c r="BD256" s="4"/>
      <c r="BE256" s="4"/>
      <c r="BF256" s="4"/>
      <c r="BG256" s="4"/>
      <c r="BH256" s="4"/>
      <c r="BI256" s="4"/>
      <c r="BJ256" s="4"/>
      <c r="BK256" s="4"/>
      <c r="BL256" s="4"/>
      <c r="BM256" s="4"/>
      <c r="BN256" s="4"/>
      <c r="BO256" s="4"/>
      <c r="BP256" s="4"/>
      <c r="BQ256" s="4"/>
      <c r="BR256" s="4"/>
    </row>
    <row r="257" spans="1:70" ht="27" customHeight="1" x14ac:dyDescent="0.2">
      <c r="A257" s="532"/>
      <c r="B257" s="917"/>
      <c r="C257" s="4"/>
      <c r="D257" s="917"/>
      <c r="E257" s="4"/>
      <c r="F257" s="917"/>
      <c r="G257" s="4"/>
      <c r="H257" s="920"/>
      <c r="I257" s="3"/>
      <c r="J257" s="920"/>
      <c r="K257" s="3"/>
      <c r="L257" s="920"/>
      <c r="M257" s="3"/>
      <c r="N257" s="920"/>
      <c r="O257" s="3"/>
      <c r="P257" s="3"/>
      <c r="Q257" s="533"/>
      <c r="R257" s="920"/>
      <c r="S257" s="534"/>
      <c r="T257" s="920"/>
      <c r="U257" s="920"/>
      <c r="V257" s="920"/>
      <c r="W257" s="535"/>
      <c r="X257" s="687"/>
      <c r="Y257" s="687"/>
      <c r="Z257" s="687"/>
      <c r="AA257" s="678"/>
      <c r="AB257" s="543"/>
      <c r="AC257" s="3"/>
      <c r="AD257" s="533"/>
      <c r="AE257" s="3"/>
      <c r="AF257" s="4"/>
      <c r="AG257" s="4"/>
      <c r="AH257" s="4"/>
      <c r="AI257" s="4"/>
      <c r="AJ257" s="4"/>
      <c r="AK257" s="4"/>
      <c r="AL257" s="4"/>
      <c r="AM257" s="4"/>
      <c r="AN257" s="4"/>
      <c r="AO257" s="4"/>
      <c r="AP257" s="4"/>
      <c r="AQ257" s="4"/>
      <c r="AR257" s="4"/>
      <c r="AS257" s="4"/>
      <c r="AT257" s="4"/>
      <c r="AU257" s="4"/>
      <c r="AV257" s="537"/>
      <c r="AW257" s="537"/>
      <c r="AX257" s="4"/>
      <c r="AY257" s="4"/>
      <c r="AZ257" s="4"/>
      <c r="BA257" s="4"/>
      <c r="BB257" s="4"/>
      <c r="BC257" s="4"/>
      <c r="BD257" s="4"/>
      <c r="BE257" s="4"/>
      <c r="BF257" s="4"/>
      <c r="BG257" s="4"/>
      <c r="BH257" s="4"/>
      <c r="BI257" s="4"/>
      <c r="BJ257" s="4"/>
      <c r="BK257" s="4"/>
      <c r="BL257" s="4"/>
      <c r="BM257" s="4"/>
      <c r="BN257" s="4"/>
      <c r="BO257" s="4"/>
      <c r="BP257" s="4"/>
      <c r="BQ257" s="4"/>
      <c r="BR257" s="4"/>
    </row>
    <row r="258" spans="1:70" ht="27" customHeight="1" x14ac:dyDescent="0.2">
      <c r="A258" s="532"/>
      <c r="B258" s="917"/>
      <c r="C258" s="4"/>
      <c r="D258" s="917"/>
      <c r="E258" s="4"/>
      <c r="F258" s="917"/>
      <c r="G258" s="4"/>
      <c r="H258" s="920"/>
      <c r="I258" s="3"/>
      <c r="J258" s="920"/>
      <c r="K258" s="3"/>
      <c r="L258" s="920"/>
      <c r="M258" s="3"/>
      <c r="N258" s="920"/>
      <c r="O258" s="3"/>
      <c r="P258" s="3"/>
      <c r="Q258" s="533"/>
      <c r="R258" s="920"/>
      <c r="S258" s="534"/>
      <c r="T258" s="920"/>
      <c r="U258" s="920"/>
      <c r="V258" s="920"/>
      <c r="W258" s="535"/>
      <c r="X258" s="687"/>
      <c r="Y258" s="687"/>
      <c r="Z258" s="687"/>
      <c r="AA258" s="678"/>
      <c r="AB258" s="543"/>
      <c r="AC258" s="3"/>
      <c r="AD258" s="533"/>
      <c r="AE258" s="3"/>
      <c r="AF258" s="4"/>
      <c r="AG258" s="4"/>
      <c r="AH258" s="4"/>
      <c r="AI258" s="4"/>
      <c r="AJ258" s="4"/>
      <c r="AK258" s="4"/>
      <c r="AL258" s="4"/>
      <c r="AM258" s="4"/>
      <c r="AN258" s="4"/>
      <c r="AO258" s="4"/>
      <c r="AP258" s="4"/>
      <c r="AQ258" s="4"/>
      <c r="AR258" s="4"/>
      <c r="AS258" s="4"/>
      <c r="AT258" s="4"/>
      <c r="AU258" s="4"/>
      <c r="AV258" s="537"/>
      <c r="AW258" s="537"/>
      <c r="AX258" s="4"/>
      <c r="AY258" s="4"/>
      <c r="AZ258" s="4"/>
      <c r="BA258" s="4"/>
      <c r="BB258" s="4"/>
      <c r="BC258" s="4"/>
      <c r="BD258" s="4"/>
      <c r="BE258" s="4"/>
      <c r="BF258" s="4"/>
      <c r="BG258" s="4"/>
      <c r="BH258" s="4"/>
      <c r="BI258" s="4"/>
      <c r="BJ258" s="4"/>
      <c r="BK258" s="4"/>
      <c r="BL258" s="4"/>
      <c r="BM258" s="4"/>
      <c r="BN258" s="4"/>
      <c r="BO258" s="4"/>
      <c r="BP258" s="4"/>
      <c r="BQ258" s="4"/>
      <c r="BR258" s="4"/>
    </row>
    <row r="259" spans="1:70" ht="27" customHeight="1" x14ac:dyDescent="0.2">
      <c r="A259" s="532"/>
      <c r="B259" s="917"/>
      <c r="C259" s="4"/>
      <c r="D259" s="917"/>
      <c r="E259" s="4"/>
      <c r="F259" s="917"/>
      <c r="G259" s="4"/>
      <c r="H259" s="920"/>
      <c r="I259" s="3"/>
      <c r="J259" s="920"/>
      <c r="K259" s="3"/>
      <c r="L259" s="920"/>
      <c r="M259" s="3"/>
      <c r="N259" s="920"/>
      <c r="O259" s="3"/>
      <c r="P259" s="3"/>
      <c r="Q259" s="533"/>
      <c r="R259" s="920"/>
      <c r="S259" s="534"/>
      <c r="T259" s="920"/>
      <c r="U259" s="920"/>
      <c r="V259" s="920"/>
      <c r="W259" s="535"/>
      <c r="X259" s="687"/>
      <c r="Y259" s="687"/>
      <c r="Z259" s="687"/>
      <c r="AA259" s="678"/>
      <c r="AB259" s="543"/>
      <c r="AC259" s="3"/>
      <c r="AD259" s="533"/>
      <c r="AE259" s="3"/>
      <c r="AF259" s="4"/>
      <c r="AG259" s="4"/>
      <c r="AH259" s="4"/>
      <c r="AI259" s="4"/>
      <c r="AJ259" s="4"/>
      <c r="AK259" s="4"/>
      <c r="AL259" s="4"/>
      <c r="AM259" s="4"/>
      <c r="AN259" s="4"/>
      <c r="AO259" s="4"/>
      <c r="AP259" s="4"/>
      <c r="AQ259" s="4"/>
      <c r="AR259" s="4"/>
      <c r="AS259" s="4"/>
      <c r="AT259" s="4"/>
      <c r="AU259" s="4"/>
      <c r="AV259" s="537"/>
      <c r="AW259" s="537"/>
      <c r="AX259" s="4"/>
      <c r="AY259" s="4"/>
      <c r="AZ259" s="4"/>
      <c r="BA259" s="4"/>
      <c r="BB259" s="4"/>
      <c r="BC259" s="4"/>
      <c r="BD259" s="4"/>
      <c r="BE259" s="4"/>
      <c r="BF259" s="4"/>
      <c r="BG259" s="4"/>
      <c r="BH259" s="4"/>
      <c r="BI259" s="4"/>
      <c r="BJ259" s="4"/>
      <c r="BK259" s="4"/>
      <c r="BL259" s="4"/>
      <c r="BM259" s="4"/>
      <c r="BN259" s="4"/>
      <c r="BO259" s="4"/>
      <c r="BP259" s="4"/>
      <c r="BQ259" s="4"/>
      <c r="BR259" s="4"/>
    </row>
    <row r="260" spans="1:70" ht="27" customHeight="1" x14ac:dyDescent="0.2">
      <c r="A260" s="532"/>
      <c r="B260" s="917"/>
      <c r="C260" s="4"/>
      <c r="D260" s="917"/>
      <c r="E260" s="4"/>
      <c r="F260" s="917"/>
      <c r="G260" s="4"/>
      <c r="H260" s="920"/>
      <c r="I260" s="3"/>
      <c r="J260" s="920"/>
      <c r="K260" s="3"/>
      <c r="L260" s="920"/>
      <c r="M260" s="3"/>
      <c r="N260" s="920"/>
      <c r="O260" s="3"/>
      <c r="P260" s="3"/>
      <c r="Q260" s="533"/>
      <c r="R260" s="920"/>
      <c r="S260" s="534"/>
      <c r="T260" s="920"/>
      <c r="U260" s="920"/>
      <c r="V260" s="920"/>
      <c r="W260" s="535"/>
      <c r="X260" s="687"/>
      <c r="Y260" s="687"/>
      <c r="Z260" s="687"/>
      <c r="AA260" s="678"/>
      <c r="AB260" s="543"/>
      <c r="AC260" s="3"/>
      <c r="AD260" s="533"/>
      <c r="AE260" s="3"/>
      <c r="AF260" s="4"/>
      <c r="AG260" s="4"/>
      <c r="AH260" s="4"/>
      <c r="AI260" s="4"/>
      <c r="AJ260" s="4"/>
      <c r="AK260" s="4"/>
      <c r="AL260" s="4"/>
      <c r="AM260" s="4"/>
      <c r="AN260" s="4"/>
      <c r="AO260" s="4"/>
      <c r="AP260" s="4"/>
      <c r="AQ260" s="4"/>
      <c r="AR260" s="4"/>
      <c r="AS260" s="4"/>
      <c r="AT260" s="4"/>
      <c r="AU260" s="4"/>
      <c r="AV260" s="537"/>
      <c r="AW260" s="537"/>
      <c r="AX260" s="4"/>
      <c r="AY260" s="4"/>
      <c r="AZ260" s="4"/>
      <c r="BA260" s="4"/>
      <c r="BB260" s="4"/>
      <c r="BC260" s="4"/>
      <c r="BD260" s="4"/>
      <c r="BE260" s="4"/>
      <c r="BF260" s="4"/>
      <c r="BG260" s="4"/>
      <c r="BH260" s="4"/>
      <c r="BI260" s="4"/>
      <c r="BJ260" s="4"/>
      <c r="BK260" s="4"/>
      <c r="BL260" s="4"/>
      <c r="BM260" s="4"/>
      <c r="BN260" s="4"/>
      <c r="BO260" s="4"/>
      <c r="BP260" s="4"/>
      <c r="BQ260" s="4"/>
      <c r="BR260" s="4"/>
    </row>
    <row r="261" spans="1:70" ht="27" customHeight="1" x14ac:dyDescent="0.2">
      <c r="A261" s="532"/>
      <c r="B261" s="917"/>
      <c r="C261" s="4"/>
      <c r="D261" s="917"/>
      <c r="E261" s="4"/>
      <c r="F261" s="917"/>
      <c r="G261" s="4"/>
      <c r="H261" s="920"/>
      <c r="I261" s="3"/>
      <c r="J261" s="920"/>
      <c r="K261" s="3"/>
      <c r="L261" s="920"/>
      <c r="M261" s="3"/>
      <c r="N261" s="920"/>
      <c r="O261" s="3"/>
      <c r="P261" s="3"/>
      <c r="Q261" s="533"/>
      <c r="R261" s="920"/>
      <c r="S261" s="534"/>
      <c r="T261" s="920"/>
      <c r="U261" s="920"/>
      <c r="V261" s="920"/>
      <c r="W261" s="535"/>
      <c r="X261" s="687"/>
      <c r="Y261" s="687"/>
      <c r="Z261" s="687"/>
      <c r="AA261" s="678"/>
      <c r="AB261" s="543"/>
      <c r="AC261" s="3"/>
      <c r="AD261" s="533"/>
      <c r="AE261" s="3"/>
      <c r="AF261" s="4"/>
      <c r="AG261" s="4"/>
      <c r="AH261" s="4"/>
      <c r="AI261" s="4"/>
      <c r="AJ261" s="4"/>
      <c r="AK261" s="4"/>
      <c r="AL261" s="4"/>
      <c r="AM261" s="4"/>
      <c r="AN261" s="4"/>
      <c r="AO261" s="4"/>
      <c r="AP261" s="4"/>
      <c r="AQ261" s="4"/>
      <c r="AR261" s="4"/>
      <c r="AS261" s="4"/>
      <c r="AT261" s="4"/>
      <c r="AU261" s="4"/>
      <c r="AV261" s="537"/>
      <c r="AW261" s="537"/>
      <c r="AX261" s="4"/>
      <c r="AY261" s="4"/>
      <c r="AZ261" s="4"/>
      <c r="BA261" s="4"/>
      <c r="BB261" s="4"/>
      <c r="BC261" s="4"/>
      <c r="BD261" s="4"/>
      <c r="BE261" s="4"/>
      <c r="BF261" s="4"/>
      <c r="BG261" s="4"/>
      <c r="BH261" s="4"/>
      <c r="BI261" s="4"/>
      <c r="BJ261" s="4"/>
      <c r="BK261" s="4"/>
      <c r="BL261" s="4"/>
      <c r="BM261" s="4"/>
      <c r="BN261" s="4"/>
      <c r="BO261" s="4"/>
      <c r="BP261" s="4"/>
      <c r="BQ261" s="4"/>
      <c r="BR261" s="4"/>
    </row>
    <row r="262" spans="1:70" ht="27" customHeight="1" x14ac:dyDescent="0.2">
      <c r="A262" s="532"/>
      <c r="B262" s="917"/>
      <c r="C262" s="4"/>
      <c r="D262" s="917"/>
      <c r="E262" s="4"/>
      <c r="F262" s="917"/>
      <c r="G262" s="4"/>
      <c r="H262" s="920"/>
      <c r="I262" s="3"/>
      <c r="J262" s="920"/>
      <c r="K262" s="3"/>
      <c r="L262" s="920"/>
      <c r="M262" s="3"/>
      <c r="N262" s="920"/>
      <c r="O262" s="3"/>
      <c r="P262" s="3"/>
      <c r="Q262" s="533"/>
      <c r="R262" s="920"/>
      <c r="S262" s="534"/>
      <c r="T262" s="920"/>
      <c r="U262" s="920"/>
      <c r="V262" s="920"/>
      <c r="W262" s="535"/>
      <c r="X262" s="687"/>
      <c r="Y262" s="687"/>
      <c r="Z262" s="687"/>
      <c r="AA262" s="678"/>
      <c r="AB262" s="543"/>
      <c r="AC262" s="3"/>
      <c r="AD262" s="533"/>
      <c r="AE262" s="3"/>
      <c r="AF262" s="4"/>
      <c r="AG262" s="4"/>
      <c r="AH262" s="4"/>
      <c r="AI262" s="4"/>
      <c r="AJ262" s="4"/>
      <c r="AK262" s="4"/>
      <c r="AL262" s="4"/>
      <c r="AM262" s="4"/>
      <c r="AN262" s="4"/>
      <c r="AO262" s="4"/>
      <c r="AP262" s="4"/>
      <c r="AQ262" s="4"/>
      <c r="AR262" s="4"/>
      <c r="AS262" s="4"/>
      <c r="AT262" s="4"/>
      <c r="AU262" s="4"/>
      <c r="AV262" s="537"/>
      <c r="AW262" s="537"/>
      <c r="AX262" s="4"/>
      <c r="AY262" s="4"/>
      <c r="AZ262" s="4"/>
      <c r="BA262" s="4"/>
      <c r="BB262" s="4"/>
      <c r="BC262" s="4"/>
      <c r="BD262" s="4"/>
      <c r="BE262" s="4"/>
      <c r="BF262" s="4"/>
      <c r="BG262" s="4"/>
      <c r="BH262" s="4"/>
      <c r="BI262" s="4"/>
      <c r="BJ262" s="4"/>
      <c r="BK262" s="4"/>
      <c r="BL262" s="4"/>
      <c r="BM262" s="4"/>
      <c r="BN262" s="4"/>
      <c r="BO262" s="4"/>
      <c r="BP262" s="4"/>
      <c r="BQ262" s="4"/>
      <c r="BR262" s="4"/>
    </row>
    <row r="263" spans="1:70" ht="27" customHeight="1" x14ac:dyDescent="0.2">
      <c r="A263" s="532"/>
      <c r="B263" s="917"/>
      <c r="C263" s="4"/>
      <c r="D263" s="917"/>
      <c r="E263" s="4"/>
      <c r="F263" s="917"/>
      <c r="G263" s="4"/>
      <c r="H263" s="920"/>
      <c r="I263" s="3"/>
      <c r="J263" s="920"/>
      <c r="K263" s="3"/>
      <c r="L263" s="920"/>
      <c r="M263" s="3"/>
      <c r="N263" s="920"/>
      <c r="O263" s="3"/>
      <c r="P263" s="3"/>
      <c r="Q263" s="533"/>
      <c r="R263" s="920"/>
      <c r="S263" s="534"/>
      <c r="T263" s="920"/>
      <c r="U263" s="920"/>
      <c r="V263" s="920"/>
      <c r="W263" s="535"/>
      <c r="X263" s="687"/>
      <c r="Y263" s="687"/>
      <c r="Z263" s="687"/>
      <c r="AA263" s="678"/>
      <c r="AB263" s="543"/>
      <c r="AC263" s="3"/>
      <c r="AD263" s="533"/>
      <c r="AE263" s="3"/>
      <c r="AF263" s="4"/>
      <c r="AG263" s="4"/>
      <c r="AH263" s="4"/>
      <c r="AI263" s="4"/>
      <c r="AJ263" s="4"/>
      <c r="AK263" s="4"/>
      <c r="AL263" s="4"/>
      <c r="AM263" s="4"/>
      <c r="AN263" s="4"/>
      <c r="AO263" s="4"/>
      <c r="AP263" s="4"/>
      <c r="AQ263" s="4"/>
      <c r="AR263" s="4"/>
      <c r="AS263" s="4"/>
      <c r="AT263" s="4"/>
      <c r="AU263" s="4"/>
      <c r="AV263" s="537"/>
      <c r="AW263" s="537"/>
      <c r="AX263" s="4"/>
      <c r="AY263" s="4"/>
      <c r="AZ263" s="4"/>
      <c r="BA263" s="4"/>
      <c r="BB263" s="4"/>
      <c r="BC263" s="4"/>
      <c r="BD263" s="4"/>
      <c r="BE263" s="4"/>
      <c r="BF263" s="4"/>
      <c r="BG263" s="4"/>
      <c r="BH263" s="4"/>
      <c r="BI263" s="4"/>
      <c r="BJ263" s="4"/>
      <c r="BK263" s="4"/>
      <c r="BL263" s="4"/>
      <c r="BM263" s="4"/>
      <c r="BN263" s="4"/>
      <c r="BO263" s="4"/>
      <c r="BP263" s="4"/>
      <c r="BQ263" s="4"/>
      <c r="BR263" s="4"/>
    </row>
    <row r="264" spans="1:70" ht="27" customHeight="1" x14ac:dyDescent="0.2">
      <c r="A264" s="532"/>
      <c r="B264" s="917"/>
      <c r="C264" s="4"/>
      <c r="D264" s="917"/>
      <c r="E264" s="4"/>
      <c r="F264" s="917"/>
      <c r="G264" s="4"/>
      <c r="H264" s="920"/>
      <c r="I264" s="3"/>
      <c r="J264" s="920"/>
      <c r="K264" s="3"/>
      <c r="L264" s="920"/>
      <c r="M264" s="3"/>
      <c r="N264" s="920"/>
      <c r="O264" s="3"/>
      <c r="P264" s="3"/>
      <c r="Q264" s="533"/>
      <c r="R264" s="920"/>
      <c r="S264" s="534"/>
      <c r="T264" s="920"/>
      <c r="U264" s="920"/>
      <c r="V264" s="920"/>
      <c r="W264" s="535"/>
      <c r="X264" s="687"/>
      <c r="Y264" s="687"/>
      <c r="Z264" s="687"/>
      <c r="AA264" s="678"/>
      <c r="AB264" s="543"/>
      <c r="AC264" s="3"/>
      <c r="AD264" s="533"/>
      <c r="AE264" s="3"/>
      <c r="AF264" s="4"/>
      <c r="AG264" s="4"/>
      <c r="AH264" s="4"/>
      <c r="AI264" s="4"/>
      <c r="AJ264" s="4"/>
      <c r="AK264" s="4"/>
      <c r="AL264" s="4"/>
      <c r="AM264" s="4"/>
      <c r="AN264" s="4"/>
      <c r="AO264" s="4"/>
      <c r="AP264" s="4"/>
      <c r="AQ264" s="4"/>
      <c r="AR264" s="4"/>
      <c r="AS264" s="4"/>
      <c r="AT264" s="4"/>
      <c r="AU264" s="4"/>
      <c r="AV264" s="537"/>
      <c r="AW264" s="537"/>
      <c r="AX264" s="4"/>
      <c r="AY264" s="4"/>
      <c r="AZ264" s="4"/>
      <c r="BA264" s="4"/>
      <c r="BB264" s="4"/>
      <c r="BC264" s="4"/>
      <c r="BD264" s="4"/>
      <c r="BE264" s="4"/>
      <c r="BF264" s="4"/>
      <c r="BG264" s="4"/>
      <c r="BH264" s="4"/>
      <c r="BI264" s="4"/>
      <c r="BJ264" s="4"/>
      <c r="BK264" s="4"/>
      <c r="BL264" s="4"/>
      <c r="BM264" s="4"/>
      <c r="BN264" s="4"/>
      <c r="BO264" s="4"/>
      <c r="BP264" s="4"/>
      <c r="BQ264" s="4"/>
      <c r="BR264" s="4"/>
    </row>
    <row r="265" spans="1:70" ht="27" customHeight="1" x14ac:dyDescent="0.2">
      <c r="A265" s="532"/>
      <c r="B265" s="917"/>
      <c r="C265" s="4"/>
      <c r="D265" s="917"/>
      <c r="E265" s="4"/>
      <c r="F265" s="917"/>
      <c r="G265" s="4"/>
      <c r="H265" s="920"/>
      <c r="I265" s="3"/>
      <c r="J265" s="920"/>
      <c r="K265" s="3"/>
      <c r="L265" s="920"/>
      <c r="M265" s="3"/>
      <c r="N265" s="920"/>
      <c r="O265" s="3"/>
      <c r="P265" s="3"/>
      <c r="Q265" s="533"/>
      <c r="R265" s="920"/>
      <c r="S265" s="534"/>
      <c r="T265" s="920"/>
      <c r="U265" s="920"/>
      <c r="V265" s="920"/>
      <c r="W265" s="535"/>
      <c r="X265" s="687"/>
      <c r="Y265" s="687"/>
      <c r="Z265" s="687"/>
      <c r="AA265" s="678"/>
      <c r="AB265" s="543"/>
      <c r="AC265" s="3"/>
      <c r="AD265" s="533"/>
      <c r="AE265" s="3"/>
      <c r="AF265" s="4"/>
      <c r="AG265" s="4"/>
      <c r="AH265" s="4"/>
      <c r="AI265" s="4"/>
      <c r="AJ265" s="4"/>
      <c r="AK265" s="4"/>
      <c r="AL265" s="4"/>
      <c r="AM265" s="4"/>
      <c r="AN265" s="4"/>
      <c r="AO265" s="4"/>
      <c r="AP265" s="4"/>
      <c r="AQ265" s="4"/>
      <c r="AR265" s="4"/>
      <c r="AS265" s="4"/>
      <c r="AT265" s="4"/>
      <c r="AU265" s="4"/>
      <c r="AV265" s="537"/>
      <c r="AW265" s="537"/>
      <c r="AX265" s="4"/>
      <c r="AY265" s="4"/>
      <c r="AZ265" s="4"/>
      <c r="BA265" s="4"/>
      <c r="BB265" s="4"/>
      <c r="BC265" s="4"/>
      <c r="BD265" s="4"/>
      <c r="BE265" s="4"/>
      <c r="BF265" s="4"/>
      <c r="BG265" s="4"/>
      <c r="BH265" s="4"/>
      <c r="BI265" s="4"/>
      <c r="BJ265" s="4"/>
      <c r="BK265" s="4"/>
      <c r="BL265" s="4"/>
      <c r="BM265" s="4"/>
      <c r="BN265" s="4"/>
      <c r="BO265" s="4"/>
      <c r="BP265" s="4"/>
      <c r="BQ265" s="4"/>
      <c r="BR265" s="4"/>
    </row>
    <row r="266" spans="1:70" ht="27" customHeight="1" x14ac:dyDescent="0.2">
      <c r="A266" s="532"/>
      <c r="B266" s="917"/>
      <c r="C266" s="4"/>
      <c r="D266" s="917"/>
      <c r="E266" s="4"/>
      <c r="F266" s="917"/>
      <c r="G266" s="4"/>
      <c r="H266" s="920"/>
      <c r="I266" s="3"/>
      <c r="J266" s="920"/>
      <c r="K266" s="3"/>
      <c r="L266" s="920"/>
      <c r="M266" s="3"/>
      <c r="N266" s="920"/>
      <c r="O266" s="3"/>
      <c r="P266" s="3"/>
      <c r="Q266" s="533"/>
      <c r="R266" s="920"/>
      <c r="S266" s="534"/>
      <c r="T266" s="920"/>
      <c r="U266" s="920"/>
      <c r="V266" s="920"/>
      <c r="W266" s="535"/>
      <c r="X266" s="687"/>
      <c r="Y266" s="687"/>
      <c r="Z266" s="687"/>
      <c r="AA266" s="678"/>
      <c r="AB266" s="543"/>
      <c r="AC266" s="3"/>
      <c r="AD266" s="533"/>
      <c r="AE266" s="3"/>
      <c r="AF266" s="4"/>
      <c r="AG266" s="4"/>
      <c r="AH266" s="4"/>
      <c r="AI266" s="4"/>
      <c r="AJ266" s="4"/>
      <c r="AK266" s="4"/>
      <c r="AL266" s="4"/>
      <c r="AM266" s="4"/>
      <c r="AN266" s="4"/>
      <c r="AO266" s="4"/>
      <c r="AP266" s="4"/>
      <c r="AQ266" s="4"/>
      <c r="AR266" s="4"/>
      <c r="AS266" s="4"/>
      <c r="AT266" s="4"/>
      <c r="AU266" s="4"/>
      <c r="AV266" s="537"/>
      <c r="AW266" s="537"/>
      <c r="AX266" s="4"/>
      <c r="AY266" s="4"/>
      <c r="AZ266" s="4"/>
      <c r="BA266" s="4"/>
      <c r="BB266" s="4"/>
      <c r="BC266" s="4"/>
      <c r="BD266" s="4"/>
      <c r="BE266" s="4"/>
      <c r="BF266" s="4"/>
      <c r="BG266" s="4"/>
      <c r="BH266" s="4"/>
      <c r="BI266" s="4"/>
      <c r="BJ266" s="4"/>
      <c r="BK266" s="4"/>
      <c r="BL266" s="4"/>
      <c r="BM266" s="4"/>
      <c r="BN266" s="4"/>
      <c r="BO266" s="4"/>
      <c r="BP266" s="4"/>
      <c r="BQ266" s="4"/>
      <c r="BR266" s="4"/>
    </row>
    <row r="267" spans="1:70" ht="27" customHeight="1" x14ac:dyDescent="0.2">
      <c r="A267" s="532"/>
      <c r="B267" s="917"/>
      <c r="C267" s="4"/>
      <c r="D267" s="917"/>
      <c r="E267" s="4"/>
      <c r="F267" s="917"/>
      <c r="G267" s="4"/>
      <c r="H267" s="920"/>
      <c r="I267" s="3"/>
      <c r="J267" s="920"/>
      <c r="K267" s="3"/>
      <c r="L267" s="920"/>
      <c r="M267" s="3"/>
      <c r="N267" s="920"/>
      <c r="O267" s="3"/>
      <c r="P267" s="3"/>
      <c r="Q267" s="533"/>
      <c r="R267" s="920"/>
      <c r="S267" s="534"/>
      <c r="T267" s="920"/>
      <c r="U267" s="920"/>
      <c r="V267" s="920"/>
      <c r="W267" s="535"/>
      <c r="X267" s="687"/>
      <c r="Y267" s="687"/>
      <c r="Z267" s="687"/>
      <c r="AA267" s="678"/>
      <c r="AB267" s="543"/>
      <c r="AC267" s="3"/>
      <c r="AD267" s="533"/>
      <c r="AE267" s="3"/>
      <c r="AF267" s="4"/>
      <c r="AG267" s="4"/>
      <c r="AH267" s="4"/>
      <c r="AI267" s="4"/>
      <c r="AJ267" s="4"/>
      <c r="AK267" s="4"/>
      <c r="AL267" s="4"/>
      <c r="AM267" s="4"/>
      <c r="AN267" s="4"/>
      <c r="AO267" s="4"/>
      <c r="AP267" s="4"/>
      <c r="AQ267" s="4"/>
      <c r="AR267" s="4"/>
      <c r="AS267" s="4"/>
      <c r="AT267" s="4"/>
      <c r="AU267" s="4"/>
      <c r="AV267" s="537"/>
      <c r="AW267" s="537"/>
      <c r="AX267" s="4"/>
      <c r="AY267" s="4"/>
      <c r="AZ267" s="4"/>
      <c r="BA267" s="4"/>
      <c r="BB267" s="4"/>
      <c r="BC267" s="4"/>
      <c r="BD267" s="4"/>
      <c r="BE267" s="4"/>
      <c r="BF267" s="4"/>
      <c r="BG267" s="4"/>
      <c r="BH267" s="4"/>
      <c r="BI267" s="4"/>
      <c r="BJ267" s="4"/>
      <c r="BK267" s="4"/>
      <c r="BL267" s="4"/>
      <c r="BM267" s="4"/>
      <c r="BN267" s="4"/>
      <c r="BO267" s="4"/>
      <c r="BP267" s="4"/>
      <c r="BQ267" s="4"/>
      <c r="BR267" s="4"/>
    </row>
    <row r="268" spans="1:70" ht="27" customHeight="1" x14ac:dyDescent="0.2">
      <c r="A268" s="532"/>
      <c r="B268" s="917"/>
      <c r="C268" s="4"/>
      <c r="D268" s="917"/>
      <c r="E268" s="4"/>
      <c r="F268" s="917"/>
      <c r="G268" s="4"/>
      <c r="H268" s="920"/>
      <c r="I268" s="3"/>
      <c r="J268" s="920"/>
      <c r="K268" s="3"/>
      <c r="L268" s="920"/>
      <c r="M268" s="3"/>
      <c r="N268" s="920"/>
      <c r="O268" s="3"/>
      <c r="P268" s="3"/>
      <c r="Q268" s="533"/>
      <c r="R268" s="920"/>
      <c r="S268" s="534"/>
      <c r="T268" s="920"/>
      <c r="U268" s="920"/>
      <c r="V268" s="920"/>
      <c r="W268" s="535"/>
      <c r="X268" s="687"/>
      <c r="Y268" s="687"/>
      <c r="Z268" s="687"/>
      <c r="AA268" s="678"/>
      <c r="AB268" s="543"/>
      <c r="AC268" s="3"/>
      <c r="AD268" s="533"/>
      <c r="AE268" s="3"/>
      <c r="AF268" s="4"/>
      <c r="AG268" s="4"/>
      <c r="AH268" s="4"/>
      <c r="AI268" s="4"/>
      <c r="AJ268" s="4"/>
      <c r="AK268" s="4"/>
      <c r="AL268" s="4"/>
      <c r="AM268" s="4"/>
      <c r="AN268" s="4"/>
      <c r="AO268" s="4"/>
      <c r="AP268" s="4"/>
      <c r="AQ268" s="4"/>
      <c r="AR268" s="4"/>
      <c r="AS268" s="4"/>
      <c r="AT268" s="4"/>
      <c r="AU268" s="4"/>
      <c r="AV268" s="537"/>
      <c r="AW268" s="537"/>
      <c r="AX268" s="4"/>
      <c r="AY268" s="4"/>
      <c r="AZ268" s="4"/>
      <c r="BA268" s="4"/>
      <c r="BB268" s="4"/>
      <c r="BC268" s="4"/>
      <c r="BD268" s="4"/>
      <c r="BE268" s="4"/>
      <c r="BF268" s="4"/>
      <c r="BG268" s="4"/>
      <c r="BH268" s="4"/>
      <c r="BI268" s="4"/>
      <c r="BJ268" s="4"/>
      <c r="BK268" s="4"/>
      <c r="BL268" s="4"/>
      <c r="BM268" s="4"/>
      <c r="BN268" s="4"/>
      <c r="BO268" s="4"/>
      <c r="BP268" s="4"/>
      <c r="BQ268" s="4"/>
      <c r="BR268" s="4"/>
    </row>
    <row r="269" spans="1:70" ht="27" customHeight="1" x14ac:dyDescent="0.2">
      <c r="A269" s="532"/>
      <c r="B269" s="917"/>
      <c r="C269" s="4"/>
      <c r="D269" s="917"/>
      <c r="E269" s="4"/>
      <c r="F269" s="917"/>
      <c r="G269" s="4"/>
      <c r="H269" s="920"/>
      <c r="I269" s="3"/>
      <c r="J269" s="920"/>
      <c r="K269" s="3"/>
      <c r="L269" s="920"/>
      <c r="M269" s="3"/>
      <c r="N269" s="920"/>
      <c r="O269" s="3"/>
      <c r="P269" s="3"/>
      <c r="Q269" s="533"/>
      <c r="R269" s="920"/>
      <c r="S269" s="534"/>
      <c r="T269" s="920"/>
      <c r="U269" s="920"/>
      <c r="V269" s="920"/>
      <c r="W269" s="535"/>
      <c r="X269" s="687"/>
      <c r="Y269" s="687"/>
      <c r="Z269" s="687"/>
      <c r="AA269" s="678"/>
      <c r="AB269" s="543"/>
      <c r="AC269" s="3"/>
      <c r="AD269" s="533"/>
      <c r="AE269" s="3"/>
      <c r="AF269" s="4"/>
      <c r="AG269" s="4"/>
      <c r="AH269" s="4"/>
      <c r="AI269" s="4"/>
      <c r="AJ269" s="4"/>
      <c r="AK269" s="4"/>
      <c r="AL269" s="4"/>
      <c r="AM269" s="4"/>
      <c r="AN269" s="4"/>
      <c r="AO269" s="4"/>
      <c r="AP269" s="4"/>
      <c r="AQ269" s="4"/>
      <c r="AR269" s="4"/>
      <c r="AS269" s="4"/>
      <c r="AT269" s="4"/>
      <c r="AU269" s="4"/>
      <c r="AV269" s="537"/>
      <c r="AW269" s="537"/>
      <c r="AX269" s="4"/>
      <c r="AY269" s="4"/>
      <c r="AZ269" s="4"/>
      <c r="BA269" s="4"/>
      <c r="BB269" s="4"/>
      <c r="BC269" s="4"/>
      <c r="BD269" s="4"/>
      <c r="BE269" s="4"/>
      <c r="BF269" s="4"/>
      <c r="BG269" s="4"/>
      <c r="BH269" s="4"/>
      <c r="BI269" s="4"/>
      <c r="BJ269" s="4"/>
      <c r="BK269" s="4"/>
      <c r="BL269" s="4"/>
      <c r="BM269" s="4"/>
      <c r="BN269" s="4"/>
      <c r="BO269" s="4"/>
      <c r="BP269" s="4"/>
      <c r="BQ269" s="4"/>
      <c r="BR269" s="4"/>
    </row>
    <row r="270" spans="1:70" ht="27" customHeight="1" x14ac:dyDescent="0.2">
      <c r="A270" s="532"/>
      <c r="B270" s="917"/>
      <c r="C270" s="4"/>
      <c r="D270" s="917"/>
      <c r="E270" s="4"/>
      <c r="F270" s="917"/>
      <c r="G270" s="4"/>
      <c r="H270" s="920"/>
      <c r="I270" s="3"/>
      <c r="J270" s="920"/>
      <c r="K270" s="3"/>
      <c r="L270" s="920"/>
      <c r="M270" s="3"/>
      <c r="N270" s="920"/>
      <c r="O270" s="3"/>
      <c r="P270" s="3"/>
      <c r="Q270" s="533"/>
      <c r="R270" s="920"/>
      <c r="S270" s="534"/>
      <c r="T270" s="920"/>
      <c r="U270" s="920"/>
      <c r="V270" s="920"/>
      <c r="W270" s="535"/>
      <c r="X270" s="687"/>
      <c r="Y270" s="687"/>
      <c r="Z270" s="687"/>
      <c r="AA270" s="678"/>
      <c r="AB270" s="543"/>
      <c r="AC270" s="3"/>
      <c r="AD270" s="533"/>
      <c r="AE270" s="3"/>
      <c r="AF270" s="4"/>
      <c r="AG270" s="4"/>
      <c r="AH270" s="4"/>
      <c r="AI270" s="4"/>
      <c r="AJ270" s="4"/>
      <c r="AK270" s="4"/>
      <c r="AL270" s="4"/>
      <c r="AM270" s="4"/>
      <c r="AN270" s="4"/>
      <c r="AO270" s="4"/>
      <c r="AP270" s="4"/>
      <c r="AQ270" s="4"/>
      <c r="AR270" s="4"/>
      <c r="AS270" s="4"/>
      <c r="AT270" s="4"/>
      <c r="AU270" s="4"/>
      <c r="AV270" s="537"/>
      <c r="AW270" s="537"/>
      <c r="AX270" s="4"/>
      <c r="AY270" s="4"/>
      <c r="AZ270" s="4"/>
      <c r="BA270" s="4"/>
      <c r="BB270" s="4"/>
      <c r="BC270" s="4"/>
      <c r="BD270" s="4"/>
      <c r="BE270" s="4"/>
      <c r="BF270" s="4"/>
      <c r="BG270" s="4"/>
      <c r="BH270" s="4"/>
      <c r="BI270" s="4"/>
      <c r="BJ270" s="4"/>
      <c r="BK270" s="4"/>
      <c r="BL270" s="4"/>
      <c r="BM270" s="4"/>
      <c r="BN270" s="4"/>
      <c r="BO270" s="4"/>
      <c r="BP270" s="4"/>
      <c r="BQ270" s="4"/>
      <c r="BR270" s="4"/>
    </row>
    <row r="271" spans="1:70" ht="27" customHeight="1" x14ac:dyDescent="0.2">
      <c r="A271" s="532"/>
      <c r="B271" s="917"/>
      <c r="C271" s="4"/>
      <c r="D271" s="917"/>
      <c r="E271" s="4"/>
      <c r="F271" s="917"/>
      <c r="G271" s="4"/>
      <c r="H271" s="920"/>
      <c r="I271" s="3"/>
      <c r="J271" s="920"/>
      <c r="K271" s="3"/>
      <c r="L271" s="920"/>
      <c r="M271" s="3"/>
      <c r="N271" s="920"/>
      <c r="O271" s="3"/>
      <c r="P271" s="3"/>
      <c r="Q271" s="533"/>
      <c r="R271" s="920"/>
      <c r="S271" s="534"/>
      <c r="T271" s="920"/>
      <c r="U271" s="920"/>
      <c r="V271" s="920"/>
      <c r="W271" s="535"/>
      <c r="X271" s="687"/>
      <c r="Y271" s="687"/>
      <c r="Z271" s="687"/>
      <c r="AA271" s="678"/>
      <c r="AB271" s="543"/>
      <c r="AC271" s="3"/>
      <c r="AD271" s="533"/>
      <c r="AE271" s="3"/>
      <c r="AF271" s="4"/>
      <c r="AG271" s="4"/>
      <c r="AH271" s="4"/>
      <c r="AI271" s="4"/>
      <c r="AJ271" s="4"/>
      <c r="AK271" s="4"/>
      <c r="AL271" s="4"/>
      <c r="AM271" s="4"/>
      <c r="AN271" s="4"/>
      <c r="AO271" s="4"/>
      <c r="AP271" s="4"/>
      <c r="AQ271" s="4"/>
      <c r="AR271" s="4"/>
      <c r="AS271" s="4"/>
      <c r="AT271" s="4"/>
      <c r="AU271" s="4"/>
      <c r="AV271" s="537"/>
      <c r="AW271" s="537"/>
      <c r="AX271" s="4"/>
      <c r="AY271" s="4"/>
      <c r="AZ271" s="4"/>
      <c r="BA271" s="4"/>
      <c r="BB271" s="4"/>
      <c r="BC271" s="4"/>
      <c r="BD271" s="4"/>
      <c r="BE271" s="4"/>
      <c r="BF271" s="4"/>
      <c r="BG271" s="4"/>
      <c r="BH271" s="4"/>
      <c r="BI271" s="4"/>
      <c r="BJ271" s="4"/>
      <c r="BK271" s="4"/>
      <c r="BL271" s="4"/>
      <c r="BM271" s="4"/>
      <c r="BN271" s="4"/>
      <c r="BO271" s="4"/>
      <c r="BP271" s="4"/>
      <c r="BQ271" s="4"/>
      <c r="BR271" s="4"/>
    </row>
    <row r="272" spans="1:70" ht="27" customHeight="1" x14ac:dyDescent="0.2">
      <c r="A272" s="532"/>
      <c r="B272" s="917"/>
      <c r="C272" s="4"/>
      <c r="D272" s="917"/>
      <c r="E272" s="4"/>
      <c r="F272" s="917"/>
      <c r="G272" s="4"/>
      <c r="H272" s="920"/>
      <c r="I272" s="3"/>
      <c r="J272" s="920"/>
      <c r="K272" s="3"/>
      <c r="L272" s="920"/>
      <c r="M272" s="3"/>
      <c r="N272" s="920"/>
      <c r="O272" s="3"/>
      <c r="P272" s="3"/>
      <c r="Q272" s="533"/>
      <c r="R272" s="920"/>
      <c r="S272" s="534"/>
      <c r="T272" s="920"/>
      <c r="U272" s="920"/>
      <c r="V272" s="920"/>
      <c r="W272" s="535"/>
      <c r="X272" s="687"/>
      <c r="Y272" s="687"/>
      <c r="Z272" s="687"/>
      <c r="AA272" s="678"/>
      <c r="AB272" s="543"/>
      <c r="AC272" s="3"/>
      <c r="AD272" s="533"/>
      <c r="AE272" s="3"/>
      <c r="AF272" s="4"/>
      <c r="AG272" s="4"/>
      <c r="AH272" s="4"/>
      <c r="AI272" s="4"/>
      <c r="AJ272" s="4"/>
      <c r="AK272" s="4"/>
      <c r="AL272" s="4"/>
      <c r="AM272" s="4"/>
      <c r="AN272" s="4"/>
      <c r="AO272" s="4"/>
      <c r="AP272" s="4"/>
      <c r="AQ272" s="4"/>
      <c r="AR272" s="4"/>
      <c r="AS272" s="4"/>
      <c r="AT272" s="4"/>
      <c r="AU272" s="4"/>
      <c r="AV272" s="537"/>
      <c r="AW272" s="537"/>
      <c r="AX272" s="4"/>
      <c r="AY272" s="4"/>
      <c r="AZ272" s="4"/>
      <c r="BA272" s="4"/>
      <c r="BB272" s="4"/>
      <c r="BC272" s="4"/>
      <c r="BD272" s="4"/>
      <c r="BE272" s="4"/>
      <c r="BF272" s="4"/>
      <c r="BG272" s="4"/>
      <c r="BH272" s="4"/>
      <c r="BI272" s="4"/>
      <c r="BJ272" s="4"/>
      <c r="BK272" s="4"/>
      <c r="BL272" s="4"/>
      <c r="BM272" s="4"/>
      <c r="BN272" s="4"/>
      <c r="BO272" s="4"/>
      <c r="BP272" s="4"/>
      <c r="BQ272" s="4"/>
      <c r="BR272" s="4"/>
    </row>
    <row r="273" spans="1:70" ht="27" customHeight="1" x14ac:dyDescent="0.2">
      <c r="A273" s="532"/>
      <c r="B273" s="917"/>
      <c r="C273" s="4"/>
      <c r="D273" s="917"/>
      <c r="E273" s="4"/>
      <c r="F273" s="917"/>
      <c r="G273" s="4"/>
      <c r="H273" s="920"/>
      <c r="I273" s="3"/>
      <c r="J273" s="920"/>
      <c r="K273" s="3"/>
      <c r="L273" s="920"/>
      <c r="M273" s="3"/>
      <c r="N273" s="920"/>
      <c r="O273" s="3"/>
      <c r="P273" s="3"/>
      <c r="Q273" s="533"/>
      <c r="R273" s="920"/>
      <c r="S273" s="534"/>
      <c r="T273" s="920"/>
      <c r="U273" s="920"/>
      <c r="V273" s="920"/>
      <c r="W273" s="535"/>
      <c r="X273" s="687"/>
      <c r="Y273" s="687"/>
      <c r="Z273" s="687"/>
      <c r="AA273" s="678"/>
      <c r="AB273" s="543"/>
      <c r="AC273" s="3"/>
      <c r="AD273" s="533"/>
      <c r="AE273" s="3"/>
      <c r="AF273" s="4"/>
      <c r="AG273" s="4"/>
      <c r="AH273" s="4"/>
      <c r="AI273" s="4"/>
      <c r="AJ273" s="4"/>
      <c r="AK273" s="4"/>
      <c r="AL273" s="4"/>
      <c r="AM273" s="4"/>
      <c r="AN273" s="4"/>
      <c r="AO273" s="4"/>
      <c r="AP273" s="4"/>
      <c r="AQ273" s="4"/>
      <c r="AR273" s="4"/>
      <c r="AS273" s="4"/>
      <c r="AT273" s="4"/>
      <c r="AU273" s="4"/>
      <c r="AV273" s="537"/>
      <c r="AW273" s="537"/>
      <c r="AX273" s="4"/>
      <c r="AY273" s="4"/>
      <c r="AZ273" s="4"/>
      <c r="BA273" s="4"/>
      <c r="BB273" s="4"/>
      <c r="BC273" s="4"/>
      <c r="BD273" s="4"/>
      <c r="BE273" s="4"/>
      <c r="BF273" s="4"/>
      <c r="BG273" s="4"/>
      <c r="BH273" s="4"/>
      <c r="BI273" s="4"/>
      <c r="BJ273" s="4"/>
      <c r="BK273" s="4"/>
      <c r="BL273" s="4"/>
      <c r="BM273" s="4"/>
      <c r="BN273" s="4"/>
      <c r="BO273" s="4"/>
      <c r="BP273" s="4"/>
      <c r="BQ273" s="4"/>
      <c r="BR273" s="4"/>
    </row>
    <row r="274" spans="1:70" ht="27" customHeight="1" x14ac:dyDescent="0.2">
      <c r="A274" s="532"/>
      <c r="B274" s="917"/>
      <c r="C274" s="4"/>
      <c r="D274" s="917"/>
      <c r="E274" s="4"/>
      <c r="F274" s="917"/>
      <c r="G274" s="4"/>
      <c r="H274" s="920"/>
      <c r="I274" s="3"/>
      <c r="J274" s="920"/>
      <c r="K274" s="3"/>
      <c r="L274" s="920"/>
      <c r="M274" s="3"/>
      <c r="N274" s="920"/>
      <c r="O274" s="3"/>
      <c r="P274" s="3"/>
      <c r="Q274" s="533"/>
      <c r="R274" s="920"/>
      <c r="S274" s="534"/>
      <c r="T274" s="920"/>
      <c r="U274" s="920"/>
      <c r="V274" s="920"/>
      <c r="W274" s="535"/>
      <c r="X274" s="687"/>
      <c r="Y274" s="687"/>
      <c r="Z274" s="687"/>
      <c r="AA274" s="678"/>
      <c r="AB274" s="543"/>
      <c r="AC274" s="3"/>
      <c r="AD274" s="533"/>
      <c r="AE274" s="3"/>
      <c r="AF274" s="4"/>
      <c r="AG274" s="4"/>
      <c r="AH274" s="4"/>
      <c r="AI274" s="4"/>
      <c r="AJ274" s="4"/>
      <c r="AK274" s="4"/>
      <c r="AL274" s="4"/>
      <c r="AM274" s="4"/>
      <c r="AN274" s="4"/>
      <c r="AO274" s="4"/>
      <c r="AP274" s="4"/>
      <c r="AQ274" s="4"/>
      <c r="AR274" s="4"/>
      <c r="AS274" s="4"/>
      <c r="AT274" s="4"/>
      <c r="AU274" s="4"/>
      <c r="AV274" s="537"/>
      <c r="AW274" s="537"/>
      <c r="AX274" s="4"/>
      <c r="AY274" s="4"/>
      <c r="AZ274" s="4"/>
      <c r="BA274" s="4"/>
      <c r="BB274" s="4"/>
      <c r="BC274" s="4"/>
      <c r="BD274" s="4"/>
      <c r="BE274" s="4"/>
      <c r="BF274" s="4"/>
      <c r="BG274" s="4"/>
      <c r="BH274" s="4"/>
      <c r="BI274" s="4"/>
      <c r="BJ274" s="4"/>
      <c r="BK274" s="4"/>
      <c r="BL274" s="4"/>
      <c r="BM274" s="4"/>
      <c r="BN274" s="4"/>
      <c r="BO274" s="4"/>
      <c r="BP274" s="4"/>
      <c r="BQ274" s="4"/>
      <c r="BR274" s="4"/>
    </row>
    <row r="275" spans="1:70" ht="27" customHeight="1" x14ac:dyDescent="0.2">
      <c r="A275" s="532"/>
      <c r="B275" s="917"/>
      <c r="C275" s="4"/>
      <c r="D275" s="917"/>
      <c r="E275" s="4"/>
      <c r="F275" s="917"/>
      <c r="G275" s="4"/>
      <c r="H275" s="920"/>
      <c r="I275" s="3"/>
      <c r="J275" s="920"/>
      <c r="K275" s="3"/>
      <c r="L275" s="920"/>
      <c r="M275" s="3"/>
      <c r="N275" s="920"/>
      <c r="O275" s="3"/>
      <c r="P275" s="3"/>
      <c r="Q275" s="533"/>
      <c r="R275" s="920"/>
      <c r="S275" s="534"/>
      <c r="T275" s="920"/>
      <c r="U275" s="920"/>
      <c r="V275" s="920"/>
      <c r="W275" s="535"/>
      <c r="X275" s="687"/>
      <c r="Y275" s="687"/>
      <c r="Z275" s="687"/>
      <c r="AA275" s="678"/>
      <c r="AB275" s="543"/>
      <c r="AC275" s="3"/>
      <c r="AD275" s="533"/>
      <c r="AE275" s="3"/>
      <c r="AF275" s="4"/>
      <c r="AG275" s="4"/>
      <c r="AH275" s="4"/>
      <c r="AI275" s="4"/>
      <c r="AJ275" s="4"/>
      <c r="AK275" s="4"/>
      <c r="AL275" s="4"/>
      <c r="AM275" s="4"/>
      <c r="AN275" s="4"/>
      <c r="AO275" s="4"/>
      <c r="AP275" s="4"/>
      <c r="AQ275" s="4"/>
      <c r="AR275" s="4"/>
      <c r="AS275" s="4"/>
      <c r="AT275" s="4"/>
      <c r="AU275" s="4"/>
      <c r="AV275" s="537"/>
      <c r="AW275" s="537"/>
      <c r="AX275" s="4"/>
      <c r="AY275" s="4"/>
      <c r="AZ275" s="4"/>
      <c r="BA275" s="4"/>
      <c r="BB275" s="4"/>
      <c r="BC275" s="4"/>
      <c r="BD275" s="4"/>
      <c r="BE275" s="4"/>
      <c r="BF275" s="4"/>
      <c r="BG275" s="4"/>
      <c r="BH275" s="4"/>
      <c r="BI275" s="4"/>
      <c r="BJ275" s="4"/>
      <c r="BK275" s="4"/>
      <c r="BL275" s="4"/>
      <c r="BM275" s="4"/>
      <c r="BN275" s="4"/>
      <c r="BO275" s="4"/>
      <c r="BP275" s="4"/>
      <c r="BQ275" s="4"/>
      <c r="BR275" s="4"/>
    </row>
    <row r="276" spans="1:70" ht="27" customHeight="1" x14ac:dyDescent="0.2">
      <c r="A276" s="532"/>
      <c r="B276" s="917"/>
      <c r="C276" s="4"/>
      <c r="D276" s="917"/>
      <c r="E276" s="4"/>
      <c r="F276" s="917"/>
      <c r="G276" s="4"/>
      <c r="H276" s="920"/>
      <c r="I276" s="3"/>
      <c r="J276" s="920"/>
      <c r="K276" s="3"/>
      <c r="L276" s="920"/>
      <c r="M276" s="3"/>
      <c r="N276" s="920"/>
      <c r="O276" s="3"/>
      <c r="P276" s="3"/>
      <c r="Q276" s="533"/>
      <c r="R276" s="920"/>
      <c r="S276" s="534"/>
      <c r="T276" s="920"/>
      <c r="U276" s="920"/>
      <c r="V276" s="920"/>
      <c r="W276" s="535"/>
      <c r="X276" s="687"/>
      <c r="Y276" s="687"/>
      <c r="Z276" s="687"/>
      <c r="AA276" s="678"/>
      <c r="AB276" s="543"/>
      <c r="AC276" s="3"/>
      <c r="AD276" s="533"/>
      <c r="AE276" s="3"/>
      <c r="AF276" s="4"/>
      <c r="AG276" s="4"/>
      <c r="AH276" s="4"/>
      <c r="AI276" s="4"/>
      <c r="AJ276" s="4"/>
      <c r="AK276" s="4"/>
      <c r="AL276" s="4"/>
      <c r="AM276" s="4"/>
      <c r="AN276" s="4"/>
      <c r="AO276" s="4"/>
      <c r="AP276" s="4"/>
      <c r="AQ276" s="4"/>
      <c r="AR276" s="4"/>
      <c r="AS276" s="4"/>
      <c r="AT276" s="4"/>
      <c r="AU276" s="4"/>
      <c r="AV276" s="537"/>
      <c r="AW276" s="537"/>
      <c r="AX276" s="4"/>
      <c r="AY276" s="4"/>
      <c r="AZ276" s="4"/>
      <c r="BA276" s="4"/>
      <c r="BB276" s="4"/>
      <c r="BC276" s="4"/>
      <c r="BD276" s="4"/>
      <c r="BE276" s="4"/>
      <c r="BF276" s="4"/>
      <c r="BG276" s="4"/>
      <c r="BH276" s="4"/>
      <c r="BI276" s="4"/>
      <c r="BJ276" s="4"/>
      <c r="BK276" s="4"/>
      <c r="BL276" s="4"/>
      <c r="BM276" s="4"/>
      <c r="BN276" s="4"/>
      <c r="BO276" s="4"/>
      <c r="BP276" s="4"/>
      <c r="BQ276" s="4"/>
      <c r="BR276" s="4"/>
    </row>
    <row r="277" spans="1:70" ht="27" customHeight="1" x14ac:dyDescent="0.2">
      <c r="A277" s="532"/>
      <c r="B277" s="917"/>
      <c r="C277" s="4"/>
      <c r="D277" s="917"/>
      <c r="E277" s="4"/>
      <c r="F277" s="917"/>
      <c r="G277" s="4"/>
      <c r="H277" s="920"/>
      <c r="I277" s="3"/>
      <c r="J277" s="920"/>
      <c r="K277" s="3"/>
      <c r="L277" s="920"/>
      <c r="M277" s="3"/>
      <c r="N277" s="920"/>
      <c r="O277" s="3"/>
      <c r="P277" s="3"/>
      <c r="Q277" s="533"/>
      <c r="R277" s="920"/>
      <c r="S277" s="534"/>
      <c r="T277" s="920"/>
      <c r="U277" s="920"/>
      <c r="V277" s="920"/>
      <c r="W277" s="535"/>
      <c r="X277" s="687"/>
      <c r="Y277" s="687"/>
      <c r="Z277" s="687"/>
      <c r="AA277" s="678"/>
      <c r="AB277" s="543"/>
      <c r="AC277" s="3"/>
      <c r="AD277" s="533"/>
      <c r="AE277" s="3"/>
      <c r="AF277" s="4"/>
      <c r="AG277" s="4"/>
      <c r="AH277" s="4"/>
      <c r="AI277" s="4"/>
      <c r="AJ277" s="4"/>
      <c r="AK277" s="4"/>
      <c r="AL277" s="4"/>
      <c r="AM277" s="4"/>
      <c r="AN277" s="4"/>
      <c r="AO277" s="4"/>
      <c r="AP277" s="4"/>
      <c r="AQ277" s="4"/>
      <c r="AR277" s="4"/>
      <c r="AS277" s="4"/>
      <c r="AT277" s="4"/>
      <c r="AU277" s="4"/>
      <c r="AV277" s="537"/>
      <c r="AW277" s="537"/>
      <c r="AX277" s="4"/>
      <c r="AY277" s="4"/>
      <c r="AZ277" s="4"/>
      <c r="BA277" s="4"/>
      <c r="BB277" s="4"/>
      <c r="BC277" s="4"/>
      <c r="BD277" s="4"/>
      <c r="BE277" s="4"/>
      <c r="BF277" s="4"/>
      <c r="BG277" s="4"/>
      <c r="BH277" s="4"/>
      <c r="BI277" s="4"/>
      <c r="BJ277" s="4"/>
      <c r="BK277" s="4"/>
      <c r="BL277" s="4"/>
      <c r="BM277" s="4"/>
      <c r="BN277" s="4"/>
      <c r="BO277" s="4"/>
      <c r="BP277" s="4"/>
      <c r="BQ277" s="4"/>
      <c r="BR277" s="4"/>
    </row>
    <row r="278" spans="1:70" ht="27" customHeight="1" x14ac:dyDescent="0.2">
      <c r="A278" s="532"/>
      <c r="B278" s="917"/>
      <c r="C278" s="4"/>
      <c r="D278" s="917"/>
      <c r="E278" s="4"/>
      <c r="F278" s="917"/>
      <c r="G278" s="4"/>
      <c r="H278" s="920"/>
      <c r="I278" s="3"/>
      <c r="J278" s="920"/>
      <c r="K278" s="3"/>
      <c r="L278" s="920"/>
      <c r="M278" s="3"/>
      <c r="N278" s="920"/>
      <c r="O278" s="3"/>
      <c r="P278" s="3"/>
      <c r="Q278" s="533"/>
      <c r="R278" s="920"/>
      <c r="S278" s="534"/>
      <c r="T278" s="920"/>
      <c r="U278" s="920"/>
      <c r="V278" s="920"/>
      <c r="W278" s="535"/>
      <c r="X278" s="687"/>
      <c r="Y278" s="687"/>
      <c r="Z278" s="687"/>
      <c r="AA278" s="678"/>
      <c r="AB278" s="543"/>
      <c r="AC278" s="3"/>
      <c r="AD278" s="533"/>
      <c r="AE278" s="3"/>
      <c r="AF278" s="4"/>
      <c r="AG278" s="4"/>
      <c r="AH278" s="4"/>
      <c r="AI278" s="4"/>
      <c r="AJ278" s="4"/>
      <c r="AK278" s="4"/>
      <c r="AL278" s="4"/>
      <c r="AM278" s="4"/>
      <c r="AN278" s="4"/>
      <c r="AO278" s="4"/>
      <c r="AP278" s="4"/>
      <c r="AQ278" s="4"/>
      <c r="AR278" s="4"/>
      <c r="AS278" s="4"/>
      <c r="AT278" s="4"/>
      <c r="AU278" s="4"/>
      <c r="AV278" s="537"/>
      <c r="AW278" s="537"/>
      <c r="AX278" s="4"/>
      <c r="AY278" s="4"/>
      <c r="AZ278" s="4"/>
      <c r="BA278" s="4"/>
      <c r="BB278" s="4"/>
      <c r="BC278" s="4"/>
      <c r="BD278" s="4"/>
      <c r="BE278" s="4"/>
      <c r="BF278" s="4"/>
      <c r="BG278" s="4"/>
      <c r="BH278" s="4"/>
      <c r="BI278" s="4"/>
      <c r="BJ278" s="4"/>
      <c r="BK278" s="4"/>
      <c r="BL278" s="4"/>
      <c r="BM278" s="4"/>
      <c r="BN278" s="4"/>
      <c r="BO278" s="4"/>
      <c r="BP278" s="4"/>
      <c r="BQ278" s="4"/>
      <c r="BR278" s="4"/>
    </row>
    <row r="279" spans="1:70" ht="27" customHeight="1" x14ac:dyDescent="0.2">
      <c r="A279" s="532"/>
      <c r="B279" s="917"/>
      <c r="C279" s="4"/>
      <c r="D279" s="917"/>
      <c r="E279" s="4"/>
      <c r="F279" s="917"/>
      <c r="G279" s="4"/>
      <c r="H279" s="920"/>
      <c r="I279" s="3"/>
      <c r="J279" s="920"/>
      <c r="K279" s="3"/>
      <c r="L279" s="920"/>
      <c r="M279" s="3"/>
      <c r="N279" s="920"/>
      <c r="O279" s="3"/>
      <c r="P279" s="3"/>
      <c r="Q279" s="533"/>
      <c r="R279" s="920"/>
      <c r="S279" s="534"/>
      <c r="T279" s="920"/>
      <c r="U279" s="920"/>
      <c r="V279" s="920"/>
      <c r="W279" s="535"/>
      <c r="X279" s="687"/>
      <c r="Y279" s="687"/>
      <c r="Z279" s="687"/>
      <c r="AA279" s="678"/>
      <c r="AB279" s="543"/>
      <c r="AC279" s="3"/>
      <c r="AD279" s="533"/>
      <c r="AE279" s="3"/>
      <c r="AF279" s="4"/>
      <c r="AG279" s="4"/>
      <c r="AH279" s="4"/>
      <c r="AI279" s="4"/>
      <c r="AJ279" s="4"/>
      <c r="AK279" s="4"/>
      <c r="AL279" s="4"/>
      <c r="AM279" s="4"/>
      <c r="AN279" s="4"/>
      <c r="AO279" s="4"/>
      <c r="AP279" s="4"/>
      <c r="AQ279" s="4"/>
      <c r="AR279" s="4"/>
      <c r="AS279" s="4"/>
      <c r="AT279" s="4"/>
      <c r="AU279" s="4"/>
      <c r="AV279" s="537"/>
      <c r="AW279" s="537"/>
      <c r="AX279" s="4"/>
      <c r="AY279" s="4"/>
      <c r="AZ279" s="4"/>
      <c r="BA279" s="4"/>
      <c r="BB279" s="4"/>
      <c r="BC279" s="4"/>
      <c r="BD279" s="4"/>
      <c r="BE279" s="4"/>
      <c r="BF279" s="4"/>
      <c r="BG279" s="4"/>
      <c r="BH279" s="4"/>
      <c r="BI279" s="4"/>
      <c r="BJ279" s="4"/>
      <c r="BK279" s="4"/>
      <c r="BL279" s="4"/>
      <c r="BM279" s="4"/>
      <c r="BN279" s="4"/>
      <c r="BO279" s="4"/>
      <c r="BP279" s="4"/>
      <c r="BQ279" s="4"/>
      <c r="BR279" s="4"/>
    </row>
    <row r="280" spans="1:70" ht="27" customHeight="1" x14ac:dyDescent="0.2">
      <c r="A280" s="532"/>
      <c r="B280" s="917"/>
      <c r="C280" s="4"/>
      <c r="D280" s="917"/>
      <c r="E280" s="4"/>
      <c r="F280" s="917"/>
      <c r="G280" s="4"/>
      <c r="H280" s="920"/>
      <c r="I280" s="3"/>
      <c r="J280" s="920"/>
      <c r="K280" s="3"/>
      <c r="L280" s="920"/>
      <c r="M280" s="3"/>
      <c r="N280" s="920"/>
      <c r="O280" s="3"/>
      <c r="P280" s="3"/>
      <c r="Q280" s="533"/>
      <c r="R280" s="920"/>
      <c r="S280" s="534"/>
      <c r="T280" s="920"/>
      <c r="U280" s="920"/>
      <c r="V280" s="920"/>
      <c r="W280" s="535"/>
      <c r="X280" s="687"/>
      <c r="Y280" s="687"/>
      <c r="Z280" s="687"/>
      <c r="AA280" s="678"/>
      <c r="AB280" s="543"/>
      <c r="AC280" s="3"/>
      <c r="AD280" s="533"/>
      <c r="AE280" s="3"/>
      <c r="AF280" s="4"/>
      <c r="AG280" s="4"/>
      <c r="AH280" s="4"/>
      <c r="AI280" s="4"/>
      <c r="AJ280" s="4"/>
      <c r="AK280" s="4"/>
      <c r="AL280" s="4"/>
      <c r="AM280" s="4"/>
      <c r="AN280" s="4"/>
      <c r="AO280" s="4"/>
      <c r="AP280" s="4"/>
      <c r="AQ280" s="4"/>
      <c r="AR280" s="4"/>
      <c r="AS280" s="4"/>
      <c r="AT280" s="4"/>
      <c r="AU280" s="4"/>
      <c r="AV280" s="537"/>
      <c r="AW280" s="537"/>
      <c r="AX280" s="4"/>
      <c r="AY280" s="4"/>
      <c r="AZ280" s="4"/>
      <c r="BA280" s="4"/>
      <c r="BB280" s="4"/>
      <c r="BC280" s="4"/>
      <c r="BD280" s="4"/>
      <c r="BE280" s="4"/>
      <c r="BF280" s="4"/>
      <c r="BG280" s="4"/>
      <c r="BH280" s="4"/>
      <c r="BI280" s="4"/>
      <c r="BJ280" s="4"/>
      <c r="BK280" s="4"/>
      <c r="BL280" s="4"/>
      <c r="BM280" s="4"/>
      <c r="BN280" s="4"/>
      <c r="BO280" s="4"/>
      <c r="BP280" s="4"/>
      <c r="BQ280" s="4"/>
      <c r="BR280" s="4"/>
    </row>
    <row r="281" spans="1:70" ht="27" customHeight="1" x14ac:dyDescent="0.2">
      <c r="A281" s="532"/>
      <c r="B281" s="917"/>
      <c r="C281" s="4"/>
      <c r="D281" s="917"/>
      <c r="E281" s="4"/>
      <c r="F281" s="917"/>
      <c r="G281" s="4"/>
      <c r="H281" s="920"/>
      <c r="I281" s="3"/>
      <c r="J281" s="920"/>
      <c r="K281" s="3"/>
      <c r="L281" s="920"/>
      <c r="M281" s="3"/>
      <c r="N281" s="920"/>
      <c r="O281" s="3"/>
      <c r="P281" s="3"/>
      <c r="Q281" s="533"/>
      <c r="R281" s="920"/>
      <c r="S281" s="534"/>
      <c r="T281" s="920"/>
      <c r="U281" s="920"/>
      <c r="V281" s="920"/>
      <c r="W281" s="535"/>
      <c r="X281" s="687"/>
      <c r="Y281" s="687"/>
      <c r="Z281" s="687"/>
      <c r="AA281" s="678"/>
      <c r="AB281" s="543"/>
      <c r="AC281" s="3"/>
      <c r="AD281" s="533"/>
      <c r="AE281" s="3"/>
      <c r="AF281" s="4"/>
      <c r="AG281" s="4"/>
      <c r="AH281" s="4"/>
      <c r="AI281" s="4"/>
      <c r="AJ281" s="4"/>
      <c r="AK281" s="4"/>
      <c r="AL281" s="4"/>
      <c r="AM281" s="4"/>
      <c r="AN281" s="4"/>
      <c r="AO281" s="4"/>
      <c r="AP281" s="4"/>
      <c r="AQ281" s="4"/>
      <c r="AR281" s="4"/>
      <c r="AS281" s="4"/>
      <c r="AT281" s="4"/>
      <c r="AU281" s="4"/>
      <c r="AV281" s="537"/>
      <c r="AW281" s="537"/>
      <c r="AX281" s="4"/>
      <c r="AY281" s="4"/>
      <c r="AZ281" s="4"/>
      <c r="BA281" s="4"/>
      <c r="BB281" s="4"/>
      <c r="BC281" s="4"/>
      <c r="BD281" s="4"/>
      <c r="BE281" s="4"/>
      <c r="BF281" s="4"/>
      <c r="BG281" s="4"/>
      <c r="BH281" s="4"/>
      <c r="BI281" s="4"/>
      <c r="BJ281" s="4"/>
      <c r="BK281" s="4"/>
      <c r="BL281" s="4"/>
      <c r="BM281" s="4"/>
      <c r="BN281" s="4"/>
      <c r="BO281" s="4"/>
      <c r="BP281" s="4"/>
      <c r="BQ281" s="4"/>
      <c r="BR281" s="4"/>
    </row>
    <row r="282" spans="1:70" ht="27" customHeight="1" x14ac:dyDescent="0.2">
      <c r="A282" s="532"/>
      <c r="B282" s="917"/>
      <c r="C282" s="4"/>
      <c r="D282" s="917"/>
      <c r="E282" s="4"/>
      <c r="F282" s="917"/>
      <c r="G282" s="4"/>
      <c r="H282" s="920"/>
      <c r="I282" s="3"/>
      <c r="J282" s="920"/>
      <c r="K282" s="3"/>
      <c r="L282" s="920"/>
      <c r="M282" s="3"/>
      <c r="N282" s="920"/>
      <c r="O282" s="3"/>
      <c r="P282" s="3"/>
      <c r="Q282" s="533"/>
      <c r="R282" s="920"/>
      <c r="S282" s="534"/>
      <c r="T282" s="920"/>
      <c r="U282" s="920"/>
      <c r="V282" s="920"/>
      <c r="W282" s="535"/>
      <c r="X282" s="687"/>
      <c r="Y282" s="687"/>
      <c r="Z282" s="687"/>
      <c r="AA282" s="678"/>
      <c r="AB282" s="543"/>
      <c r="AC282" s="3"/>
      <c r="AD282" s="533"/>
      <c r="AE282" s="3"/>
      <c r="AF282" s="4"/>
      <c r="AG282" s="4"/>
      <c r="AH282" s="4"/>
      <c r="AI282" s="4"/>
      <c r="AJ282" s="4"/>
      <c r="AK282" s="4"/>
      <c r="AL282" s="4"/>
      <c r="AM282" s="4"/>
      <c r="AN282" s="4"/>
      <c r="AO282" s="4"/>
      <c r="AP282" s="4"/>
      <c r="AQ282" s="4"/>
      <c r="AR282" s="4"/>
      <c r="AS282" s="4"/>
      <c r="AT282" s="4"/>
      <c r="AU282" s="4"/>
      <c r="AV282" s="537"/>
      <c r="AW282" s="537"/>
      <c r="AX282" s="4"/>
      <c r="AY282" s="4"/>
      <c r="AZ282" s="4"/>
      <c r="BA282" s="4"/>
      <c r="BB282" s="4"/>
      <c r="BC282" s="4"/>
      <c r="BD282" s="4"/>
      <c r="BE282" s="4"/>
      <c r="BF282" s="4"/>
      <c r="BG282" s="4"/>
      <c r="BH282" s="4"/>
      <c r="BI282" s="4"/>
      <c r="BJ282" s="4"/>
      <c r="BK282" s="4"/>
      <c r="BL282" s="4"/>
      <c r="BM282" s="4"/>
      <c r="BN282" s="4"/>
      <c r="BO282" s="4"/>
      <c r="BP282" s="4"/>
      <c r="BQ282" s="4"/>
      <c r="BR282" s="4"/>
    </row>
    <row r="283" spans="1:70" ht="27" customHeight="1" x14ac:dyDescent="0.2">
      <c r="A283" s="532"/>
      <c r="B283" s="917"/>
      <c r="C283" s="4"/>
      <c r="D283" s="917"/>
      <c r="E283" s="4"/>
      <c r="F283" s="917"/>
      <c r="G283" s="4"/>
      <c r="H283" s="920"/>
      <c r="I283" s="3"/>
      <c r="J283" s="920"/>
      <c r="K283" s="3"/>
      <c r="L283" s="920"/>
      <c r="M283" s="3"/>
      <c r="N283" s="920"/>
      <c r="O283" s="3"/>
      <c r="P283" s="3"/>
      <c r="Q283" s="533"/>
      <c r="R283" s="920"/>
      <c r="S283" s="534"/>
      <c r="T283" s="920"/>
      <c r="U283" s="920"/>
      <c r="V283" s="920"/>
      <c r="W283" s="535"/>
      <c r="X283" s="687"/>
      <c r="Y283" s="687"/>
      <c r="Z283" s="687"/>
      <c r="AA283" s="678"/>
      <c r="AB283" s="543"/>
      <c r="AC283" s="3"/>
      <c r="AD283" s="533"/>
      <c r="AE283" s="3"/>
      <c r="AF283" s="4"/>
      <c r="AG283" s="4"/>
      <c r="AH283" s="4"/>
      <c r="AI283" s="4"/>
      <c r="AJ283" s="4"/>
      <c r="AK283" s="4"/>
      <c r="AL283" s="4"/>
      <c r="AM283" s="4"/>
      <c r="AN283" s="4"/>
      <c r="AO283" s="4"/>
      <c r="AP283" s="4"/>
      <c r="AQ283" s="4"/>
      <c r="AR283" s="4"/>
      <c r="AS283" s="4"/>
      <c r="AT283" s="4"/>
      <c r="AU283" s="4"/>
      <c r="AV283" s="537"/>
      <c r="AW283" s="537"/>
      <c r="AX283" s="4"/>
      <c r="AY283" s="4"/>
      <c r="AZ283" s="4"/>
      <c r="BA283" s="4"/>
      <c r="BB283" s="4"/>
      <c r="BC283" s="4"/>
      <c r="BD283" s="4"/>
      <c r="BE283" s="4"/>
      <c r="BF283" s="4"/>
      <c r="BG283" s="4"/>
      <c r="BH283" s="4"/>
      <c r="BI283" s="4"/>
      <c r="BJ283" s="4"/>
      <c r="BK283" s="4"/>
      <c r="BL283" s="4"/>
      <c r="BM283" s="4"/>
      <c r="BN283" s="4"/>
      <c r="BO283" s="4"/>
      <c r="BP283" s="4"/>
      <c r="BQ283" s="4"/>
      <c r="BR283" s="4"/>
    </row>
    <row r="284" spans="1:70" ht="27" customHeight="1" x14ac:dyDescent="0.2">
      <c r="A284" s="532"/>
      <c r="B284" s="917"/>
      <c r="C284" s="4"/>
      <c r="D284" s="917"/>
      <c r="E284" s="4"/>
      <c r="F284" s="917"/>
      <c r="G284" s="4"/>
      <c r="H284" s="920"/>
      <c r="I284" s="3"/>
      <c r="J284" s="920"/>
      <c r="K284" s="3"/>
      <c r="L284" s="920"/>
      <c r="M284" s="3"/>
      <c r="N284" s="920"/>
      <c r="O284" s="3"/>
      <c r="P284" s="3"/>
      <c r="Q284" s="533"/>
      <c r="R284" s="920"/>
      <c r="S284" s="534"/>
      <c r="T284" s="920"/>
      <c r="U284" s="920"/>
      <c r="V284" s="920"/>
      <c r="W284" s="535"/>
      <c r="X284" s="687"/>
      <c r="Y284" s="687"/>
      <c r="Z284" s="687"/>
      <c r="AA284" s="678"/>
      <c r="AB284" s="543"/>
      <c r="AC284" s="3"/>
      <c r="AD284" s="533"/>
      <c r="AE284" s="3"/>
      <c r="AF284" s="4"/>
      <c r="AG284" s="4"/>
      <c r="AH284" s="4"/>
      <c r="AI284" s="4"/>
      <c r="AJ284" s="4"/>
      <c r="AK284" s="4"/>
      <c r="AL284" s="4"/>
      <c r="AM284" s="4"/>
      <c r="AN284" s="4"/>
      <c r="AO284" s="4"/>
      <c r="AP284" s="4"/>
      <c r="AQ284" s="4"/>
      <c r="AR284" s="4"/>
      <c r="AS284" s="4"/>
      <c r="AT284" s="4"/>
      <c r="AU284" s="4"/>
      <c r="AV284" s="537"/>
      <c r="AW284" s="537"/>
      <c r="AX284" s="4"/>
      <c r="AY284" s="4"/>
      <c r="AZ284" s="4"/>
      <c r="BA284" s="4"/>
      <c r="BB284" s="4"/>
      <c r="BC284" s="4"/>
      <c r="BD284" s="4"/>
      <c r="BE284" s="4"/>
      <c r="BF284" s="4"/>
      <c r="BG284" s="4"/>
      <c r="BH284" s="4"/>
      <c r="BI284" s="4"/>
      <c r="BJ284" s="4"/>
      <c r="BK284" s="4"/>
      <c r="BL284" s="4"/>
      <c r="BM284" s="4"/>
      <c r="BN284" s="4"/>
      <c r="BO284" s="4"/>
      <c r="BP284" s="4"/>
      <c r="BQ284" s="4"/>
      <c r="BR284" s="4"/>
    </row>
    <row r="285" spans="1:70" ht="27" customHeight="1" x14ac:dyDescent="0.2">
      <c r="A285" s="532"/>
      <c r="B285" s="917"/>
      <c r="C285" s="4"/>
      <c r="D285" s="917"/>
      <c r="E285" s="4"/>
      <c r="F285" s="917"/>
      <c r="G285" s="4"/>
      <c r="H285" s="920"/>
      <c r="I285" s="3"/>
      <c r="J285" s="920"/>
      <c r="K285" s="3"/>
      <c r="L285" s="920"/>
      <c r="M285" s="3"/>
      <c r="N285" s="920"/>
      <c r="O285" s="3"/>
      <c r="P285" s="3"/>
      <c r="Q285" s="533"/>
      <c r="R285" s="920"/>
      <c r="S285" s="534"/>
      <c r="T285" s="920"/>
      <c r="U285" s="920"/>
      <c r="V285" s="920"/>
      <c r="W285" s="535"/>
      <c r="X285" s="687"/>
      <c r="Y285" s="687"/>
      <c r="Z285" s="687"/>
      <c r="AA285" s="678"/>
      <c r="AB285" s="543"/>
      <c r="AC285" s="3"/>
      <c r="AD285" s="533"/>
      <c r="AE285" s="3"/>
      <c r="AF285" s="4"/>
      <c r="AG285" s="4"/>
      <c r="AH285" s="4"/>
      <c r="AI285" s="4"/>
      <c r="AJ285" s="4"/>
      <c r="AK285" s="4"/>
      <c r="AL285" s="4"/>
      <c r="AM285" s="4"/>
      <c r="AN285" s="4"/>
      <c r="AO285" s="4"/>
      <c r="AP285" s="4"/>
      <c r="AQ285" s="4"/>
      <c r="AR285" s="4"/>
      <c r="AS285" s="4"/>
      <c r="AT285" s="4"/>
      <c r="AU285" s="4"/>
      <c r="AV285" s="537"/>
      <c r="AW285" s="537"/>
      <c r="AX285" s="4"/>
      <c r="AY285" s="4"/>
      <c r="AZ285" s="4"/>
      <c r="BA285" s="4"/>
      <c r="BB285" s="4"/>
      <c r="BC285" s="4"/>
      <c r="BD285" s="4"/>
      <c r="BE285" s="4"/>
      <c r="BF285" s="4"/>
      <c r="BG285" s="4"/>
      <c r="BH285" s="4"/>
      <c r="BI285" s="4"/>
      <c r="BJ285" s="4"/>
      <c r="BK285" s="4"/>
      <c r="BL285" s="4"/>
      <c r="BM285" s="4"/>
      <c r="BN285" s="4"/>
      <c r="BO285" s="4"/>
      <c r="BP285" s="4"/>
      <c r="BQ285" s="4"/>
      <c r="BR285" s="4"/>
    </row>
    <row r="286" spans="1:70" ht="27" customHeight="1" x14ac:dyDescent="0.2">
      <c r="A286" s="532"/>
      <c r="B286" s="917"/>
      <c r="C286" s="4"/>
      <c r="D286" s="917"/>
      <c r="E286" s="4"/>
      <c r="F286" s="917"/>
      <c r="G286" s="4"/>
      <c r="H286" s="920"/>
      <c r="I286" s="3"/>
      <c r="J286" s="920"/>
      <c r="K286" s="3"/>
      <c r="L286" s="920"/>
      <c r="M286" s="3"/>
      <c r="N286" s="920"/>
      <c r="O286" s="3"/>
      <c r="P286" s="3"/>
      <c r="Q286" s="533"/>
      <c r="R286" s="920"/>
      <c r="S286" s="534"/>
      <c r="T286" s="920"/>
      <c r="U286" s="920"/>
      <c r="V286" s="920"/>
      <c r="W286" s="535"/>
      <c r="X286" s="687"/>
      <c r="Y286" s="687"/>
      <c r="Z286" s="687"/>
      <c r="AA286" s="678"/>
      <c r="AB286" s="543"/>
      <c r="AC286" s="3"/>
      <c r="AD286" s="533"/>
      <c r="AE286" s="3"/>
      <c r="AF286" s="4"/>
      <c r="AG286" s="4"/>
      <c r="AH286" s="4"/>
      <c r="AI286" s="4"/>
      <c r="AJ286" s="4"/>
      <c r="AK286" s="4"/>
      <c r="AL286" s="4"/>
      <c r="AM286" s="4"/>
      <c r="AN286" s="4"/>
      <c r="AO286" s="4"/>
      <c r="AP286" s="4"/>
      <c r="AQ286" s="4"/>
      <c r="AR286" s="4"/>
      <c r="AS286" s="4"/>
      <c r="AT286" s="4"/>
      <c r="AU286" s="4"/>
      <c r="AV286" s="537"/>
      <c r="AW286" s="537"/>
      <c r="AX286" s="4"/>
      <c r="AY286" s="4"/>
      <c r="AZ286" s="4"/>
      <c r="BA286" s="4"/>
      <c r="BB286" s="4"/>
      <c r="BC286" s="4"/>
      <c r="BD286" s="4"/>
      <c r="BE286" s="4"/>
      <c r="BF286" s="4"/>
      <c r="BG286" s="4"/>
      <c r="BH286" s="4"/>
      <c r="BI286" s="4"/>
      <c r="BJ286" s="4"/>
      <c r="BK286" s="4"/>
      <c r="BL286" s="4"/>
      <c r="BM286" s="4"/>
      <c r="BN286" s="4"/>
      <c r="BO286" s="4"/>
      <c r="BP286" s="4"/>
      <c r="BQ286" s="4"/>
      <c r="BR286" s="4"/>
    </row>
    <row r="287" spans="1:70" ht="27" customHeight="1" x14ac:dyDescent="0.2">
      <c r="A287" s="532"/>
      <c r="B287" s="917"/>
      <c r="C287" s="4"/>
      <c r="D287" s="917"/>
      <c r="E287" s="4"/>
      <c r="F287" s="917"/>
      <c r="G287" s="4"/>
      <c r="H287" s="920"/>
      <c r="I287" s="3"/>
      <c r="J287" s="920"/>
      <c r="K287" s="3"/>
      <c r="L287" s="920"/>
      <c r="M287" s="3"/>
      <c r="N287" s="920"/>
      <c r="O287" s="3"/>
      <c r="P287" s="3"/>
      <c r="Q287" s="533"/>
      <c r="R287" s="920"/>
      <c r="S287" s="534"/>
      <c r="T287" s="920"/>
      <c r="U287" s="920"/>
      <c r="V287" s="920"/>
      <c r="W287" s="535"/>
      <c r="X287" s="687"/>
      <c r="Y287" s="687"/>
      <c r="Z287" s="687"/>
      <c r="AA287" s="678"/>
      <c r="AB287" s="543"/>
      <c r="AC287" s="3"/>
      <c r="AD287" s="533"/>
      <c r="AE287" s="3"/>
      <c r="AF287" s="4"/>
      <c r="AG287" s="4"/>
      <c r="AH287" s="4"/>
      <c r="AI287" s="4"/>
      <c r="AJ287" s="4"/>
      <c r="AK287" s="4"/>
      <c r="AL287" s="4"/>
      <c r="AM287" s="4"/>
      <c r="AN287" s="4"/>
      <c r="AO287" s="4"/>
      <c r="AP287" s="4"/>
      <c r="AQ287" s="4"/>
      <c r="AR287" s="4"/>
      <c r="AS287" s="4"/>
      <c r="AT287" s="4"/>
      <c r="AU287" s="4"/>
      <c r="AV287" s="537"/>
      <c r="AW287" s="537"/>
      <c r="AX287" s="4"/>
      <c r="AY287" s="4"/>
      <c r="AZ287" s="4"/>
      <c r="BA287" s="4"/>
      <c r="BB287" s="4"/>
      <c r="BC287" s="4"/>
      <c r="BD287" s="4"/>
      <c r="BE287" s="4"/>
      <c r="BF287" s="4"/>
      <c r="BG287" s="4"/>
      <c r="BH287" s="4"/>
      <c r="BI287" s="4"/>
      <c r="BJ287" s="4"/>
      <c r="BK287" s="4"/>
      <c r="BL287" s="4"/>
      <c r="BM287" s="4"/>
      <c r="BN287" s="4"/>
      <c r="BO287" s="4"/>
      <c r="BP287" s="4"/>
      <c r="BQ287" s="4"/>
      <c r="BR287" s="4"/>
    </row>
    <row r="288" spans="1:70" ht="27" customHeight="1" x14ac:dyDescent="0.2">
      <c r="A288" s="532"/>
      <c r="B288" s="917"/>
      <c r="C288" s="4"/>
      <c r="D288" s="917"/>
      <c r="E288" s="4"/>
      <c r="F288" s="917"/>
      <c r="G288" s="4"/>
      <c r="H288" s="920"/>
      <c r="I288" s="3"/>
      <c r="J288" s="920"/>
      <c r="K288" s="3"/>
      <c r="L288" s="920"/>
      <c r="M288" s="3"/>
      <c r="N288" s="920"/>
      <c r="O288" s="3"/>
      <c r="P288" s="3"/>
      <c r="Q288" s="533"/>
      <c r="R288" s="920"/>
      <c r="S288" s="534"/>
      <c r="T288" s="920"/>
      <c r="U288" s="920"/>
      <c r="V288" s="920"/>
      <c r="W288" s="535"/>
      <c r="X288" s="687"/>
      <c r="Y288" s="687"/>
      <c r="Z288" s="687"/>
      <c r="AA288" s="678"/>
      <c r="AB288" s="543"/>
      <c r="AC288" s="3"/>
      <c r="AD288" s="533"/>
      <c r="AE288" s="3"/>
      <c r="AF288" s="4"/>
      <c r="AG288" s="4"/>
      <c r="AH288" s="4"/>
      <c r="AI288" s="4"/>
      <c r="AJ288" s="4"/>
      <c r="AK288" s="4"/>
      <c r="AL288" s="4"/>
      <c r="AM288" s="4"/>
      <c r="AN288" s="4"/>
      <c r="AO288" s="4"/>
      <c r="AP288" s="4"/>
      <c r="AQ288" s="4"/>
      <c r="AR288" s="4"/>
      <c r="AS288" s="4"/>
      <c r="AT288" s="4"/>
      <c r="AU288" s="4"/>
      <c r="AV288" s="537"/>
      <c r="AW288" s="537"/>
      <c r="AX288" s="4"/>
      <c r="AY288" s="4"/>
      <c r="AZ288" s="4"/>
      <c r="BA288" s="4"/>
      <c r="BB288" s="4"/>
      <c r="BC288" s="4"/>
      <c r="BD288" s="4"/>
      <c r="BE288" s="4"/>
      <c r="BF288" s="4"/>
      <c r="BG288" s="4"/>
      <c r="BH288" s="4"/>
      <c r="BI288" s="4"/>
      <c r="BJ288" s="4"/>
      <c r="BK288" s="4"/>
      <c r="BL288" s="4"/>
      <c r="BM288" s="4"/>
      <c r="BN288" s="4"/>
      <c r="BO288" s="4"/>
      <c r="BP288" s="4"/>
      <c r="BQ288" s="4"/>
      <c r="BR288" s="4"/>
    </row>
    <row r="289" spans="1:70" ht="27" customHeight="1" x14ac:dyDescent="0.2">
      <c r="A289" s="532"/>
      <c r="B289" s="917"/>
      <c r="C289" s="4"/>
      <c r="D289" s="917"/>
      <c r="E289" s="4"/>
      <c r="F289" s="917"/>
      <c r="G289" s="4"/>
      <c r="H289" s="920"/>
      <c r="I289" s="3"/>
      <c r="J289" s="920"/>
      <c r="K289" s="3"/>
      <c r="L289" s="920"/>
      <c r="M289" s="3"/>
      <c r="N289" s="920"/>
      <c r="O289" s="3"/>
      <c r="P289" s="3"/>
      <c r="Q289" s="533"/>
      <c r="R289" s="920"/>
      <c r="S289" s="534"/>
      <c r="T289" s="920"/>
      <c r="U289" s="920"/>
      <c r="V289" s="920"/>
      <c r="W289" s="535"/>
      <c r="X289" s="687"/>
      <c r="Y289" s="687"/>
      <c r="Z289" s="687"/>
      <c r="AA289" s="678"/>
      <c r="AB289" s="543"/>
      <c r="AC289" s="3"/>
      <c r="AD289" s="533"/>
      <c r="AE289" s="3"/>
      <c r="AF289" s="4"/>
      <c r="AG289" s="4"/>
      <c r="AH289" s="4"/>
      <c r="AI289" s="4"/>
      <c r="AJ289" s="4"/>
      <c r="AK289" s="4"/>
      <c r="AL289" s="4"/>
      <c r="AM289" s="4"/>
      <c r="AN289" s="4"/>
      <c r="AO289" s="4"/>
      <c r="AP289" s="4"/>
      <c r="AQ289" s="4"/>
      <c r="AR289" s="4"/>
      <c r="AS289" s="4"/>
      <c r="AT289" s="4"/>
      <c r="AU289" s="4"/>
      <c r="AV289" s="537"/>
      <c r="AW289" s="537"/>
      <c r="AX289" s="4"/>
      <c r="AY289" s="4"/>
      <c r="AZ289" s="4"/>
      <c r="BA289" s="4"/>
      <c r="BB289" s="4"/>
      <c r="BC289" s="4"/>
      <c r="BD289" s="4"/>
      <c r="BE289" s="4"/>
      <c r="BF289" s="4"/>
      <c r="BG289" s="4"/>
      <c r="BH289" s="4"/>
      <c r="BI289" s="4"/>
      <c r="BJ289" s="4"/>
      <c r="BK289" s="4"/>
      <c r="BL289" s="4"/>
      <c r="BM289" s="4"/>
      <c r="BN289" s="4"/>
      <c r="BO289" s="4"/>
      <c r="BP289" s="4"/>
      <c r="BQ289" s="4"/>
      <c r="BR289" s="4"/>
    </row>
    <row r="290" spans="1:70" ht="27" customHeight="1" x14ac:dyDescent="0.2">
      <c r="A290" s="532"/>
      <c r="B290" s="917"/>
      <c r="C290" s="4"/>
      <c r="D290" s="917"/>
      <c r="E290" s="4"/>
      <c r="F290" s="917"/>
      <c r="G290" s="4"/>
      <c r="H290" s="920"/>
      <c r="I290" s="3"/>
      <c r="J290" s="920"/>
      <c r="K290" s="3"/>
      <c r="L290" s="920"/>
      <c r="M290" s="3"/>
      <c r="N290" s="920"/>
      <c r="O290" s="3"/>
      <c r="P290" s="3"/>
      <c r="Q290" s="533"/>
      <c r="R290" s="920"/>
      <c r="S290" s="534"/>
      <c r="T290" s="920"/>
      <c r="U290" s="920"/>
      <c r="V290" s="920"/>
      <c r="W290" s="535"/>
      <c r="X290" s="687"/>
      <c r="Y290" s="687"/>
      <c r="Z290" s="687"/>
      <c r="AA290" s="678"/>
      <c r="AB290" s="543"/>
      <c r="AC290" s="3"/>
      <c r="AD290" s="533"/>
      <c r="AE290" s="3"/>
      <c r="AF290" s="4"/>
      <c r="AG290" s="4"/>
      <c r="AH290" s="4"/>
      <c r="AI290" s="4"/>
      <c r="AJ290" s="4"/>
      <c r="AK290" s="4"/>
      <c r="AL290" s="4"/>
      <c r="AM290" s="4"/>
      <c r="AN290" s="4"/>
      <c r="AO290" s="4"/>
      <c r="AP290" s="4"/>
      <c r="AQ290" s="4"/>
      <c r="AR290" s="4"/>
      <c r="AS290" s="4"/>
      <c r="AT290" s="4"/>
      <c r="AU290" s="4"/>
      <c r="AV290" s="537"/>
      <c r="AW290" s="537"/>
      <c r="AX290" s="4"/>
      <c r="AY290" s="4"/>
      <c r="AZ290" s="4"/>
      <c r="BA290" s="4"/>
      <c r="BB290" s="4"/>
      <c r="BC290" s="4"/>
      <c r="BD290" s="4"/>
      <c r="BE290" s="4"/>
      <c r="BF290" s="4"/>
      <c r="BG290" s="4"/>
      <c r="BH290" s="4"/>
      <c r="BI290" s="4"/>
      <c r="BJ290" s="4"/>
      <c r="BK290" s="4"/>
      <c r="BL290" s="4"/>
      <c r="BM290" s="4"/>
      <c r="BN290" s="4"/>
      <c r="BO290" s="4"/>
      <c r="BP290" s="4"/>
      <c r="BQ290" s="4"/>
      <c r="BR290" s="4"/>
    </row>
    <row r="291" spans="1:70" ht="27" customHeight="1" x14ac:dyDescent="0.2">
      <c r="A291" s="532"/>
      <c r="B291" s="917"/>
      <c r="C291" s="4"/>
      <c r="D291" s="917"/>
      <c r="E291" s="4"/>
      <c r="F291" s="917"/>
      <c r="G291" s="4"/>
      <c r="H291" s="920"/>
      <c r="I291" s="3"/>
      <c r="J291" s="920"/>
      <c r="K291" s="3"/>
      <c r="L291" s="920"/>
      <c r="M291" s="3"/>
      <c r="N291" s="920"/>
      <c r="O291" s="3"/>
      <c r="P291" s="3"/>
      <c r="Q291" s="533"/>
      <c r="R291" s="920"/>
      <c r="S291" s="534"/>
      <c r="T291" s="920"/>
      <c r="U291" s="920"/>
      <c r="V291" s="920"/>
      <c r="W291" s="535"/>
      <c r="X291" s="687"/>
      <c r="Y291" s="687"/>
      <c r="Z291" s="687"/>
      <c r="AA291" s="678"/>
      <c r="AB291" s="543"/>
      <c r="AC291" s="3"/>
      <c r="AD291" s="533"/>
      <c r="AE291" s="3"/>
      <c r="AF291" s="4"/>
      <c r="AG291" s="4"/>
      <c r="AH291" s="4"/>
      <c r="AI291" s="4"/>
      <c r="AJ291" s="4"/>
      <c r="AK291" s="4"/>
      <c r="AL291" s="4"/>
      <c r="AM291" s="4"/>
      <c r="AN291" s="4"/>
      <c r="AO291" s="4"/>
      <c r="AP291" s="4"/>
      <c r="AQ291" s="4"/>
      <c r="AR291" s="4"/>
      <c r="AS291" s="4"/>
      <c r="AT291" s="4"/>
      <c r="AU291" s="4"/>
      <c r="AV291" s="537"/>
      <c r="AW291" s="537"/>
      <c r="AX291" s="4"/>
      <c r="AY291" s="4"/>
      <c r="AZ291" s="4"/>
      <c r="BA291" s="4"/>
      <c r="BB291" s="4"/>
      <c r="BC291" s="4"/>
      <c r="BD291" s="4"/>
      <c r="BE291" s="4"/>
      <c r="BF291" s="4"/>
      <c r="BG291" s="4"/>
      <c r="BH291" s="4"/>
      <c r="BI291" s="4"/>
      <c r="BJ291" s="4"/>
      <c r="BK291" s="4"/>
      <c r="BL291" s="4"/>
      <c r="BM291" s="4"/>
      <c r="BN291" s="4"/>
      <c r="BO291" s="4"/>
      <c r="BP291" s="4"/>
      <c r="BQ291" s="4"/>
      <c r="BR291" s="4"/>
    </row>
    <row r="292" spans="1:70" ht="27" customHeight="1" x14ac:dyDescent="0.2">
      <c r="A292" s="532"/>
      <c r="B292" s="917"/>
      <c r="C292" s="4"/>
      <c r="D292" s="917"/>
      <c r="E292" s="4"/>
      <c r="F292" s="917"/>
      <c r="G292" s="4"/>
      <c r="H292" s="920"/>
      <c r="I292" s="3"/>
      <c r="J292" s="920"/>
      <c r="K292" s="3"/>
      <c r="L292" s="920"/>
      <c r="M292" s="3"/>
      <c r="N292" s="920"/>
      <c r="O292" s="3"/>
      <c r="P292" s="3"/>
      <c r="Q292" s="533"/>
      <c r="R292" s="920"/>
      <c r="S292" s="534"/>
      <c r="T292" s="920"/>
      <c r="U292" s="920"/>
      <c r="V292" s="920"/>
      <c r="W292" s="535"/>
      <c r="X292" s="687"/>
      <c r="Y292" s="687"/>
      <c r="Z292" s="687"/>
      <c r="AA292" s="678"/>
      <c r="AB292" s="543"/>
      <c r="AC292" s="3"/>
      <c r="AD292" s="533"/>
      <c r="AE292" s="3"/>
      <c r="AF292" s="4"/>
      <c r="AG292" s="4"/>
      <c r="AH292" s="4"/>
      <c r="AI292" s="4"/>
      <c r="AJ292" s="4"/>
      <c r="AK292" s="4"/>
      <c r="AL292" s="4"/>
      <c r="AM292" s="4"/>
      <c r="AN292" s="4"/>
      <c r="AO292" s="4"/>
      <c r="AP292" s="4"/>
      <c r="AQ292" s="4"/>
      <c r="AR292" s="4"/>
      <c r="AS292" s="4"/>
      <c r="AT292" s="4"/>
      <c r="AU292" s="4"/>
      <c r="AV292" s="537"/>
      <c r="AW292" s="537"/>
      <c r="AX292" s="4"/>
      <c r="AY292" s="4"/>
      <c r="AZ292" s="4"/>
      <c r="BA292" s="4"/>
      <c r="BB292" s="4"/>
      <c r="BC292" s="4"/>
      <c r="BD292" s="4"/>
      <c r="BE292" s="4"/>
      <c r="BF292" s="4"/>
      <c r="BG292" s="4"/>
      <c r="BH292" s="4"/>
      <c r="BI292" s="4"/>
      <c r="BJ292" s="4"/>
      <c r="BK292" s="4"/>
      <c r="BL292" s="4"/>
      <c r="BM292" s="4"/>
      <c r="BN292" s="4"/>
      <c r="BO292" s="4"/>
      <c r="BP292" s="4"/>
      <c r="BQ292" s="4"/>
      <c r="BR292" s="4"/>
    </row>
    <row r="293" spans="1:70" ht="27" customHeight="1" x14ac:dyDescent="0.2">
      <c r="A293" s="532"/>
      <c r="B293" s="917"/>
      <c r="C293" s="4"/>
      <c r="D293" s="917"/>
      <c r="E293" s="4"/>
      <c r="F293" s="917"/>
      <c r="G293" s="4"/>
      <c r="H293" s="920"/>
      <c r="I293" s="3"/>
      <c r="J293" s="920"/>
      <c r="K293" s="3"/>
      <c r="L293" s="920"/>
      <c r="M293" s="3"/>
      <c r="N293" s="920"/>
      <c r="O293" s="3"/>
      <c r="P293" s="3"/>
      <c r="Q293" s="533"/>
      <c r="R293" s="920"/>
      <c r="S293" s="534"/>
      <c r="T293" s="920"/>
      <c r="U293" s="920"/>
      <c r="V293" s="920"/>
      <c r="W293" s="535"/>
      <c r="X293" s="687"/>
      <c r="Y293" s="687"/>
      <c r="Z293" s="687"/>
      <c r="AA293" s="678"/>
      <c r="AB293" s="543"/>
      <c r="AC293" s="3"/>
      <c r="AD293" s="533"/>
      <c r="AE293" s="3"/>
      <c r="AF293" s="4"/>
      <c r="AG293" s="4"/>
      <c r="AH293" s="4"/>
      <c r="AI293" s="4"/>
      <c r="AJ293" s="4"/>
      <c r="AK293" s="4"/>
      <c r="AL293" s="4"/>
      <c r="AM293" s="4"/>
      <c r="AN293" s="4"/>
      <c r="AO293" s="4"/>
      <c r="AP293" s="4"/>
      <c r="AQ293" s="4"/>
      <c r="AR293" s="4"/>
      <c r="AS293" s="4"/>
      <c r="AT293" s="4"/>
      <c r="AU293" s="4"/>
      <c r="AV293" s="537"/>
      <c r="AW293" s="537"/>
      <c r="AX293" s="4"/>
      <c r="AY293" s="4"/>
      <c r="AZ293" s="4"/>
      <c r="BA293" s="4"/>
      <c r="BB293" s="4"/>
      <c r="BC293" s="4"/>
      <c r="BD293" s="4"/>
      <c r="BE293" s="4"/>
      <c r="BF293" s="4"/>
      <c r="BG293" s="4"/>
      <c r="BH293" s="4"/>
      <c r="BI293" s="4"/>
      <c r="BJ293" s="4"/>
      <c r="BK293" s="4"/>
      <c r="BL293" s="4"/>
      <c r="BM293" s="4"/>
      <c r="BN293" s="4"/>
      <c r="BO293" s="4"/>
      <c r="BP293" s="4"/>
      <c r="BQ293" s="4"/>
      <c r="BR293" s="4"/>
    </row>
    <row r="294" spans="1:70" ht="27" customHeight="1" x14ac:dyDescent="0.2">
      <c r="A294" s="532"/>
      <c r="B294" s="917"/>
      <c r="C294" s="4"/>
      <c r="D294" s="917"/>
      <c r="E294" s="4"/>
      <c r="F294" s="917"/>
      <c r="G294" s="4"/>
      <c r="H294" s="920"/>
      <c r="I294" s="3"/>
      <c r="J294" s="920"/>
      <c r="K294" s="3"/>
      <c r="L294" s="920"/>
      <c r="M294" s="3"/>
      <c r="N294" s="920"/>
      <c r="O294" s="3"/>
      <c r="P294" s="3"/>
      <c r="Q294" s="533"/>
      <c r="R294" s="920"/>
      <c r="S294" s="534"/>
      <c r="T294" s="920"/>
      <c r="U294" s="920"/>
      <c r="V294" s="920"/>
      <c r="W294" s="535"/>
      <c r="X294" s="687"/>
      <c r="Y294" s="687"/>
      <c r="Z294" s="687"/>
      <c r="AA294" s="678"/>
      <c r="AB294" s="543"/>
      <c r="AC294" s="3"/>
      <c r="AD294" s="533"/>
      <c r="AE294" s="3"/>
      <c r="AF294" s="4"/>
      <c r="AG294" s="4"/>
      <c r="AH294" s="4"/>
      <c r="AI294" s="4"/>
      <c r="AJ294" s="4"/>
      <c r="AK294" s="4"/>
      <c r="AL294" s="4"/>
      <c r="AM294" s="4"/>
      <c r="AN294" s="4"/>
      <c r="AO294" s="4"/>
      <c r="AP294" s="4"/>
      <c r="AQ294" s="4"/>
      <c r="AR294" s="4"/>
      <c r="AS294" s="4"/>
      <c r="AT294" s="4"/>
      <c r="AU294" s="4"/>
      <c r="AV294" s="537"/>
      <c r="AW294" s="537"/>
      <c r="AX294" s="4"/>
      <c r="AY294" s="4"/>
      <c r="AZ294" s="4"/>
      <c r="BA294" s="4"/>
      <c r="BB294" s="4"/>
      <c r="BC294" s="4"/>
      <c r="BD294" s="4"/>
      <c r="BE294" s="4"/>
      <c r="BF294" s="4"/>
      <c r="BG294" s="4"/>
      <c r="BH294" s="4"/>
      <c r="BI294" s="4"/>
      <c r="BJ294" s="4"/>
      <c r="BK294" s="4"/>
      <c r="BL294" s="4"/>
      <c r="BM294" s="4"/>
      <c r="BN294" s="4"/>
      <c r="BO294" s="4"/>
      <c r="BP294" s="4"/>
      <c r="BQ294" s="4"/>
      <c r="BR294" s="4"/>
    </row>
    <row r="295" spans="1:70" ht="27" customHeight="1" x14ac:dyDescent="0.2">
      <c r="A295" s="532"/>
      <c r="B295" s="917"/>
      <c r="C295" s="4"/>
      <c r="D295" s="917"/>
      <c r="E295" s="4"/>
      <c r="F295" s="917"/>
      <c r="G295" s="4"/>
      <c r="H295" s="920"/>
      <c r="I295" s="3"/>
      <c r="J295" s="920"/>
      <c r="K295" s="3"/>
      <c r="L295" s="920"/>
      <c r="M295" s="3"/>
      <c r="N295" s="920"/>
      <c r="O295" s="3"/>
      <c r="P295" s="3"/>
      <c r="Q295" s="533"/>
      <c r="R295" s="920"/>
      <c r="S295" s="534"/>
      <c r="T295" s="920"/>
      <c r="U295" s="920"/>
      <c r="V295" s="920"/>
      <c r="W295" s="535"/>
      <c r="X295" s="687"/>
      <c r="Y295" s="687"/>
      <c r="Z295" s="687"/>
      <c r="AA295" s="678"/>
      <c r="AB295" s="543"/>
      <c r="AC295" s="3"/>
      <c r="AD295" s="533"/>
      <c r="AE295" s="3"/>
      <c r="AF295" s="4"/>
      <c r="AG295" s="4"/>
      <c r="AH295" s="4"/>
      <c r="AI295" s="4"/>
      <c r="AJ295" s="4"/>
      <c r="AK295" s="4"/>
      <c r="AL295" s="4"/>
      <c r="AM295" s="4"/>
      <c r="AN295" s="4"/>
      <c r="AO295" s="4"/>
      <c r="AP295" s="4"/>
      <c r="AQ295" s="4"/>
      <c r="AR295" s="4"/>
      <c r="AS295" s="4"/>
      <c r="AT295" s="4"/>
      <c r="AU295" s="4"/>
      <c r="AV295" s="537"/>
      <c r="AW295" s="537"/>
      <c r="AX295" s="4"/>
      <c r="AY295" s="4"/>
      <c r="AZ295" s="4"/>
      <c r="BA295" s="4"/>
      <c r="BB295" s="4"/>
      <c r="BC295" s="4"/>
      <c r="BD295" s="4"/>
      <c r="BE295" s="4"/>
      <c r="BF295" s="4"/>
      <c r="BG295" s="4"/>
      <c r="BH295" s="4"/>
      <c r="BI295" s="4"/>
      <c r="BJ295" s="4"/>
      <c r="BK295" s="4"/>
      <c r="BL295" s="4"/>
      <c r="BM295" s="4"/>
      <c r="BN295" s="4"/>
      <c r="BO295" s="4"/>
      <c r="BP295" s="4"/>
      <c r="BQ295" s="4"/>
      <c r="BR295" s="4"/>
    </row>
    <row r="296" spans="1:70" ht="27" customHeight="1" x14ac:dyDescent="0.2">
      <c r="A296" s="532"/>
      <c r="B296" s="917"/>
      <c r="C296" s="4"/>
      <c r="D296" s="917"/>
      <c r="E296" s="4"/>
      <c r="F296" s="917"/>
      <c r="G296" s="4"/>
      <c r="H296" s="920"/>
      <c r="I296" s="3"/>
      <c r="J296" s="920"/>
      <c r="K296" s="3"/>
      <c r="L296" s="920"/>
      <c r="M296" s="3"/>
      <c r="N296" s="920"/>
      <c r="O296" s="3"/>
      <c r="P296" s="3"/>
      <c r="Q296" s="533"/>
      <c r="R296" s="920"/>
      <c r="S296" s="534"/>
      <c r="T296" s="920"/>
      <c r="U296" s="920"/>
      <c r="V296" s="920"/>
      <c r="W296" s="535"/>
      <c r="X296" s="687"/>
      <c r="Y296" s="687"/>
      <c r="Z296" s="687"/>
      <c r="AA296" s="678"/>
      <c r="AB296" s="543"/>
      <c r="AC296" s="3"/>
      <c r="AD296" s="533"/>
      <c r="AE296" s="3"/>
      <c r="AF296" s="4"/>
      <c r="AG296" s="4"/>
      <c r="AH296" s="4"/>
      <c r="AI296" s="4"/>
      <c r="AJ296" s="4"/>
      <c r="AK296" s="4"/>
      <c r="AL296" s="4"/>
      <c r="AM296" s="4"/>
      <c r="AN296" s="4"/>
      <c r="AO296" s="4"/>
      <c r="AP296" s="4"/>
      <c r="AQ296" s="4"/>
      <c r="AR296" s="4"/>
      <c r="AS296" s="4"/>
      <c r="AT296" s="4"/>
      <c r="AU296" s="4"/>
      <c r="AV296" s="537"/>
      <c r="AW296" s="537"/>
      <c r="AX296" s="4"/>
      <c r="AY296" s="4"/>
      <c r="AZ296" s="4"/>
      <c r="BA296" s="4"/>
      <c r="BB296" s="4"/>
      <c r="BC296" s="4"/>
      <c r="BD296" s="4"/>
      <c r="BE296" s="4"/>
      <c r="BF296" s="4"/>
      <c r="BG296" s="4"/>
      <c r="BH296" s="4"/>
      <c r="BI296" s="4"/>
      <c r="BJ296" s="4"/>
      <c r="BK296" s="4"/>
      <c r="BL296" s="4"/>
      <c r="BM296" s="4"/>
      <c r="BN296" s="4"/>
      <c r="BO296" s="4"/>
      <c r="BP296" s="4"/>
      <c r="BQ296" s="4"/>
      <c r="BR296" s="4"/>
    </row>
    <row r="297" spans="1:70" ht="27" customHeight="1" x14ac:dyDescent="0.2">
      <c r="A297" s="532"/>
      <c r="B297" s="917"/>
      <c r="C297" s="4"/>
      <c r="D297" s="917"/>
      <c r="E297" s="4"/>
      <c r="F297" s="917"/>
      <c r="G297" s="4"/>
      <c r="H297" s="920"/>
      <c r="I297" s="3"/>
      <c r="J297" s="920"/>
      <c r="K297" s="3"/>
      <c r="L297" s="920"/>
      <c r="M297" s="3"/>
      <c r="N297" s="920"/>
      <c r="O297" s="3"/>
      <c r="P297" s="3"/>
      <c r="Q297" s="533"/>
      <c r="R297" s="920"/>
      <c r="S297" s="534"/>
      <c r="T297" s="920"/>
      <c r="U297" s="920"/>
      <c r="V297" s="920"/>
      <c r="W297" s="535"/>
      <c r="X297" s="687"/>
      <c r="Y297" s="687"/>
      <c r="Z297" s="687"/>
      <c r="AA297" s="678"/>
      <c r="AB297" s="543"/>
      <c r="AC297" s="3"/>
      <c r="AD297" s="533"/>
      <c r="AE297" s="3"/>
      <c r="AF297" s="4"/>
      <c r="AG297" s="4"/>
      <c r="AH297" s="4"/>
      <c r="AI297" s="4"/>
      <c r="AJ297" s="4"/>
      <c r="AK297" s="4"/>
      <c r="AL297" s="4"/>
      <c r="AM297" s="4"/>
      <c r="AN297" s="4"/>
      <c r="AO297" s="4"/>
      <c r="AP297" s="4"/>
      <c r="AQ297" s="4"/>
      <c r="AR297" s="4"/>
      <c r="AS297" s="4"/>
      <c r="AT297" s="4"/>
      <c r="AU297" s="4"/>
      <c r="AV297" s="537"/>
      <c r="AW297" s="537"/>
      <c r="AX297" s="4"/>
      <c r="AY297" s="4"/>
      <c r="AZ297" s="4"/>
      <c r="BA297" s="4"/>
      <c r="BB297" s="4"/>
      <c r="BC297" s="4"/>
      <c r="BD297" s="4"/>
      <c r="BE297" s="4"/>
      <c r="BF297" s="4"/>
      <c r="BG297" s="4"/>
      <c r="BH297" s="4"/>
      <c r="BI297" s="4"/>
      <c r="BJ297" s="4"/>
      <c r="BK297" s="4"/>
      <c r="BL297" s="4"/>
      <c r="BM297" s="4"/>
      <c r="BN297" s="4"/>
      <c r="BO297" s="4"/>
      <c r="BP297" s="4"/>
      <c r="BQ297" s="4"/>
      <c r="BR297" s="4"/>
    </row>
    <row r="298" spans="1:70" ht="27" customHeight="1" x14ac:dyDescent="0.2">
      <c r="A298" s="532"/>
      <c r="B298" s="917"/>
      <c r="C298" s="4"/>
      <c r="D298" s="917"/>
      <c r="E298" s="4"/>
      <c r="F298" s="917"/>
      <c r="G298" s="4"/>
      <c r="H298" s="920"/>
      <c r="I298" s="3"/>
      <c r="J298" s="920"/>
      <c r="K298" s="3"/>
      <c r="L298" s="920"/>
      <c r="M298" s="3"/>
      <c r="N298" s="920"/>
      <c r="O298" s="3"/>
      <c r="P298" s="3"/>
      <c r="Q298" s="533"/>
      <c r="R298" s="920"/>
      <c r="S298" s="534"/>
      <c r="T298" s="920"/>
      <c r="U298" s="920"/>
      <c r="V298" s="920"/>
      <c r="W298" s="535"/>
      <c r="X298" s="687"/>
      <c r="Y298" s="687"/>
      <c r="Z298" s="687"/>
      <c r="AA298" s="678"/>
      <c r="AB298" s="543"/>
      <c r="AC298" s="3"/>
      <c r="AD298" s="533"/>
      <c r="AE298" s="3"/>
      <c r="AF298" s="4"/>
      <c r="AG298" s="4"/>
      <c r="AH298" s="4"/>
      <c r="AI298" s="4"/>
      <c r="AJ298" s="4"/>
      <c r="AK298" s="4"/>
      <c r="AL298" s="4"/>
      <c r="AM298" s="4"/>
      <c r="AN298" s="4"/>
      <c r="AO298" s="4"/>
      <c r="AP298" s="4"/>
      <c r="AQ298" s="4"/>
      <c r="AR298" s="4"/>
      <c r="AS298" s="4"/>
      <c r="AT298" s="4"/>
      <c r="AU298" s="4"/>
      <c r="AV298" s="537"/>
      <c r="AW298" s="537"/>
      <c r="AX298" s="4"/>
      <c r="AY298" s="4"/>
      <c r="AZ298" s="4"/>
      <c r="BA298" s="4"/>
      <c r="BB298" s="4"/>
      <c r="BC298" s="4"/>
      <c r="BD298" s="4"/>
      <c r="BE298" s="4"/>
      <c r="BF298" s="4"/>
      <c r="BG298" s="4"/>
      <c r="BH298" s="4"/>
      <c r="BI298" s="4"/>
      <c r="BJ298" s="4"/>
      <c r="BK298" s="4"/>
      <c r="BL298" s="4"/>
      <c r="BM298" s="4"/>
      <c r="BN298" s="4"/>
      <c r="BO298" s="4"/>
      <c r="BP298" s="4"/>
      <c r="BQ298" s="4"/>
      <c r="BR298" s="4"/>
    </row>
    <row r="299" spans="1:70" ht="27" customHeight="1" x14ac:dyDescent="0.2">
      <c r="A299" s="532"/>
      <c r="B299" s="917"/>
      <c r="C299" s="4"/>
      <c r="D299" s="917"/>
      <c r="E299" s="4"/>
      <c r="F299" s="917"/>
      <c r="G299" s="4"/>
      <c r="H299" s="920"/>
      <c r="I299" s="3"/>
      <c r="J299" s="920"/>
      <c r="K299" s="3"/>
      <c r="L299" s="920"/>
      <c r="M299" s="3"/>
      <c r="N299" s="920"/>
      <c r="O299" s="3"/>
      <c r="P299" s="3"/>
      <c r="Q299" s="533"/>
      <c r="R299" s="920"/>
      <c r="S299" s="534"/>
      <c r="T299" s="920"/>
      <c r="U299" s="920"/>
      <c r="V299" s="920"/>
      <c r="W299" s="535"/>
      <c r="X299" s="687"/>
      <c r="Y299" s="687"/>
      <c r="Z299" s="687"/>
      <c r="AA299" s="678"/>
      <c r="AB299" s="543"/>
      <c r="AC299" s="3"/>
      <c r="AD299" s="533"/>
      <c r="AE299" s="3"/>
      <c r="AF299" s="4"/>
      <c r="AG299" s="4"/>
      <c r="AH299" s="4"/>
      <c r="AI299" s="4"/>
      <c r="AJ299" s="4"/>
      <c r="AK299" s="4"/>
      <c r="AL299" s="4"/>
      <c r="AM299" s="4"/>
      <c r="AN299" s="4"/>
      <c r="AO299" s="4"/>
      <c r="AP299" s="4"/>
      <c r="AQ299" s="4"/>
      <c r="AR299" s="4"/>
      <c r="AS299" s="4"/>
      <c r="AT299" s="4"/>
      <c r="AU299" s="4"/>
      <c r="AV299" s="537"/>
      <c r="AW299" s="537"/>
      <c r="AX299" s="4"/>
      <c r="AY299" s="4"/>
      <c r="AZ299" s="4"/>
      <c r="BA299" s="4"/>
      <c r="BB299" s="4"/>
      <c r="BC299" s="4"/>
      <c r="BD299" s="4"/>
      <c r="BE299" s="4"/>
      <c r="BF299" s="4"/>
      <c r="BG299" s="4"/>
      <c r="BH299" s="4"/>
      <c r="BI299" s="4"/>
      <c r="BJ299" s="4"/>
      <c r="BK299" s="4"/>
      <c r="BL299" s="4"/>
      <c r="BM299" s="4"/>
      <c r="BN299" s="4"/>
      <c r="BO299" s="4"/>
      <c r="BP299" s="4"/>
      <c r="BQ299" s="4"/>
      <c r="BR299" s="4"/>
    </row>
    <row r="300" spans="1:70" ht="27" customHeight="1" x14ac:dyDescent="0.2">
      <c r="A300" s="532"/>
      <c r="B300" s="917"/>
      <c r="C300" s="4"/>
      <c r="D300" s="917"/>
      <c r="E300" s="4"/>
      <c r="F300" s="917"/>
      <c r="G300" s="4"/>
      <c r="H300" s="920"/>
      <c r="I300" s="3"/>
      <c r="J300" s="920"/>
      <c r="K300" s="3"/>
      <c r="L300" s="920"/>
      <c r="M300" s="3"/>
      <c r="N300" s="920"/>
      <c r="O300" s="3"/>
      <c r="P300" s="3"/>
      <c r="Q300" s="533"/>
      <c r="R300" s="920"/>
      <c r="S300" s="534"/>
      <c r="T300" s="920"/>
      <c r="U300" s="920"/>
      <c r="V300" s="920"/>
      <c r="W300" s="535"/>
      <c r="X300" s="687"/>
      <c r="Y300" s="687"/>
      <c r="Z300" s="687"/>
      <c r="AA300" s="678"/>
      <c r="AB300" s="543"/>
      <c r="AC300" s="3"/>
      <c r="AD300" s="533"/>
      <c r="AE300" s="3"/>
      <c r="AF300" s="4"/>
      <c r="AG300" s="4"/>
      <c r="AH300" s="4"/>
      <c r="AI300" s="4"/>
      <c r="AJ300" s="4"/>
      <c r="AK300" s="4"/>
      <c r="AL300" s="4"/>
      <c r="AM300" s="4"/>
      <c r="AN300" s="4"/>
      <c r="AO300" s="4"/>
      <c r="AP300" s="4"/>
      <c r="AQ300" s="4"/>
      <c r="AR300" s="4"/>
      <c r="AS300" s="4"/>
      <c r="AT300" s="4"/>
      <c r="AU300" s="4"/>
      <c r="AV300" s="537"/>
      <c r="AW300" s="537"/>
      <c r="AX300" s="4"/>
      <c r="AY300" s="4"/>
      <c r="AZ300" s="4"/>
      <c r="BA300" s="4"/>
      <c r="BB300" s="4"/>
      <c r="BC300" s="4"/>
      <c r="BD300" s="4"/>
      <c r="BE300" s="4"/>
      <c r="BF300" s="4"/>
      <c r="BG300" s="4"/>
      <c r="BH300" s="4"/>
      <c r="BI300" s="4"/>
      <c r="BJ300" s="4"/>
      <c r="BK300" s="4"/>
      <c r="BL300" s="4"/>
      <c r="BM300" s="4"/>
      <c r="BN300" s="4"/>
      <c r="BO300" s="4"/>
      <c r="BP300" s="4"/>
      <c r="BQ300" s="4"/>
      <c r="BR300" s="4"/>
    </row>
    <row r="301" spans="1:70" ht="27" customHeight="1" x14ac:dyDescent="0.2">
      <c r="A301" s="532"/>
      <c r="B301" s="917"/>
      <c r="C301" s="4"/>
      <c r="D301" s="917"/>
      <c r="E301" s="4"/>
      <c r="F301" s="917"/>
      <c r="G301" s="4"/>
      <c r="H301" s="920"/>
      <c r="I301" s="3"/>
      <c r="J301" s="920"/>
      <c r="K301" s="3"/>
      <c r="L301" s="920"/>
      <c r="M301" s="3"/>
      <c r="N301" s="920"/>
      <c r="O301" s="3"/>
      <c r="P301" s="3"/>
      <c r="Q301" s="533"/>
      <c r="R301" s="920"/>
      <c r="S301" s="534"/>
      <c r="T301" s="920"/>
      <c r="U301" s="920"/>
      <c r="V301" s="920"/>
      <c r="W301" s="535"/>
      <c r="X301" s="687"/>
      <c r="Y301" s="687"/>
      <c r="Z301" s="687"/>
      <c r="AA301" s="678"/>
      <c r="AB301" s="543"/>
      <c r="AC301" s="3"/>
      <c r="AD301" s="533"/>
      <c r="AE301" s="3"/>
      <c r="AF301" s="4"/>
      <c r="AG301" s="4"/>
      <c r="AH301" s="4"/>
      <c r="AI301" s="4"/>
      <c r="AJ301" s="4"/>
      <c r="AK301" s="4"/>
      <c r="AL301" s="4"/>
      <c r="AM301" s="4"/>
      <c r="AN301" s="4"/>
      <c r="AO301" s="4"/>
      <c r="AP301" s="4"/>
      <c r="AQ301" s="4"/>
      <c r="AR301" s="4"/>
      <c r="AS301" s="4"/>
      <c r="AT301" s="4"/>
      <c r="AU301" s="4"/>
      <c r="AV301" s="537"/>
      <c r="AW301" s="537"/>
      <c r="AX301" s="4"/>
      <c r="AY301" s="4"/>
      <c r="AZ301" s="4"/>
      <c r="BA301" s="4"/>
      <c r="BB301" s="4"/>
      <c r="BC301" s="4"/>
      <c r="BD301" s="4"/>
      <c r="BE301" s="4"/>
      <c r="BF301" s="4"/>
      <c r="BG301" s="4"/>
      <c r="BH301" s="4"/>
      <c r="BI301" s="4"/>
      <c r="BJ301" s="4"/>
      <c r="BK301" s="4"/>
      <c r="BL301" s="4"/>
      <c r="BM301" s="4"/>
      <c r="BN301" s="4"/>
      <c r="BO301" s="4"/>
      <c r="BP301" s="4"/>
      <c r="BQ301" s="4"/>
      <c r="BR301" s="4"/>
    </row>
    <row r="302" spans="1:70" ht="27" customHeight="1" x14ac:dyDescent="0.2">
      <c r="A302" s="532"/>
      <c r="B302" s="917"/>
      <c r="C302" s="4"/>
      <c r="D302" s="917"/>
      <c r="E302" s="4"/>
      <c r="F302" s="917"/>
      <c r="G302" s="4"/>
      <c r="H302" s="920"/>
      <c r="I302" s="3"/>
      <c r="J302" s="920"/>
      <c r="K302" s="3"/>
      <c r="L302" s="920"/>
      <c r="M302" s="3"/>
      <c r="N302" s="920"/>
      <c r="O302" s="3"/>
      <c r="P302" s="3"/>
      <c r="Q302" s="533"/>
      <c r="R302" s="920"/>
      <c r="S302" s="534"/>
      <c r="T302" s="920"/>
      <c r="U302" s="920"/>
      <c r="V302" s="920"/>
      <c r="W302" s="535"/>
      <c r="X302" s="687"/>
      <c r="Y302" s="687"/>
      <c r="Z302" s="687"/>
      <c r="AA302" s="678"/>
      <c r="AB302" s="543"/>
      <c r="AC302" s="3"/>
      <c r="AD302" s="533"/>
      <c r="AE302" s="3"/>
      <c r="AF302" s="4"/>
      <c r="AG302" s="4"/>
      <c r="AH302" s="4"/>
      <c r="AI302" s="4"/>
      <c r="AJ302" s="4"/>
      <c r="AK302" s="4"/>
      <c r="AL302" s="4"/>
      <c r="AM302" s="4"/>
      <c r="AN302" s="4"/>
      <c r="AO302" s="4"/>
      <c r="AP302" s="4"/>
      <c r="AQ302" s="4"/>
      <c r="AR302" s="4"/>
      <c r="AS302" s="4"/>
      <c r="AT302" s="4"/>
      <c r="AU302" s="4"/>
      <c r="AV302" s="537"/>
      <c r="AW302" s="537"/>
      <c r="AX302" s="4"/>
      <c r="AY302" s="4"/>
      <c r="AZ302" s="4"/>
      <c r="BA302" s="4"/>
      <c r="BB302" s="4"/>
      <c r="BC302" s="4"/>
      <c r="BD302" s="4"/>
      <c r="BE302" s="4"/>
      <c r="BF302" s="4"/>
      <c r="BG302" s="4"/>
      <c r="BH302" s="4"/>
      <c r="BI302" s="4"/>
      <c r="BJ302" s="4"/>
      <c r="BK302" s="4"/>
      <c r="BL302" s="4"/>
      <c r="BM302" s="4"/>
      <c r="BN302" s="4"/>
      <c r="BO302" s="4"/>
      <c r="BP302" s="4"/>
      <c r="BQ302" s="4"/>
      <c r="BR302" s="4"/>
    </row>
    <row r="303" spans="1:70" ht="27" customHeight="1" x14ac:dyDescent="0.2">
      <c r="A303" s="532"/>
      <c r="B303" s="917"/>
      <c r="C303" s="4"/>
      <c r="D303" s="917"/>
      <c r="E303" s="4"/>
      <c r="F303" s="917"/>
      <c r="G303" s="4"/>
      <c r="H303" s="920"/>
      <c r="I303" s="3"/>
      <c r="J303" s="920"/>
      <c r="K303" s="3"/>
      <c r="L303" s="920"/>
      <c r="M303" s="3"/>
      <c r="N303" s="920"/>
      <c r="O303" s="3"/>
      <c r="P303" s="3"/>
      <c r="Q303" s="533"/>
      <c r="R303" s="920"/>
      <c r="S303" s="534"/>
      <c r="T303" s="920"/>
      <c r="U303" s="920"/>
      <c r="V303" s="920"/>
      <c r="W303" s="535"/>
      <c r="X303" s="687"/>
      <c r="Y303" s="687"/>
      <c r="Z303" s="687"/>
      <c r="AA303" s="678"/>
      <c r="AB303" s="543"/>
      <c r="AC303" s="3"/>
      <c r="AD303" s="533"/>
      <c r="AE303" s="3"/>
      <c r="AF303" s="4"/>
      <c r="AG303" s="4"/>
      <c r="AH303" s="4"/>
      <c r="AI303" s="4"/>
      <c r="AJ303" s="4"/>
      <c r="AK303" s="4"/>
      <c r="AL303" s="4"/>
      <c r="AM303" s="4"/>
      <c r="AN303" s="4"/>
      <c r="AO303" s="4"/>
      <c r="AP303" s="4"/>
      <c r="AQ303" s="4"/>
      <c r="AR303" s="4"/>
      <c r="AS303" s="4"/>
      <c r="AT303" s="4"/>
      <c r="AU303" s="4"/>
      <c r="AV303" s="537"/>
      <c r="AW303" s="537"/>
      <c r="AX303" s="4"/>
      <c r="AY303" s="4"/>
      <c r="AZ303" s="4"/>
      <c r="BA303" s="4"/>
      <c r="BB303" s="4"/>
      <c r="BC303" s="4"/>
      <c r="BD303" s="4"/>
      <c r="BE303" s="4"/>
      <c r="BF303" s="4"/>
      <c r="BG303" s="4"/>
      <c r="BH303" s="4"/>
      <c r="BI303" s="4"/>
      <c r="BJ303" s="4"/>
      <c r="BK303" s="4"/>
      <c r="BL303" s="4"/>
      <c r="BM303" s="4"/>
      <c r="BN303" s="4"/>
      <c r="BO303" s="4"/>
      <c r="BP303" s="4"/>
      <c r="BQ303" s="4"/>
      <c r="BR303" s="4"/>
    </row>
    <row r="304" spans="1:70" ht="27" customHeight="1" x14ac:dyDescent="0.2">
      <c r="A304" s="532"/>
      <c r="B304" s="917"/>
      <c r="C304" s="4"/>
      <c r="D304" s="917"/>
      <c r="E304" s="4"/>
      <c r="F304" s="917"/>
      <c r="G304" s="4"/>
      <c r="H304" s="920"/>
      <c r="I304" s="3"/>
      <c r="J304" s="920"/>
      <c r="K304" s="3"/>
      <c r="L304" s="920"/>
      <c r="M304" s="3"/>
      <c r="N304" s="920"/>
      <c r="O304" s="3"/>
      <c r="P304" s="3"/>
      <c r="Q304" s="533"/>
      <c r="R304" s="920"/>
      <c r="S304" s="534"/>
      <c r="T304" s="920"/>
      <c r="U304" s="920"/>
      <c r="V304" s="920"/>
      <c r="W304" s="535"/>
      <c r="X304" s="687"/>
      <c r="Y304" s="687"/>
      <c r="Z304" s="687"/>
      <c r="AA304" s="678"/>
      <c r="AB304" s="543"/>
      <c r="AC304" s="3"/>
      <c r="AD304" s="533"/>
      <c r="AE304" s="3"/>
      <c r="AF304" s="4"/>
      <c r="AG304" s="4"/>
      <c r="AH304" s="4"/>
      <c r="AI304" s="4"/>
      <c r="AJ304" s="4"/>
      <c r="AK304" s="4"/>
      <c r="AL304" s="4"/>
      <c r="AM304" s="4"/>
      <c r="AN304" s="4"/>
      <c r="AO304" s="4"/>
      <c r="AP304" s="4"/>
      <c r="AQ304" s="4"/>
      <c r="AR304" s="4"/>
      <c r="AS304" s="4"/>
      <c r="AT304" s="4"/>
      <c r="AU304" s="4"/>
      <c r="AV304" s="537"/>
      <c r="AW304" s="537"/>
      <c r="AX304" s="4"/>
      <c r="AY304" s="4"/>
      <c r="AZ304" s="4"/>
      <c r="BA304" s="4"/>
      <c r="BB304" s="4"/>
      <c r="BC304" s="4"/>
      <c r="BD304" s="4"/>
      <c r="BE304" s="4"/>
      <c r="BF304" s="4"/>
      <c r="BG304" s="4"/>
      <c r="BH304" s="4"/>
      <c r="BI304" s="4"/>
      <c r="BJ304" s="4"/>
      <c r="BK304" s="4"/>
      <c r="BL304" s="4"/>
      <c r="BM304" s="4"/>
      <c r="BN304" s="4"/>
      <c r="BO304" s="4"/>
      <c r="BP304" s="4"/>
      <c r="BQ304" s="4"/>
      <c r="BR304" s="4"/>
    </row>
    <row r="305" spans="1:70" ht="27" customHeight="1" x14ac:dyDescent="0.2">
      <c r="A305" s="532"/>
      <c r="B305" s="917"/>
      <c r="C305" s="4"/>
      <c r="D305" s="917"/>
      <c r="E305" s="4"/>
      <c r="F305" s="917"/>
      <c r="G305" s="4"/>
      <c r="H305" s="920"/>
      <c r="I305" s="3"/>
      <c r="J305" s="920"/>
      <c r="K305" s="3"/>
      <c r="L305" s="920"/>
      <c r="M305" s="3"/>
      <c r="N305" s="920"/>
      <c r="O305" s="3"/>
      <c r="P305" s="3"/>
      <c r="Q305" s="533"/>
      <c r="R305" s="920"/>
      <c r="S305" s="534"/>
      <c r="T305" s="920"/>
      <c r="U305" s="920"/>
      <c r="V305" s="920"/>
      <c r="W305" s="535"/>
      <c r="X305" s="687"/>
      <c r="Y305" s="687"/>
      <c r="Z305" s="687"/>
      <c r="AA305" s="678"/>
      <c r="AB305" s="543"/>
      <c r="AC305" s="3"/>
      <c r="AD305" s="533"/>
      <c r="AE305" s="3"/>
      <c r="AF305" s="4"/>
      <c r="AG305" s="4"/>
      <c r="AH305" s="4"/>
      <c r="AI305" s="4"/>
      <c r="AJ305" s="4"/>
      <c r="AK305" s="4"/>
      <c r="AL305" s="4"/>
      <c r="AM305" s="4"/>
      <c r="AN305" s="4"/>
      <c r="AO305" s="4"/>
      <c r="AP305" s="4"/>
      <c r="AQ305" s="4"/>
      <c r="AR305" s="4"/>
      <c r="AS305" s="4"/>
      <c r="AT305" s="4"/>
      <c r="AU305" s="4"/>
      <c r="AV305" s="537"/>
      <c r="AW305" s="537"/>
      <c r="AX305" s="4"/>
      <c r="AY305" s="4"/>
      <c r="AZ305" s="4"/>
      <c r="BA305" s="4"/>
      <c r="BB305" s="4"/>
      <c r="BC305" s="4"/>
      <c r="BD305" s="4"/>
      <c r="BE305" s="4"/>
      <c r="BF305" s="4"/>
      <c r="BG305" s="4"/>
      <c r="BH305" s="4"/>
      <c r="BI305" s="4"/>
      <c r="BJ305" s="4"/>
      <c r="BK305" s="4"/>
      <c r="BL305" s="4"/>
      <c r="BM305" s="4"/>
      <c r="BN305" s="4"/>
      <c r="BO305" s="4"/>
      <c r="BP305" s="4"/>
      <c r="BQ305" s="4"/>
      <c r="BR305" s="4"/>
    </row>
    <row r="306" spans="1:70" ht="27" customHeight="1" x14ac:dyDescent="0.2">
      <c r="A306" s="532"/>
      <c r="B306" s="917"/>
      <c r="C306" s="4"/>
      <c r="D306" s="917"/>
      <c r="E306" s="4"/>
      <c r="F306" s="917"/>
      <c r="G306" s="4"/>
      <c r="H306" s="920"/>
      <c r="I306" s="3"/>
      <c r="J306" s="920"/>
      <c r="K306" s="3"/>
      <c r="L306" s="920"/>
      <c r="M306" s="3"/>
      <c r="N306" s="920"/>
      <c r="O306" s="3"/>
      <c r="P306" s="3"/>
      <c r="Q306" s="533"/>
      <c r="R306" s="920"/>
      <c r="S306" s="534"/>
      <c r="T306" s="920"/>
      <c r="U306" s="920"/>
      <c r="V306" s="920"/>
      <c r="W306" s="535"/>
      <c r="X306" s="687"/>
      <c r="Y306" s="687"/>
      <c r="Z306" s="687"/>
      <c r="AA306" s="678"/>
      <c r="AB306" s="543"/>
      <c r="AC306" s="3"/>
      <c r="AD306" s="533"/>
      <c r="AE306" s="3"/>
      <c r="AF306" s="4"/>
      <c r="AG306" s="4"/>
      <c r="AH306" s="4"/>
      <c r="AI306" s="4"/>
      <c r="AJ306" s="4"/>
      <c r="AK306" s="4"/>
      <c r="AL306" s="4"/>
      <c r="AM306" s="4"/>
      <c r="AN306" s="4"/>
      <c r="AO306" s="4"/>
      <c r="AP306" s="4"/>
      <c r="AQ306" s="4"/>
      <c r="AR306" s="4"/>
      <c r="AS306" s="4"/>
      <c r="AT306" s="4"/>
      <c r="AU306" s="4"/>
      <c r="AV306" s="537"/>
      <c r="AW306" s="537"/>
      <c r="AX306" s="4"/>
      <c r="AY306" s="4"/>
      <c r="AZ306" s="4"/>
      <c r="BA306" s="4"/>
      <c r="BB306" s="4"/>
      <c r="BC306" s="4"/>
      <c r="BD306" s="4"/>
      <c r="BE306" s="4"/>
      <c r="BF306" s="4"/>
      <c r="BG306" s="4"/>
      <c r="BH306" s="4"/>
      <c r="BI306" s="4"/>
      <c r="BJ306" s="4"/>
      <c r="BK306" s="4"/>
      <c r="BL306" s="4"/>
      <c r="BM306" s="4"/>
      <c r="BN306" s="4"/>
      <c r="BO306" s="4"/>
      <c r="BP306" s="4"/>
      <c r="BQ306" s="4"/>
      <c r="BR306" s="4"/>
    </row>
    <row r="307" spans="1:70" ht="27" customHeight="1" x14ac:dyDescent="0.2">
      <c r="A307" s="532"/>
      <c r="B307" s="917"/>
      <c r="C307" s="4"/>
      <c r="D307" s="917"/>
      <c r="E307" s="4"/>
      <c r="F307" s="917"/>
      <c r="G307" s="4"/>
      <c r="H307" s="920"/>
      <c r="I307" s="3"/>
      <c r="J307" s="920"/>
      <c r="K307" s="3"/>
      <c r="L307" s="920"/>
      <c r="M307" s="3"/>
      <c r="N307" s="920"/>
      <c r="O307" s="3"/>
      <c r="P307" s="3"/>
      <c r="Q307" s="533"/>
      <c r="R307" s="920"/>
      <c r="S307" s="534"/>
      <c r="T307" s="920"/>
      <c r="U307" s="920"/>
      <c r="V307" s="920"/>
      <c r="W307" s="535"/>
      <c r="X307" s="687"/>
      <c r="Y307" s="687"/>
      <c r="Z307" s="687"/>
      <c r="AA307" s="678"/>
      <c r="AB307" s="543"/>
      <c r="AC307" s="3"/>
      <c r="AD307" s="533"/>
      <c r="AE307" s="3"/>
      <c r="AF307" s="4"/>
      <c r="AG307" s="4"/>
      <c r="AH307" s="4"/>
      <c r="AI307" s="4"/>
      <c r="AJ307" s="4"/>
      <c r="AK307" s="4"/>
      <c r="AL307" s="4"/>
      <c r="AM307" s="4"/>
      <c r="AN307" s="4"/>
      <c r="AO307" s="4"/>
      <c r="AP307" s="4"/>
      <c r="AQ307" s="4"/>
      <c r="AR307" s="4"/>
      <c r="AS307" s="4"/>
      <c r="AT307" s="4"/>
      <c r="AU307" s="4"/>
      <c r="AV307" s="537"/>
      <c r="AW307" s="537"/>
      <c r="AX307" s="4"/>
      <c r="AY307" s="4"/>
      <c r="AZ307" s="4"/>
      <c r="BA307" s="4"/>
      <c r="BB307" s="4"/>
      <c r="BC307" s="4"/>
      <c r="BD307" s="4"/>
      <c r="BE307" s="4"/>
      <c r="BF307" s="4"/>
      <c r="BG307" s="4"/>
      <c r="BH307" s="4"/>
      <c r="BI307" s="4"/>
      <c r="BJ307" s="4"/>
      <c r="BK307" s="4"/>
      <c r="BL307" s="4"/>
      <c r="BM307" s="4"/>
      <c r="BN307" s="4"/>
      <c r="BO307" s="4"/>
      <c r="BP307" s="4"/>
      <c r="BQ307" s="4"/>
      <c r="BR307" s="4"/>
    </row>
    <row r="308" spans="1:70" ht="27" customHeight="1" x14ac:dyDescent="0.2">
      <c r="A308" s="532"/>
      <c r="B308" s="917"/>
      <c r="C308" s="4"/>
      <c r="D308" s="917"/>
      <c r="E308" s="4"/>
      <c r="F308" s="917"/>
      <c r="G308" s="4"/>
      <c r="H308" s="920"/>
      <c r="I308" s="3"/>
      <c r="J308" s="920"/>
      <c r="K308" s="3"/>
      <c r="L308" s="920"/>
      <c r="M308" s="3"/>
      <c r="N308" s="920"/>
      <c r="O308" s="3"/>
      <c r="P308" s="3"/>
      <c r="Q308" s="533"/>
      <c r="R308" s="920"/>
      <c r="S308" s="534"/>
      <c r="T308" s="920"/>
      <c r="U308" s="920"/>
      <c r="V308" s="920"/>
      <c r="W308" s="535"/>
      <c r="X308" s="687"/>
      <c r="Y308" s="687"/>
      <c r="Z308" s="687"/>
      <c r="AA308" s="678"/>
      <c r="AB308" s="543"/>
      <c r="AC308" s="3"/>
      <c r="AD308" s="533"/>
      <c r="AE308" s="3"/>
      <c r="AF308" s="4"/>
      <c r="AG308" s="4"/>
      <c r="AH308" s="4"/>
      <c r="AI308" s="4"/>
      <c r="AJ308" s="4"/>
      <c r="AK308" s="4"/>
      <c r="AL308" s="4"/>
      <c r="AM308" s="4"/>
      <c r="AN308" s="4"/>
      <c r="AO308" s="4"/>
      <c r="AP308" s="4"/>
      <c r="AQ308" s="4"/>
      <c r="AR308" s="4"/>
      <c r="AS308" s="4"/>
      <c r="AT308" s="4"/>
      <c r="AU308" s="4"/>
      <c r="AV308" s="537"/>
      <c r="AW308" s="537"/>
      <c r="AX308" s="4"/>
      <c r="AY308" s="4"/>
      <c r="AZ308" s="4"/>
      <c r="BA308" s="4"/>
      <c r="BB308" s="4"/>
      <c r="BC308" s="4"/>
      <c r="BD308" s="4"/>
      <c r="BE308" s="4"/>
      <c r="BF308" s="4"/>
      <c r="BG308" s="4"/>
      <c r="BH308" s="4"/>
      <c r="BI308" s="4"/>
      <c r="BJ308" s="4"/>
      <c r="BK308" s="4"/>
      <c r="BL308" s="4"/>
      <c r="BM308" s="4"/>
      <c r="BN308" s="4"/>
      <c r="BO308" s="4"/>
      <c r="BP308" s="4"/>
      <c r="BQ308" s="4"/>
      <c r="BR308" s="4"/>
    </row>
    <row r="309" spans="1:70" ht="27" customHeight="1" x14ac:dyDescent="0.2">
      <c r="A309" s="532"/>
      <c r="B309" s="917"/>
      <c r="C309" s="4"/>
      <c r="D309" s="917"/>
      <c r="E309" s="4"/>
      <c r="F309" s="917"/>
      <c r="G309" s="4"/>
      <c r="H309" s="920"/>
      <c r="I309" s="3"/>
      <c r="J309" s="920"/>
      <c r="K309" s="3"/>
      <c r="L309" s="920"/>
      <c r="M309" s="3"/>
      <c r="N309" s="920"/>
      <c r="O309" s="3"/>
      <c r="P309" s="3"/>
      <c r="Q309" s="533"/>
      <c r="R309" s="920"/>
      <c r="S309" s="534"/>
      <c r="T309" s="920"/>
      <c r="U309" s="920"/>
      <c r="V309" s="920"/>
      <c r="W309" s="535"/>
      <c r="X309" s="687"/>
      <c r="Y309" s="687"/>
      <c r="Z309" s="687"/>
      <c r="AA309" s="678"/>
      <c r="AB309" s="543"/>
      <c r="AC309" s="3"/>
      <c r="AD309" s="533"/>
      <c r="AE309" s="3"/>
      <c r="AF309" s="4"/>
      <c r="AG309" s="4"/>
      <c r="AH309" s="4"/>
      <c r="AI309" s="4"/>
      <c r="AJ309" s="4"/>
      <c r="AK309" s="4"/>
      <c r="AL309" s="4"/>
      <c r="AM309" s="4"/>
      <c r="AN309" s="4"/>
      <c r="AO309" s="4"/>
      <c r="AP309" s="4"/>
      <c r="AQ309" s="4"/>
      <c r="AR309" s="4"/>
      <c r="AS309" s="4"/>
      <c r="AT309" s="4"/>
      <c r="AU309" s="4"/>
      <c r="AV309" s="537"/>
      <c r="AW309" s="537"/>
      <c r="AX309" s="4"/>
      <c r="AY309" s="4"/>
      <c r="AZ309" s="4"/>
      <c r="BA309" s="4"/>
      <c r="BB309" s="4"/>
      <c r="BC309" s="4"/>
      <c r="BD309" s="4"/>
      <c r="BE309" s="4"/>
      <c r="BF309" s="4"/>
      <c r="BG309" s="4"/>
      <c r="BH309" s="4"/>
      <c r="BI309" s="4"/>
      <c r="BJ309" s="4"/>
      <c r="BK309" s="4"/>
      <c r="BL309" s="4"/>
      <c r="BM309" s="4"/>
      <c r="BN309" s="4"/>
      <c r="BO309" s="4"/>
      <c r="BP309" s="4"/>
      <c r="BQ309" s="4"/>
      <c r="BR309" s="4"/>
    </row>
    <row r="310" spans="1:70" ht="27" customHeight="1" x14ac:dyDescent="0.2">
      <c r="A310" s="532"/>
      <c r="B310" s="917"/>
      <c r="C310" s="4"/>
      <c r="D310" s="917"/>
      <c r="E310" s="4"/>
      <c r="F310" s="917"/>
      <c r="G310" s="4"/>
      <c r="H310" s="920"/>
      <c r="I310" s="3"/>
      <c r="J310" s="920"/>
      <c r="K310" s="3"/>
      <c r="L310" s="920"/>
      <c r="M310" s="3"/>
      <c r="N310" s="920"/>
      <c r="O310" s="3"/>
      <c r="P310" s="3"/>
      <c r="Q310" s="533"/>
      <c r="R310" s="920"/>
      <c r="S310" s="534"/>
      <c r="T310" s="920"/>
      <c r="U310" s="920"/>
      <c r="V310" s="920"/>
      <c r="W310" s="535"/>
      <c r="X310" s="687"/>
      <c r="Y310" s="687"/>
      <c r="Z310" s="687"/>
      <c r="AA310" s="678"/>
      <c r="AB310" s="543"/>
      <c r="AC310" s="3"/>
      <c r="AD310" s="533"/>
      <c r="AE310" s="3"/>
      <c r="AF310" s="4"/>
      <c r="AG310" s="4"/>
      <c r="AH310" s="4"/>
      <c r="AI310" s="4"/>
      <c r="AJ310" s="4"/>
      <c r="AK310" s="4"/>
      <c r="AL310" s="4"/>
      <c r="AM310" s="4"/>
      <c r="AN310" s="4"/>
      <c r="AO310" s="4"/>
      <c r="AP310" s="4"/>
      <c r="AQ310" s="4"/>
      <c r="AR310" s="4"/>
      <c r="AS310" s="4"/>
      <c r="AT310" s="4"/>
      <c r="AU310" s="4"/>
      <c r="AV310" s="537"/>
      <c r="AW310" s="537"/>
      <c r="AX310" s="4"/>
      <c r="AY310" s="4"/>
      <c r="AZ310" s="4"/>
      <c r="BA310" s="4"/>
      <c r="BB310" s="4"/>
      <c r="BC310" s="4"/>
      <c r="BD310" s="4"/>
      <c r="BE310" s="4"/>
      <c r="BF310" s="4"/>
      <c r="BG310" s="4"/>
      <c r="BH310" s="4"/>
      <c r="BI310" s="4"/>
      <c r="BJ310" s="4"/>
      <c r="BK310" s="4"/>
      <c r="BL310" s="4"/>
      <c r="BM310" s="4"/>
      <c r="BN310" s="4"/>
      <c r="BO310" s="4"/>
      <c r="BP310" s="4"/>
      <c r="BQ310" s="4"/>
      <c r="BR310" s="4"/>
    </row>
    <row r="311" spans="1:70" ht="27" customHeight="1" x14ac:dyDescent="0.2">
      <c r="A311" s="532"/>
      <c r="B311" s="917"/>
      <c r="C311" s="4"/>
      <c r="D311" s="917"/>
      <c r="E311" s="4"/>
      <c r="F311" s="917"/>
      <c r="G311" s="4"/>
      <c r="H311" s="920"/>
      <c r="I311" s="3"/>
      <c r="J311" s="920"/>
      <c r="K311" s="3"/>
      <c r="L311" s="920"/>
      <c r="M311" s="3"/>
      <c r="N311" s="920"/>
      <c r="O311" s="3"/>
      <c r="P311" s="3"/>
      <c r="Q311" s="533"/>
      <c r="R311" s="920"/>
      <c r="S311" s="534"/>
      <c r="T311" s="920"/>
      <c r="U311" s="920"/>
      <c r="V311" s="920"/>
      <c r="W311" s="535"/>
      <c r="X311" s="687"/>
      <c r="Y311" s="687"/>
      <c r="Z311" s="687"/>
      <c r="AA311" s="678"/>
      <c r="AB311" s="543"/>
      <c r="AC311" s="3"/>
      <c r="AD311" s="533"/>
      <c r="AE311" s="3"/>
      <c r="AF311" s="4"/>
      <c r="AG311" s="4"/>
      <c r="AH311" s="4"/>
      <c r="AI311" s="4"/>
      <c r="AJ311" s="4"/>
      <c r="AK311" s="4"/>
      <c r="AL311" s="4"/>
      <c r="AM311" s="4"/>
      <c r="AN311" s="4"/>
      <c r="AO311" s="4"/>
      <c r="AP311" s="4"/>
      <c r="AQ311" s="4"/>
      <c r="AR311" s="4"/>
      <c r="AS311" s="4"/>
      <c r="AT311" s="4"/>
      <c r="AU311" s="4"/>
      <c r="AV311" s="537"/>
      <c r="AW311" s="537"/>
      <c r="AX311" s="4"/>
      <c r="AY311" s="4"/>
      <c r="AZ311" s="4"/>
      <c r="BA311" s="4"/>
      <c r="BB311" s="4"/>
      <c r="BC311" s="4"/>
      <c r="BD311" s="4"/>
      <c r="BE311" s="4"/>
      <c r="BF311" s="4"/>
      <c r="BG311" s="4"/>
      <c r="BH311" s="4"/>
      <c r="BI311" s="4"/>
      <c r="BJ311" s="4"/>
      <c r="BK311" s="4"/>
      <c r="BL311" s="4"/>
      <c r="BM311" s="4"/>
      <c r="BN311" s="4"/>
      <c r="BO311" s="4"/>
      <c r="BP311" s="4"/>
      <c r="BQ311" s="4"/>
      <c r="BR311" s="4"/>
    </row>
    <row r="312" spans="1:70" ht="27" customHeight="1" x14ac:dyDescent="0.2">
      <c r="A312" s="532"/>
      <c r="B312" s="917"/>
      <c r="C312" s="4"/>
      <c r="D312" s="917"/>
      <c r="E312" s="4"/>
      <c r="F312" s="917"/>
      <c r="G312" s="4"/>
      <c r="H312" s="920"/>
      <c r="I312" s="3"/>
      <c r="J312" s="920"/>
      <c r="K312" s="3"/>
      <c r="L312" s="920"/>
      <c r="M312" s="3"/>
      <c r="N312" s="920"/>
      <c r="O312" s="3"/>
      <c r="P312" s="3"/>
      <c r="Q312" s="533"/>
      <c r="R312" s="920"/>
      <c r="S312" s="534"/>
      <c r="T312" s="920"/>
      <c r="U312" s="920"/>
      <c r="V312" s="920"/>
      <c r="W312" s="535"/>
      <c r="X312" s="687"/>
      <c r="Y312" s="687"/>
      <c r="Z312" s="687"/>
      <c r="AA312" s="678"/>
      <c r="AB312" s="543"/>
      <c r="AC312" s="3"/>
      <c r="AD312" s="533"/>
      <c r="AE312" s="3"/>
      <c r="AF312" s="4"/>
      <c r="AG312" s="4"/>
      <c r="AH312" s="4"/>
      <c r="AI312" s="4"/>
      <c r="AJ312" s="4"/>
      <c r="AK312" s="4"/>
      <c r="AL312" s="4"/>
      <c r="AM312" s="4"/>
      <c r="AN312" s="4"/>
      <c r="AO312" s="4"/>
      <c r="AP312" s="4"/>
      <c r="AQ312" s="4"/>
      <c r="AR312" s="4"/>
      <c r="AS312" s="4"/>
      <c r="AT312" s="4"/>
      <c r="AU312" s="4"/>
      <c r="AV312" s="537"/>
      <c r="AW312" s="537"/>
      <c r="AX312" s="4"/>
      <c r="AY312" s="4"/>
      <c r="AZ312" s="4"/>
      <c r="BA312" s="4"/>
      <c r="BB312" s="4"/>
      <c r="BC312" s="4"/>
      <c r="BD312" s="4"/>
      <c r="BE312" s="4"/>
      <c r="BF312" s="4"/>
      <c r="BG312" s="4"/>
      <c r="BH312" s="4"/>
      <c r="BI312" s="4"/>
      <c r="BJ312" s="4"/>
      <c r="BK312" s="4"/>
      <c r="BL312" s="4"/>
      <c r="BM312" s="4"/>
      <c r="BN312" s="4"/>
      <c r="BO312" s="4"/>
      <c r="BP312" s="4"/>
      <c r="BQ312" s="4"/>
      <c r="BR312" s="4"/>
    </row>
    <row r="313" spans="1:70" ht="27" customHeight="1" x14ac:dyDescent="0.2">
      <c r="A313" s="532"/>
      <c r="B313" s="917"/>
      <c r="C313" s="4"/>
      <c r="D313" s="917"/>
      <c r="E313" s="4"/>
      <c r="F313" s="917"/>
      <c r="G313" s="4"/>
      <c r="H313" s="920"/>
      <c r="I313" s="3"/>
      <c r="J313" s="920"/>
      <c r="K313" s="3"/>
      <c r="L313" s="920"/>
      <c r="M313" s="3"/>
      <c r="N313" s="920"/>
      <c r="O313" s="3"/>
      <c r="P313" s="3"/>
      <c r="Q313" s="533"/>
      <c r="R313" s="920"/>
      <c r="S313" s="534"/>
      <c r="T313" s="920"/>
      <c r="U313" s="920"/>
      <c r="V313" s="920"/>
      <c r="W313" s="535"/>
      <c r="X313" s="687"/>
      <c r="Y313" s="687"/>
      <c r="Z313" s="687"/>
      <c r="AA313" s="678"/>
      <c r="AB313" s="543"/>
      <c r="AC313" s="3"/>
      <c r="AD313" s="533"/>
      <c r="AE313" s="3"/>
      <c r="AF313" s="4"/>
      <c r="AG313" s="4"/>
      <c r="AH313" s="4"/>
      <c r="AI313" s="4"/>
      <c r="AJ313" s="4"/>
      <c r="AK313" s="4"/>
      <c r="AL313" s="4"/>
      <c r="AM313" s="4"/>
      <c r="AN313" s="4"/>
      <c r="AO313" s="4"/>
      <c r="AP313" s="4"/>
      <c r="AQ313" s="4"/>
      <c r="AR313" s="4"/>
      <c r="AS313" s="4"/>
      <c r="AT313" s="4"/>
      <c r="AU313" s="4"/>
      <c r="AV313" s="537"/>
      <c r="AW313" s="537"/>
      <c r="AX313" s="4"/>
      <c r="AY313" s="4"/>
      <c r="AZ313" s="4"/>
      <c r="BA313" s="4"/>
      <c r="BB313" s="4"/>
      <c r="BC313" s="4"/>
      <c r="BD313" s="4"/>
      <c r="BE313" s="4"/>
      <c r="BF313" s="4"/>
      <c r="BG313" s="4"/>
      <c r="BH313" s="4"/>
      <c r="BI313" s="4"/>
      <c r="BJ313" s="4"/>
      <c r="BK313" s="4"/>
      <c r="BL313" s="4"/>
      <c r="BM313" s="4"/>
      <c r="BN313" s="4"/>
      <c r="BO313" s="4"/>
      <c r="BP313" s="4"/>
      <c r="BQ313" s="4"/>
      <c r="BR313" s="4"/>
    </row>
    <row r="314" spans="1:70" ht="27" customHeight="1" x14ac:dyDescent="0.2">
      <c r="A314" s="532"/>
      <c r="B314" s="917"/>
      <c r="C314" s="4"/>
      <c r="D314" s="917"/>
      <c r="E314" s="4"/>
      <c r="F314" s="917"/>
      <c r="G314" s="4"/>
      <c r="H314" s="920"/>
      <c r="I314" s="3"/>
      <c r="J314" s="920"/>
      <c r="K314" s="3"/>
      <c r="L314" s="920"/>
      <c r="M314" s="3"/>
      <c r="N314" s="920"/>
      <c r="O314" s="3"/>
      <c r="P314" s="3"/>
      <c r="Q314" s="533"/>
      <c r="R314" s="920"/>
      <c r="S314" s="534"/>
      <c r="T314" s="920"/>
      <c r="U314" s="920"/>
      <c r="V314" s="920"/>
      <c r="W314" s="535"/>
      <c r="X314" s="687"/>
      <c r="Y314" s="687"/>
      <c r="Z314" s="687"/>
      <c r="AA314" s="678"/>
      <c r="AB314" s="543"/>
      <c r="AC314" s="3"/>
      <c r="AD314" s="533"/>
      <c r="AE314" s="3"/>
      <c r="AF314" s="4"/>
      <c r="AG314" s="4"/>
      <c r="AH314" s="4"/>
      <c r="AI314" s="4"/>
      <c r="AJ314" s="4"/>
      <c r="AK314" s="4"/>
      <c r="AL314" s="4"/>
      <c r="AM314" s="4"/>
      <c r="AN314" s="4"/>
      <c r="AO314" s="4"/>
      <c r="AP314" s="4"/>
      <c r="AQ314" s="4"/>
      <c r="AR314" s="4"/>
      <c r="AS314" s="4"/>
      <c r="AT314" s="4"/>
      <c r="AU314" s="4"/>
      <c r="AV314" s="537"/>
      <c r="AW314" s="537"/>
      <c r="AX314" s="4"/>
      <c r="AY314" s="4"/>
      <c r="AZ314" s="4"/>
      <c r="BA314" s="4"/>
      <c r="BB314" s="4"/>
      <c r="BC314" s="4"/>
      <c r="BD314" s="4"/>
      <c r="BE314" s="4"/>
      <c r="BF314" s="4"/>
      <c r="BG314" s="4"/>
      <c r="BH314" s="4"/>
      <c r="BI314" s="4"/>
      <c r="BJ314" s="4"/>
      <c r="BK314" s="4"/>
      <c r="BL314" s="4"/>
      <c r="BM314" s="4"/>
      <c r="BN314" s="4"/>
      <c r="BO314" s="4"/>
      <c r="BP314" s="4"/>
      <c r="BQ314" s="4"/>
      <c r="BR314" s="4"/>
    </row>
    <row r="315" spans="1:70" ht="27" customHeight="1" x14ac:dyDescent="0.2">
      <c r="A315" s="532"/>
      <c r="B315" s="917"/>
      <c r="C315" s="4"/>
      <c r="D315" s="917"/>
      <c r="E315" s="4"/>
      <c r="F315" s="917"/>
      <c r="G315" s="4"/>
      <c r="H315" s="920"/>
      <c r="I315" s="3"/>
      <c r="J315" s="920"/>
      <c r="K315" s="3"/>
      <c r="L315" s="920"/>
      <c r="M315" s="3"/>
      <c r="N315" s="920"/>
      <c r="O315" s="3"/>
      <c r="P315" s="3"/>
      <c r="Q315" s="533"/>
      <c r="R315" s="920"/>
      <c r="S315" s="534"/>
      <c r="T315" s="920"/>
      <c r="U315" s="920"/>
      <c r="V315" s="920"/>
      <c r="W315" s="535"/>
      <c r="X315" s="687"/>
      <c r="Y315" s="687"/>
      <c r="Z315" s="687"/>
      <c r="AA315" s="678"/>
      <c r="AB315" s="543"/>
      <c r="AC315" s="3"/>
      <c r="AD315" s="533"/>
      <c r="AE315" s="3"/>
      <c r="AF315" s="4"/>
      <c r="AG315" s="4"/>
      <c r="AH315" s="4"/>
      <c r="AI315" s="4"/>
      <c r="AJ315" s="4"/>
      <c r="AK315" s="4"/>
      <c r="AL315" s="4"/>
      <c r="AM315" s="4"/>
      <c r="AN315" s="4"/>
      <c r="AO315" s="4"/>
      <c r="AP315" s="4"/>
      <c r="AQ315" s="4"/>
      <c r="AR315" s="4"/>
      <c r="AS315" s="4"/>
      <c r="AT315" s="4"/>
      <c r="AU315" s="4"/>
      <c r="AV315" s="537"/>
      <c r="AW315" s="537"/>
      <c r="AX315" s="4"/>
      <c r="AY315" s="4"/>
      <c r="AZ315" s="4"/>
      <c r="BA315" s="4"/>
      <c r="BB315" s="4"/>
      <c r="BC315" s="4"/>
      <c r="BD315" s="4"/>
      <c r="BE315" s="4"/>
      <c r="BF315" s="4"/>
      <c r="BG315" s="4"/>
      <c r="BH315" s="4"/>
      <c r="BI315" s="4"/>
      <c r="BJ315" s="4"/>
      <c r="BK315" s="4"/>
      <c r="BL315" s="4"/>
      <c r="BM315" s="4"/>
      <c r="BN315" s="4"/>
      <c r="BO315" s="4"/>
      <c r="BP315" s="4"/>
      <c r="BQ315" s="4"/>
      <c r="BR315" s="4"/>
    </row>
    <row r="316" spans="1:70" ht="27" customHeight="1" x14ac:dyDescent="0.2">
      <c r="A316" s="532"/>
      <c r="B316" s="917"/>
      <c r="C316" s="4"/>
      <c r="D316" s="917"/>
      <c r="E316" s="4"/>
      <c r="F316" s="917"/>
      <c r="G316" s="4"/>
      <c r="H316" s="920"/>
      <c r="I316" s="3"/>
      <c r="J316" s="920"/>
      <c r="K316" s="3"/>
      <c r="L316" s="920"/>
      <c r="M316" s="3"/>
      <c r="N316" s="920"/>
      <c r="O316" s="3"/>
      <c r="P316" s="3"/>
      <c r="Q316" s="533"/>
      <c r="R316" s="920"/>
      <c r="S316" s="534"/>
      <c r="T316" s="920"/>
      <c r="U316" s="920"/>
      <c r="V316" s="920"/>
      <c r="W316" s="535"/>
      <c r="X316" s="687"/>
      <c r="Y316" s="687"/>
      <c r="Z316" s="687"/>
      <c r="AA316" s="678"/>
      <c r="AB316" s="543"/>
      <c r="AC316" s="3"/>
      <c r="AD316" s="533"/>
      <c r="AE316" s="3"/>
      <c r="AF316" s="4"/>
      <c r="AG316" s="4"/>
      <c r="AH316" s="4"/>
      <c r="AI316" s="4"/>
      <c r="AJ316" s="4"/>
      <c r="AK316" s="4"/>
      <c r="AL316" s="4"/>
      <c r="AM316" s="4"/>
      <c r="AN316" s="4"/>
      <c r="AO316" s="4"/>
      <c r="AP316" s="4"/>
      <c r="AQ316" s="4"/>
      <c r="AR316" s="4"/>
      <c r="AS316" s="4"/>
      <c r="AT316" s="4"/>
      <c r="AU316" s="4"/>
      <c r="AV316" s="537"/>
      <c r="AW316" s="537"/>
      <c r="AX316" s="4"/>
      <c r="AY316" s="4"/>
      <c r="AZ316" s="4"/>
      <c r="BA316" s="4"/>
      <c r="BB316" s="4"/>
      <c r="BC316" s="4"/>
      <c r="BD316" s="4"/>
      <c r="BE316" s="4"/>
      <c r="BF316" s="4"/>
      <c r="BG316" s="4"/>
      <c r="BH316" s="4"/>
      <c r="BI316" s="4"/>
      <c r="BJ316" s="4"/>
      <c r="BK316" s="4"/>
      <c r="BL316" s="4"/>
      <c r="BM316" s="4"/>
      <c r="BN316" s="4"/>
      <c r="BO316" s="4"/>
      <c r="BP316" s="4"/>
      <c r="BQ316" s="4"/>
      <c r="BR316" s="4"/>
    </row>
    <row r="317" spans="1:70" ht="27" customHeight="1" x14ac:dyDescent="0.2">
      <c r="A317" s="532"/>
      <c r="B317" s="917"/>
      <c r="C317" s="4"/>
      <c r="D317" s="917"/>
      <c r="E317" s="4"/>
      <c r="F317" s="917"/>
      <c r="G317" s="4"/>
      <c r="H317" s="920"/>
      <c r="I317" s="3"/>
      <c r="J317" s="920"/>
      <c r="K317" s="3"/>
      <c r="L317" s="920"/>
      <c r="M317" s="3"/>
      <c r="N317" s="920"/>
      <c r="O317" s="3"/>
      <c r="P317" s="3"/>
      <c r="Q317" s="533"/>
      <c r="R317" s="920"/>
      <c r="S317" s="534"/>
      <c r="T317" s="920"/>
      <c r="U317" s="920"/>
      <c r="V317" s="920"/>
      <c r="W317" s="535"/>
      <c r="X317" s="687"/>
      <c r="Y317" s="687"/>
      <c r="Z317" s="687"/>
      <c r="AA317" s="678"/>
      <c r="AB317" s="543"/>
      <c r="AC317" s="3"/>
      <c r="AD317" s="533"/>
      <c r="AE317" s="3"/>
      <c r="AF317" s="4"/>
      <c r="AG317" s="4"/>
      <c r="AH317" s="4"/>
      <c r="AI317" s="4"/>
      <c r="AJ317" s="4"/>
      <c r="AK317" s="4"/>
      <c r="AL317" s="4"/>
      <c r="AM317" s="4"/>
      <c r="AN317" s="4"/>
      <c r="AO317" s="4"/>
      <c r="AP317" s="4"/>
      <c r="AQ317" s="4"/>
      <c r="AR317" s="4"/>
      <c r="AS317" s="4"/>
      <c r="AT317" s="4"/>
      <c r="AU317" s="4"/>
      <c r="AV317" s="537"/>
      <c r="AW317" s="537"/>
      <c r="AX317" s="4"/>
      <c r="AY317" s="4"/>
      <c r="AZ317" s="4"/>
      <c r="BA317" s="4"/>
      <c r="BB317" s="4"/>
      <c r="BC317" s="4"/>
      <c r="BD317" s="4"/>
      <c r="BE317" s="4"/>
      <c r="BF317" s="4"/>
      <c r="BG317" s="4"/>
      <c r="BH317" s="4"/>
      <c r="BI317" s="4"/>
      <c r="BJ317" s="4"/>
      <c r="BK317" s="4"/>
      <c r="BL317" s="4"/>
      <c r="BM317" s="4"/>
      <c r="BN317" s="4"/>
      <c r="BO317" s="4"/>
      <c r="BP317" s="4"/>
      <c r="BQ317" s="4"/>
      <c r="BR317" s="4"/>
    </row>
    <row r="318" spans="1:70" ht="27" customHeight="1" x14ac:dyDescent="0.2">
      <c r="A318" s="532"/>
      <c r="B318" s="917"/>
      <c r="C318" s="4"/>
      <c r="D318" s="917"/>
      <c r="E318" s="4"/>
      <c r="F318" s="917"/>
      <c r="G318" s="4"/>
      <c r="H318" s="920"/>
      <c r="I318" s="3"/>
      <c r="J318" s="920"/>
      <c r="K318" s="3"/>
      <c r="L318" s="920"/>
      <c r="M318" s="3"/>
      <c r="N318" s="920"/>
      <c r="O318" s="3"/>
      <c r="P318" s="3"/>
      <c r="Q318" s="533"/>
      <c r="R318" s="920"/>
      <c r="S318" s="534"/>
      <c r="T318" s="920"/>
      <c r="U318" s="920"/>
      <c r="V318" s="920"/>
      <c r="W318" s="535"/>
      <c r="X318" s="687"/>
      <c r="Y318" s="687"/>
      <c r="Z318" s="687"/>
      <c r="AA318" s="678"/>
      <c r="AB318" s="543"/>
      <c r="AC318" s="3"/>
      <c r="AD318" s="533"/>
      <c r="AE318" s="3"/>
      <c r="AF318" s="4"/>
      <c r="AG318" s="4"/>
      <c r="AH318" s="4"/>
      <c r="AI318" s="4"/>
      <c r="AJ318" s="4"/>
      <c r="AK318" s="4"/>
      <c r="AL318" s="4"/>
      <c r="AM318" s="4"/>
      <c r="AN318" s="4"/>
      <c r="AO318" s="4"/>
      <c r="AP318" s="4"/>
      <c r="AQ318" s="4"/>
      <c r="AR318" s="4"/>
      <c r="AS318" s="4"/>
      <c r="AT318" s="4"/>
      <c r="AU318" s="4"/>
      <c r="AV318" s="537"/>
      <c r="AW318" s="537"/>
      <c r="AX318" s="4"/>
      <c r="AY318" s="4"/>
      <c r="AZ318" s="4"/>
      <c r="BA318" s="4"/>
      <c r="BB318" s="4"/>
      <c r="BC318" s="4"/>
      <c r="BD318" s="4"/>
      <c r="BE318" s="4"/>
      <c r="BF318" s="4"/>
      <c r="BG318" s="4"/>
      <c r="BH318" s="4"/>
      <c r="BI318" s="4"/>
      <c r="BJ318" s="4"/>
      <c r="BK318" s="4"/>
      <c r="BL318" s="4"/>
      <c r="BM318" s="4"/>
      <c r="BN318" s="4"/>
      <c r="BO318" s="4"/>
      <c r="BP318" s="4"/>
      <c r="BQ318" s="4"/>
      <c r="BR318" s="4"/>
    </row>
    <row r="319" spans="1:70" ht="27" customHeight="1" x14ac:dyDescent="0.2">
      <c r="A319" s="532"/>
      <c r="B319" s="917"/>
      <c r="C319" s="4"/>
      <c r="D319" s="917"/>
      <c r="E319" s="4"/>
      <c r="F319" s="917"/>
      <c r="G319" s="4"/>
      <c r="H319" s="920"/>
      <c r="I319" s="3"/>
      <c r="J319" s="920"/>
      <c r="K319" s="3"/>
      <c r="L319" s="920"/>
      <c r="M319" s="3"/>
      <c r="N319" s="920"/>
      <c r="O319" s="3"/>
      <c r="P319" s="3"/>
      <c r="Q319" s="533"/>
      <c r="R319" s="920"/>
      <c r="S319" s="534"/>
      <c r="T319" s="920"/>
      <c r="U319" s="920"/>
      <c r="V319" s="920"/>
      <c r="W319" s="535"/>
      <c r="X319" s="687"/>
      <c r="Y319" s="687"/>
      <c r="Z319" s="687"/>
      <c r="AA319" s="678"/>
      <c r="AB319" s="543"/>
      <c r="AC319" s="3"/>
      <c r="AD319" s="533"/>
      <c r="AE319" s="3"/>
      <c r="AF319" s="4"/>
      <c r="AG319" s="4"/>
      <c r="AH319" s="4"/>
      <c r="AI319" s="4"/>
      <c r="AJ319" s="4"/>
      <c r="AK319" s="4"/>
      <c r="AL319" s="4"/>
      <c r="AM319" s="4"/>
      <c r="AN319" s="4"/>
      <c r="AO319" s="4"/>
      <c r="AP319" s="4"/>
      <c r="AQ319" s="4"/>
      <c r="AR319" s="4"/>
      <c r="AS319" s="4"/>
      <c r="AT319" s="4"/>
      <c r="AU319" s="4"/>
      <c r="AV319" s="537"/>
      <c r="AW319" s="537"/>
      <c r="AX319" s="4"/>
      <c r="AY319" s="4"/>
      <c r="AZ319" s="4"/>
      <c r="BA319" s="4"/>
      <c r="BB319" s="4"/>
      <c r="BC319" s="4"/>
      <c r="BD319" s="4"/>
      <c r="BE319" s="4"/>
      <c r="BF319" s="4"/>
      <c r="BG319" s="4"/>
      <c r="BH319" s="4"/>
      <c r="BI319" s="4"/>
      <c r="BJ319" s="4"/>
      <c r="BK319" s="4"/>
      <c r="BL319" s="4"/>
      <c r="BM319" s="4"/>
      <c r="BN319" s="4"/>
      <c r="BO319" s="4"/>
      <c r="BP319" s="4"/>
      <c r="BQ319" s="4"/>
      <c r="BR319" s="4"/>
    </row>
    <row r="320" spans="1:70" ht="27" customHeight="1" x14ac:dyDescent="0.2">
      <c r="A320" s="532"/>
      <c r="B320" s="917"/>
      <c r="C320" s="4"/>
      <c r="D320" s="917"/>
      <c r="E320" s="4"/>
      <c r="F320" s="917"/>
      <c r="G320" s="4"/>
      <c r="H320" s="920"/>
      <c r="I320" s="3"/>
      <c r="J320" s="920"/>
      <c r="K320" s="3"/>
      <c r="L320" s="920"/>
      <c r="M320" s="3"/>
      <c r="N320" s="920"/>
      <c r="O320" s="3"/>
      <c r="P320" s="3"/>
      <c r="Q320" s="533"/>
      <c r="R320" s="920"/>
      <c r="S320" s="534"/>
      <c r="T320" s="920"/>
      <c r="U320" s="920"/>
      <c r="V320" s="920"/>
      <c r="W320" s="535"/>
      <c r="X320" s="687"/>
      <c r="Y320" s="687"/>
      <c r="Z320" s="687"/>
      <c r="AA320" s="678"/>
      <c r="AB320" s="543"/>
      <c r="AC320" s="3"/>
      <c r="AD320" s="533"/>
      <c r="AE320" s="3"/>
      <c r="AF320" s="4"/>
      <c r="AG320" s="4"/>
      <c r="AH320" s="4"/>
      <c r="AI320" s="4"/>
      <c r="AJ320" s="4"/>
      <c r="AK320" s="4"/>
      <c r="AL320" s="4"/>
      <c r="AM320" s="4"/>
      <c r="AN320" s="4"/>
      <c r="AO320" s="4"/>
      <c r="AP320" s="4"/>
      <c r="AQ320" s="4"/>
      <c r="AR320" s="4"/>
      <c r="AS320" s="4"/>
      <c r="AT320" s="4"/>
      <c r="AU320" s="4"/>
      <c r="AV320" s="537"/>
      <c r="AW320" s="537"/>
      <c r="AX320" s="4"/>
      <c r="AY320" s="4"/>
      <c r="AZ320" s="4"/>
      <c r="BA320" s="4"/>
      <c r="BB320" s="4"/>
      <c r="BC320" s="4"/>
      <c r="BD320" s="4"/>
      <c r="BE320" s="4"/>
      <c r="BF320" s="4"/>
      <c r="BG320" s="4"/>
      <c r="BH320" s="4"/>
      <c r="BI320" s="4"/>
      <c r="BJ320" s="4"/>
      <c r="BK320" s="4"/>
      <c r="BL320" s="4"/>
      <c r="BM320" s="4"/>
      <c r="BN320" s="4"/>
      <c r="BO320" s="4"/>
      <c r="BP320" s="4"/>
      <c r="BQ320" s="4"/>
      <c r="BR320" s="4"/>
    </row>
    <row r="321" spans="1:70" ht="27" customHeight="1" x14ac:dyDescent="0.2">
      <c r="A321" s="532"/>
      <c r="B321" s="917"/>
      <c r="C321" s="4"/>
      <c r="D321" s="917"/>
      <c r="E321" s="4"/>
      <c r="F321" s="917"/>
      <c r="G321" s="4"/>
      <c r="H321" s="920"/>
      <c r="I321" s="3"/>
      <c r="J321" s="920"/>
      <c r="K321" s="3"/>
      <c r="L321" s="920"/>
      <c r="M321" s="3"/>
      <c r="N321" s="920"/>
      <c r="O321" s="3"/>
      <c r="P321" s="3"/>
      <c r="Q321" s="533"/>
      <c r="R321" s="920"/>
      <c r="S321" s="534"/>
      <c r="T321" s="920"/>
      <c r="U321" s="920"/>
      <c r="V321" s="920"/>
      <c r="W321" s="535"/>
      <c r="X321" s="687"/>
      <c r="Y321" s="687"/>
      <c r="Z321" s="687"/>
      <c r="AA321" s="678"/>
      <c r="AB321" s="543"/>
      <c r="AC321" s="3"/>
      <c r="AD321" s="533"/>
      <c r="AE321" s="3"/>
      <c r="AF321" s="4"/>
      <c r="AG321" s="4"/>
      <c r="AH321" s="4"/>
      <c r="AI321" s="4"/>
      <c r="AJ321" s="4"/>
      <c r="AK321" s="4"/>
      <c r="AL321" s="4"/>
      <c r="AM321" s="4"/>
      <c r="AN321" s="4"/>
      <c r="AO321" s="4"/>
      <c r="AP321" s="4"/>
      <c r="AQ321" s="4"/>
      <c r="AR321" s="4"/>
      <c r="AS321" s="4"/>
      <c r="AT321" s="4"/>
      <c r="AU321" s="4"/>
      <c r="AV321" s="537"/>
      <c r="AW321" s="537"/>
      <c r="AX321" s="4"/>
      <c r="AY321" s="4"/>
      <c r="AZ321" s="4"/>
      <c r="BA321" s="4"/>
      <c r="BB321" s="4"/>
      <c r="BC321" s="4"/>
      <c r="BD321" s="4"/>
      <c r="BE321" s="4"/>
      <c r="BF321" s="4"/>
      <c r="BG321" s="4"/>
      <c r="BH321" s="4"/>
      <c r="BI321" s="4"/>
      <c r="BJ321" s="4"/>
      <c r="BK321" s="4"/>
      <c r="BL321" s="4"/>
      <c r="BM321" s="4"/>
      <c r="BN321" s="4"/>
      <c r="BO321" s="4"/>
      <c r="BP321" s="4"/>
      <c r="BQ321" s="4"/>
      <c r="BR321" s="4"/>
    </row>
    <row r="322" spans="1:70" ht="27" customHeight="1" x14ac:dyDescent="0.2">
      <c r="A322" s="532"/>
      <c r="B322" s="917"/>
      <c r="C322" s="4"/>
      <c r="D322" s="917"/>
      <c r="E322" s="4"/>
      <c r="F322" s="917"/>
      <c r="G322" s="4"/>
      <c r="H322" s="920"/>
      <c r="I322" s="3"/>
      <c r="J322" s="920"/>
      <c r="K322" s="3"/>
      <c r="L322" s="920"/>
      <c r="M322" s="3"/>
      <c r="N322" s="920"/>
      <c r="O322" s="3"/>
      <c r="P322" s="3"/>
      <c r="Q322" s="533"/>
      <c r="R322" s="920"/>
      <c r="S322" s="534"/>
      <c r="T322" s="920"/>
      <c r="U322" s="920"/>
      <c r="V322" s="920"/>
      <c r="W322" s="535"/>
      <c r="X322" s="687"/>
      <c r="Y322" s="687"/>
      <c r="Z322" s="687"/>
      <c r="AA322" s="678"/>
      <c r="AB322" s="543"/>
      <c r="AC322" s="3"/>
      <c r="AD322" s="533"/>
      <c r="AE322" s="3"/>
      <c r="AF322" s="4"/>
      <c r="AG322" s="4"/>
      <c r="AH322" s="4"/>
      <c r="AI322" s="4"/>
      <c r="AJ322" s="4"/>
      <c r="AK322" s="4"/>
      <c r="AL322" s="4"/>
      <c r="AM322" s="4"/>
      <c r="AN322" s="4"/>
      <c r="AO322" s="4"/>
      <c r="AP322" s="4"/>
      <c r="AQ322" s="4"/>
      <c r="AR322" s="4"/>
      <c r="AS322" s="4"/>
      <c r="AT322" s="4"/>
      <c r="AU322" s="4"/>
      <c r="AV322" s="537"/>
      <c r="AW322" s="537"/>
      <c r="AX322" s="4"/>
      <c r="AY322" s="4"/>
      <c r="AZ322" s="4"/>
      <c r="BA322" s="4"/>
      <c r="BB322" s="4"/>
      <c r="BC322" s="4"/>
      <c r="BD322" s="4"/>
      <c r="BE322" s="4"/>
      <c r="BF322" s="4"/>
      <c r="BG322" s="4"/>
      <c r="BH322" s="4"/>
      <c r="BI322" s="4"/>
      <c r="BJ322" s="4"/>
      <c r="BK322" s="4"/>
      <c r="BL322" s="4"/>
      <c r="BM322" s="4"/>
      <c r="BN322" s="4"/>
      <c r="BO322" s="4"/>
      <c r="BP322" s="4"/>
      <c r="BQ322" s="4"/>
      <c r="BR322" s="4"/>
    </row>
    <row r="323" spans="1:70" ht="27" customHeight="1" x14ac:dyDescent="0.2">
      <c r="A323" s="532"/>
      <c r="B323" s="917"/>
      <c r="C323" s="4"/>
      <c r="D323" s="917"/>
      <c r="E323" s="4"/>
      <c r="F323" s="917"/>
      <c r="G323" s="4"/>
      <c r="H323" s="920"/>
      <c r="I323" s="3"/>
      <c r="J323" s="920"/>
      <c r="K323" s="3"/>
      <c r="L323" s="920"/>
      <c r="M323" s="3"/>
      <c r="N323" s="920"/>
      <c r="O323" s="3"/>
      <c r="P323" s="3"/>
      <c r="Q323" s="533"/>
      <c r="R323" s="920"/>
      <c r="S323" s="534"/>
      <c r="T323" s="920"/>
      <c r="U323" s="920"/>
      <c r="V323" s="920"/>
      <c r="W323" s="535"/>
      <c r="X323" s="687"/>
      <c r="Y323" s="687"/>
      <c r="Z323" s="687"/>
      <c r="AA323" s="678"/>
      <c r="AB323" s="543"/>
      <c r="AC323" s="3"/>
      <c r="AD323" s="533"/>
      <c r="AE323" s="3"/>
      <c r="AF323" s="4"/>
      <c r="AG323" s="4"/>
      <c r="AH323" s="4"/>
      <c r="AI323" s="4"/>
      <c r="AJ323" s="4"/>
      <c r="AK323" s="4"/>
      <c r="AL323" s="4"/>
      <c r="AM323" s="4"/>
      <c r="AN323" s="4"/>
      <c r="AO323" s="4"/>
      <c r="AP323" s="4"/>
      <c r="AQ323" s="4"/>
      <c r="AR323" s="4"/>
      <c r="AS323" s="4"/>
      <c r="AT323" s="4"/>
      <c r="AU323" s="4"/>
      <c r="AV323" s="537"/>
      <c r="AW323" s="537"/>
      <c r="AX323" s="4"/>
      <c r="AY323" s="4"/>
      <c r="AZ323" s="4"/>
      <c r="BA323" s="4"/>
      <c r="BB323" s="4"/>
      <c r="BC323" s="4"/>
      <c r="BD323" s="4"/>
      <c r="BE323" s="4"/>
      <c r="BF323" s="4"/>
      <c r="BG323" s="4"/>
      <c r="BH323" s="4"/>
      <c r="BI323" s="4"/>
      <c r="BJ323" s="4"/>
      <c r="BK323" s="4"/>
      <c r="BL323" s="4"/>
      <c r="BM323" s="4"/>
      <c r="BN323" s="4"/>
      <c r="BO323" s="4"/>
      <c r="BP323" s="4"/>
      <c r="BQ323" s="4"/>
      <c r="BR323" s="4"/>
    </row>
    <row r="324" spans="1:70" ht="27" customHeight="1" x14ac:dyDescent="0.2">
      <c r="A324" s="532"/>
      <c r="B324" s="917"/>
      <c r="C324" s="4"/>
      <c r="D324" s="917"/>
      <c r="E324" s="4"/>
      <c r="F324" s="917"/>
      <c r="G324" s="4"/>
      <c r="H324" s="920"/>
      <c r="I324" s="3"/>
      <c r="J324" s="920"/>
      <c r="K324" s="3"/>
      <c r="L324" s="920"/>
      <c r="M324" s="3"/>
      <c r="N324" s="920"/>
      <c r="O324" s="3"/>
      <c r="P324" s="3"/>
      <c r="Q324" s="533"/>
      <c r="R324" s="920"/>
      <c r="S324" s="534"/>
      <c r="T324" s="920"/>
      <c r="U324" s="920"/>
      <c r="V324" s="920"/>
      <c r="W324" s="535"/>
      <c r="X324" s="687"/>
      <c r="Y324" s="687"/>
      <c r="Z324" s="687"/>
      <c r="AA324" s="678"/>
      <c r="AB324" s="543"/>
      <c r="AC324" s="3"/>
      <c r="AD324" s="533"/>
      <c r="AE324" s="3"/>
      <c r="AF324" s="4"/>
      <c r="AG324" s="4"/>
      <c r="AH324" s="4"/>
      <c r="AI324" s="4"/>
      <c r="AJ324" s="4"/>
      <c r="AK324" s="4"/>
      <c r="AL324" s="4"/>
      <c r="AM324" s="4"/>
      <c r="AN324" s="4"/>
      <c r="AO324" s="4"/>
      <c r="AP324" s="4"/>
      <c r="AQ324" s="4"/>
      <c r="AR324" s="4"/>
      <c r="AS324" s="4"/>
      <c r="AT324" s="4"/>
      <c r="AU324" s="4"/>
      <c r="AV324" s="537"/>
      <c r="AW324" s="537"/>
      <c r="AX324" s="4"/>
      <c r="AY324" s="4"/>
      <c r="AZ324" s="4"/>
      <c r="BA324" s="4"/>
      <c r="BB324" s="4"/>
      <c r="BC324" s="4"/>
      <c r="BD324" s="4"/>
      <c r="BE324" s="4"/>
      <c r="BF324" s="4"/>
      <c r="BG324" s="4"/>
      <c r="BH324" s="4"/>
      <c r="BI324" s="4"/>
      <c r="BJ324" s="4"/>
      <c r="BK324" s="4"/>
      <c r="BL324" s="4"/>
      <c r="BM324" s="4"/>
      <c r="BN324" s="4"/>
      <c r="BO324" s="4"/>
      <c r="BP324" s="4"/>
      <c r="BQ324" s="4"/>
      <c r="BR324" s="4"/>
    </row>
    <row r="325" spans="1:70" ht="27" customHeight="1" x14ac:dyDescent="0.2">
      <c r="A325" s="532"/>
      <c r="B325" s="917"/>
      <c r="C325" s="4"/>
      <c r="D325" s="917"/>
      <c r="E325" s="4"/>
      <c r="F325" s="917"/>
      <c r="G325" s="4"/>
      <c r="H325" s="920"/>
      <c r="I325" s="3"/>
      <c r="J325" s="920"/>
      <c r="K325" s="3"/>
      <c r="L325" s="920"/>
      <c r="M325" s="3"/>
      <c r="N325" s="920"/>
      <c r="O325" s="3"/>
      <c r="P325" s="3"/>
      <c r="Q325" s="533"/>
      <c r="R325" s="920"/>
      <c r="S325" s="534"/>
      <c r="T325" s="920"/>
      <c r="U325" s="920"/>
      <c r="V325" s="920"/>
      <c r="W325" s="535"/>
      <c r="X325" s="687"/>
      <c r="Y325" s="687"/>
      <c r="Z325" s="687"/>
      <c r="AA325" s="678"/>
      <c r="AB325" s="543"/>
      <c r="AC325" s="3"/>
      <c r="AD325" s="533"/>
      <c r="AE325" s="3"/>
      <c r="AF325" s="4"/>
      <c r="AG325" s="4"/>
      <c r="AH325" s="4"/>
      <c r="AI325" s="4"/>
      <c r="AJ325" s="4"/>
      <c r="AK325" s="4"/>
      <c r="AL325" s="4"/>
      <c r="AM325" s="4"/>
      <c r="AN325" s="4"/>
      <c r="AO325" s="4"/>
      <c r="AP325" s="4"/>
      <c r="AQ325" s="4"/>
      <c r="AR325" s="4"/>
      <c r="AS325" s="4"/>
      <c r="AT325" s="4"/>
      <c r="AU325" s="4"/>
      <c r="AV325" s="537"/>
      <c r="AW325" s="537"/>
      <c r="AX325" s="4"/>
      <c r="AY325" s="4"/>
      <c r="AZ325" s="4"/>
      <c r="BA325" s="4"/>
      <c r="BB325" s="4"/>
      <c r="BC325" s="4"/>
      <c r="BD325" s="4"/>
      <c r="BE325" s="4"/>
      <c r="BF325" s="4"/>
      <c r="BG325" s="4"/>
      <c r="BH325" s="4"/>
      <c r="BI325" s="4"/>
      <c r="BJ325" s="4"/>
      <c r="BK325" s="4"/>
      <c r="BL325" s="4"/>
      <c r="BM325" s="4"/>
      <c r="BN325" s="4"/>
      <c r="BO325" s="4"/>
      <c r="BP325" s="4"/>
      <c r="BQ325" s="4"/>
      <c r="BR325" s="4"/>
    </row>
    <row r="326" spans="1:70" ht="27" customHeight="1" x14ac:dyDescent="0.2">
      <c r="A326" s="532"/>
      <c r="B326" s="917"/>
      <c r="C326" s="4"/>
      <c r="D326" s="917"/>
      <c r="E326" s="4"/>
      <c r="F326" s="917"/>
      <c r="G326" s="4"/>
      <c r="H326" s="920"/>
      <c r="I326" s="3"/>
      <c r="J326" s="920"/>
      <c r="K326" s="3"/>
      <c r="L326" s="920"/>
      <c r="M326" s="3"/>
      <c r="N326" s="920"/>
      <c r="O326" s="3"/>
      <c r="P326" s="3"/>
      <c r="Q326" s="533"/>
      <c r="R326" s="920"/>
      <c r="S326" s="534"/>
      <c r="T326" s="920"/>
      <c r="U326" s="920"/>
      <c r="V326" s="920"/>
      <c r="W326" s="535"/>
      <c r="X326" s="687"/>
      <c r="Y326" s="687"/>
      <c r="Z326" s="687"/>
      <c r="AA326" s="678"/>
      <c r="AB326" s="543"/>
      <c r="AC326" s="3"/>
      <c r="AD326" s="533"/>
      <c r="AE326" s="3"/>
      <c r="AF326" s="4"/>
      <c r="AG326" s="4"/>
      <c r="AH326" s="4"/>
      <c r="AI326" s="4"/>
      <c r="AJ326" s="4"/>
      <c r="AK326" s="4"/>
      <c r="AL326" s="4"/>
      <c r="AM326" s="4"/>
      <c r="AN326" s="4"/>
      <c r="AO326" s="4"/>
      <c r="AP326" s="4"/>
      <c r="AQ326" s="4"/>
      <c r="AR326" s="4"/>
      <c r="AS326" s="4"/>
      <c r="AT326" s="4"/>
      <c r="AU326" s="4"/>
      <c r="AV326" s="537"/>
      <c r="AW326" s="537"/>
      <c r="AX326" s="4"/>
      <c r="AY326" s="4"/>
      <c r="AZ326" s="4"/>
      <c r="BA326" s="4"/>
      <c r="BB326" s="4"/>
      <c r="BC326" s="4"/>
      <c r="BD326" s="4"/>
      <c r="BE326" s="4"/>
      <c r="BF326" s="4"/>
      <c r="BG326" s="4"/>
      <c r="BH326" s="4"/>
      <c r="BI326" s="4"/>
      <c r="BJ326" s="4"/>
      <c r="BK326" s="4"/>
      <c r="BL326" s="4"/>
      <c r="BM326" s="4"/>
      <c r="BN326" s="4"/>
      <c r="BO326" s="4"/>
      <c r="BP326" s="4"/>
      <c r="BQ326" s="4"/>
      <c r="BR326" s="4"/>
    </row>
    <row r="327" spans="1:70" ht="27" customHeight="1" x14ac:dyDescent="0.2">
      <c r="A327" s="532"/>
      <c r="B327" s="917"/>
      <c r="C327" s="4"/>
      <c r="D327" s="917"/>
      <c r="E327" s="4"/>
      <c r="F327" s="917"/>
      <c r="G327" s="4"/>
      <c r="H327" s="920"/>
      <c r="I327" s="3"/>
      <c r="J327" s="920"/>
      <c r="K327" s="3"/>
      <c r="L327" s="920"/>
      <c r="M327" s="3"/>
      <c r="N327" s="920"/>
      <c r="O327" s="3"/>
      <c r="P327" s="3"/>
      <c r="Q327" s="533"/>
      <c r="R327" s="920"/>
      <c r="S327" s="534"/>
      <c r="T327" s="920"/>
      <c r="U327" s="920"/>
      <c r="V327" s="920"/>
      <c r="W327" s="535"/>
      <c r="X327" s="687"/>
      <c r="Y327" s="687"/>
      <c r="Z327" s="687"/>
      <c r="AA327" s="678"/>
      <c r="AB327" s="543"/>
      <c r="AC327" s="3"/>
      <c r="AD327" s="533"/>
      <c r="AE327" s="3"/>
      <c r="AF327" s="4"/>
      <c r="AG327" s="4"/>
      <c r="AH327" s="4"/>
      <c r="AI327" s="4"/>
      <c r="AJ327" s="4"/>
      <c r="AK327" s="4"/>
      <c r="AL327" s="4"/>
      <c r="AM327" s="4"/>
      <c r="AN327" s="4"/>
      <c r="AO327" s="4"/>
      <c r="AP327" s="4"/>
      <c r="AQ327" s="4"/>
      <c r="AR327" s="4"/>
      <c r="AS327" s="4"/>
      <c r="AT327" s="4"/>
      <c r="AU327" s="4"/>
      <c r="AV327" s="537"/>
      <c r="AW327" s="537"/>
      <c r="AX327" s="4"/>
      <c r="AY327" s="4"/>
      <c r="AZ327" s="4"/>
      <c r="BA327" s="4"/>
      <c r="BB327" s="4"/>
      <c r="BC327" s="4"/>
      <c r="BD327" s="4"/>
      <c r="BE327" s="4"/>
      <c r="BF327" s="4"/>
      <c r="BG327" s="4"/>
      <c r="BH327" s="4"/>
      <c r="BI327" s="4"/>
      <c r="BJ327" s="4"/>
      <c r="BK327" s="4"/>
      <c r="BL327" s="4"/>
      <c r="BM327" s="4"/>
      <c r="BN327" s="4"/>
      <c r="BO327" s="4"/>
      <c r="BP327" s="4"/>
      <c r="BQ327" s="4"/>
      <c r="BR327" s="4"/>
    </row>
    <row r="328" spans="1:70" ht="27" customHeight="1" x14ac:dyDescent="0.2">
      <c r="A328" s="532"/>
      <c r="B328" s="917"/>
      <c r="C328" s="4"/>
      <c r="D328" s="917"/>
      <c r="E328" s="4"/>
      <c r="F328" s="917"/>
      <c r="G328" s="4"/>
      <c r="H328" s="920"/>
      <c r="I328" s="3"/>
      <c r="J328" s="920"/>
      <c r="K328" s="3"/>
      <c r="L328" s="920"/>
      <c r="M328" s="3"/>
      <c r="N328" s="920"/>
      <c r="O328" s="3"/>
      <c r="P328" s="3"/>
      <c r="Q328" s="533"/>
      <c r="R328" s="920"/>
      <c r="S328" s="534"/>
      <c r="T328" s="920"/>
      <c r="U328" s="920"/>
      <c r="V328" s="920"/>
      <c r="W328" s="535"/>
      <c r="X328" s="687"/>
      <c r="Y328" s="687"/>
      <c r="Z328" s="687"/>
      <c r="AA328" s="678"/>
      <c r="AB328" s="543"/>
      <c r="AC328" s="3"/>
      <c r="AD328" s="533"/>
      <c r="AE328" s="3"/>
      <c r="AF328" s="4"/>
      <c r="AG328" s="4"/>
      <c r="AH328" s="4"/>
      <c r="AI328" s="4"/>
      <c r="AJ328" s="4"/>
      <c r="AK328" s="4"/>
      <c r="AL328" s="4"/>
      <c r="AM328" s="4"/>
      <c r="AN328" s="4"/>
      <c r="AO328" s="4"/>
      <c r="AP328" s="4"/>
      <c r="AQ328" s="4"/>
      <c r="AR328" s="4"/>
      <c r="AS328" s="4"/>
      <c r="AT328" s="4"/>
      <c r="AU328" s="4"/>
      <c r="AV328" s="537"/>
      <c r="AW328" s="537"/>
      <c r="AX328" s="4"/>
      <c r="AY328" s="4"/>
      <c r="AZ328" s="4"/>
      <c r="BA328" s="4"/>
      <c r="BB328" s="4"/>
      <c r="BC328" s="4"/>
      <c r="BD328" s="4"/>
      <c r="BE328" s="4"/>
      <c r="BF328" s="4"/>
      <c r="BG328" s="4"/>
      <c r="BH328" s="4"/>
      <c r="BI328" s="4"/>
      <c r="BJ328" s="4"/>
      <c r="BK328" s="4"/>
      <c r="BL328" s="4"/>
      <c r="BM328" s="4"/>
      <c r="BN328" s="4"/>
      <c r="BO328" s="4"/>
      <c r="BP328" s="4"/>
      <c r="BQ328" s="4"/>
      <c r="BR328" s="4"/>
    </row>
    <row r="329" spans="1:70" ht="27" customHeight="1" x14ac:dyDescent="0.2">
      <c r="A329" s="532"/>
      <c r="B329" s="917"/>
      <c r="C329" s="4"/>
      <c r="D329" s="917"/>
      <c r="E329" s="4"/>
      <c r="F329" s="917"/>
      <c r="G329" s="4"/>
      <c r="H329" s="920"/>
      <c r="I329" s="3"/>
      <c r="J329" s="920"/>
      <c r="K329" s="3"/>
      <c r="L329" s="920"/>
      <c r="M329" s="3"/>
      <c r="N329" s="920"/>
      <c r="O329" s="3"/>
      <c r="P329" s="3"/>
      <c r="Q329" s="533"/>
      <c r="R329" s="920"/>
      <c r="S329" s="534"/>
      <c r="T329" s="920"/>
      <c r="U329" s="920"/>
      <c r="V329" s="920"/>
      <c r="W329" s="535"/>
      <c r="X329" s="687"/>
      <c r="Y329" s="687"/>
      <c r="Z329" s="687"/>
      <c r="AA329" s="678"/>
      <c r="AB329" s="543"/>
      <c r="AC329" s="3"/>
      <c r="AD329" s="533"/>
      <c r="AE329" s="3"/>
      <c r="AF329" s="4"/>
      <c r="AG329" s="4"/>
      <c r="AH329" s="4"/>
      <c r="AI329" s="4"/>
      <c r="AJ329" s="4"/>
      <c r="AK329" s="4"/>
      <c r="AL329" s="4"/>
      <c r="AM329" s="4"/>
      <c r="AN329" s="4"/>
      <c r="AO329" s="4"/>
      <c r="AP329" s="4"/>
      <c r="AQ329" s="4"/>
      <c r="AR329" s="4"/>
      <c r="AS329" s="4"/>
      <c r="AT329" s="4"/>
      <c r="AU329" s="4"/>
      <c r="AV329" s="537"/>
      <c r="AW329" s="537"/>
      <c r="AX329" s="4"/>
      <c r="AY329" s="4"/>
      <c r="AZ329" s="4"/>
      <c r="BA329" s="4"/>
      <c r="BB329" s="4"/>
      <c r="BC329" s="4"/>
      <c r="BD329" s="4"/>
      <c r="BE329" s="4"/>
      <c r="BF329" s="4"/>
      <c r="BG329" s="4"/>
      <c r="BH329" s="4"/>
      <c r="BI329" s="4"/>
      <c r="BJ329" s="4"/>
      <c r="BK329" s="4"/>
      <c r="BL329" s="4"/>
      <c r="BM329" s="4"/>
      <c r="BN329" s="4"/>
      <c r="BO329" s="4"/>
      <c r="BP329" s="4"/>
      <c r="BQ329" s="4"/>
      <c r="BR329" s="4"/>
    </row>
    <row r="330" spans="1:70" ht="27" customHeight="1" x14ac:dyDescent="0.2">
      <c r="A330" s="532"/>
      <c r="B330" s="917"/>
      <c r="C330" s="4"/>
      <c r="D330" s="917"/>
      <c r="E330" s="4"/>
      <c r="F330" s="917"/>
      <c r="G330" s="4"/>
      <c r="H330" s="920"/>
      <c r="I330" s="3"/>
      <c r="J330" s="920"/>
      <c r="K330" s="3"/>
      <c r="L330" s="920"/>
      <c r="M330" s="3"/>
      <c r="N330" s="920"/>
      <c r="O330" s="3"/>
      <c r="P330" s="3"/>
      <c r="Q330" s="533"/>
      <c r="R330" s="920"/>
      <c r="S330" s="534"/>
      <c r="T330" s="920"/>
      <c r="U330" s="920"/>
      <c r="V330" s="920"/>
      <c r="W330" s="535"/>
      <c r="X330" s="687"/>
      <c r="Y330" s="687"/>
      <c r="Z330" s="687"/>
      <c r="AA330" s="678"/>
      <c r="AB330" s="543"/>
      <c r="AC330" s="3"/>
      <c r="AD330" s="533"/>
      <c r="AE330" s="3"/>
      <c r="AF330" s="4"/>
      <c r="AG330" s="4"/>
      <c r="AH330" s="4"/>
      <c r="AI330" s="4"/>
      <c r="AJ330" s="4"/>
      <c r="AK330" s="4"/>
      <c r="AL330" s="4"/>
      <c r="AM330" s="4"/>
      <c r="AN330" s="4"/>
      <c r="AO330" s="4"/>
      <c r="AP330" s="4"/>
      <c r="AQ330" s="4"/>
      <c r="AR330" s="4"/>
      <c r="AS330" s="4"/>
      <c r="AT330" s="4"/>
      <c r="AU330" s="4"/>
      <c r="AV330" s="537"/>
      <c r="AW330" s="537"/>
      <c r="AX330" s="4"/>
      <c r="AY330" s="4"/>
      <c r="AZ330" s="4"/>
      <c r="BA330" s="4"/>
      <c r="BB330" s="4"/>
      <c r="BC330" s="4"/>
      <c r="BD330" s="4"/>
      <c r="BE330" s="4"/>
      <c r="BF330" s="4"/>
      <c r="BG330" s="4"/>
      <c r="BH330" s="4"/>
      <c r="BI330" s="4"/>
      <c r="BJ330" s="4"/>
      <c r="BK330" s="4"/>
      <c r="BL330" s="4"/>
      <c r="BM330" s="4"/>
      <c r="BN330" s="4"/>
      <c r="BO330" s="4"/>
      <c r="BP330" s="4"/>
      <c r="BQ330" s="4"/>
      <c r="BR330" s="4"/>
    </row>
    <row r="331" spans="1:70" ht="27" customHeight="1" x14ac:dyDescent="0.2">
      <c r="A331" s="532"/>
      <c r="B331" s="917"/>
      <c r="C331" s="4"/>
      <c r="D331" s="917"/>
      <c r="E331" s="4"/>
      <c r="F331" s="917"/>
      <c r="G331" s="4"/>
      <c r="H331" s="920"/>
      <c r="I331" s="3"/>
      <c r="J331" s="920"/>
      <c r="K331" s="3"/>
      <c r="L331" s="920"/>
      <c r="M331" s="3"/>
      <c r="N331" s="920"/>
      <c r="O331" s="3"/>
      <c r="P331" s="3"/>
      <c r="Q331" s="533"/>
      <c r="R331" s="920"/>
      <c r="S331" s="534"/>
      <c r="T331" s="920"/>
      <c r="U331" s="920"/>
      <c r="V331" s="920"/>
      <c r="W331" s="535"/>
      <c r="X331" s="687"/>
      <c r="Y331" s="687"/>
      <c r="Z331" s="687"/>
      <c r="AA331" s="678"/>
      <c r="AB331" s="543"/>
      <c r="AC331" s="3"/>
      <c r="AD331" s="533"/>
      <c r="AE331" s="3"/>
      <c r="AF331" s="4"/>
      <c r="AG331" s="4"/>
      <c r="AH331" s="4"/>
      <c r="AI331" s="4"/>
      <c r="AJ331" s="4"/>
      <c r="AK331" s="4"/>
      <c r="AL331" s="4"/>
      <c r="AM331" s="4"/>
      <c r="AN331" s="4"/>
      <c r="AO331" s="4"/>
      <c r="AP331" s="4"/>
      <c r="AQ331" s="4"/>
      <c r="AR331" s="4"/>
      <c r="AS331" s="4"/>
      <c r="AT331" s="4"/>
      <c r="AU331" s="4"/>
      <c r="AV331" s="537"/>
      <c r="AW331" s="537"/>
      <c r="AX331" s="4"/>
      <c r="AY331" s="4"/>
      <c r="AZ331" s="4"/>
      <c r="BA331" s="4"/>
      <c r="BB331" s="4"/>
      <c r="BC331" s="4"/>
      <c r="BD331" s="4"/>
      <c r="BE331" s="4"/>
      <c r="BF331" s="4"/>
      <c r="BG331" s="4"/>
      <c r="BH331" s="4"/>
      <c r="BI331" s="4"/>
      <c r="BJ331" s="4"/>
      <c r="BK331" s="4"/>
      <c r="BL331" s="4"/>
      <c r="BM331" s="4"/>
      <c r="BN331" s="4"/>
      <c r="BO331" s="4"/>
      <c r="BP331" s="4"/>
      <c r="BQ331" s="4"/>
      <c r="BR331" s="4"/>
    </row>
    <row r="332" spans="1:70" ht="27" customHeight="1" x14ac:dyDescent="0.2">
      <c r="A332" s="532"/>
      <c r="B332" s="917"/>
      <c r="C332" s="4"/>
      <c r="D332" s="917"/>
      <c r="E332" s="4"/>
      <c r="F332" s="917"/>
      <c r="G332" s="4"/>
      <c r="H332" s="920"/>
      <c r="I332" s="3"/>
      <c r="J332" s="920"/>
      <c r="K332" s="3"/>
      <c r="L332" s="920"/>
      <c r="M332" s="3"/>
      <c r="N332" s="920"/>
      <c r="O332" s="3"/>
      <c r="P332" s="3"/>
      <c r="Q332" s="533"/>
      <c r="R332" s="920"/>
      <c r="S332" s="534"/>
      <c r="T332" s="920"/>
      <c r="U332" s="920"/>
      <c r="V332" s="920"/>
      <c r="W332" s="535"/>
      <c r="X332" s="687"/>
      <c r="Y332" s="687"/>
      <c r="Z332" s="687"/>
      <c r="AA332" s="678"/>
      <c r="AB332" s="543"/>
      <c r="AC332" s="3"/>
      <c r="AD332" s="533"/>
      <c r="AE332" s="3"/>
      <c r="AF332" s="4"/>
      <c r="AG332" s="4"/>
      <c r="AH332" s="4"/>
      <c r="AI332" s="4"/>
      <c r="AJ332" s="4"/>
      <c r="AK332" s="4"/>
      <c r="AL332" s="4"/>
      <c r="AM332" s="4"/>
      <c r="AN332" s="4"/>
      <c r="AO332" s="4"/>
      <c r="AP332" s="4"/>
      <c r="AQ332" s="4"/>
      <c r="AR332" s="4"/>
      <c r="AS332" s="4"/>
      <c r="AT332" s="4"/>
      <c r="AU332" s="4"/>
      <c r="AV332" s="537"/>
      <c r="AW332" s="537"/>
      <c r="AX332" s="4"/>
      <c r="AY332" s="4"/>
      <c r="AZ332" s="4"/>
      <c r="BA332" s="4"/>
      <c r="BB332" s="4"/>
      <c r="BC332" s="4"/>
      <c r="BD332" s="4"/>
      <c r="BE332" s="4"/>
      <c r="BF332" s="4"/>
      <c r="BG332" s="4"/>
      <c r="BH332" s="4"/>
      <c r="BI332" s="4"/>
      <c r="BJ332" s="4"/>
      <c r="BK332" s="4"/>
      <c r="BL332" s="4"/>
      <c r="BM332" s="4"/>
      <c r="BN332" s="4"/>
      <c r="BO332" s="4"/>
      <c r="BP332" s="4"/>
      <c r="BQ332" s="4"/>
      <c r="BR332" s="4"/>
    </row>
    <row r="333" spans="1:70" ht="27" customHeight="1" x14ac:dyDescent="0.2">
      <c r="A333" s="532"/>
      <c r="B333" s="917"/>
      <c r="C333" s="4"/>
      <c r="D333" s="917"/>
      <c r="E333" s="4"/>
      <c r="F333" s="917"/>
      <c r="G333" s="4"/>
      <c r="H333" s="920"/>
      <c r="I333" s="3"/>
      <c r="J333" s="920"/>
      <c r="K333" s="3"/>
      <c r="L333" s="920"/>
      <c r="M333" s="3"/>
      <c r="N333" s="920"/>
      <c r="O333" s="3"/>
      <c r="P333" s="3"/>
      <c r="Q333" s="533"/>
      <c r="R333" s="920"/>
      <c r="S333" s="534"/>
      <c r="T333" s="920"/>
      <c r="U333" s="920"/>
      <c r="V333" s="920"/>
      <c r="W333" s="535"/>
      <c r="X333" s="687"/>
      <c r="Y333" s="687"/>
      <c r="Z333" s="687"/>
      <c r="AA333" s="678"/>
      <c r="AB333" s="543"/>
      <c r="AC333" s="3"/>
      <c r="AD333" s="533"/>
      <c r="AE333" s="3"/>
      <c r="AF333" s="4"/>
      <c r="AG333" s="4"/>
      <c r="AH333" s="4"/>
      <c r="AI333" s="4"/>
      <c r="AJ333" s="4"/>
      <c r="AK333" s="4"/>
      <c r="AL333" s="4"/>
      <c r="AM333" s="4"/>
      <c r="AN333" s="4"/>
      <c r="AO333" s="4"/>
      <c r="AP333" s="4"/>
      <c r="AQ333" s="4"/>
      <c r="AR333" s="4"/>
      <c r="AS333" s="4"/>
      <c r="AT333" s="4"/>
      <c r="AU333" s="4"/>
      <c r="AV333" s="537"/>
      <c r="AW333" s="537"/>
      <c r="AX333" s="4"/>
      <c r="AY333" s="4"/>
      <c r="AZ333" s="4"/>
      <c r="BA333" s="4"/>
      <c r="BB333" s="4"/>
      <c r="BC333" s="4"/>
      <c r="BD333" s="4"/>
      <c r="BE333" s="4"/>
      <c r="BF333" s="4"/>
      <c r="BG333" s="4"/>
      <c r="BH333" s="4"/>
      <c r="BI333" s="4"/>
      <c r="BJ333" s="4"/>
      <c r="BK333" s="4"/>
      <c r="BL333" s="4"/>
      <c r="BM333" s="4"/>
      <c r="BN333" s="4"/>
      <c r="BO333" s="4"/>
      <c r="BP333" s="4"/>
      <c r="BQ333" s="4"/>
      <c r="BR333" s="4"/>
    </row>
    <row r="334" spans="1:70" ht="27" customHeight="1" x14ac:dyDescent="0.2">
      <c r="A334" s="532"/>
      <c r="B334" s="917"/>
      <c r="C334" s="4"/>
      <c r="D334" s="917"/>
      <c r="E334" s="4"/>
      <c r="F334" s="917"/>
      <c r="G334" s="4"/>
      <c r="H334" s="920"/>
      <c r="I334" s="3"/>
      <c r="J334" s="920"/>
      <c r="K334" s="3"/>
      <c r="L334" s="920"/>
      <c r="M334" s="3"/>
      <c r="N334" s="920"/>
      <c r="O334" s="3"/>
      <c r="P334" s="3"/>
      <c r="Q334" s="533"/>
      <c r="R334" s="920"/>
      <c r="S334" s="534"/>
      <c r="T334" s="920"/>
      <c r="U334" s="920"/>
      <c r="V334" s="920"/>
      <c r="W334" s="535"/>
      <c r="X334" s="687"/>
      <c r="Y334" s="687"/>
      <c r="Z334" s="687"/>
      <c r="AA334" s="678"/>
      <c r="AB334" s="543"/>
      <c r="AC334" s="3"/>
      <c r="AD334" s="533"/>
      <c r="AE334" s="3"/>
      <c r="AF334" s="4"/>
      <c r="AG334" s="4"/>
      <c r="AH334" s="4"/>
      <c r="AI334" s="4"/>
      <c r="AJ334" s="4"/>
      <c r="AK334" s="4"/>
      <c r="AL334" s="4"/>
      <c r="AM334" s="4"/>
      <c r="AN334" s="4"/>
      <c r="AO334" s="4"/>
      <c r="AP334" s="4"/>
      <c r="AQ334" s="4"/>
      <c r="AR334" s="4"/>
      <c r="AS334" s="4"/>
      <c r="AT334" s="4"/>
      <c r="AU334" s="4"/>
      <c r="AV334" s="537"/>
      <c r="AW334" s="537"/>
      <c r="AX334" s="4"/>
      <c r="AY334" s="4"/>
      <c r="AZ334" s="4"/>
      <c r="BA334" s="4"/>
      <c r="BB334" s="4"/>
      <c r="BC334" s="4"/>
      <c r="BD334" s="4"/>
      <c r="BE334" s="4"/>
      <c r="BF334" s="4"/>
      <c r="BG334" s="4"/>
      <c r="BH334" s="4"/>
      <c r="BI334" s="4"/>
      <c r="BJ334" s="4"/>
      <c r="BK334" s="4"/>
      <c r="BL334" s="4"/>
      <c r="BM334" s="4"/>
      <c r="BN334" s="4"/>
      <c r="BO334" s="4"/>
      <c r="BP334" s="4"/>
      <c r="BQ334" s="4"/>
      <c r="BR334" s="4"/>
    </row>
    <row r="335" spans="1:70" ht="27" customHeight="1" x14ac:dyDescent="0.2">
      <c r="A335" s="532"/>
      <c r="B335" s="917"/>
      <c r="C335" s="4"/>
      <c r="D335" s="917"/>
      <c r="E335" s="4"/>
      <c r="F335" s="917"/>
      <c r="G335" s="4"/>
      <c r="H335" s="920"/>
      <c r="I335" s="3"/>
      <c r="J335" s="920"/>
      <c r="K335" s="3"/>
      <c r="L335" s="920"/>
      <c r="M335" s="3"/>
      <c r="N335" s="920"/>
      <c r="O335" s="3"/>
      <c r="P335" s="3"/>
      <c r="Q335" s="533"/>
      <c r="R335" s="920"/>
      <c r="S335" s="534"/>
      <c r="T335" s="920"/>
      <c r="U335" s="920"/>
      <c r="V335" s="920"/>
      <c r="W335" s="535"/>
      <c r="X335" s="687"/>
      <c r="Y335" s="687"/>
      <c r="Z335" s="687"/>
      <c r="AA335" s="678"/>
      <c r="AB335" s="543"/>
      <c r="AC335" s="3"/>
      <c r="AD335" s="533"/>
      <c r="AE335" s="3"/>
      <c r="AF335" s="4"/>
      <c r="AG335" s="4"/>
      <c r="AH335" s="4"/>
      <c r="AI335" s="4"/>
      <c r="AJ335" s="4"/>
      <c r="AK335" s="4"/>
      <c r="AL335" s="4"/>
      <c r="AM335" s="4"/>
      <c r="AN335" s="4"/>
      <c r="AO335" s="4"/>
      <c r="AP335" s="4"/>
      <c r="AQ335" s="4"/>
      <c r="AR335" s="4"/>
      <c r="AS335" s="4"/>
      <c r="AT335" s="4"/>
      <c r="AU335" s="4"/>
      <c r="AV335" s="537"/>
      <c r="AW335" s="537"/>
      <c r="AX335" s="4"/>
      <c r="AY335" s="4"/>
      <c r="AZ335" s="4"/>
      <c r="BA335" s="4"/>
      <c r="BB335" s="4"/>
      <c r="BC335" s="4"/>
      <c r="BD335" s="4"/>
      <c r="BE335" s="4"/>
      <c r="BF335" s="4"/>
      <c r="BG335" s="4"/>
      <c r="BH335" s="4"/>
      <c r="BI335" s="4"/>
      <c r="BJ335" s="4"/>
      <c r="BK335" s="4"/>
      <c r="BL335" s="4"/>
      <c r="BM335" s="4"/>
      <c r="BN335" s="4"/>
      <c r="BO335" s="4"/>
      <c r="BP335" s="4"/>
      <c r="BQ335" s="4"/>
      <c r="BR335" s="4"/>
    </row>
    <row r="336" spans="1:70" ht="27" customHeight="1" x14ac:dyDescent="0.2">
      <c r="A336" s="532"/>
      <c r="B336" s="917"/>
      <c r="C336" s="4"/>
      <c r="D336" s="917"/>
      <c r="E336" s="4"/>
      <c r="F336" s="917"/>
      <c r="G336" s="4"/>
      <c r="H336" s="920"/>
      <c r="I336" s="3"/>
      <c r="J336" s="920"/>
      <c r="K336" s="3"/>
      <c r="L336" s="920"/>
      <c r="M336" s="3"/>
      <c r="N336" s="920"/>
      <c r="O336" s="3"/>
      <c r="P336" s="3"/>
      <c r="Q336" s="533"/>
      <c r="R336" s="920"/>
      <c r="S336" s="534"/>
      <c r="T336" s="920"/>
      <c r="U336" s="920"/>
      <c r="V336" s="920"/>
      <c r="W336" s="535"/>
      <c r="X336" s="687"/>
      <c r="Y336" s="687"/>
      <c r="Z336" s="687"/>
      <c r="AA336" s="678"/>
      <c r="AB336" s="543"/>
      <c r="AC336" s="3"/>
      <c r="AD336" s="533"/>
      <c r="AE336" s="3"/>
      <c r="AF336" s="4"/>
      <c r="AG336" s="4"/>
      <c r="AH336" s="4"/>
      <c r="AI336" s="4"/>
      <c r="AJ336" s="4"/>
      <c r="AK336" s="4"/>
      <c r="AL336" s="4"/>
      <c r="AM336" s="4"/>
      <c r="AN336" s="4"/>
      <c r="AO336" s="4"/>
      <c r="AP336" s="4"/>
      <c r="AQ336" s="4"/>
      <c r="AR336" s="4"/>
      <c r="AS336" s="4"/>
      <c r="AT336" s="4"/>
      <c r="AU336" s="4"/>
      <c r="AV336" s="537"/>
      <c r="AW336" s="537"/>
      <c r="AX336" s="4"/>
      <c r="AY336" s="4"/>
      <c r="AZ336" s="4"/>
      <c r="BA336" s="4"/>
      <c r="BB336" s="4"/>
      <c r="BC336" s="4"/>
      <c r="BD336" s="4"/>
      <c r="BE336" s="4"/>
      <c r="BF336" s="4"/>
      <c r="BG336" s="4"/>
      <c r="BH336" s="4"/>
      <c r="BI336" s="4"/>
      <c r="BJ336" s="4"/>
      <c r="BK336" s="4"/>
      <c r="BL336" s="4"/>
      <c r="BM336" s="4"/>
      <c r="BN336" s="4"/>
      <c r="BO336" s="4"/>
      <c r="BP336" s="4"/>
      <c r="BQ336" s="4"/>
      <c r="BR336" s="4"/>
    </row>
    <row r="337" spans="1:70" ht="27" customHeight="1" x14ac:dyDescent="0.2">
      <c r="A337" s="532"/>
      <c r="B337" s="917"/>
      <c r="C337" s="4"/>
      <c r="D337" s="917"/>
      <c r="E337" s="4"/>
      <c r="F337" s="917"/>
      <c r="G337" s="4"/>
      <c r="H337" s="920"/>
      <c r="I337" s="3"/>
      <c r="J337" s="920"/>
      <c r="K337" s="3"/>
      <c r="L337" s="920"/>
      <c r="M337" s="3"/>
      <c r="N337" s="920"/>
      <c r="O337" s="3"/>
      <c r="P337" s="3"/>
      <c r="Q337" s="533"/>
      <c r="R337" s="920"/>
      <c r="S337" s="534"/>
      <c r="T337" s="920"/>
      <c r="U337" s="920"/>
      <c r="V337" s="920"/>
      <c r="W337" s="535"/>
      <c r="X337" s="687"/>
      <c r="Y337" s="687"/>
      <c r="Z337" s="687"/>
      <c r="AA337" s="678"/>
      <c r="AB337" s="543"/>
      <c r="AC337" s="3"/>
      <c r="AD337" s="533"/>
      <c r="AE337" s="3"/>
      <c r="AF337" s="4"/>
      <c r="AG337" s="4"/>
      <c r="AH337" s="4"/>
      <c r="AI337" s="4"/>
      <c r="AJ337" s="4"/>
      <c r="AK337" s="4"/>
      <c r="AL337" s="4"/>
      <c r="AM337" s="4"/>
      <c r="AN337" s="4"/>
      <c r="AO337" s="4"/>
      <c r="AP337" s="4"/>
      <c r="AQ337" s="4"/>
      <c r="AR337" s="4"/>
      <c r="AS337" s="4"/>
      <c r="AT337" s="4"/>
      <c r="AU337" s="4"/>
      <c r="AV337" s="537"/>
      <c r="AW337" s="537"/>
      <c r="AX337" s="4"/>
      <c r="AY337" s="4"/>
      <c r="AZ337" s="4"/>
      <c r="BA337" s="4"/>
      <c r="BB337" s="4"/>
      <c r="BC337" s="4"/>
      <c r="BD337" s="4"/>
      <c r="BE337" s="4"/>
      <c r="BF337" s="4"/>
      <c r="BG337" s="4"/>
      <c r="BH337" s="4"/>
      <c r="BI337" s="4"/>
      <c r="BJ337" s="4"/>
      <c r="BK337" s="4"/>
      <c r="BL337" s="4"/>
      <c r="BM337" s="4"/>
      <c r="BN337" s="4"/>
      <c r="BO337" s="4"/>
      <c r="BP337" s="4"/>
      <c r="BQ337" s="4"/>
      <c r="BR337" s="4"/>
    </row>
    <row r="338" spans="1:70" ht="27" customHeight="1" x14ac:dyDescent="0.2">
      <c r="A338" s="532"/>
      <c r="B338" s="917"/>
      <c r="C338" s="4"/>
      <c r="D338" s="917"/>
      <c r="E338" s="4"/>
      <c r="F338" s="917"/>
      <c r="G338" s="4"/>
      <c r="H338" s="920"/>
      <c r="I338" s="3"/>
      <c r="J338" s="920"/>
      <c r="K338" s="3"/>
      <c r="L338" s="920"/>
      <c r="M338" s="3"/>
      <c r="N338" s="920"/>
      <c r="O338" s="3"/>
      <c r="P338" s="3"/>
      <c r="Q338" s="533"/>
      <c r="R338" s="920"/>
      <c r="S338" s="534"/>
      <c r="T338" s="920"/>
      <c r="U338" s="920"/>
      <c r="V338" s="920"/>
      <c r="W338" s="535"/>
      <c r="X338" s="687"/>
      <c r="Y338" s="687"/>
      <c r="Z338" s="687"/>
      <c r="AA338" s="678"/>
      <c r="AB338" s="543"/>
      <c r="AC338" s="3"/>
      <c r="AD338" s="533"/>
      <c r="AE338" s="3"/>
      <c r="AF338" s="4"/>
      <c r="AG338" s="4"/>
      <c r="AH338" s="4"/>
      <c r="AI338" s="4"/>
      <c r="AJ338" s="4"/>
      <c r="AK338" s="4"/>
      <c r="AL338" s="4"/>
      <c r="AM338" s="4"/>
      <c r="AN338" s="4"/>
      <c r="AO338" s="4"/>
      <c r="AP338" s="4"/>
      <c r="AQ338" s="4"/>
      <c r="AR338" s="4"/>
      <c r="AS338" s="4"/>
      <c r="AT338" s="4"/>
      <c r="AU338" s="4"/>
      <c r="AV338" s="537"/>
      <c r="AW338" s="537"/>
      <c r="AX338" s="4"/>
      <c r="AY338" s="4"/>
      <c r="AZ338" s="4"/>
      <c r="BA338" s="4"/>
      <c r="BB338" s="4"/>
      <c r="BC338" s="4"/>
      <c r="BD338" s="4"/>
      <c r="BE338" s="4"/>
      <c r="BF338" s="4"/>
      <c r="BG338" s="4"/>
      <c r="BH338" s="4"/>
      <c r="BI338" s="4"/>
      <c r="BJ338" s="4"/>
      <c r="BK338" s="4"/>
      <c r="BL338" s="4"/>
      <c r="BM338" s="4"/>
      <c r="BN338" s="4"/>
      <c r="BO338" s="4"/>
      <c r="BP338" s="4"/>
      <c r="BQ338" s="4"/>
      <c r="BR338" s="4"/>
    </row>
    <row r="339" spans="1:70" ht="27" customHeight="1" x14ac:dyDescent="0.2">
      <c r="A339" s="532"/>
      <c r="B339" s="917"/>
      <c r="C339" s="4"/>
      <c r="D339" s="917"/>
      <c r="E339" s="4"/>
      <c r="F339" s="917"/>
      <c r="G339" s="4"/>
      <c r="H339" s="920"/>
      <c r="I339" s="3"/>
      <c r="J339" s="920"/>
      <c r="K339" s="3"/>
      <c r="L339" s="920"/>
      <c r="M339" s="3"/>
      <c r="N339" s="920"/>
      <c r="O339" s="3"/>
      <c r="P339" s="3"/>
      <c r="Q339" s="533"/>
      <c r="R339" s="920"/>
      <c r="S339" s="534"/>
      <c r="T339" s="920"/>
      <c r="U339" s="920"/>
      <c r="V339" s="920"/>
      <c r="W339" s="535"/>
      <c r="X339" s="687"/>
      <c r="Y339" s="687"/>
      <c r="Z339" s="687"/>
      <c r="AA339" s="678"/>
      <c r="AB339" s="543"/>
      <c r="AC339" s="3"/>
      <c r="AD339" s="533"/>
      <c r="AE339" s="3"/>
      <c r="AF339" s="4"/>
      <c r="AG339" s="4"/>
      <c r="AH339" s="4"/>
      <c r="AI339" s="4"/>
      <c r="AJ339" s="4"/>
      <c r="AK339" s="4"/>
      <c r="AL339" s="4"/>
      <c r="AM339" s="4"/>
      <c r="AN339" s="4"/>
      <c r="AO339" s="4"/>
      <c r="AP339" s="4"/>
      <c r="AQ339" s="4"/>
      <c r="AR339" s="4"/>
      <c r="AS339" s="4"/>
      <c r="AT339" s="4"/>
      <c r="AU339" s="4"/>
      <c r="AV339" s="537"/>
      <c r="AW339" s="537"/>
      <c r="AX339" s="4"/>
      <c r="AY339" s="4"/>
      <c r="AZ339" s="4"/>
      <c r="BA339" s="4"/>
      <c r="BB339" s="4"/>
      <c r="BC339" s="4"/>
      <c r="BD339" s="4"/>
      <c r="BE339" s="4"/>
      <c r="BF339" s="4"/>
      <c r="BG339" s="4"/>
      <c r="BH339" s="4"/>
      <c r="BI339" s="4"/>
      <c r="BJ339" s="4"/>
      <c r="BK339" s="4"/>
      <c r="BL339" s="4"/>
      <c r="BM339" s="4"/>
      <c r="BN339" s="4"/>
      <c r="BO339" s="4"/>
      <c r="BP339" s="4"/>
      <c r="BQ339" s="4"/>
      <c r="BR339" s="4"/>
    </row>
    <row r="340" spans="1:70" ht="27" customHeight="1" x14ac:dyDescent="0.2">
      <c r="A340" s="532"/>
      <c r="B340" s="917"/>
      <c r="C340" s="4"/>
      <c r="D340" s="917"/>
      <c r="E340" s="4"/>
      <c r="F340" s="917"/>
      <c r="G340" s="4"/>
      <c r="H340" s="920"/>
      <c r="I340" s="3"/>
      <c r="J340" s="920"/>
      <c r="K340" s="3"/>
      <c r="L340" s="920"/>
      <c r="M340" s="3"/>
      <c r="N340" s="920"/>
      <c r="O340" s="3"/>
      <c r="P340" s="3"/>
      <c r="Q340" s="533"/>
      <c r="R340" s="920"/>
      <c r="S340" s="534"/>
      <c r="T340" s="920"/>
      <c r="U340" s="920"/>
      <c r="V340" s="920"/>
      <c r="W340" s="535"/>
      <c r="X340" s="687"/>
      <c r="Y340" s="687"/>
      <c r="Z340" s="687"/>
      <c r="AA340" s="678"/>
      <c r="AB340" s="543"/>
      <c r="AC340" s="3"/>
      <c r="AD340" s="533"/>
      <c r="AE340" s="3"/>
      <c r="AF340" s="4"/>
      <c r="AG340" s="4"/>
      <c r="AH340" s="4"/>
      <c r="AI340" s="4"/>
      <c r="AJ340" s="4"/>
      <c r="AK340" s="4"/>
      <c r="AL340" s="4"/>
      <c r="AM340" s="4"/>
      <c r="AN340" s="4"/>
      <c r="AO340" s="4"/>
      <c r="AP340" s="4"/>
      <c r="AQ340" s="4"/>
      <c r="AR340" s="4"/>
      <c r="AS340" s="4"/>
      <c r="AT340" s="4"/>
      <c r="AU340" s="4"/>
      <c r="AV340" s="537"/>
      <c r="AW340" s="537"/>
      <c r="AX340" s="4"/>
      <c r="AY340" s="4"/>
      <c r="AZ340" s="4"/>
      <c r="BA340" s="4"/>
      <c r="BB340" s="4"/>
      <c r="BC340" s="4"/>
      <c r="BD340" s="4"/>
      <c r="BE340" s="4"/>
      <c r="BF340" s="4"/>
      <c r="BG340" s="4"/>
      <c r="BH340" s="4"/>
      <c r="BI340" s="4"/>
      <c r="BJ340" s="4"/>
      <c r="BK340" s="4"/>
      <c r="BL340" s="4"/>
      <c r="BM340" s="4"/>
      <c r="BN340" s="4"/>
      <c r="BO340" s="4"/>
      <c r="BP340" s="4"/>
      <c r="BQ340" s="4"/>
      <c r="BR340" s="4"/>
    </row>
    <row r="341" spans="1:70" ht="27" customHeight="1" x14ac:dyDescent="0.2">
      <c r="A341" s="532"/>
      <c r="B341" s="917"/>
      <c r="C341" s="4"/>
      <c r="D341" s="917"/>
      <c r="E341" s="4"/>
      <c r="F341" s="917"/>
      <c r="G341" s="4"/>
      <c r="H341" s="920"/>
      <c r="I341" s="3"/>
      <c r="J341" s="920"/>
      <c r="K341" s="3"/>
      <c r="L341" s="920"/>
      <c r="M341" s="3"/>
      <c r="N341" s="920"/>
      <c r="O341" s="3"/>
      <c r="P341" s="3"/>
      <c r="Q341" s="533"/>
      <c r="R341" s="920"/>
      <c r="S341" s="534"/>
      <c r="T341" s="920"/>
      <c r="U341" s="920"/>
      <c r="V341" s="920"/>
      <c r="W341" s="535"/>
      <c r="X341" s="687"/>
      <c r="Y341" s="687"/>
      <c r="Z341" s="687"/>
      <c r="AA341" s="678"/>
      <c r="AB341" s="543"/>
      <c r="AC341" s="3"/>
      <c r="AD341" s="533"/>
      <c r="AE341" s="3"/>
      <c r="AF341" s="4"/>
      <c r="AG341" s="4"/>
      <c r="AH341" s="4"/>
      <c r="AI341" s="4"/>
      <c r="AJ341" s="4"/>
      <c r="AK341" s="4"/>
      <c r="AL341" s="4"/>
      <c r="AM341" s="4"/>
      <c r="AN341" s="4"/>
      <c r="AO341" s="4"/>
      <c r="AP341" s="4"/>
      <c r="AQ341" s="4"/>
      <c r="AR341" s="4"/>
      <c r="AS341" s="4"/>
      <c r="AT341" s="4"/>
      <c r="AU341" s="4"/>
      <c r="AV341" s="537"/>
      <c r="AW341" s="537"/>
      <c r="AX341" s="4"/>
      <c r="AY341" s="4"/>
      <c r="AZ341" s="4"/>
      <c r="BA341" s="4"/>
      <c r="BB341" s="4"/>
      <c r="BC341" s="4"/>
      <c r="BD341" s="4"/>
      <c r="BE341" s="4"/>
      <c r="BF341" s="4"/>
      <c r="BG341" s="4"/>
      <c r="BH341" s="4"/>
      <c r="BI341" s="4"/>
      <c r="BJ341" s="4"/>
      <c r="BK341" s="4"/>
      <c r="BL341" s="4"/>
      <c r="BM341" s="4"/>
      <c r="BN341" s="4"/>
      <c r="BO341" s="4"/>
      <c r="BP341" s="4"/>
      <c r="BQ341" s="4"/>
      <c r="BR341" s="4"/>
    </row>
    <row r="342" spans="1:70" ht="27" customHeight="1" x14ac:dyDescent="0.2">
      <c r="A342" s="532"/>
      <c r="B342" s="917"/>
      <c r="C342" s="4"/>
      <c r="D342" s="917"/>
      <c r="E342" s="4"/>
      <c r="F342" s="917"/>
      <c r="G342" s="4"/>
      <c r="H342" s="920"/>
      <c r="I342" s="3"/>
      <c r="J342" s="920"/>
      <c r="K342" s="3"/>
      <c r="L342" s="920"/>
      <c r="M342" s="3"/>
      <c r="N342" s="920"/>
      <c r="O342" s="3"/>
      <c r="P342" s="3"/>
      <c r="Q342" s="533"/>
      <c r="R342" s="920"/>
      <c r="S342" s="534"/>
      <c r="T342" s="920"/>
      <c r="U342" s="920"/>
      <c r="V342" s="920"/>
      <c r="W342" s="535"/>
      <c r="X342" s="687"/>
      <c r="Y342" s="687"/>
      <c r="Z342" s="687"/>
      <c r="AA342" s="678"/>
      <c r="AB342" s="543"/>
      <c r="AC342" s="3"/>
      <c r="AD342" s="533"/>
      <c r="AE342" s="3"/>
      <c r="AF342" s="4"/>
      <c r="AG342" s="4"/>
      <c r="AH342" s="4"/>
      <c r="AI342" s="4"/>
      <c r="AJ342" s="4"/>
      <c r="AK342" s="4"/>
      <c r="AL342" s="4"/>
      <c r="AM342" s="4"/>
      <c r="AN342" s="4"/>
      <c r="AO342" s="4"/>
      <c r="AP342" s="4"/>
      <c r="AQ342" s="4"/>
      <c r="AR342" s="4"/>
      <c r="AS342" s="4"/>
      <c r="AT342" s="4"/>
      <c r="AU342" s="4"/>
      <c r="AV342" s="537"/>
      <c r="AW342" s="537"/>
      <c r="AX342" s="4"/>
      <c r="AY342" s="4"/>
      <c r="AZ342" s="4"/>
      <c r="BA342" s="4"/>
      <c r="BB342" s="4"/>
      <c r="BC342" s="4"/>
      <c r="BD342" s="4"/>
      <c r="BE342" s="4"/>
      <c r="BF342" s="4"/>
      <c r="BG342" s="4"/>
      <c r="BH342" s="4"/>
      <c r="BI342" s="4"/>
      <c r="BJ342" s="4"/>
      <c r="BK342" s="4"/>
      <c r="BL342" s="4"/>
      <c r="BM342" s="4"/>
      <c r="BN342" s="4"/>
      <c r="BO342" s="4"/>
      <c r="BP342" s="4"/>
      <c r="BQ342" s="4"/>
      <c r="BR342" s="4"/>
    </row>
    <row r="343" spans="1:70" ht="27" customHeight="1" x14ac:dyDescent="0.2">
      <c r="A343" s="532"/>
      <c r="B343" s="917"/>
      <c r="C343" s="4"/>
      <c r="D343" s="917"/>
      <c r="E343" s="4"/>
      <c r="F343" s="917"/>
      <c r="G343" s="4"/>
      <c r="H343" s="920"/>
      <c r="I343" s="3"/>
      <c r="J343" s="920"/>
      <c r="K343" s="3"/>
      <c r="L343" s="920"/>
      <c r="M343" s="3"/>
      <c r="N343" s="920"/>
      <c r="O343" s="3"/>
      <c r="P343" s="3"/>
      <c r="Q343" s="533"/>
      <c r="R343" s="920"/>
      <c r="S343" s="534"/>
      <c r="T343" s="920"/>
      <c r="U343" s="920"/>
      <c r="V343" s="920"/>
      <c r="W343" s="535"/>
      <c r="X343" s="687"/>
      <c r="Y343" s="687"/>
      <c r="Z343" s="687"/>
      <c r="AA343" s="678"/>
      <c r="AB343" s="543"/>
      <c r="AC343" s="3"/>
      <c r="AD343" s="533"/>
      <c r="AE343" s="3"/>
      <c r="AF343" s="4"/>
      <c r="AG343" s="4"/>
      <c r="AH343" s="4"/>
      <c r="AI343" s="4"/>
      <c r="AJ343" s="4"/>
      <c r="AK343" s="4"/>
      <c r="AL343" s="4"/>
      <c r="AM343" s="4"/>
      <c r="AN343" s="4"/>
      <c r="AO343" s="4"/>
      <c r="AP343" s="4"/>
      <c r="AQ343" s="4"/>
      <c r="AR343" s="4"/>
      <c r="AS343" s="4"/>
      <c r="AT343" s="4"/>
      <c r="AU343" s="4"/>
      <c r="AV343" s="537"/>
      <c r="AW343" s="537"/>
      <c r="AX343" s="4"/>
      <c r="AY343" s="4"/>
      <c r="AZ343" s="4"/>
      <c r="BA343" s="4"/>
      <c r="BB343" s="4"/>
      <c r="BC343" s="4"/>
      <c r="BD343" s="4"/>
      <c r="BE343" s="4"/>
      <c r="BF343" s="4"/>
      <c r="BG343" s="4"/>
      <c r="BH343" s="4"/>
      <c r="BI343" s="4"/>
      <c r="BJ343" s="4"/>
      <c r="BK343" s="4"/>
      <c r="BL343" s="4"/>
      <c r="BM343" s="4"/>
      <c r="BN343" s="4"/>
      <c r="BO343" s="4"/>
      <c r="BP343" s="4"/>
      <c r="BQ343" s="4"/>
      <c r="BR343" s="4"/>
    </row>
    <row r="344" spans="1:70" ht="27" customHeight="1" x14ac:dyDescent="0.2">
      <c r="A344" s="532"/>
      <c r="B344" s="917"/>
      <c r="C344" s="4"/>
      <c r="D344" s="917"/>
      <c r="E344" s="4"/>
      <c r="F344" s="917"/>
      <c r="G344" s="4"/>
      <c r="H344" s="920"/>
      <c r="I344" s="3"/>
      <c r="J344" s="920"/>
      <c r="K344" s="3"/>
      <c r="L344" s="920"/>
      <c r="M344" s="3"/>
      <c r="N344" s="920"/>
      <c r="O344" s="3"/>
      <c r="P344" s="3"/>
      <c r="Q344" s="533"/>
      <c r="R344" s="920"/>
      <c r="S344" s="534"/>
      <c r="T344" s="920"/>
      <c r="U344" s="920"/>
      <c r="V344" s="920"/>
      <c r="W344" s="535"/>
      <c r="X344" s="687"/>
      <c r="Y344" s="687"/>
      <c r="Z344" s="687"/>
      <c r="AA344" s="678"/>
      <c r="AB344" s="543"/>
      <c r="AC344" s="3"/>
      <c r="AD344" s="533"/>
      <c r="AE344" s="3"/>
      <c r="AF344" s="4"/>
      <c r="AG344" s="4"/>
      <c r="AH344" s="4"/>
      <c r="AI344" s="4"/>
      <c r="AJ344" s="4"/>
      <c r="AK344" s="4"/>
      <c r="AL344" s="4"/>
      <c r="AM344" s="4"/>
      <c r="AN344" s="4"/>
      <c r="AO344" s="4"/>
      <c r="AP344" s="4"/>
      <c r="AQ344" s="4"/>
      <c r="AR344" s="4"/>
      <c r="AS344" s="4"/>
      <c r="AT344" s="4"/>
      <c r="AU344" s="4"/>
      <c r="AV344" s="537"/>
      <c r="AW344" s="537"/>
      <c r="AX344" s="4"/>
      <c r="AY344" s="4"/>
      <c r="AZ344" s="4"/>
      <c r="BA344" s="4"/>
      <c r="BB344" s="4"/>
      <c r="BC344" s="4"/>
      <c r="BD344" s="4"/>
      <c r="BE344" s="4"/>
      <c r="BF344" s="4"/>
      <c r="BG344" s="4"/>
      <c r="BH344" s="4"/>
      <c r="BI344" s="4"/>
      <c r="BJ344" s="4"/>
      <c r="BK344" s="4"/>
      <c r="BL344" s="4"/>
      <c r="BM344" s="4"/>
      <c r="BN344" s="4"/>
      <c r="BO344" s="4"/>
      <c r="BP344" s="4"/>
      <c r="BQ344" s="4"/>
      <c r="BR344" s="4"/>
    </row>
    <row r="345" spans="1:70" ht="27" customHeight="1" x14ac:dyDescent="0.2">
      <c r="A345" s="532"/>
      <c r="B345" s="917"/>
      <c r="C345" s="4"/>
      <c r="D345" s="917"/>
      <c r="E345" s="4"/>
      <c r="F345" s="917"/>
      <c r="G345" s="4"/>
      <c r="H345" s="920"/>
      <c r="I345" s="3"/>
      <c r="J345" s="920"/>
      <c r="K345" s="3"/>
      <c r="L345" s="920"/>
      <c r="M345" s="3"/>
      <c r="N345" s="920"/>
      <c r="O345" s="3"/>
      <c r="P345" s="3"/>
      <c r="Q345" s="533"/>
      <c r="R345" s="920"/>
      <c r="S345" s="534"/>
      <c r="T345" s="920"/>
      <c r="U345" s="920"/>
      <c r="V345" s="920"/>
      <c r="W345" s="535"/>
      <c r="X345" s="687"/>
      <c r="Y345" s="687"/>
      <c r="Z345" s="687"/>
      <c r="AA345" s="678"/>
      <c r="AB345" s="543"/>
      <c r="AC345" s="3"/>
      <c r="AD345" s="533"/>
      <c r="AE345" s="3"/>
      <c r="AF345" s="4"/>
      <c r="AG345" s="4"/>
      <c r="AH345" s="4"/>
      <c r="AI345" s="4"/>
      <c r="AJ345" s="4"/>
      <c r="AK345" s="4"/>
      <c r="AL345" s="4"/>
      <c r="AM345" s="4"/>
      <c r="AN345" s="4"/>
      <c r="AO345" s="4"/>
      <c r="AP345" s="4"/>
      <c r="AQ345" s="4"/>
      <c r="AR345" s="4"/>
      <c r="AS345" s="4"/>
      <c r="AT345" s="4"/>
      <c r="AU345" s="4"/>
      <c r="AV345" s="537"/>
      <c r="AW345" s="537"/>
      <c r="AX345" s="4"/>
      <c r="AY345" s="4"/>
      <c r="AZ345" s="4"/>
      <c r="BA345" s="4"/>
      <c r="BB345" s="4"/>
      <c r="BC345" s="4"/>
      <c r="BD345" s="4"/>
      <c r="BE345" s="4"/>
      <c r="BF345" s="4"/>
      <c r="BG345" s="4"/>
      <c r="BH345" s="4"/>
      <c r="BI345" s="4"/>
      <c r="BJ345" s="4"/>
      <c r="BK345" s="4"/>
      <c r="BL345" s="4"/>
      <c r="BM345" s="4"/>
      <c r="BN345" s="4"/>
      <c r="BO345" s="4"/>
      <c r="BP345" s="4"/>
      <c r="BQ345" s="4"/>
      <c r="BR345" s="4"/>
    </row>
    <row r="346" spans="1:70" ht="27" customHeight="1" x14ac:dyDescent="0.2">
      <c r="A346" s="532"/>
      <c r="B346" s="917"/>
      <c r="C346" s="4"/>
      <c r="D346" s="917"/>
      <c r="E346" s="4"/>
      <c r="F346" s="917"/>
      <c r="G346" s="4"/>
      <c r="H346" s="920"/>
      <c r="I346" s="3"/>
      <c r="J346" s="920"/>
      <c r="K346" s="3"/>
      <c r="L346" s="920"/>
      <c r="M346" s="3"/>
      <c r="N346" s="920"/>
      <c r="O346" s="3"/>
      <c r="P346" s="3"/>
      <c r="Q346" s="533"/>
      <c r="R346" s="920"/>
      <c r="S346" s="534"/>
      <c r="T346" s="920"/>
      <c r="U346" s="920"/>
      <c r="V346" s="920"/>
      <c r="W346" s="535"/>
      <c r="X346" s="687"/>
      <c r="Y346" s="687"/>
      <c r="Z346" s="687"/>
      <c r="AA346" s="678"/>
      <c r="AB346" s="543"/>
      <c r="AC346" s="3"/>
      <c r="AD346" s="533"/>
      <c r="AE346" s="3"/>
      <c r="AF346" s="4"/>
      <c r="AG346" s="4"/>
      <c r="AH346" s="4"/>
      <c r="AI346" s="4"/>
      <c r="AJ346" s="4"/>
      <c r="AK346" s="4"/>
      <c r="AL346" s="4"/>
      <c r="AM346" s="4"/>
      <c r="AN346" s="4"/>
      <c r="AO346" s="4"/>
      <c r="AP346" s="4"/>
      <c r="AQ346" s="4"/>
      <c r="AR346" s="4"/>
      <c r="AS346" s="4"/>
      <c r="AT346" s="4"/>
      <c r="AU346" s="4"/>
      <c r="AV346" s="537"/>
      <c r="AW346" s="537"/>
      <c r="AX346" s="4"/>
      <c r="AY346" s="4"/>
      <c r="AZ346" s="4"/>
      <c r="BA346" s="4"/>
      <c r="BB346" s="4"/>
      <c r="BC346" s="4"/>
      <c r="BD346" s="4"/>
      <c r="BE346" s="4"/>
      <c r="BF346" s="4"/>
      <c r="BG346" s="4"/>
      <c r="BH346" s="4"/>
      <c r="BI346" s="4"/>
      <c r="BJ346" s="4"/>
      <c r="BK346" s="4"/>
      <c r="BL346" s="4"/>
      <c r="BM346" s="4"/>
      <c r="BN346" s="4"/>
      <c r="BO346" s="4"/>
      <c r="BP346" s="4"/>
      <c r="BQ346" s="4"/>
      <c r="BR346" s="4"/>
    </row>
    <row r="347" spans="1:70" ht="27" customHeight="1" x14ac:dyDescent="0.2">
      <c r="A347" s="532"/>
      <c r="B347" s="917"/>
      <c r="C347" s="4"/>
      <c r="D347" s="917"/>
      <c r="E347" s="4"/>
      <c r="F347" s="917"/>
      <c r="G347" s="4"/>
      <c r="H347" s="920"/>
      <c r="I347" s="3"/>
      <c r="J347" s="920"/>
      <c r="K347" s="3"/>
      <c r="L347" s="920"/>
      <c r="M347" s="3"/>
      <c r="N347" s="920"/>
      <c r="O347" s="3"/>
      <c r="P347" s="3"/>
      <c r="Q347" s="533"/>
      <c r="R347" s="920"/>
      <c r="S347" s="534"/>
      <c r="T347" s="920"/>
      <c r="U347" s="920"/>
      <c r="V347" s="920"/>
      <c r="W347" s="535"/>
      <c r="X347" s="687"/>
      <c r="Y347" s="687"/>
      <c r="Z347" s="687"/>
      <c r="AA347" s="678"/>
      <c r="AB347" s="543"/>
      <c r="AC347" s="3"/>
      <c r="AD347" s="533"/>
      <c r="AE347" s="3"/>
      <c r="AF347" s="4"/>
      <c r="AG347" s="4"/>
      <c r="AH347" s="4"/>
      <c r="AI347" s="4"/>
      <c r="AJ347" s="4"/>
      <c r="AK347" s="4"/>
      <c r="AL347" s="4"/>
      <c r="AM347" s="4"/>
      <c r="AN347" s="4"/>
      <c r="AO347" s="4"/>
      <c r="AP347" s="4"/>
      <c r="AQ347" s="4"/>
      <c r="AR347" s="4"/>
      <c r="AS347" s="4"/>
      <c r="AT347" s="4"/>
      <c r="AU347" s="4"/>
      <c r="AV347" s="537"/>
      <c r="AW347" s="537"/>
      <c r="AX347" s="4"/>
      <c r="AY347" s="4"/>
      <c r="AZ347" s="4"/>
      <c r="BA347" s="4"/>
      <c r="BB347" s="4"/>
      <c r="BC347" s="4"/>
      <c r="BD347" s="4"/>
      <c r="BE347" s="4"/>
      <c r="BF347" s="4"/>
      <c r="BG347" s="4"/>
      <c r="BH347" s="4"/>
      <c r="BI347" s="4"/>
      <c r="BJ347" s="4"/>
      <c r="BK347" s="4"/>
      <c r="BL347" s="4"/>
      <c r="BM347" s="4"/>
      <c r="BN347" s="4"/>
      <c r="BO347" s="4"/>
      <c r="BP347" s="4"/>
      <c r="BQ347" s="4"/>
      <c r="BR347" s="4"/>
    </row>
    <row r="348" spans="1:70" ht="27" customHeight="1" x14ac:dyDescent="0.2">
      <c r="A348" s="532"/>
      <c r="B348" s="917"/>
      <c r="C348" s="4"/>
      <c r="D348" s="917"/>
      <c r="E348" s="4"/>
      <c r="F348" s="917"/>
      <c r="G348" s="4"/>
      <c r="H348" s="920"/>
      <c r="I348" s="3"/>
      <c r="J348" s="920"/>
      <c r="K348" s="3"/>
      <c r="L348" s="920"/>
      <c r="M348" s="3"/>
      <c r="N348" s="920"/>
      <c r="O348" s="3"/>
      <c r="P348" s="3"/>
      <c r="Q348" s="533"/>
      <c r="R348" s="920"/>
      <c r="S348" s="534"/>
      <c r="T348" s="920"/>
      <c r="U348" s="920"/>
      <c r="V348" s="920"/>
      <c r="W348" s="535"/>
      <c r="X348" s="687"/>
      <c r="Y348" s="687"/>
      <c r="Z348" s="687"/>
      <c r="AA348" s="678"/>
      <c r="AB348" s="543"/>
      <c r="AC348" s="3"/>
      <c r="AD348" s="533"/>
      <c r="AE348" s="3"/>
      <c r="AF348" s="4"/>
      <c r="AG348" s="4"/>
      <c r="AH348" s="4"/>
      <c r="AI348" s="4"/>
      <c r="AJ348" s="4"/>
      <c r="AK348" s="4"/>
      <c r="AL348" s="4"/>
      <c r="AM348" s="4"/>
      <c r="AN348" s="4"/>
      <c r="AO348" s="4"/>
      <c r="AP348" s="4"/>
      <c r="AQ348" s="4"/>
      <c r="AR348" s="4"/>
      <c r="AS348" s="4"/>
      <c r="AT348" s="4"/>
      <c r="AU348" s="4"/>
      <c r="AV348" s="537"/>
      <c r="AW348" s="537"/>
      <c r="AX348" s="4"/>
      <c r="AY348" s="4"/>
      <c r="AZ348" s="4"/>
      <c r="BA348" s="4"/>
      <c r="BB348" s="4"/>
      <c r="BC348" s="4"/>
      <c r="BD348" s="4"/>
      <c r="BE348" s="4"/>
      <c r="BF348" s="4"/>
      <c r="BG348" s="4"/>
      <c r="BH348" s="4"/>
      <c r="BI348" s="4"/>
      <c r="BJ348" s="4"/>
      <c r="BK348" s="4"/>
      <c r="BL348" s="4"/>
      <c r="BM348" s="4"/>
      <c r="BN348" s="4"/>
      <c r="BO348" s="4"/>
      <c r="BP348" s="4"/>
      <c r="BQ348" s="4"/>
      <c r="BR348" s="4"/>
    </row>
    <row r="349" spans="1:70" ht="27" customHeight="1" x14ac:dyDescent="0.2">
      <c r="A349" s="532"/>
      <c r="B349" s="917"/>
      <c r="C349" s="4"/>
      <c r="D349" s="917"/>
      <c r="E349" s="4"/>
      <c r="F349" s="917"/>
      <c r="G349" s="4"/>
      <c r="H349" s="920"/>
      <c r="I349" s="3"/>
      <c r="J349" s="920"/>
      <c r="K349" s="3"/>
      <c r="L349" s="920"/>
      <c r="M349" s="3"/>
      <c r="N349" s="920"/>
      <c r="O349" s="3"/>
      <c r="P349" s="3"/>
      <c r="Q349" s="533"/>
      <c r="R349" s="920"/>
      <c r="S349" s="534"/>
      <c r="T349" s="920"/>
      <c r="U349" s="920"/>
      <c r="V349" s="920"/>
      <c r="W349" s="535"/>
      <c r="X349" s="687"/>
      <c r="Y349" s="687"/>
      <c r="Z349" s="687"/>
      <c r="AA349" s="678"/>
      <c r="AB349" s="543"/>
      <c r="AC349" s="3"/>
      <c r="AD349" s="533"/>
      <c r="AE349" s="3"/>
      <c r="AF349" s="4"/>
      <c r="AG349" s="4"/>
      <c r="AH349" s="4"/>
      <c r="AI349" s="4"/>
      <c r="AJ349" s="4"/>
      <c r="AK349" s="4"/>
      <c r="AL349" s="4"/>
      <c r="AM349" s="4"/>
      <c r="AN349" s="4"/>
      <c r="AO349" s="4"/>
      <c r="AP349" s="4"/>
      <c r="AQ349" s="4"/>
      <c r="AR349" s="4"/>
      <c r="AS349" s="4"/>
      <c r="AT349" s="4"/>
      <c r="AU349" s="4"/>
      <c r="AV349" s="537"/>
      <c r="AW349" s="537"/>
      <c r="AX349" s="4"/>
      <c r="AY349" s="4"/>
      <c r="AZ349" s="4"/>
      <c r="BA349" s="4"/>
      <c r="BB349" s="4"/>
      <c r="BC349" s="4"/>
      <c r="BD349" s="4"/>
      <c r="BE349" s="4"/>
      <c r="BF349" s="4"/>
      <c r="BG349" s="4"/>
      <c r="BH349" s="4"/>
      <c r="BI349" s="4"/>
      <c r="BJ349" s="4"/>
      <c r="BK349" s="4"/>
      <c r="BL349" s="4"/>
      <c r="BM349" s="4"/>
      <c r="BN349" s="4"/>
      <c r="BO349" s="4"/>
      <c r="BP349" s="4"/>
      <c r="BQ349" s="4"/>
      <c r="BR349" s="4"/>
    </row>
    <row r="350" spans="1:70" ht="27" customHeight="1" x14ac:dyDescent="0.2">
      <c r="A350" s="532"/>
      <c r="B350" s="917"/>
      <c r="C350" s="4"/>
      <c r="D350" s="917"/>
      <c r="E350" s="4"/>
      <c r="F350" s="917"/>
      <c r="G350" s="4"/>
      <c r="H350" s="920"/>
      <c r="I350" s="3"/>
      <c r="J350" s="920"/>
      <c r="K350" s="3"/>
      <c r="L350" s="920"/>
      <c r="M350" s="3"/>
      <c r="N350" s="920"/>
      <c r="O350" s="3"/>
      <c r="P350" s="3"/>
      <c r="Q350" s="533"/>
      <c r="R350" s="920"/>
      <c r="S350" s="534"/>
      <c r="T350" s="920"/>
      <c r="U350" s="920"/>
      <c r="V350" s="920"/>
      <c r="W350" s="535"/>
      <c r="X350" s="687"/>
      <c r="Y350" s="687"/>
      <c r="Z350" s="687"/>
      <c r="AA350" s="678"/>
      <c r="AB350" s="543"/>
      <c r="AC350" s="3"/>
      <c r="AD350" s="533"/>
      <c r="AE350" s="3"/>
      <c r="AF350" s="4"/>
      <c r="AG350" s="4"/>
      <c r="AH350" s="4"/>
      <c r="AI350" s="4"/>
      <c r="AJ350" s="4"/>
      <c r="AK350" s="4"/>
      <c r="AL350" s="4"/>
      <c r="AM350" s="4"/>
      <c r="AN350" s="4"/>
      <c r="AO350" s="4"/>
      <c r="AP350" s="4"/>
      <c r="AQ350" s="4"/>
      <c r="AR350" s="4"/>
      <c r="AS350" s="4"/>
      <c r="AT350" s="4"/>
      <c r="AU350" s="4"/>
      <c r="AV350" s="537"/>
      <c r="AW350" s="537"/>
      <c r="AX350" s="4"/>
      <c r="AY350" s="4"/>
      <c r="AZ350" s="4"/>
      <c r="BA350" s="4"/>
      <c r="BB350" s="4"/>
      <c r="BC350" s="4"/>
      <c r="BD350" s="4"/>
      <c r="BE350" s="4"/>
      <c r="BF350" s="4"/>
      <c r="BG350" s="4"/>
      <c r="BH350" s="4"/>
      <c r="BI350" s="4"/>
      <c r="BJ350" s="4"/>
      <c r="BK350" s="4"/>
      <c r="BL350" s="4"/>
      <c r="BM350" s="4"/>
      <c r="BN350" s="4"/>
      <c r="BO350" s="4"/>
      <c r="BP350" s="4"/>
      <c r="BQ350" s="4"/>
      <c r="BR350" s="4"/>
    </row>
    <row r="351" spans="1:70" ht="27" customHeight="1" x14ac:dyDescent="0.2">
      <c r="A351" s="532"/>
      <c r="B351" s="917"/>
      <c r="C351" s="4"/>
      <c r="D351" s="917"/>
      <c r="E351" s="4"/>
      <c r="F351" s="917"/>
      <c r="G351" s="4"/>
      <c r="H351" s="920"/>
      <c r="I351" s="3"/>
      <c r="J351" s="920"/>
      <c r="K351" s="3"/>
      <c r="L351" s="920"/>
      <c r="M351" s="3"/>
      <c r="N351" s="920"/>
      <c r="O351" s="3"/>
      <c r="P351" s="3"/>
      <c r="Q351" s="533"/>
      <c r="R351" s="920"/>
      <c r="S351" s="534"/>
      <c r="T351" s="920"/>
      <c r="U351" s="920"/>
      <c r="V351" s="920"/>
      <c r="W351" s="535"/>
      <c r="X351" s="687"/>
      <c r="Y351" s="687"/>
      <c r="Z351" s="687"/>
      <c r="AA351" s="678"/>
      <c r="AB351" s="543"/>
      <c r="AC351" s="3"/>
      <c r="AD351" s="533"/>
      <c r="AE351" s="3"/>
      <c r="AF351" s="4"/>
      <c r="AG351" s="4"/>
      <c r="AH351" s="4"/>
      <c r="AI351" s="4"/>
      <c r="AJ351" s="4"/>
      <c r="AK351" s="4"/>
      <c r="AL351" s="4"/>
      <c r="AM351" s="4"/>
      <c r="AN351" s="4"/>
      <c r="AO351" s="4"/>
      <c r="AP351" s="4"/>
      <c r="AQ351" s="4"/>
      <c r="AR351" s="4"/>
      <c r="AS351" s="4"/>
      <c r="AT351" s="4"/>
      <c r="AU351" s="4"/>
      <c r="AV351" s="537"/>
      <c r="AW351" s="537"/>
      <c r="AX351" s="4"/>
      <c r="AY351" s="4"/>
      <c r="AZ351" s="4"/>
      <c r="BA351" s="4"/>
      <c r="BB351" s="4"/>
      <c r="BC351" s="4"/>
      <c r="BD351" s="4"/>
      <c r="BE351" s="4"/>
      <c r="BF351" s="4"/>
      <c r="BG351" s="4"/>
      <c r="BH351" s="4"/>
      <c r="BI351" s="4"/>
      <c r="BJ351" s="4"/>
      <c r="BK351" s="4"/>
      <c r="BL351" s="4"/>
      <c r="BM351" s="4"/>
      <c r="BN351" s="4"/>
      <c r="BO351" s="4"/>
      <c r="BP351" s="4"/>
      <c r="BQ351" s="4"/>
      <c r="BR351" s="4"/>
    </row>
    <row r="352" spans="1:70" ht="27" customHeight="1" x14ac:dyDescent="0.2">
      <c r="A352" s="532"/>
      <c r="B352" s="917"/>
      <c r="C352" s="4"/>
      <c r="D352" s="917"/>
      <c r="E352" s="4"/>
      <c r="F352" s="917"/>
      <c r="G352" s="4"/>
      <c r="H352" s="920"/>
      <c r="I352" s="3"/>
      <c r="J352" s="920"/>
      <c r="K352" s="3"/>
      <c r="L352" s="920"/>
      <c r="M352" s="3"/>
      <c r="N352" s="920"/>
      <c r="O352" s="3"/>
      <c r="P352" s="3"/>
      <c r="Q352" s="533"/>
      <c r="R352" s="920"/>
      <c r="S352" s="534"/>
      <c r="T352" s="920"/>
      <c r="U352" s="920"/>
      <c r="V352" s="920"/>
      <c r="W352" s="535"/>
      <c r="X352" s="687"/>
      <c r="Y352" s="687"/>
      <c r="Z352" s="687"/>
      <c r="AA352" s="678"/>
      <c r="AB352" s="543"/>
      <c r="AC352" s="3"/>
      <c r="AD352" s="533"/>
      <c r="AE352" s="3"/>
      <c r="AF352" s="4"/>
      <c r="AG352" s="4"/>
      <c r="AH352" s="4"/>
      <c r="AI352" s="4"/>
      <c r="AJ352" s="4"/>
      <c r="AK352" s="4"/>
      <c r="AL352" s="4"/>
      <c r="AM352" s="4"/>
      <c r="AN352" s="4"/>
      <c r="AO352" s="4"/>
      <c r="AP352" s="4"/>
      <c r="AQ352" s="4"/>
      <c r="AR352" s="4"/>
      <c r="AS352" s="4"/>
      <c r="AT352" s="4"/>
      <c r="AU352" s="4"/>
      <c r="AV352" s="537"/>
      <c r="AW352" s="537"/>
      <c r="AX352" s="4"/>
      <c r="AY352" s="4"/>
      <c r="AZ352" s="4"/>
      <c r="BA352" s="4"/>
      <c r="BB352" s="4"/>
      <c r="BC352" s="4"/>
      <c r="BD352" s="4"/>
      <c r="BE352" s="4"/>
      <c r="BF352" s="4"/>
      <c r="BG352" s="4"/>
      <c r="BH352" s="4"/>
      <c r="BI352" s="4"/>
      <c r="BJ352" s="4"/>
      <c r="BK352" s="4"/>
      <c r="BL352" s="4"/>
      <c r="BM352" s="4"/>
      <c r="BN352" s="4"/>
      <c r="BO352" s="4"/>
      <c r="BP352" s="4"/>
      <c r="BQ352" s="4"/>
      <c r="BR352" s="4"/>
    </row>
    <row r="353" spans="1:70" ht="27" customHeight="1" x14ac:dyDescent="0.2">
      <c r="A353" s="532"/>
      <c r="B353" s="917"/>
      <c r="C353" s="4"/>
      <c r="D353" s="917"/>
      <c r="E353" s="4"/>
      <c r="F353" s="917"/>
      <c r="G353" s="4"/>
      <c r="H353" s="920"/>
      <c r="I353" s="3"/>
      <c r="J353" s="920"/>
      <c r="K353" s="3"/>
      <c r="L353" s="920"/>
      <c r="M353" s="3"/>
      <c r="N353" s="920"/>
      <c r="O353" s="3"/>
      <c r="P353" s="3"/>
      <c r="Q353" s="533"/>
      <c r="R353" s="920"/>
      <c r="S353" s="534"/>
      <c r="T353" s="920"/>
      <c r="U353" s="920"/>
      <c r="V353" s="920"/>
      <c r="W353" s="535"/>
      <c r="X353" s="687"/>
      <c r="Y353" s="687"/>
      <c r="Z353" s="687"/>
      <c r="AA353" s="678"/>
      <c r="AB353" s="543"/>
      <c r="AC353" s="3"/>
      <c r="AD353" s="533"/>
      <c r="AE353" s="3"/>
      <c r="AF353" s="4"/>
      <c r="AG353" s="4"/>
      <c r="AH353" s="4"/>
      <c r="AI353" s="4"/>
      <c r="AJ353" s="4"/>
      <c r="AK353" s="4"/>
      <c r="AL353" s="4"/>
      <c r="AM353" s="4"/>
      <c r="AN353" s="4"/>
      <c r="AO353" s="4"/>
      <c r="AP353" s="4"/>
      <c r="AQ353" s="4"/>
      <c r="AR353" s="4"/>
      <c r="AS353" s="4"/>
      <c r="AT353" s="4"/>
      <c r="AU353" s="4"/>
      <c r="AV353" s="537"/>
      <c r="AW353" s="537"/>
      <c r="AX353" s="4"/>
      <c r="AY353" s="4"/>
      <c r="AZ353" s="4"/>
      <c r="BA353" s="4"/>
      <c r="BB353" s="4"/>
      <c r="BC353" s="4"/>
      <c r="BD353" s="4"/>
      <c r="BE353" s="4"/>
      <c r="BF353" s="4"/>
      <c r="BG353" s="4"/>
      <c r="BH353" s="4"/>
      <c r="BI353" s="4"/>
      <c r="BJ353" s="4"/>
      <c r="BK353" s="4"/>
      <c r="BL353" s="4"/>
      <c r="BM353" s="4"/>
      <c r="BN353" s="4"/>
      <c r="BO353" s="4"/>
      <c r="BP353" s="4"/>
      <c r="BQ353" s="4"/>
      <c r="BR353" s="4"/>
    </row>
    <row r="354" spans="1:70" ht="27" customHeight="1" x14ac:dyDescent="0.2">
      <c r="A354" s="532"/>
      <c r="B354" s="917"/>
      <c r="C354" s="4"/>
      <c r="D354" s="917"/>
      <c r="E354" s="4"/>
      <c r="F354" s="917"/>
      <c r="G354" s="4"/>
      <c r="H354" s="920"/>
      <c r="I354" s="3"/>
      <c r="J354" s="920"/>
      <c r="K354" s="3"/>
      <c r="L354" s="920"/>
      <c r="M354" s="3"/>
      <c r="N354" s="920"/>
      <c r="O354" s="3"/>
      <c r="P354" s="3"/>
      <c r="Q354" s="533"/>
      <c r="R354" s="920"/>
      <c r="S354" s="534"/>
      <c r="T354" s="920"/>
      <c r="U354" s="920"/>
      <c r="V354" s="920"/>
      <c r="W354" s="535"/>
      <c r="X354" s="687"/>
      <c r="Y354" s="687"/>
      <c r="Z354" s="687"/>
      <c r="AA354" s="678"/>
      <c r="AB354" s="543"/>
      <c r="AC354" s="3"/>
      <c r="AD354" s="533"/>
      <c r="AE354" s="3"/>
      <c r="AF354" s="4"/>
      <c r="AG354" s="4"/>
      <c r="AH354" s="4"/>
      <c r="AI354" s="4"/>
      <c r="AJ354" s="4"/>
      <c r="AK354" s="4"/>
      <c r="AL354" s="4"/>
      <c r="AM354" s="4"/>
      <c r="AN354" s="4"/>
      <c r="AO354" s="4"/>
      <c r="AP354" s="4"/>
      <c r="AQ354" s="4"/>
      <c r="AR354" s="4"/>
      <c r="AS354" s="4"/>
      <c r="AT354" s="4"/>
      <c r="AU354" s="4"/>
      <c r="AV354" s="537"/>
      <c r="AW354" s="537"/>
      <c r="AX354" s="4"/>
      <c r="AY354" s="4"/>
      <c r="AZ354" s="4"/>
      <c r="BA354" s="4"/>
      <c r="BB354" s="4"/>
      <c r="BC354" s="4"/>
      <c r="BD354" s="4"/>
      <c r="BE354" s="4"/>
      <c r="BF354" s="4"/>
      <c r="BG354" s="4"/>
      <c r="BH354" s="4"/>
      <c r="BI354" s="4"/>
      <c r="BJ354" s="4"/>
      <c r="BK354" s="4"/>
      <c r="BL354" s="4"/>
      <c r="BM354" s="4"/>
      <c r="BN354" s="4"/>
      <c r="BO354" s="4"/>
      <c r="BP354" s="4"/>
      <c r="BQ354" s="4"/>
      <c r="BR354" s="4"/>
    </row>
    <row r="355" spans="1:70" ht="27" customHeight="1" x14ac:dyDescent="0.2">
      <c r="A355" s="532"/>
      <c r="B355" s="917"/>
      <c r="C355" s="4"/>
      <c r="D355" s="917"/>
      <c r="E355" s="4"/>
      <c r="F355" s="917"/>
      <c r="G355" s="4"/>
      <c r="H355" s="920"/>
      <c r="I355" s="3"/>
      <c r="J355" s="920"/>
      <c r="K355" s="3"/>
      <c r="L355" s="920"/>
      <c r="M355" s="3"/>
      <c r="N355" s="920"/>
      <c r="O355" s="3"/>
      <c r="P355" s="3"/>
      <c r="Q355" s="533"/>
      <c r="R355" s="920"/>
      <c r="S355" s="534"/>
      <c r="T355" s="920"/>
      <c r="U355" s="920"/>
      <c r="V355" s="920"/>
      <c r="W355" s="535"/>
      <c r="X355" s="687"/>
      <c r="Y355" s="687"/>
      <c r="Z355" s="687"/>
      <c r="AA355" s="678"/>
      <c r="AB355" s="543"/>
      <c r="AC355" s="3"/>
      <c r="AD355" s="533"/>
      <c r="AE355" s="3"/>
      <c r="AF355" s="4"/>
      <c r="AG355" s="4"/>
      <c r="AH355" s="4"/>
      <c r="AI355" s="4"/>
      <c r="AJ355" s="4"/>
      <c r="AK355" s="4"/>
      <c r="AL355" s="4"/>
      <c r="AM355" s="4"/>
      <c r="AN355" s="4"/>
      <c r="AO355" s="4"/>
      <c r="AP355" s="4"/>
      <c r="AQ355" s="4"/>
      <c r="AR355" s="4"/>
      <c r="AS355" s="4"/>
      <c r="AT355" s="4"/>
      <c r="AU355" s="4"/>
      <c r="AV355" s="537"/>
      <c r="AW355" s="537"/>
      <c r="AX355" s="4"/>
      <c r="AY355" s="4"/>
      <c r="AZ355" s="4"/>
      <c r="BA355" s="4"/>
      <c r="BB355" s="4"/>
      <c r="BC355" s="4"/>
      <c r="BD355" s="4"/>
      <c r="BE355" s="4"/>
      <c r="BF355" s="4"/>
      <c r="BG355" s="4"/>
      <c r="BH355" s="4"/>
      <c r="BI355" s="4"/>
      <c r="BJ355" s="4"/>
      <c r="BK355" s="4"/>
      <c r="BL355" s="4"/>
      <c r="BM355" s="4"/>
      <c r="BN355" s="4"/>
      <c r="BO355" s="4"/>
      <c r="BP355" s="4"/>
      <c r="BQ355" s="4"/>
      <c r="BR355" s="4"/>
    </row>
    <row r="356" spans="1:70" ht="27" customHeight="1" x14ac:dyDescent="0.2">
      <c r="A356" s="532"/>
      <c r="B356" s="917"/>
      <c r="C356" s="4"/>
      <c r="D356" s="917"/>
      <c r="E356" s="4"/>
      <c r="F356" s="917"/>
      <c r="G356" s="4"/>
      <c r="H356" s="920"/>
      <c r="I356" s="3"/>
      <c r="J356" s="920"/>
      <c r="K356" s="3"/>
      <c r="L356" s="920"/>
      <c r="M356" s="3"/>
      <c r="N356" s="920"/>
      <c r="O356" s="3"/>
      <c r="P356" s="3"/>
      <c r="Q356" s="533"/>
      <c r="R356" s="920"/>
      <c r="S356" s="534"/>
      <c r="T356" s="920"/>
      <c r="U356" s="920"/>
      <c r="V356" s="920"/>
      <c r="W356" s="535"/>
      <c r="X356" s="687"/>
      <c r="Y356" s="687"/>
      <c r="Z356" s="687"/>
      <c r="AA356" s="678"/>
      <c r="AB356" s="543"/>
      <c r="AC356" s="3"/>
      <c r="AD356" s="533"/>
      <c r="AE356" s="3"/>
      <c r="AF356" s="4"/>
      <c r="AG356" s="4"/>
      <c r="AH356" s="4"/>
      <c r="AI356" s="4"/>
      <c r="AJ356" s="4"/>
      <c r="AK356" s="4"/>
      <c r="AL356" s="4"/>
      <c r="AM356" s="4"/>
      <c r="AN356" s="4"/>
      <c r="AO356" s="4"/>
      <c r="AP356" s="4"/>
      <c r="AQ356" s="4"/>
      <c r="AR356" s="4"/>
      <c r="AS356" s="4"/>
      <c r="AT356" s="4"/>
      <c r="AU356" s="4"/>
      <c r="AV356" s="537"/>
      <c r="AW356" s="537"/>
      <c r="AX356" s="4"/>
      <c r="AY356" s="4"/>
      <c r="AZ356" s="4"/>
      <c r="BA356" s="4"/>
      <c r="BB356" s="4"/>
      <c r="BC356" s="4"/>
      <c r="BD356" s="4"/>
      <c r="BE356" s="4"/>
      <c r="BF356" s="4"/>
      <c r="BG356" s="4"/>
      <c r="BH356" s="4"/>
      <c r="BI356" s="4"/>
      <c r="BJ356" s="4"/>
      <c r="BK356" s="4"/>
      <c r="BL356" s="4"/>
      <c r="BM356" s="4"/>
      <c r="BN356" s="4"/>
      <c r="BO356" s="4"/>
      <c r="BP356" s="4"/>
      <c r="BQ356" s="4"/>
      <c r="BR356" s="4"/>
    </row>
    <row r="357" spans="1:70" ht="27" customHeight="1" x14ac:dyDescent="0.2">
      <c r="A357" s="532"/>
      <c r="B357" s="917"/>
      <c r="C357" s="4"/>
      <c r="D357" s="917"/>
      <c r="E357" s="4"/>
      <c r="F357" s="917"/>
      <c r="G357" s="4"/>
      <c r="H357" s="920"/>
      <c r="I357" s="3"/>
      <c r="J357" s="920"/>
      <c r="K357" s="3"/>
      <c r="L357" s="920"/>
      <c r="M357" s="3"/>
      <c r="N357" s="920"/>
      <c r="O357" s="3"/>
      <c r="P357" s="3"/>
      <c r="Q357" s="533"/>
      <c r="R357" s="920"/>
      <c r="S357" s="534"/>
      <c r="T357" s="920"/>
      <c r="U357" s="920"/>
      <c r="V357" s="920"/>
      <c r="W357" s="535"/>
      <c r="X357" s="687"/>
      <c r="Y357" s="687"/>
      <c r="Z357" s="687"/>
      <c r="AA357" s="678"/>
      <c r="AB357" s="543"/>
      <c r="AC357" s="3"/>
      <c r="AD357" s="533"/>
      <c r="AE357" s="3"/>
      <c r="AF357" s="4"/>
      <c r="AG357" s="4"/>
      <c r="AH357" s="4"/>
      <c r="AI357" s="4"/>
      <c r="AJ357" s="4"/>
      <c r="AK357" s="4"/>
      <c r="AL357" s="4"/>
      <c r="AM357" s="4"/>
      <c r="AN357" s="4"/>
      <c r="AO357" s="4"/>
      <c r="AP357" s="4"/>
      <c r="AQ357" s="4"/>
      <c r="AR357" s="4"/>
      <c r="AS357" s="4"/>
      <c r="AT357" s="4"/>
      <c r="AU357" s="4"/>
      <c r="AV357" s="537"/>
      <c r="AW357" s="537"/>
      <c r="AX357" s="4"/>
      <c r="AY357" s="4"/>
      <c r="AZ357" s="4"/>
      <c r="BA357" s="4"/>
      <c r="BB357" s="4"/>
      <c r="BC357" s="4"/>
      <c r="BD357" s="4"/>
      <c r="BE357" s="4"/>
      <c r="BF357" s="4"/>
      <c r="BG357" s="4"/>
      <c r="BH357" s="4"/>
      <c r="BI357" s="4"/>
      <c r="BJ357" s="4"/>
      <c r="BK357" s="4"/>
      <c r="BL357" s="4"/>
      <c r="BM357" s="4"/>
      <c r="BN357" s="4"/>
      <c r="BO357" s="4"/>
      <c r="BP357" s="4"/>
      <c r="BQ357" s="4"/>
      <c r="BR357" s="4"/>
    </row>
    <row r="358" spans="1:70" ht="27" customHeight="1" x14ac:dyDescent="0.2">
      <c r="A358" s="532"/>
      <c r="B358" s="917"/>
      <c r="C358" s="4"/>
      <c r="D358" s="917"/>
      <c r="E358" s="4"/>
      <c r="F358" s="917"/>
      <c r="G358" s="4"/>
      <c r="H358" s="920"/>
      <c r="I358" s="3"/>
      <c r="J358" s="920"/>
      <c r="K358" s="3"/>
      <c r="L358" s="920"/>
      <c r="M358" s="3"/>
      <c r="N358" s="920"/>
      <c r="O358" s="3"/>
      <c r="P358" s="3"/>
      <c r="Q358" s="533"/>
      <c r="R358" s="920"/>
      <c r="S358" s="534"/>
      <c r="T358" s="920"/>
      <c r="U358" s="920"/>
      <c r="V358" s="920"/>
      <c r="W358" s="535"/>
      <c r="X358" s="687"/>
      <c r="Y358" s="687"/>
      <c r="Z358" s="687"/>
      <c r="AA358" s="678"/>
      <c r="AB358" s="543"/>
      <c r="AC358" s="3"/>
      <c r="AD358" s="533"/>
      <c r="AE358" s="3"/>
      <c r="AF358" s="4"/>
      <c r="AG358" s="4"/>
      <c r="AH358" s="4"/>
      <c r="AI358" s="4"/>
      <c r="AJ358" s="4"/>
      <c r="AK358" s="4"/>
      <c r="AL358" s="4"/>
      <c r="AM358" s="4"/>
      <c r="AN358" s="4"/>
      <c r="AO358" s="4"/>
      <c r="AP358" s="4"/>
      <c r="AQ358" s="4"/>
      <c r="AR358" s="4"/>
      <c r="AS358" s="4"/>
      <c r="AT358" s="4"/>
      <c r="AU358" s="4"/>
      <c r="AV358" s="537"/>
      <c r="AW358" s="537"/>
      <c r="AX358" s="4"/>
      <c r="AY358" s="4"/>
      <c r="AZ358" s="4"/>
      <c r="BA358" s="4"/>
      <c r="BB358" s="4"/>
      <c r="BC358" s="4"/>
      <c r="BD358" s="4"/>
      <c r="BE358" s="4"/>
      <c r="BF358" s="4"/>
      <c r="BG358" s="4"/>
      <c r="BH358" s="4"/>
      <c r="BI358" s="4"/>
      <c r="BJ358" s="4"/>
      <c r="BK358" s="4"/>
      <c r="BL358" s="4"/>
      <c r="BM358" s="4"/>
      <c r="BN358" s="4"/>
      <c r="BO358" s="4"/>
      <c r="BP358" s="4"/>
      <c r="BQ358" s="4"/>
      <c r="BR358" s="4"/>
    </row>
    <row r="359" spans="1:70" ht="27" customHeight="1" x14ac:dyDescent="0.2">
      <c r="A359" s="532"/>
      <c r="B359" s="917"/>
      <c r="C359" s="4"/>
      <c r="D359" s="917"/>
      <c r="E359" s="4"/>
      <c r="F359" s="917"/>
      <c r="G359" s="4"/>
      <c r="H359" s="920"/>
      <c r="I359" s="3"/>
      <c r="J359" s="920"/>
      <c r="K359" s="3"/>
      <c r="L359" s="920"/>
      <c r="M359" s="3"/>
      <c r="N359" s="920"/>
      <c r="O359" s="3"/>
      <c r="P359" s="3"/>
      <c r="Q359" s="533"/>
      <c r="R359" s="920"/>
      <c r="S359" s="534"/>
      <c r="T359" s="920"/>
      <c r="U359" s="920"/>
      <c r="V359" s="920"/>
      <c r="W359" s="535"/>
      <c r="X359" s="687"/>
      <c r="Y359" s="687"/>
      <c r="Z359" s="687"/>
      <c r="AA359" s="678"/>
      <c r="AB359" s="543"/>
      <c r="AC359" s="3"/>
      <c r="AD359" s="533"/>
      <c r="AE359" s="3"/>
      <c r="AF359" s="4"/>
      <c r="AG359" s="4"/>
      <c r="AH359" s="4"/>
      <c r="AI359" s="4"/>
      <c r="AJ359" s="4"/>
      <c r="AK359" s="4"/>
      <c r="AL359" s="4"/>
      <c r="AM359" s="4"/>
      <c r="AN359" s="4"/>
      <c r="AO359" s="4"/>
      <c r="AP359" s="4"/>
      <c r="AQ359" s="4"/>
      <c r="AR359" s="4"/>
      <c r="AS359" s="4"/>
      <c r="AT359" s="4"/>
      <c r="AU359" s="4"/>
      <c r="AV359" s="537"/>
      <c r="AW359" s="537"/>
      <c r="AX359" s="4"/>
      <c r="AY359" s="4"/>
      <c r="AZ359" s="4"/>
      <c r="BA359" s="4"/>
      <c r="BB359" s="4"/>
      <c r="BC359" s="4"/>
      <c r="BD359" s="4"/>
      <c r="BE359" s="4"/>
      <c r="BF359" s="4"/>
      <c r="BG359" s="4"/>
      <c r="BH359" s="4"/>
      <c r="BI359" s="4"/>
      <c r="BJ359" s="4"/>
      <c r="BK359" s="4"/>
      <c r="BL359" s="4"/>
      <c r="BM359" s="4"/>
      <c r="BN359" s="4"/>
      <c r="BO359" s="4"/>
      <c r="BP359" s="4"/>
      <c r="BQ359" s="4"/>
      <c r="BR359" s="4"/>
    </row>
    <row r="360" spans="1:70" ht="27" customHeight="1" x14ac:dyDescent="0.2">
      <c r="A360" s="532"/>
      <c r="B360" s="917"/>
      <c r="C360" s="4"/>
      <c r="D360" s="917"/>
      <c r="E360" s="4"/>
      <c r="F360" s="917"/>
      <c r="G360" s="4"/>
      <c r="H360" s="920"/>
      <c r="I360" s="3"/>
      <c r="J360" s="920"/>
      <c r="K360" s="3"/>
      <c r="L360" s="920"/>
      <c r="M360" s="3"/>
      <c r="N360" s="920"/>
      <c r="O360" s="3"/>
      <c r="P360" s="3"/>
      <c r="Q360" s="533"/>
      <c r="R360" s="920"/>
      <c r="S360" s="534"/>
      <c r="T360" s="920"/>
      <c r="U360" s="920"/>
      <c r="V360" s="920"/>
      <c r="W360" s="535"/>
      <c r="X360" s="687"/>
      <c r="Y360" s="687"/>
      <c r="Z360" s="687"/>
      <c r="AA360" s="678"/>
      <c r="AB360" s="543"/>
      <c r="AC360" s="3"/>
      <c r="AD360" s="533"/>
      <c r="AE360" s="3"/>
      <c r="AF360" s="4"/>
      <c r="AG360" s="4"/>
      <c r="AH360" s="4"/>
      <c r="AI360" s="4"/>
      <c r="AJ360" s="4"/>
      <c r="AK360" s="4"/>
      <c r="AL360" s="4"/>
      <c r="AM360" s="4"/>
      <c r="AN360" s="4"/>
      <c r="AO360" s="4"/>
      <c r="AP360" s="4"/>
      <c r="AQ360" s="4"/>
      <c r="AR360" s="4"/>
      <c r="AS360" s="4"/>
      <c r="AT360" s="4"/>
      <c r="AU360" s="4"/>
      <c r="AV360" s="537"/>
      <c r="AW360" s="537"/>
      <c r="AX360" s="4"/>
      <c r="AY360" s="4"/>
      <c r="AZ360" s="4"/>
      <c r="BA360" s="4"/>
      <c r="BB360" s="4"/>
      <c r="BC360" s="4"/>
      <c r="BD360" s="4"/>
      <c r="BE360" s="4"/>
      <c r="BF360" s="4"/>
      <c r="BG360" s="4"/>
      <c r="BH360" s="4"/>
      <c r="BI360" s="4"/>
      <c r="BJ360" s="4"/>
      <c r="BK360" s="4"/>
      <c r="BL360" s="4"/>
      <c r="BM360" s="4"/>
      <c r="BN360" s="4"/>
      <c r="BO360" s="4"/>
      <c r="BP360" s="4"/>
      <c r="BQ360" s="4"/>
      <c r="BR360" s="4"/>
    </row>
    <row r="361" spans="1:70" ht="27" customHeight="1" x14ac:dyDescent="0.2">
      <c r="A361" s="532"/>
      <c r="B361" s="917"/>
      <c r="C361" s="4"/>
      <c r="D361" s="917"/>
      <c r="E361" s="4"/>
      <c r="F361" s="917"/>
      <c r="G361" s="4"/>
      <c r="H361" s="920"/>
      <c r="I361" s="3"/>
      <c r="J361" s="920"/>
      <c r="K361" s="3"/>
      <c r="L361" s="920"/>
      <c r="M361" s="3"/>
      <c r="N361" s="920"/>
      <c r="O361" s="3"/>
      <c r="P361" s="3"/>
      <c r="Q361" s="533"/>
      <c r="R361" s="920"/>
      <c r="S361" s="534"/>
      <c r="T361" s="920"/>
      <c r="U361" s="920"/>
      <c r="V361" s="920"/>
      <c r="W361" s="535"/>
      <c r="X361" s="687"/>
      <c r="Y361" s="687"/>
      <c r="Z361" s="687"/>
      <c r="AA361" s="678"/>
      <c r="AB361" s="543"/>
      <c r="AC361" s="3"/>
      <c r="AD361" s="533"/>
      <c r="AE361" s="3"/>
      <c r="AF361" s="4"/>
      <c r="AG361" s="4"/>
      <c r="AH361" s="4"/>
      <c r="AI361" s="4"/>
      <c r="AJ361" s="4"/>
      <c r="AK361" s="4"/>
      <c r="AL361" s="4"/>
      <c r="AM361" s="4"/>
      <c r="AN361" s="4"/>
      <c r="AO361" s="4"/>
      <c r="AP361" s="4"/>
      <c r="AQ361" s="4"/>
      <c r="AR361" s="4"/>
      <c r="AS361" s="4"/>
      <c r="AT361" s="4"/>
      <c r="AU361" s="4"/>
      <c r="AV361" s="537"/>
      <c r="AW361" s="537"/>
      <c r="AX361" s="4"/>
      <c r="AY361" s="4"/>
      <c r="AZ361" s="4"/>
      <c r="BA361" s="4"/>
      <c r="BB361" s="4"/>
      <c r="BC361" s="4"/>
      <c r="BD361" s="4"/>
      <c r="BE361" s="4"/>
      <c r="BF361" s="4"/>
      <c r="BG361" s="4"/>
      <c r="BH361" s="4"/>
      <c r="BI361" s="4"/>
      <c r="BJ361" s="4"/>
      <c r="BK361" s="4"/>
      <c r="BL361" s="4"/>
      <c r="BM361" s="4"/>
      <c r="BN361" s="4"/>
      <c r="BO361" s="4"/>
      <c r="BP361" s="4"/>
      <c r="BQ361" s="4"/>
      <c r="BR361" s="4"/>
    </row>
    <row r="362" spans="1:70" ht="27" customHeight="1" x14ac:dyDescent="0.2">
      <c r="A362" s="532"/>
      <c r="B362" s="917"/>
      <c r="C362" s="4"/>
      <c r="D362" s="917"/>
      <c r="E362" s="4"/>
      <c r="F362" s="917"/>
      <c r="G362" s="4"/>
      <c r="H362" s="920"/>
      <c r="I362" s="3"/>
      <c r="J362" s="920"/>
      <c r="K362" s="3"/>
      <c r="L362" s="920"/>
      <c r="M362" s="3"/>
      <c r="N362" s="920"/>
      <c r="O362" s="3"/>
      <c r="P362" s="3"/>
      <c r="Q362" s="533"/>
      <c r="R362" s="920"/>
      <c r="S362" s="534"/>
      <c r="T362" s="920"/>
      <c r="U362" s="920"/>
      <c r="V362" s="920"/>
      <c r="W362" s="535"/>
      <c r="X362" s="687"/>
      <c r="Y362" s="687"/>
      <c r="Z362" s="687"/>
      <c r="AA362" s="678"/>
      <c r="AB362" s="543"/>
      <c r="AC362" s="3"/>
      <c r="AD362" s="533"/>
      <c r="AE362" s="3"/>
      <c r="AF362" s="4"/>
      <c r="AG362" s="4"/>
      <c r="AH362" s="4"/>
      <c r="AI362" s="4"/>
      <c r="AJ362" s="4"/>
      <c r="AK362" s="4"/>
      <c r="AL362" s="4"/>
      <c r="AM362" s="4"/>
      <c r="AN362" s="4"/>
      <c r="AO362" s="4"/>
      <c r="AP362" s="4"/>
      <c r="AQ362" s="4"/>
      <c r="AR362" s="4"/>
      <c r="AS362" s="4"/>
      <c r="AT362" s="4"/>
      <c r="AU362" s="4"/>
      <c r="AV362" s="537"/>
      <c r="AW362" s="537"/>
      <c r="AX362" s="4"/>
      <c r="AY362" s="4"/>
      <c r="AZ362" s="4"/>
      <c r="BA362" s="4"/>
      <c r="BB362" s="4"/>
      <c r="BC362" s="4"/>
      <c r="BD362" s="4"/>
      <c r="BE362" s="4"/>
      <c r="BF362" s="4"/>
      <c r="BG362" s="4"/>
      <c r="BH362" s="4"/>
      <c r="BI362" s="4"/>
      <c r="BJ362" s="4"/>
      <c r="BK362" s="4"/>
      <c r="BL362" s="4"/>
      <c r="BM362" s="4"/>
      <c r="BN362" s="4"/>
      <c r="BO362" s="4"/>
      <c r="BP362" s="4"/>
      <c r="BQ362" s="4"/>
      <c r="BR362" s="4"/>
    </row>
    <row r="363" spans="1:70" ht="27" customHeight="1" x14ac:dyDescent="0.2">
      <c r="A363" s="532"/>
      <c r="B363" s="917"/>
      <c r="C363" s="4"/>
      <c r="D363" s="917"/>
      <c r="E363" s="4"/>
      <c r="F363" s="917"/>
      <c r="G363" s="4"/>
      <c r="H363" s="920"/>
      <c r="I363" s="3"/>
      <c r="J363" s="920"/>
      <c r="K363" s="3"/>
      <c r="L363" s="920"/>
      <c r="M363" s="3"/>
      <c r="N363" s="920"/>
      <c r="O363" s="3"/>
      <c r="P363" s="3"/>
      <c r="Q363" s="533"/>
      <c r="R363" s="920"/>
      <c r="S363" s="534"/>
      <c r="T363" s="920"/>
      <c r="U363" s="920"/>
      <c r="V363" s="920"/>
      <c r="W363" s="535"/>
      <c r="X363" s="687"/>
      <c r="Y363" s="687"/>
      <c r="Z363" s="687"/>
      <c r="AA363" s="678"/>
      <c r="AB363" s="543"/>
      <c r="AC363" s="3"/>
      <c r="AD363" s="533"/>
      <c r="AE363" s="3"/>
      <c r="AF363" s="4"/>
      <c r="AG363" s="4"/>
      <c r="AH363" s="4"/>
      <c r="AI363" s="4"/>
      <c r="AJ363" s="4"/>
      <c r="AK363" s="4"/>
      <c r="AL363" s="4"/>
      <c r="AM363" s="4"/>
      <c r="AN363" s="4"/>
      <c r="AO363" s="4"/>
      <c r="AP363" s="4"/>
      <c r="AQ363" s="4"/>
      <c r="AR363" s="4"/>
      <c r="AS363" s="4"/>
      <c r="AT363" s="4"/>
      <c r="AU363" s="4"/>
      <c r="AV363" s="537"/>
      <c r="AW363" s="537"/>
      <c r="AX363" s="4"/>
      <c r="AY363" s="4"/>
      <c r="AZ363" s="4"/>
      <c r="BA363" s="4"/>
      <c r="BB363" s="4"/>
      <c r="BC363" s="4"/>
      <c r="BD363" s="4"/>
      <c r="BE363" s="4"/>
      <c r="BF363" s="4"/>
      <c r="BG363" s="4"/>
      <c r="BH363" s="4"/>
      <c r="BI363" s="4"/>
      <c r="BJ363" s="4"/>
      <c r="BK363" s="4"/>
      <c r="BL363" s="4"/>
      <c r="BM363" s="4"/>
      <c r="BN363" s="4"/>
      <c r="BO363" s="4"/>
      <c r="BP363" s="4"/>
      <c r="BQ363" s="4"/>
      <c r="BR363" s="4"/>
    </row>
    <row r="364" spans="1:70" ht="27" customHeight="1" x14ac:dyDescent="0.2">
      <c r="A364" s="532"/>
      <c r="B364" s="917"/>
      <c r="C364" s="4"/>
      <c r="D364" s="917"/>
      <c r="E364" s="4"/>
      <c r="F364" s="917"/>
      <c r="G364" s="4"/>
      <c r="H364" s="920"/>
      <c r="I364" s="3"/>
      <c r="J364" s="920"/>
      <c r="K364" s="3"/>
      <c r="L364" s="920"/>
      <c r="M364" s="3"/>
      <c r="N364" s="920"/>
      <c r="O364" s="3"/>
      <c r="P364" s="3"/>
      <c r="Q364" s="533"/>
      <c r="R364" s="920"/>
      <c r="S364" s="534"/>
      <c r="T364" s="920"/>
      <c r="U364" s="920"/>
      <c r="V364" s="920"/>
      <c r="W364" s="535"/>
      <c r="X364" s="687"/>
      <c r="Y364" s="687"/>
      <c r="Z364" s="687"/>
      <c r="AA364" s="678"/>
      <c r="AB364" s="543"/>
      <c r="AC364" s="3"/>
      <c r="AD364" s="533"/>
      <c r="AE364" s="3"/>
      <c r="AF364" s="4"/>
      <c r="AG364" s="4"/>
      <c r="AH364" s="4"/>
      <c r="AI364" s="4"/>
      <c r="AJ364" s="4"/>
      <c r="AK364" s="4"/>
      <c r="AL364" s="4"/>
      <c r="AM364" s="4"/>
      <c r="AN364" s="4"/>
      <c r="AO364" s="4"/>
      <c r="AP364" s="4"/>
      <c r="AQ364" s="4"/>
      <c r="AR364" s="4"/>
      <c r="AS364" s="4"/>
      <c r="AT364" s="4"/>
      <c r="AU364" s="4"/>
      <c r="AV364" s="537"/>
      <c r="AW364" s="537"/>
      <c r="AX364" s="4"/>
      <c r="AY364" s="4"/>
      <c r="AZ364" s="4"/>
      <c r="BA364" s="4"/>
      <c r="BB364" s="4"/>
      <c r="BC364" s="4"/>
      <c r="BD364" s="4"/>
      <c r="BE364" s="4"/>
      <c r="BF364" s="4"/>
      <c r="BG364" s="4"/>
      <c r="BH364" s="4"/>
      <c r="BI364" s="4"/>
      <c r="BJ364" s="4"/>
      <c r="BK364" s="4"/>
      <c r="BL364" s="4"/>
      <c r="BM364" s="4"/>
      <c r="BN364" s="4"/>
      <c r="BO364" s="4"/>
      <c r="BP364" s="4"/>
      <c r="BQ364" s="4"/>
      <c r="BR364" s="4"/>
    </row>
    <row r="365" spans="1:70" ht="27" customHeight="1" x14ac:dyDescent="0.2">
      <c r="A365" s="532"/>
      <c r="B365" s="917"/>
      <c r="C365" s="4"/>
      <c r="D365" s="917"/>
      <c r="E365" s="4"/>
      <c r="F365" s="917"/>
      <c r="G365" s="4"/>
      <c r="H365" s="920"/>
      <c r="I365" s="3"/>
      <c r="J365" s="920"/>
      <c r="K365" s="3"/>
      <c r="L365" s="920"/>
      <c r="M365" s="3"/>
      <c r="N365" s="920"/>
      <c r="O365" s="3"/>
      <c r="P365" s="3"/>
      <c r="Q365" s="533"/>
      <c r="R365" s="920"/>
      <c r="S365" s="534"/>
      <c r="T365" s="920"/>
      <c r="U365" s="920"/>
      <c r="V365" s="920"/>
      <c r="W365" s="535"/>
      <c r="X365" s="687"/>
      <c r="Y365" s="687"/>
      <c r="Z365" s="687"/>
      <c r="AA365" s="678"/>
      <c r="AB365" s="543"/>
      <c r="AC365" s="3"/>
      <c r="AD365" s="533"/>
      <c r="AE365" s="3"/>
      <c r="AF365" s="4"/>
      <c r="AG365" s="4"/>
      <c r="AH365" s="4"/>
      <c r="AI365" s="4"/>
      <c r="AJ365" s="4"/>
      <c r="AK365" s="4"/>
      <c r="AL365" s="4"/>
      <c r="AM365" s="4"/>
      <c r="AN365" s="4"/>
      <c r="AO365" s="4"/>
      <c r="AP365" s="4"/>
      <c r="AQ365" s="4"/>
      <c r="AR365" s="4"/>
      <c r="AS365" s="4"/>
      <c r="AT365" s="4"/>
      <c r="AU365" s="4"/>
      <c r="AV365" s="537"/>
      <c r="AW365" s="537"/>
      <c r="AX365" s="4"/>
      <c r="AY365" s="4"/>
      <c r="AZ365" s="4"/>
      <c r="BA365" s="4"/>
      <c r="BB365" s="4"/>
      <c r="BC365" s="4"/>
      <c r="BD365" s="4"/>
      <c r="BE365" s="4"/>
      <c r="BF365" s="4"/>
      <c r="BG365" s="4"/>
      <c r="BH365" s="4"/>
      <c r="BI365" s="4"/>
      <c r="BJ365" s="4"/>
      <c r="BK365" s="4"/>
      <c r="BL365" s="4"/>
      <c r="BM365" s="4"/>
      <c r="BN365" s="4"/>
      <c r="BO365" s="4"/>
      <c r="BP365" s="4"/>
      <c r="BQ365" s="4"/>
      <c r="BR365" s="4"/>
    </row>
    <row r="366" spans="1:70" ht="27" customHeight="1" x14ac:dyDescent="0.2">
      <c r="A366" s="532"/>
      <c r="B366" s="917"/>
      <c r="C366" s="4"/>
      <c r="D366" s="917"/>
      <c r="E366" s="4"/>
      <c r="F366" s="917"/>
      <c r="G366" s="4"/>
      <c r="H366" s="920"/>
      <c r="I366" s="3"/>
      <c r="J366" s="920"/>
      <c r="K366" s="3"/>
      <c r="L366" s="920"/>
      <c r="M366" s="3"/>
      <c r="N366" s="920"/>
      <c r="O366" s="3"/>
      <c r="P366" s="3"/>
      <c r="Q366" s="533"/>
      <c r="R366" s="920"/>
      <c r="S366" s="534"/>
      <c r="T366" s="920"/>
      <c r="U366" s="920"/>
      <c r="V366" s="920"/>
      <c r="W366" s="535"/>
      <c r="X366" s="687"/>
      <c r="Y366" s="687"/>
      <c r="Z366" s="687"/>
      <c r="AA366" s="678"/>
      <c r="AB366" s="543"/>
      <c r="AC366" s="3"/>
      <c r="AD366" s="533"/>
      <c r="AE366" s="3"/>
      <c r="AF366" s="4"/>
      <c r="AG366" s="4"/>
      <c r="AH366" s="4"/>
      <c r="AI366" s="4"/>
      <c r="AJ366" s="4"/>
      <c r="AK366" s="4"/>
      <c r="AL366" s="4"/>
      <c r="AM366" s="4"/>
      <c r="AN366" s="4"/>
      <c r="AO366" s="4"/>
      <c r="AP366" s="4"/>
      <c r="AQ366" s="4"/>
      <c r="AR366" s="4"/>
      <c r="AS366" s="4"/>
      <c r="AT366" s="4"/>
      <c r="AU366" s="4"/>
      <c r="AV366" s="537"/>
      <c r="AW366" s="537"/>
      <c r="AX366" s="4"/>
      <c r="AY366" s="4"/>
      <c r="AZ366" s="4"/>
      <c r="BA366" s="4"/>
      <c r="BB366" s="4"/>
      <c r="BC366" s="4"/>
      <c r="BD366" s="4"/>
      <c r="BE366" s="4"/>
      <c r="BF366" s="4"/>
      <c r="BG366" s="4"/>
      <c r="BH366" s="4"/>
      <c r="BI366" s="4"/>
      <c r="BJ366" s="4"/>
      <c r="BK366" s="4"/>
      <c r="BL366" s="4"/>
      <c r="BM366" s="4"/>
      <c r="BN366" s="4"/>
      <c r="BO366" s="4"/>
      <c r="BP366" s="4"/>
      <c r="BQ366" s="4"/>
      <c r="BR366" s="4"/>
    </row>
    <row r="367" spans="1:70" ht="27" customHeight="1" x14ac:dyDescent="0.2">
      <c r="A367" s="532"/>
      <c r="B367" s="917"/>
      <c r="C367" s="4"/>
      <c r="D367" s="917"/>
      <c r="E367" s="4"/>
      <c r="F367" s="917"/>
      <c r="G367" s="4"/>
      <c r="H367" s="920"/>
      <c r="I367" s="3"/>
      <c r="J367" s="920"/>
      <c r="K367" s="3"/>
      <c r="L367" s="920"/>
      <c r="M367" s="3"/>
      <c r="N367" s="920"/>
      <c r="O367" s="3"/>
      <c r="P367" s="3"/>
      <c r="Q367" s="533"/>
      <c r="R367" s="920"/>
      <c r="S367" s="534"/>
      <c r="T367" s="920"/>
      <c r="U367" s="920"/>
      <c r="V367" s="920"/>
      <c r="W367" s="535"/>
      <c r="X367" s="687"/>
      <c r="Y367" s="687"/>
      <c r="Z367" s="687"/>
      <c r="AA367" s="678"/>
      <c r="AB367" s="543"/>
      <c r="AC367" s="3"/>
      <c r="AD367" s="533"/>
      <c r="AE367" s="3"/>
      <c r="AF367" s="4"/>
      <c r="AG367" s="4"/>
      <c r="AH367" s="4"/>
      <c r="AI367" s="4"/>
      <c r="AJ367" s="4"/>
      <c r="AK367" s="4"/>
      <c r="AL367" s="4"/>
      <c r="AM367" s="4"/>
      <c r="AN367" s="4"/>
      <c r="AO367" s="4"/>
      <c r="AP367" s="4"/>
      <c r="AQ367" s="4"/>
      <c r="AR367" s="4"/>
      <c r="AS367" s="4"/>
      <c r="AT367" s="4"/>
      <c r="AU367" s="4"/>
      <c r="AV367" s="537"/>
      <c r="AW367" s="537"/>
      <c r="AX367" s="4"/>
      <c r="AY367" s="4"/>
      <c r="AZ367" s="4"/>
      <c r="BA367" s="4"/>
      <c r="BB367" s="4"/>
      <c r="BC367" s="4"/>
      <c r="BD367" s="4"/>
      <c r="BE367" s="4"/>
      <c r="BF367" s="4"/>
      <c r="BG367" s="4"/>
      <c r="BH367" s="4"/>
      <c r="BI367" s="4"/>
      <c r="BJ367" s="4"/>
      <c r="BK367" s="4"/>
      <c r="BL367" s="4"/>
      <c r="BM367" s="4"/>
      <c r="BN367" s="4"/>
      <c r="BO367" s="4"/>
      <c r="BP367" s="4"/>
      <c r="BQ367" s="4"/>
      <c r="BR367" s="4"/>
    </row>
    <row r="368" spans="1:70" ht="27" customHeight="1" x14ac:dyDescent="0.2">
      <c r="A368" s="532"/>
      <c r="B368" s="917"/>
      <c r="C368" s="4"/>
      <c r="D368" s="917"/>
      <c r="E368" s="4"/>
      <c r="F368" s="917"/>
      <c r="G368" s="4"/>
      <c r="H368" s="920"/>
      <c r="I368" s="3"/>
      <c r="J368" s="920"/>
      <c r="K368" s="3"/>
      <c r="L368" s="920"/>
      <c r="M368" s="3"/>
      <c r="N368" s="920"/>
      <c r="O368" s="3"/>
      <c r="P368" s="3"/>
      <c r="Q368" s="533"/>
      <c r="R368" s="920"/>
      <c r="S368" s="534"/>
      <c r="T368" s="920"/>
      <c r="U368" s="920"/>
      <c r="V368" s="920"/>
      <c r="W368" s="535"/>
      <c r="X368" s="687"/>
      <c r="Y368" s="687"/>
      <c r="Z368" s="687"/>
      <c r="AA368" s="678"/>
      <c r="AB368" s="543"/>
      <c r="AC368" s="3"/>
      <c r="AD368" s="533"/>
      <c r="AE368" s="3"/>
      <c r="AF368" s="4"/>
      <c r="AG368" s="4"/>
      <c r="AH368" s="4"/>
      <c r="AI368" s="4"/>
      <c r="AJ368" s="4"/>
      <c r="AK368" s="4"/>
      <c r="AL368" s="4"/>
      <c r="AM368" s="4"/>
      <c r="AN368" s="4"/>
      <c r="AO368" s="4"/>
      <c r="AP368" s="4"/>
      <c r="AQ368" s="4"/>
      <c r="AR368" s="4"/>
      <c r="AS368" s="4"/>
      <c r="AT368" s="4"/>
      <c r="AU368" s="4"/>
      <c r="AV368" s="537"/>
      <c r="AW368" s="537"/>
      <c r="AX368" s="4"/>
      <c r="AY368" s="4"/>
      <c r="AZ368" s="4"/>
      <c r="BA368" s="4"/>
      <c r="BB368" s="4"/>
      <c r="BC368" s="4"/>
      <c r="BD368" s="4"/>
      <c r="BE368" s="4"/>
      <c r="BF368" s="4"/>
      <c r="BG368" s="4"/>
      <c r="BH368" s="4"/>
      <c r="BI368" s="4"/>
      <c r="BJ368" s="4"/>
      <c r="BK368" s="4"/>
      <c r="BL368" s="4"/>
      <c r="BM368" s="4"/>
      <c r="BN368" s="4"/>
      <c r="BO368" s="4"/>
      <c r="BP368" s="4"/>
      <c r="BQ368" s="4"/>
      <c r="BR368" s="4"/>
    </row>
    <row r="369" spans="1:70" ht="27" customHeight="1" x14ac:dyDescent="0.2">
      <c r="A369" s="532"/>
      <c r="B369" s="917"/>
      <c r="C369" s="4"/>
      <c r="D369" s="917"/>
      <c r="E369" s="4"/>
      <c r="F369" s="917"/>
      <c r="G369" s="4"/>
      <c r="H369" s="920"/>
      <c r="I369" s="3"/>
      <c r="J369" s="920"/>
      <c r="K369" s="3"/>
      <c r="L369" s="920"/>
      <c r="M369" s="3"/>
      <c r="N369" s="920"/>
      <c r="O369" s="3"/>
      <c r="P369" s="3"/>
      <c r="Q369" s="533"/>
      <c r="R369" s="920"/>
      <c r="S369" s="534"/>
      <c r="T369" s="920"/>
      <c r="U369" s="920"/>
      <c r="V369" s="920"/>
      <c r="W369" s="535"/>
      <c r="X369" s="687"/>
      <c r="Y369" s="687"/>
      <c r="Z369" s="687"/>
      <c r="AA369" s="678"/>
      <c r="AB369" s="543"/>
      <c r="AC369" s="3"/>
      <c r="AD369" s="533"/>
      <c r="AE369" s="3"/>
      <c r="AF369" s="4"/>
      <c r="AG369" s="4"/>
      <c r="AH369" s="4"/>
      <c r="AI369" s="4"/>
      <c r="AJ369" s="4"/>
      <c r="AK369" s="4"/>
      <c r="AL369" s="4"/>
      <c r="AM369" s="4"/>
      <c r="AN369" s="4"/>
      <c r="AO369" s="4"/>
      <c r="AP369" s="4"/>
      <c r="AQ369" s="4"/>
      <c r="AR369" s="4"/>
      <c r="AS369" s="4"/>
      <c r="AT369" s="4"/>
      <c r="AU369" s="4"/>
      <c r="AV369" s="537"/>
      <c r="AW369" s="537"/>
      <c r="AX369" s="4"/>
      <c r="AY369" s="4"/>
      <c r="AZ369" s="4"/>
      <c r="BA369" s="4"/>
      <c r="BB369" s="4"/>
      <c r="BC369" s="4"/>
      <c r="BD369" s="4"/>
      <c r="BE369" s="4"/>
      <c r="BF369" s="4"/>
      <c r="BG369" s="4"/>
      <c r="BH369" s="4"/>
      <c r="BI369" s="4"/>
      <c r="BJ369" s="4"/>
      <c r="BK369" s="4"/>
      <c r="BL369" s="4"/>
      <c r="BM369" s="4"/>
      <c r="BN369" s="4"/>
      <c r="BO369" s="4"/>
      <c r="BP369" s="4"/>
      <c r="BQ369" s="4"/>
      <c r="BR369" s="4"/>
    </row>
    <row r="370" spans="1:70" ht="27" customHeight="1" x14ac:dyDescent="0.2">
      <c r="A370" s="532"/>
      <c r="B370" s="917"/>
      <c r="C370" s="4"/>
      <c r="D370" s="917"/>
      <c r="E370" s="4"/>
      <c r="F370" s="917"/>
      <c r="G370" s="4"/>
      <c r="H370" s="920"/>
      <c r="I370" s="3"/>
      <c r="J370" s="920"/>
      <c r="K370" s="3"/>
      <c r="L370" s="920"/>
      <c r="M370" s="3"/>
      <c r="N370" s="920"/>
      <c r="O370" s="3"/>
      <c r="P370" s="3"/>
      <c r="Q370" s="533"/>
      <c r="R370" s="920"/>
      <c r="S370" s="534"/>
      <c r="T370" s="920"/>
      <c r="U370" s="920"/>
      <c r="V370" s="920"/>
      <c r="W370" s="535"/>
      <c r="X370" s="687"/>
      <c r="Y370" s="687"/>
      <c r="Z370" s="687"/>
      <c r="AA370" s="678"/>
      <c r="AB370" s="543"/>
      <c r="AC370" s="3"/>
      <c r="AD370" s="533"/>
      <c r="AE370" s="3"/>
      <c r="AF370" s="4"/>
      <c r="AG370" s="4"/>
      <c r="AH370" s="4"/>
      <c r="AI370" s="4"/>
      <c r="AJ370" s="4"/>
      <c r="AK370" s="4"/>
      <c r="AL370" s="4"/>
      <c r="AM370" s="4"/>
      <c r="AN370" s="4"/>
      <c r="AO370" s="4"/>
      <c r="AP370" s="4"/>
      <c r="AQ370" s="4"/>
      <c r="AR370" s="4"/>
      <c r="AS370" s="4"/>
      <c r="AT370" s="4"/>
      <c r="AU370" s="4"/>
      <c r="AV370" s="537"/>
      <c r="AW370" s="537"/>
      <c r="AX370" s="4"/>
      <c r="AY370" s="4"/>
      <c r="AZ370" s="4"/>
      <c r="BA370" s="4"/>
      <c r="BB370" s="4"/>
      <c r="BC370" s="4"/>
      <c r="BD370" s="4"/>
      <c r="BE370" s="4"/>
      <c r="BF370" s="4"/>
      <c r="BG370" s="4"/>
      <c r="BH370" s="4"/>
      <c r="BI370" s="4"/>
      <c r="BJ370" s="4"/>
      <c r="BK370" s="4"/>
      <c r="BL370" s="4"/>
      <c r="BM370" s="4"/>
      <c r="BN370" s="4"/>
      <c r="BO370" s="4"/>
      <c r="BP370" s="4"/>
      <c r="BQ370" s="4"/>
      <c r="BR370" s="4"/>
    </row>
    <row r="371" spans="1:70" ht="27" customHeight="1" x14ac:dyDescent="0.2">
      <c r="A371" s="532"/>
      <c r="B371" s="917"/>
      <c r="C371" s="4"/>
      <c r="D371" s="917"/>
      <c r="E371" s="4"/>
      <c r="F371" s="917"/>
      <c r="G371" s="4"/>
      <c r="H371" s="920"/>
      <c r="I371" s="3"/>
      <c r="J371" s="920"/>
      <c r="K371" s="3"/>
      <c r="L371" s="920"/>
      <c r="M371" s="3"/>
      <c r="N371" s="920"/>
      <c r="O371" s="3"/>
      <c r="P371" s="3"/>
      <c r="Q371" s="533"/>
      <c r="R371" s="920"/>
      <c r="S371" s="534"/>
      <c r="T371" s="920"/>
      <c r="U371" s="920"/>
      <c r="V371" s="920"/>
      <c r="W371" s="535"/>
      <c r="X371" s="687"/>
      <c r="Y371" s="687"/>
      <c r="Z371" s="687"/>
      <c r="AA371" s="678"/>
      <c r="AB371" s="543"/>
      <c r="AC371" s="3"/>
      <c r="AD371" s="533"/>
      <c r="AE371" s="3"/>
      <c r="AF371" s="4"/>
      <c r="AG371" s="4"/>
      <c r="AH371" s="4"/>
      <c r="AI371" s="4"/>
      <c r="AJ371" s="4"/>
      <c r="AK371" s="4"/>
      <c r="AL371" s="4"/>
      <c r="AM371" s="4"/>
      <c r="AN371" s="4"/>
      <c r="AO371" s="4"/>
      <c r="AP371" s="4"/>
      <c r="AQ371" s="4"/>
      <c r="AR371" s="4"/>
      <c r="AS371" s="4"/>
      <c r="AT371" s="4"/>
      <c r="AU371" s="4"/>
      <c r="AV371" s="537"/>
      <c r="AW371" s="537"/>
      <c r="AX371" s="4"/>
      <c r="AY371" s="4"/>
      <c r="AZ371" s="4"/>
      <c r="BA371" s="4"/>
      <c r="BB371" s="4"/>
      <c r="BC371" s="4"/>
      <c r="BD371" s="4"/>
      <c r="BE371" s="4"/>
      <c r="BF371" s="4"/>
      <c r="BG371" s="4"/>
      <c r="BH371" s="4"/>
      <c r="BI371" s="4"/>
      <c r="BJ371" s="4"/>
      <c r="BK371" s="4"/>
      <c r="BL371" s="4"/>
      <c r="BM371" s="4"/>
      <c r="BN371" s="4"/>
      <c r="BO371" s="4"/>
      <c r="BP371" s="4"/>
      <c r="BQ371" s="4"/>
      <c r="BR371" s="4"/>
    </row>
    <row r="372" spans="1:70" ht="27" customHeight="1" x14ac:dyDescent="0.2">
      <c r="A372" s="532"/>
      <c r="B372" s="917"/>
      <c r="C372" s="4"/>
      <c r="D372" s="917"/>
      <c r="E372" s="4"/>
      <c r="F372" s="917"/>
      <c r="G372" s="4"/>
      <c r="H372" s="920"/>
      <c r="I372" s="3"/>
      <c r="J372" s="920"/>
      <c r="K372" s="3"/>
      <c r="L372" s="920"/>
      <c r="M372" s="3"/>
      <c r="N372" s="920"/>
      <c r="O372" s="3"/>
      <c r="P372" s="3"/>
      <c r="Q372" s="533"/>
      <c r="R372" s="920"/>
      <c r="S372" s="534"/>
      <c r="T372" s="920"/>
      <c r="U372" s="920"/>
      <c r="V372" s="920"/>
      <c r="W372" s="535"/>
      <c r="X372" s="687"/>
      <c r="Y372" s="687"/>
      <c r="Z372" s="687"/>
      <c r="AA372" s="678"/>
      <c r="AB372" s="543"/>
      <c r="AC372" s="3"/>
      <c r="AD372" s="533"/>
      <c r="AE372" s="3"/>
      <c r="AF372" s="4"/>
      <c r="AG372" s="4"/>
      <c r="AH372" s="4"/>
      <c r="AI372" s="4"/>
      <c r="AJ372" s="4"/>
      <c r="AK372" s="4"/>
      <c r="AL372" s="4"/>
      <c r="AM372" s="4"/>
      <c r="AN372" s="4"/>
      <c r="AO372" s="4"/>
      <c r="AP372" s="4"/>
      <c r="AQ372" s="4"/>
      <c r="AR372" s="4"/>
      <c r="AS372" s="4"/>
      <c r="AT372" s="4"/>
      <c r="AU372" s="4"/>
      <c r="AV372" s="537"/>
      <c r="AW372" s="537"/>
      <c r="AX372" s="4"/>
      <c r="AY372" s="4"/>
      <c r="AZ372" s="4"/>
      <c r="BA372" s="4"/>
      <c r="BB372" s="4"/>
      <c r="BC372" s="4"/>
      <c r="BD372" s="4"/>
      <c r="BE372" s="4"/>
      <c r="BF372" s="4"/>
      <c r="BG372" s="4"/>
      <c r="BH372" s="4"/>
      <c r="BI372" s="4"/>
      <c r="BJ372" s="4"/>
      <c r="BK372" s="4"/>
      <c r="BL372" s="4"/>
      <c r="BM372" s="4"/>
      <c r="BN372" s="4"/>
      <c r="BO372" s="4"/>
      <c r="BP372" s="4"/>
      <c r="BQ372" s="4"/>
      <c r="BR372" s="4"/>
    </row>
    <row r="373" spans="1:70" ht="27" customHeight="1" x14ac:dyDescent="0.2">
      <c r="A373" s="532"/>
      <c r="B373" s="917"/>
      <c r="C373" s="4"/>
      <c r="D373" s="917"/>
      <c r="E373" s="4"/>
      <c r="F373" s="917"/>
      <c r="G373" s="4"/>
      <c r="H373" s="920"/>
      <c r="I373" s="3"/>
      <c r="J373" s="920"/>
      <c r="K373" s="3"/>
      <c r="L373" s="920"/>
      <c r="M373" s="3"/>
      <c r="N373" s="920"/>
      <c r="O373" s="3"/>
      <c r="P373" s="3"/>
      <c r="Q373" s="533"/>
      <c r="R373" s="920"/>
      <c r="S373" s="534"/>
      <c r="T373" s="920"/>
      <c r="U373" s="920"/>
      <c r="V373" s="920"/>
      <c r="W373" s="535"/>
      <c r="X373" s="687"/>
      <c r="Y373" s="687"/>
      <c r="Z373" s="687"/>
      <c r="AA373" s="678"/>
      <c r="AB373" s="543"/>
      <c r="AC373" s="3"/>
      <c r="AD373" s="533"/>
      <c r="AE373" s="3"/>
      <c r="AF373" s="4"/>
      <c r="AG373" s="4"/>
      <c r="AH373" s="4"/>
      <c r="AI373" s="4"/>
      <c r="AJ373" s="4"/>
      <c r="AK373" s="4"/>
      <c r="AL373" s="4"/>
      <c r="AM373" s="4"/>
      <c r="AN373" s="4"/>
      <c r="AO373" s="4"/>
      <c r="AP373" s="4"/>
      <c r="AQ373" s="4"/>
      <c r="AR373" s="4"/>
      <c r="AS373" s="4"/>
      <c r="AT373" s="4"/>
      <c r="AU373" s="4"/>
      <c r="AV373" s="537"/>
      <c r="AW373" s="537"/>
      <c r="AX373" s="4"/>
      <c r="AY373" s="4"/>
      <c r="AZ373" s="4"/>
      <c r="BA373" s="4"/>
      <c r="BB373" s="4"/>
      <c r="BC373" s="4"/>
      <c r="BD373" s="4"/>
      <c r="BE373" s="4"/>
      <c r="BF373" s="4"/>
      <c r="BG373" s="4"/>
      <c r="BH373" s="4"/>
      <c r="BI373" s="4"/>
      <c r="BJ373" s="4"/>
      <c r="BK373" s="4"/>
      <c r="BL373" s="4"/>
      <c r="BM373" s="4"/>
      <c r="BN373" s="4"/>
      <c r="BO373" s="4"/>
      <c r="BP373" s="4"/>
      <c r="BQ373" s="4"/>
      <c r="BR373" s="4"/>
    </row>
    <row r="374" spans="1:70" ht="27" customHeight="1" x14ac:dyDescent="0.2">
      <c r="A374" s="532"/>
      <c r="B374" s="917"/>
      <c r="C374" s="4"/>
      <c r="D374" s="917"/>
      <c r="E374" s="4"/>
      <c r="F374" s="917"/>
      <c r="G374" s="4"/>
      <c r="H374" s="920"/>
      <c r="I374" s="3"/>
      <c r="J374" s="920"/>
      <c r="K374" s="3"/>
      <c r="L374" s="920"/>
      <c r="M374" s="3"/>
      <c r="N374" s="920"/>
      <c r="O374" s="3"/>
      <c r="P374" s="3"/>
      <c r="Q374" s="533"/>
      <c r="R374" s="920"/>
      <c r="S374" s="534"/>
      <c r="T374" s="920"/>
      <c r="U374" s="920"/>
      <c r="V374" s="920"/>
      <c r="W374" s="535"/>
      <c r="X374" s="687"/>
      <c r="Y374" s="687"/>
      <c r="Z374" s="687"/>
      <c r="AA374" s="678"/>
      <c r="AB374" s="543"/>
      <c r="AC374" s="3"/>
      <c r="AD374" s="533"/>
      <c r="AE374" s="3"/>
      <c r="AF374" s="4"/>
      <c r="AG374" s="4"/>
      <c r="AH374" s="4"/>
      <c r="AI374" s="4"/>
      <c r="AJ374" s="4"/>
      <c r="AK374" s="4"/>
      <c r="AL374" s="4"/>
      <c r="AM374" s="4"/>
      <c r="AN374" s="4"/>
      <c r="AO374" s="4"/>
      <c r="AP374" s="4"/>
      <c r="AQ374" s="4"/>
      <c r="AR374" s="4"/>
      <c r="AS374" s="4"/>
      <c r="AT374" s="4"/>
      <c r="AU374" s="4"/>
      <c r="AV374" s="537"/>
      <c r="AW374" s="537"/>
      <c r="AX374" s="4"/>
      <c r="AY374" s="4"/>
      <c r="AZ374" s="4"/>
      <c r="BA374" s="4"/>
      <c r="BB374" s="4"/>
      <c r="BC374" s="4"/>
      <c r="BD374" s="4"/>
      <c r="BE374" s="4"/>
      <c r="BF374" s="4"/>
      <c r="BG374" s="4"/>
      <c r="BH374" s="4"/>
      <c r="BI374" s="4"/>
      <c r="BJ374" s="4"/>
      <c r="BK374" s="4"/>
      <c r="BL374" s="4"/>
      <c r="BM374" s="4"/>
      <c r="BN374" s="4"/>
      <c r="BO374" s="4"/>
      <c r="BP374" s="4"/>
      <c r="BQ374" s="4"/>
      <c r="BR374" s="4"/>
    </row>
    <row r="375" spans="1:70" ht="27" customHeight="1" x14ac:dyDescent="0.2">
      <c r="A375" s="532"/>
      <c r="B375" s="917"/>
      <c r="C375" s="4"/>
      <c r="D375" s="917"/>
      <c r="E375" s="4"/>
      <c r="F375" s="917"/>
      <c r="G375" s="4"/>
      <c r="H375" s="920"/>
      <c r="I375" s="3"/>
      <c r="J375" s="920"/>
      <c r="K375" s="3"/>
      <c r="L375" s="920"/>
      <c r="M375" s="3"/>
      <c r="N375" s="920"/>
      <c r="O375" s="3"/>
      <c r="P375" s="3"/>
      <c r="Q375" s="533"/>
      <c r="R375" s="920"/>
      <c r="S375" s="534"/>
      <c r="T375" s="920"/>
      <c r="U375" s="920"/>
      <c r="V375" s="920"/>
      <c r="W375" s="535"/>
      <c r="X375" s="687"/>
      <c r="Y375" s="687"/>
      <c r="Z375" s="687"/>
      <c r="AA375" s="678"/>
      <c r="AB375" s="543"/>
      <c r="AC375" s="3"/>
      <c r="AD375" s="533"/>
      <c r="AE375" s="3"/>
      <c r="AF375" s="4"/>
      <c r="AG375" s="4"/>
      <c r="AH375" s="4"/>
      <c r="AI375" s="4"/>
      <c r="AJ375" s="4"/>
      <c r="AK375" s="4"/>
      <c r="AL375" s="4"/>
      <c r="AM375" s="4"/>
      <c r="AN375" s="4"/>
      <c r="AO375" s="4"/>
      <c r="AP375" s="4"/>
      <c r="AQ375" s="4"/>
      <c r="AR375" s="4"/>
      <c r="AS375" s="4"/>
      <c r="AT375" s="4"/>
      <c r="AU375" s="4"/>
      <c r="AV375" s="537"/>
      <c r="AW375" s="537"/>
      <c r="AX375" s="4"/>
      <c r="AY375" s="4"/>
      <c r="AZ375" s="4"/>
      <c r="BA375" s="4"/>
      <c r="BB375" s="4"/>
      <c r="BC375" s="4"/>
      <c r="BD375" s="4"/>
      <c r="BE375" s="4"/>
      <c r="BF375" s="4"/>
      <c r="BG375" s="4"/>
      <c r="BH375" s="4"/>
      <c r="BI375" s="4"/>
      <c r="BJ375" s="4"/>
      <c r="BK375" s="4"/>
      <c r="BL375" s="4"/>
      <c r="BM375" s="4"/>
      <c r="BN375" s="4"/>
      <c r="BO375" s="4"/>
      <c r="BP375" s="4"/>
      <c r="BQ375" s="4"/>
      <c r="BR375" s="4"/>
    </row>
    <row r="376" spans="1:70" ht="27" customHeight="1" x14ac:dyDescent="0.2">
      <c r="A376" s="532"/>
      <c r="B376" s="917"/>
      <c r="C376" s="4"/>
      <c r="D376" s="917"/>
      <c r="E376" s="4"/>
      <c r="F376" s="917"/>
      <c r="G376" s="4"/>
      <c r="H376" s="920"/>
      <c r="I376" s="3"/>
      <c r="J376" s="920"/>
      <c r="K376" s="3"/>
      <c r="L376" s="920"/>
      <c r="M376" s="3"/>
      <c r="N376" s="920"/>
      <c r="O376" s="3"/>
      <c r="P376" s="3"/>
      <c r="Q376" s="533"/>
      <c r="R376" s="920"/>
      <c r="S376" s="534"/>
      <c r="T376" s="920"/>
      <c r="U376" s="920"/>
      <c r="V376" s="920"/>
      <c r="W376" s="535"/>
      <c r="X376" s="687"/>
      <c r="Y376" s="687"/>
      <c r="Z376" s="687"/>
      <c r="AA376" s="678"/>
      <c r="AB376" s="543"/>
      <c r="AC376" s="3"/>
      <c r="AD376" s="533"/>
      <c r="AE376" s="3"/>
      <c r="AF376" s="4"/>
      <c r="AG376" s="4"/>
      <c r="AH376" s="4"/>
      <c r="AI376" s="4"/>
      <c r="AJ376" s="4"/>
      <c r="AK376" s="4"/>
      <c r="AL376" s="4"/>
      <c r="AM376" s="4"/>
      <c r="AN376" s="4"/>
      <c r="AO376" s="4"/>
      <c r="AP376" s="4"/>
      <c r="AQ376" s="4"/>
      <c r="AR376" s="4"/>
      <c r="AS376" s="4"/>
      <c r="AT376" s="4"/>
      <c r="AU376" s="4"/>
      <c r="AV376" s="537"/>
      <c r="AW376" s="537"/>
      <c r="AX376" s="4"/>
      <c r="AY376" s="4"/>
      <c r="AZ376" s="4"/>
      <c r="BA376" s="4"/>
      <c r="BB376" s="4"/>
      <c r="BC376" s="4"/>
      <c r="BD376" s="4"/>
      <c r="BE376" s="4"/>
      <c r="BF376" s="4"/>
      <c r="BG376" s="4"/>
      <c r="BH376" s="4"/>
      <c r="BI376" s="4"/>
      <c r="BJ376" s="4"/>
      <c r="BK376" s="4"/>
      <c r="BL376" s="4"/>
      <c r="BM376" s="4"/>
      <c r="BN376" s="4"/>
      <c r="BO376" s="4"/>
      <c r="BP376" s="4"/>
      <c r="BQ376" s="4"/>
      <c r="BR376" s="4"/>
    </row>
    <row r="377" spans="1:70" ht="27" customHeight="1" x14ac:dyDescent="0.2">
      <c r="A377" s="532"/>
      <c r="B377" s="917"/>
      <c r="C377" s="4"/>
      <c r="D377" s="917"/>
      <c r="E377" s="4"/>
      <c r="F377" s="917"/>
      <c r="G377" s="4"/>
      <c r="H377" s="920"/>
      <c r="I377" s="3"/>
      <c r="J377" s="920"/>
      <c r="K377" s="3"/>
      <c r="L377" s="920"/>
      <c r="M377" s="3"/>
      <c r="N377" s="920"/>
      <c r="O377" s="3"/>
      <c r="P377" s="3"/>
      <c r="Q377" s="533"/>
      <c r="R377" s="920"/>
      <c r="S377" s="534"/>
      <c r="T377" s="920"/>
      <c r="U377" s="920"/>
      <c r="V377" s="920"/>
      <c r="W377" s="535"/>
      <c r="X377" s="687"/>
      <c r="Y377" s="687"/>
      <c r="Z377" s="687"/>
      <c r="AA377" s="678"/>
      <c r="AB377" s="543"/>
      <c r="AC377" s="3"/>
      <c r="AD377" s="533"/>
      <c r="AE377" s="3"/>
      <c r="AF377" s="4"/>
      <c r="AG377" s="4"/>
      <c r="AH377" s="4"/>
      <c r="AI377" s="4"/>
      <c r="AJ377" s="4"/>
      <c r="AK377" s="4"/>
      <c r="AL377" s="4"/>
      <c r="AM377" s="4"/>
      <c r="AN377" s="4"/>
      <c r="AO377" s="4"/>
      <c r="AP377" s="4"/>
      <c r="AQ377" s="4"/>
      <c r="AR377" s="4"/>
      <c r="AS377" s="4"/>
      <c r="AT377" s="4"/>
      <c r="AU377" s="4"/>
      <c r="AV377" s="537"/>
      <c r="AW377" s="537"/>
      <c r="AX377" s="4"/>
      <c r="AY377" s="4"/>
      <c r="AZ377" s="4"/>
      <c r="BA377" s="4"/>
      <c r="BB377" s="4"/>
      <c r="BC377" s="4"/>
      <c r="BD377" s="4"/>
      <c r="BE377" s="4"/>
      <c r="BF377" s="4"/>
      <c r="BG377" s="4"/>
      <c r="BH377" s="4"/>
      <c r="BI377" s="4"/>
      <c r="BJ377" s="4"/>
      <c r="BK377" s="4"/>
      <c r="BL377" s="4"/>
      <c r="BM377" s="4"/>
      <c r="BN377" s="4"/>
      <c r="BO377" s="4"/>
      <c r="BP377" s="4"/>
      <c r="BQ377" s="4"/>
      <c r="BR377" s="4"/>
    </row>
    <row r="378" spans="1:70" ht="27" customHeight="1" x14ac:dyDescent="0.2">
      <c r="A378" s="532"/>
      <c r="B378" s="917"/>
      <c r="C378" s="4"/>
      <c r="D378" s="917"/>
      <c r="E378" s="4"/>
      <c r="F378" s="917"/>
      <c r="G378" s="4"/>
      <c r="H378" s="920"/>
      <c r="I378" s="3"/>
      <c r="J378" s="920"/>
      <c r="K378" s="3"/>
      <c r="L378" s="920"/>
      <c r="M378" s="3"/>
      <c r="N378" s="920"/>
      <c r="O378" s="3"/>
      <c r="P378" s="3"/>
      <c r="Q378" s="533"/>
      <c r="R378" s="920"/>
      <c r="S378" s="534"/>
      <c r="T378" s="920"/>
      <c r="U378" s="920"/>
      <c r="V378" s="920"/>
      <c r="W378" s="535"/>
      <c r="X378" s="687"/>
      <c r="Y378" s="687"/>
      <c r="Z378" s="687"/>
      <c r="AA378" s="678"/>
      <c r="AB378" s="543"/>
      <c r="AC378" s="3"/>
      <c r="AD378" s="533"/>
      <c r="AE378" s="3"/>
      <c r="AF378" s="4"/>
      <c r="AG378" s="4"/>
      <c r="AH378" s="4"/>
      <c r="AI378" s="4"/>
      <c r="AJ378" s="4"/>
      <c r="AK378" s="4"/>
      <c r="AL378" s="4"/>
      <c r="AM378" s="4"/>
      <c r="AN378" s="4"/>
      <c r="AO378" s="4"/>
      <c r="AP378" s="4"/>
      <c r="AQ378" s="4"/>
      <c r="AR378" s="4"/>
      <c r="AS378" s="4"/>
      <c r="AT378" s="4"/>
      <c r="AU378" s="4"/>
      <c r="AV378" s="537"/>
      <c r="AW378" s="537"/>
      <c r="AX378" s="4"/>
      <c r="AY378" s="4"/>
      <c r="AZ378" s="4"/>
      <c r="BA378" s="4"/>
      <c r="BB378" s="4"/>
      <c r="BC378" s="4"/>
      <c r="BD378" s="4"/>
      <c r="BE378" s="4"/>
      <c r="BF378" s="4"/>
      <c r="BG378" s="4"/>
      <c r="BH378" s="4"/>
      <c r="BI378" s="4"/>
      <c r="BJ378" s="4"/>
      <c r="BK378" s="4"/>
      <c r="BL378" s="4"/>
      <c r="BM378" s="4"/>
      <c r="BN378" s="4"/>
      <c r="BO378" s="4"/>
      <c r="BP378" s="4"/>
      <c r="BQ378" s="4"/>
      <c r="BR378" s="4"/>
    </row>
    <row r="379" spans="1:70" ht="27" customHeight="1" x14ac:dyDescent="0.2">
      <c r="A379" s="532"/>
      <c r="B379" s="917"/>
      <c r="C379" s="4"/>
      <c r="D379" s="917"/>
      <c r="E379" s="4"/>
      <c r="F379" s="917"/>
      <c r="G379" s="4"/>
      <c r="H379" s="920"/>
      <c r="I379" s="3"/>
      <c r="J379" s="920"/>
      <c r="K379" s="3"/>
      <c r="L379" s="920"/>
      <c r="M379" s="3"/>
      <c r="N379" s="920"/>
      <c r="O379" s="3"/>
      <c r="P379" s="3"/>
      <c r="Q379" s="533"/>
      <c r="R379" s="920"/>
      <c r="S379" s="534"/>
      <c r="T379" s="920"/>
      <c r="U379" s="920"/>
      <c r="V379" s="920"/>
      <c r="W379" s="535"/>
      <c r="X379" s="687"/>
      <c r="Y379" s="687"/>
      <c r="Z379" s="687"/>
      <c r="AA379" s="678"/>
      <c r="AB379" s="543"/>
      <c r="AC379" s="3"/>
      <c r="AD379" s="533"/>
      <c r="AE379" s="3"/>
      <c r="AF379" s="4"/>
      <c r="AG379" s="4"/>
      <c r="AH379" s="4"/>
      <c r="AI379" s="4"/>
      <c r="AJ379" s="4"/>
      <c r="AK379" s="4"/>
      <c r="AL379" s="4"/>
      <c r="AM379" s="4"/>
      <c r="AN379" s="4"/>
      <c r="AO379" s="4"/>
      <c r="AP379" s="4"/>
      <c r="AQ379" s="4"/>
      <c r="AR379" s="4"/>
      <c r="AS379" s="4"/>
      <c r="AT379" s="4"/>
      <c r="AU379" s="4"/>
      <c r="AV379" s="537"/>
      <c r="AW379" s="537"/>
      <c r="AX379" s="4"/>
      <c r="AY379" s="4"/>
      <c r="AZ379" s="4"/>
      <c r="BA379" s="4"/>
      <c r="BB379" s="4"/>
      <c r="BC379" s="4"/>
      <c r="BD379" s="4"/>
      <c r="BE379" s="4"/>
      <c r="BF379" s="4"/>
      <c r="BG379" s="4"/>
      <c r="BH379" s="4"/>
      <c r="BI379" s="4"/>
      <c r="BJ379" s="4"/>
      <c r="BK379" s="4"/>
      <c r="BL379" s="4"/>
      <c r="BM379" s="4"/>
      <c r="BN379" s="4"/>
      <c r="BO379" s="4"/>
      <c r="BP379" s="4"/>
      <c r="BQ379" s="4"/>
      <c r="BR379" s="4"/>
    </row>
    <row r="380" spans="1:70" ht="27" customHeight="1" x14ac:dyDescent="0.2">
      <c r="A380" s="532"/>
      <c r="B380" s="917"/>
      <c r="C380" s="4"/>
      <c r="D380" s="917"/>
      <c r="E380" s="4"/>
      <c r="F380" s="917"/>
      <c r="G380" s="4"/>
      <c r="H380" s="920"/>
      <c r="I380" s="3"/>
      <c r="J380" s="920"/>
      <c r="K380" s="3"/>
      <c r="L380" s="920"/>
      <c r="M380" s="3"/>
      <c r="N380" s="920"/>
      <c r="O380" s="3"/>
      <c r="P380" s="3"/>
      <c r="Q380" s="533"/>
      <c r="R380" s="920"/>
      <c r="S380" s="534"/>
      <c r="T380" s="920"/>
      <c r="U380" s="920"/>
      <c r="V380" s="920"/>
      <c r="W380" s="535"/>
      <c r="X380" s="687"/>
      <c r="Y380" s="687"/>
      <c r="Z380" s="687"/>
      <c r="AA380" s="678"/>
      <c r="AB380" s="543"/>
      <c r="AC380" s="3"/>
      <c r="AD380" s="533"/>
      <c r="AE380" s="3"/>
      <c r="AF380" s="4"/>
      <c r="AG380" s="4"/>
      <c r="AH380" s="4"/>
      <c r="AI380" s="4"/>
      <c r="AJ380" s="4"/>
      <c r="AK380" s="4"/>
      <c r="AL380" s="4"/>
      <c r="AM380" s="4"/>
      <c r="AN380" s="4"/>
      <c r="AO380" s="4"/>
      <c r="AP380" s="4"/>
      <c r="AQ380" s="4"/>
      <c r="AR380" s="4"/>
      <c r="AS380" s="4"/>
      <c r="AT380" s="4"/>
      <c r="AU380" s="4"/>
      <c r="AV380" s="537"/>
      <c r="AW380" s="537"/>
      <c r="AX380" s="4"/>
      <c r="AY380" s="4"/>
      <c r="AZ380" s="4"/>
      <c r="BA380" s="4"/>
      <c r="BB380" s="4"/>
      <c r="BC380" s="4"/>
      <c r="BD380" s="4"/>
      <c r="BE380" s="4"/>
      <c r="BF380" s="4"/>
      <c r="BG380" s="4"/>
      <c r="BH380" s="4"/>
      <c r="BI380" s="4"/>
      <c r="BJ380" s="4"/>
      <c r="BK380" s="4"/>
      <c r="BL380" s="4"/>
      <c r="BM380" s="4"/>
      <c r="BN380" s="4"/>
      <c r="BO380" s="4"/>
      <c r="BP380" s="4"/>
      <c r="BQ380" s="4"/>
      <c r="BR380" s="4"/>
    </row>
    <row r="381" spans="1:70" ht="27" customHeight="1" x14ac:dyDescent="0.2">
      <c r="A381" s="532"/>
      <c r="B381" s="917"/>
      <c r="C381" s="4"/>
      <c r="D381" s="917"/>
      <c r="E381" s="4"/>
      <c r="F381" s="917"/>
      <c r="G381" s="4"/>
      <c r="H381" s="920"/>
      <c r="I381" s="3"/>
      <c r="J381" s="920"/>
      <c r="K381" s="3"/>
      <c r="L381" s="920"/>
      <c r="M381" s="3"/>
      <c r="N381" s="920"/>
      <c r="O381" s="3"/>
      <c r="P381" s="3"/>
      <c r="Q381" s="533"/>
      <c r="R381" s="920"/>
      <c r="S381" s="534"/>
      <c r="T381" s="920"/>
      <c r="U381" s="920"/>
      <c r="V381" s="920"/>
      <c r="W381" s="535"/>
      <c r="X381" s="687"/>
      <c r="Y381" s="687"/>
      <c r="Z381" s="687"/>
      <c r="AA381" s="678"/>
      <c r="AB381" s="543"/>
      <c r="AC381" s="3"/>
      <c r="AD381" s="533"/>
      <c r="AE381" s="3"/>
      <c r="AF381" s="4"/>
      <c r="AG381" s="4"/>
      <c r="AH381" s="4"/>
      <c r="AI381" s="4"/>
      <c r="AJ381" s="4"/>
      <c r="AK381" s="4"/>
      <c r="AL381" s="4"/>
      <c r="AM381" s="4"/>
      <c r="AN381" s="4"/>
      <c r="AO381" s="4"/>
      <c r="AP381" s="4"/>
      <c r="AQ381" s="4"/>
      <c r="AR381" s="4"/>
      <c r="AS381" s="4"/>
      <c r="AT381" s="4"/>
      <c r="AU381" s="4"/>
      <c r="AV381" s="537"/>
      <c r="AW381" s="537"/>
      <c r="AX381" s="4"/>
      <c r="AY381" s="4"/>
      <c r="AZ381" s="4"/>
      <c r="BA381" s="4"/>
      <c r="BB381" s="4"/>
      <c r="BC381" s="4"/>
      <c r="BD381" s="4"/>
      <c r="BE381" s="4"/>
      <c r="BF381" s="4"/>
      <c r="BG381" s="4"/>
      <c r="BH381" s="4"/>
      <c r="BI381" s="4"/>
      <c r="BJ381" s="4"/>
      <c r="BK381" s="4"/>
      <c r="BL381" s="4"/>
      <c r="BM381" s="4"/>
      <c r="BN381" s="4"/>
      <c r="BO381" s="4"/>
      <c r="BP381" s="4"/>
      <c r="BQ381" s="4"/>
      <c r="BR381" s="4"/>
    </row>
    <row r="382" spans="1:70" ht="27" customHeight="1" x14ac:dyDescent="0.2">
      <c r="A382" s="532"/>
      <c r="B382" s="917"/>
      <c r="C382" s="4"/>
      <c r="D382" s="917"/>
      <c r="E382" s="4"/>
      <c r="F382" s="917"/>
      <c r="G382" s="4"/>
      <c r="H382" s="920"/>
      <c r="I382" s="3"/>
      <c r="J382" s="920"/>
      <c r="K382" s="3"/>
      <c r="L382" s="920"/>
      <c r="M382" s="3"/>
      <c r="N382" s="920"/>
      <c r="O382" s="3"/>
      <c r="P382" s="3"/>
      <c r="Q382" s="533"/>
      <c r="R382" s="920"/>
      <c r="S382" s="534"/>
      <c r="T382" s="920"/>
      <c r="U382" s="920"/>
      <c r="V382" s="920"/>
      <c r="W382" s="535"/>
      <c r="X382" s="687"/>
      <c r="Y382" s="687"/>
      <c r="Z382" s="687"/>
      <c r="AA382" s="678"/>
      <c r="AB382" s="543"/>
      <c r="AC382" s="3"/>
      <c r="AD382" s="533"/>
      <c r="AE382" s="3"/>
      <c r="AF382" s="4"/>
      <c r="AG382" s="4"/>
      <c r="AH382" s="4"/>
      <c r="AI382" s="4"/>
      <c r="AJ382" s="4"/>
      <c r="AK382" s="4"/>
      <c r="AL382" s="4"/>
      <c r="AM382" s="4"/>
      <c r="AN382" s="4"/>
      <c r="AO382" s="4"/>
      <c r="AP382" s="4"/>
      <c r="AQ382" s="4"/>
      <c r="AR382" s="4"/>
      <c r="AS382" s="4"/>
      <c r="AT382" s="4"/>
      <c r="AU382" s="4"/>
      <c r="AV382" s="537"/>
      <c r="AW382" s="537"/>
      <c r="AX382" s="4"/>
      <c r="AY382" s="4"/>
      <c r="AZ382" s="4"/>
      <c r="BA382" s="4"/>
      <c r="BB382" s="4"/>
      <c r="BC382" s="4"/>
      <c r="BD382" s="4"/>
      <c r="BE382" s="4"/>
      <c r="BF382" s="4"/>
      <c r="BG382" s="4"/>
      <c r="BH382" s="4"/>
      <c r="BI382" s="4"/>
      <c r="BJ382" s="4"/>
      <c r="BK382" s="4"/>
      <c r="BL382" s="4"/>
      <c r="BM382" s="4"/>
      <c r="BN382" s="4"/>
      <c r="BO382" s="4"/>
      <c r="BP382" s="4"/>
      <c r="BQ382" s="4"/>
      <c r="BR382" s="4"/>
    </row>
    <row r="383" spans="1:70" ht="27" customHeight="1" x14ac:dyDescent="0.2">
      <c r="A383" s="532"/>
      <c r="B383" s="917"/>
      <c r="C383" s="4"/>
      <c r="D383" s="917"/>
      <c r="E383" s="4"/>
      <c r="F383" s="917"/>
      <c r="G383" s="4"/>
      <c r="H383" s="920"/>
      <c r="I383" s="3"/>
      <c r="J383" s="920"/>
      <c r="K383" s="3"/>
      <c r="L383" s="920"/>
      <c r="M383" s="3"/>
      <c r="N383" s="920"/>
      <c r="O383" s="3"/>
      <c r="P383" s="3"/>
      <c r="Q383" s="533"/>
      <c r="R383" s="920"/>
      <c r="S383" s="534"/>
      <c r="T383" s="920"/>
      <c r="U383" s="920"/>
      <c r="V383" s="920"/>
      <c r="W383" s="535"/>
      <c r="X383" s="687"/>
      <c r="Y383" s="687"/>
      <c r="Z383" s="687"/>
      <c r="AA383" s="678"/>
      <c r="AB383" s="543"/>
      <c r="AC383" s="3"/>
      <c r="AD383" s="533"/>
      <c r="AE383" s="3"/>
      <c r="AF383" s="4"/>
      <c r="AG383" s="4"/>
      <c r="AH383" s="4"/>
      <c r="AI383" s="4"/>
      <c r="AJ383" s="4"/>
      <c r="AK383" s="4"/>
      <c r="AL383" s="4"/>
      <c r="AM383" s="4"/>
      <c r="AN383" s="4"/>
      <c r="AO383" s="4"/>
      <c r="AP383" s="4"/>
      <c r="AQ383" s="4"/>
      <c r="AR383" s="4"/>
      <c r="AS383" s="4"/>
      <c r="AT383" s="4"/>
      <c r="AU383" s="4"/>
      <c r="AV383" s="537"/>
      <c r="AW383" s="537"/>
      <c r="AX383" s="4"/>
      <c r="AY383" s="4"/>
      <c r="AZ383" s="4"/>
      <c r="BA383" s="4"/>
      <c r="BB383" s="4"/>
      <c r="BC383" s="4"/>
      <c r="BD383" s="4"/>
      <c r="BE383" s="4"/>
      <c r="BF383" s="4"/>
      <c r="BG383" s="4"/>
      <c r="BH383" s="4"/>
      <c r="BI383" s="4"/>
      <c r="BJ383" s="4"/>
      <c r="BK383" s="4"/>
      <c r="BL383" s="4"/>
      <c r="BM383" s="4"/>
      <c r="BN383" s="4"/>
      <c r="BO383" s="4"/>
      <c r="BP383" s="4"/>
      <c r="BQ383" s="4"/>
      <c r="BR383" s="4"/>
    </row>
    <row r="384" spans="1:70" ht="27" customHeight="1" x14ac:dyDescent="0.2">
      <c r="A384" s="532"/>
      <c r="B384" s="917"/>
      <c r="C384" s="4"/>
      <c r="D384" s="917"/>
      <c r="E384" s="4"/>
      <c r="F384" s="917"/>
      <c r="G384" s="4"/>
      <c r="H384" s="920"/>
      <c r="I384" s="3"/>
      <c r="J384" s="920"/>
      <c r="K384" s="3"/>
      <c r="L384" s="920"/>
      <c r="M384" s="3"/>
      <c r="N384" s="920"/>
      <c r="O384" s="3"/>
      <c r="P384" s="3"/>
      <c r="Q384" s="533"/>
      <c r="R384" s="920"/>
      <c r="S384" s="534"/>
      <c r="T384" s="920"/>
      <c r="U384" s="920"/>
      <c r="V384" s="920"/>
      <c r="W384" s="535"/>
      <c r="X384" s="687"/>
      <c r="Y384" s="687"/>
      <c r="Z384" s="687"/>
      <c r="AA384" s="678"/>
      <c r="AB384" s="543"/>
      <c r="AC384" s="3"/>
      <c r="AD384" s="533"/>
      <c r="AE384" s="3"/>
      <c r="AF384" s="4"/>
      <c r="AG384" s="4"/>
      <c r="AH384" s="4"/>
      <c r="AI384" s="4"/>
      <c r="AJ384" s="4"/>
      <c r="AK384" s="4"/>
      <c r="AL384" s="4"/>
      <c r="AM384" s="4"/>
      <c r="AN384" s="4"/>
      <c r="AO384" s="4"/>
      <c r="AP384" s="4"/>
      <c r="AQ384" s="4"/>
      <c r="AR384" s="4"/>
      <c r="AS384" s="4"/>
      <c r="AT384" s="4"/>
      <c r="AU384" s="4"/>
      <c r="AV384" s="537"/>
      <c r="AW384" s="537"/>
      <c r="AX384" s="4"/>
      <c r="AY384" s="4"/>
      <c r="AZ384" s="4"/>
      <c r="BA384" s="4"/>
      <c r="BB384" s="4"/>
      <c r="BC384" s="4"/>
      <c r="BD384" s="4"/>
      <c r="BE384" s="4"/>
      <c r="BF384" s="4"/>
      <c r="BG384" s="4"/>
      <c r="BH384" s="4"/>
      <c r="BI384" s="4"/>
      <c r="BJ384" s="4"/>
      <c r="BK384" s="4"/>
      <c r="BL384" s="4"/>
      <c r="BM384" s="4"/>
      <c r="BN384" s="4"/>
      <c r="BO384" s="4"/>
      <c r="BP384" s="4"/>
      <c r="BQ384" s="4"/>
      <c r="BR384" s="4"/>
    </row>
    <row r="385" spans="1:70" ht="27" customHeight="1" x14ac:dyDescent="0.2">
      <c r="A385" s="532"/>
      <c r="B385" s="917"/>
      <c r="C385" s="4"/>
      <c r="D385" s="917"/>
      <c r="E385" s="4"/>
      <c r="F385" s="917"/>
      <c r="G385" s="4"/>
      <c r="H385" s="920"/>
      <c r="I385" s="3"/>
      <c r="J385" s="920"/>
      <c r="K385" s="3"/>
      <c r="L385" s="920"/>
      <c r="M385" s="3"/>
      <c r="N385" s="920"/>
      <c r="O385" s="3"/>
      <c r="P385" s="3"/>
      <c r="Q385" s="533"/>
      <c r="R385" s="920"/>
      <c r="S385" s="534"/>
      <c r="T385" s="920"/>
      <c r="U385" s="920"/>
      <c r="V385" s="920"/>
      <c r="W385" s="535"/>
      <c r="X385" s="687"/>
      <c r="Y385" s="687"/>
      <c r="Z385" s="687"/>
      <c r="AA385" s="678"/>
      <c r="AB385" s="543"/>
      <c r="AC385" s="3"/>
      <c r="AD385" s="533"/>
      <c r="AE385" s="3"/>
      <c r="AF385" s="4"/>
      <c r="AG385" s="4"/>
      <c r="AH385" s="4"/>
      <c r="AI385" s="4"/>
      <c r="AJ385" s="4"/>
      <c r="AK385" s="4"/>
      <c r="AL385" s="4"/>
      <c r="AM385" s="4"/>
      <c r="AN385" s="4"/>
      <c r="AO385" s="4"/>
      <c r="AP385" s="4"/>
      <c r="AQ385" s="4"/>
      <c r="AR385" s="4"/>
      <c r="AS385" s="4"/>
      <c r="AT385" s="4"/>
      <c r="AU385" s="4"/>
      <c r="AV385" s="537"/>
      <c r="AW385" s="537"/>
      <c r="AX385" s="4"/>
      <c r="AY385" s="4"/>
      <c r="AZ385" s="4"/>
      <c r="BA385" s="4"/>
      <c r="BB385" s="4"/>
      <c r="BC385" s="4"/>
      <c r="BD385" s="4"/>
      <c r="BE385" s="4"/>
      <c r="BF385" s="4"/>
      <c r="BG385" s="4"/>
      <c r="BH385" s="4"/>
      <c r="BI385" s="4"/>
      <c r="BJ385" s="4"/>
      <c r="BK385" s="4"/>
      <c r="BL385" s="4"/>
      <c r="BM385" s="4"/>
      <c r="BN385" s="4"/>
      <c r="BO385" s="4"/>
      <c r="BP385" s="4"/>
      <c r="BQ385" s="4"/>
      <c r="BR385" s="4"/>
    </row>
    <row r="386" spans="1:70" ht="27" customHeight="1" x14ac:dyDescent="0.2">
      <c r="A386" s="532"/>
      <c r="B386" s="917"/>
      <c r="C386" s="4"/>
      <c r="D386" s="917"/>
      <c r="E386" s="4"/>
      <c r="F386" s="917"/>
      <c r="G386" s="4"/>
      <c r="H386" s="920"/>
      <c r="I386" s="3"/>
      <c r="J386" s="920"/>
      <c r="K386" s="3"/>
      <c r="L386" s="920"/>
      <c r="M386" s="3"/>
      <c r="N386" s="920"/>
      <c r="O386" s="3"/>
      <c r="P386" s="3"/>
      <c r="Q386" s="533"/>
      <c r="R386" s="920"/>
      <c r="S386" s="534"/>
      <c r="T386" s="920"/>
      <c r="U386" s="920"/>
      <c r="V386" s="920"/>
      <c r="W386" s="535"/>
      <c r="X386" s="687"/>
      <c r="Y386" s="687"/>
      <c r="Z386" s="687"/>
      <c r="AA386" s="678"/>
      <c r="AB386" s="543"/>
      <c r="AC386" s="3"/>
      <c r="AD386" s="533"/>
      <c r="AE386" s="3"/>
      <c r="AF386" s="4"/>
      <c r="AG386" s="4"/>
      <c r="AH386" s="4"/>
      <c r="AI386" s="4"/>
      <c r="AJ386" s="4"/>
      <c r="AK386" s="4"/>
      <c r="AL386" s="4"/>
      <c r="AM386" s="4"/>
      <c r="AN386" s="4"/>
      <c r="AO386" s="4"/>
      <c r="AP386" s="4"/>
      <c r="AQ386" s="4"/>
      <c r="AR386" s="4"/>
      <c r="AS386" s="4"/>
      <c r="AT386" s="4"/>
      <c r="AU386" s="4"/>
      <c r="AV386" s="537"/>
      <c r="AW386" s="537"/>
      <c r="AX386" s="4"/>
      <c r="AY386" s="4"/>
      <c r="AZ386" s="4"/>
      <c r="BA386" s="4"/>
      <c r="BB386" s="4"/>
      <c r="BC386" s="4"/>
      <c r="BD386" s="4"/>
      <c r="BE386" s="4"/>
      <c r="BF386" s="4"/>
      <c r="BG386" s="4"/>
      <c r="BH386" s="4"/>
      <c r="BI386" s="4"/>
      <c r="BJ386" s="4"/>
      <c r="BK386" s="4"/>
      <c r="BL386" s="4"/>
      <c r="BM386" s="4"/>
      <c r="BN386" s="4"/>
      <c r="BO386" s="4"/>
      <c r="BP386" s="4"/>
      <c r="BQ386" s="4"/>
      <c r="BR386" s="4"/>
    </row>
    <row r="387" spans="1:70" ht="27" customHeight="1" x14ac:dyDescent="0.2">
      <c r="A387" s="532"/>
      <c r="B387" s="917"/>
      <c r="C387" s="4"/>
      <c r="D387" s="917"/>
      <c r="E387" s="4"/>
      <c r="F387" s="917"/>
      <c r="G387" s="4"/>
      <c r="H387" s="920"/>
      <c r="I387" s="3"/>
      <c r="J387" s="920"/>
      <c r="K387" s="3"/>
      <c r="L387" s="920"/>
      <c r="M387" s="3"/>
      <c r="N387" s="920"/>
      <c r="O387" s="3"/>
      <c r="P387" s="3"/>
      <c r="Q387" s="533"/>
      <c r="R387" s="920"/>
      <c r="S387" s="534"/>
      <c r="T387" s="920"/>
      <c r="U387" s="920"/>
      <c r="V387" s="920"/>
      <c r="W387" s="535"/>
      <c r="X387" s="687"/>
      <c r="Y387" s="687"/>
      <c r="Z387" s="687"/>
      <c r="AA387" s="678"/>
      <c r="AB387" s="543"/>
      <c r="AC387" s="3"/>
      <c r="AD387" s="533"/>
      <c r="AE387" s="3"/>
      <c r="AF387" s="4"/>
      <c r="AG387" s="4"/>
      <c r="AH387" s="4"/>
      <c r="AI387" s="4"/>
      <c r="AJ387" s="4"/>
      <c r="AK387" s="4"/>
      <c r="AL387" s="4"/>
      <c r="AM387" s="4"/>
      <c r="AN387" s="4"/>
      <c r="AO387" s="4"/>
      <c r="AP387" s="4"/>
      <c r="AQ387" s="4"/>
      <c r="AR387" s="4"/>
      <c r="AS387" s="4"/>
      <c r="AT387" s="4"/>
      <c r="AU387" s="4"/>
      <c r="AV387" s="537"/>
      <c r="AW387" s="537"/>
      <c r="AX387" s="4"/>
      <c r="AY387" s="4"/>
      <c r="AZ387" s="4"/>
      <c r="BA387" s="4"/>
      <c r="BB387" s="4"/>
      <c r="BC387" s="4"/>
      <c r="BD387" s="4"/>
      <c r="BE387" s="4"/>
      <c r="BF387" s="4"/>
      <c r="BG387" s="4"/>
      <c r="BH387" s="4"/>
      <c r="BI387" s="4"/>
      <c r="BJ387" s="4"/>
      <c r="BK387" s="4"/>
      <c r="BL387" s="4"/>
      <c r="BM387" s="4"/>
      <c r="BN387" s="4"/>
      <c r="BO387" s="4"/>
      <c r="BP387" s="4"/>
      <c r="BQ387" s="4"/>
      <c r="BR387" s="4"/>
    </row>
    <row r="388" spans="1:70" ht="27" customHeight="1" x14ac:dyDescent="0.2">
      <c r="A388" s="532"/>
      <c r="B388" s="917"/>
      <c r="C388" s="4"/>
      <c r="D388" s="917"/>
      <c r="E388" s="4"/>
      <c r="F388" s="917"/>
      <c r="G388" s="4"/>
      <c r="H388" s="920"/>
      <c r="I388" s="3"/>
      <c r="J388" s="920"/>
      <c r="K388" s="3"/>
      <c r="L388" s="920"/>
      <c r="M388" s="3"/>
      <c r="N388" s="920"/>
      <c r="O388" s="3"/>
      <c r="P388" s="3"/>
      <c r="Q388" s="533"/>
      <c r="R388" s="920"/>
      <c r="S388" s="534"/>
      <c r="T388" s="920"/>
      <c r="U388" s="920"/>
      <c r="V388" s="920"/>
      <c r="W388" s="535"/>
      <c r="X388" s="687"/>
      <c r="Y388" s="687"/>
      <c r="Z388" s="687"/>
      <c r="AA388" s="678"/>
      <c r="AB388" s="543"/>
      <c r="AC388" s="3"/>
      <c r="AD388" s="533"/>
      <c r="AE388" s="3"/>
      <c r="AF388" s="4"/>
      <c r="AG388" s="4"/>
      <c r="AH388" s="4"/>
      <c r="AI388" s="4"/>
      <c r="AJ388" s="4"/>
      <c r="AK388" s="4"/>
      <c r="AL388" s="4"/>
      <c r="AM388" s="4"/>
      <c r="AN388" s="4"/>
      <c r="AO388" s="4"/>
      <c r="AP388" s="4"/>
      <c r="AQ388" s="4"/>
      <c r="AR388" s="4"/>
      <c r="AS388" s="4"/>
      <c r="AT388" s="4"/>
      <c r="AU388" s="4"/>
      <c r="AV388" s="537"/>
      <c r="AW388" s="537"/>
      <c r="AX388" s="4"/>
      <c r="AY388" s="4"/>
      <c r="AZ388" s="4"/>
      <c r="BA388" s="4"/>
      <c r="BB388" s="4"/>
      <c r="BC388" s="4"/>
      <c r="BD388" s="4"/>
      <c r="BE388" s="4"/>
      <c r="BF388" s="4"/>
      <c r="BG388" s="4"/>
      <c r="BH388" s="4"/>
      <c r="BI388" s="4"/>
      <c r="BJ388" s="4"/>
      <c r="BK388" s="4"/>
      <c r="BL388" s="4"/>
      <c r="BM388" s="4"/>
      <c r="BN388" s="4"/>
      <c r="BO388" s="4"/>
      <c r="BP388" s="4"/>
      <c r="BQ388" s="4"/>
      <c r="BR388" s="4"/>
    </row>
    <row r="389" spans="1:70" ht="27" customHeight="1" x14ac:dyDescent="0.2">
      <c r="A389" s="532"/>
      <c r="B389" s="917"/>
      <c r="C389" s="4"/>
      <c r="D389" s="917"/>
      <c r="E389" s="4"/>
      <c r="F389" s="917"/>
      <c r="G389" s="4"/>
      <c r="H389" s="920"/>
      <c r="I389" s="3"/>
      <c r="J389" s="920"/>
      <c r="K389" s="3"/>
      <c r="L389" s="920"/>
      <c r="M389" s="3"/>
      <c r="N389" s="920"/>
      <c r="O389" s="3"/>
      <c r="P389" s="3"/>
      <c r="Q389" s="533"/>
      <c r="R389" s="920"/>
      <c r="S389" s="534"/>
      <c r="T389" s="920"/>
      <c r="U389" s="920"/>
      <c r="V389" s="920"/>
      <c r="W389" s="535"/>
      <c r="X389" s="687"/>
      <c r="Y389" s="687"/>
      <c r="Z389" s="687"/>
      <c r="AA389" s="678"/>
      <c r="AB389" s="543"/>
      <c r="AC389" s="3"/>
      <c r="AD389" s="533"/>
      <c r="AE389" s="3"/>
      <c r="AF389" s="4"/>
      <c r="AG389" s="4"/>
      <c r="AH389" s="4"/>
      <c r="AI389" s="4"/>
      <c r="AJ389" s="4"/>
      <c r="AK389" s="4"/>
      <c r="AL389" s="4"/>
      <c r="AM389" s="4"/>
      <c r="AN389" s="4"/>
      <c r="AO389" s="4"/>
      <c r="AP389" s="4"/>
      <c r="AQ389" s="4"/>
      <c r="AR389" s="4"/>
      <c r="AS389" s="4"/>
      <c r="AT389" s="4"/>
      <c r="AU389" s="4"/>
      <c r="AV389" s="537"/>
      <c r="AW389" s="537"/>
      <c r="AX389" s="4"/>
      <c r="AY389" s="4"/>
      <c r="AZ389" s="4"/>
      <c r="BA389" s="4"/>
      <c r="BB389" s="4"/>
      <c r="BC389" s="4"/>
      <c r="BD389" s="4"/>
      <c r="BE389" s="4"/>
      <c r="BF389" s="4"/>
      <c r="BG389" s="4"/>
      <c r="BH389" s="4"/>
      <c r="BI389" s="4"/>
      <c r="BJ389" s="4"/>
      <c r="BK389" s="4"/>
      <c r="BL389" s="4"/>
      <c r="BM389" s="4"/>
      <c r="BN389" s="4"/>
      <c r="BO389" s="4"/>
      <c r="BP389" s="4"/>
      <c r="BQ389" s="4"/>
      <c r="BR389" s="4"/>
    </row>
    <row r="390" spans="1:70" ht="27" customHeight="1" x14ac:dyDescent="0.2">
      <c r="A390" s="532"/>
      <c r="B390" s="917"/>
      <c r="C390" s="4"/>
      <c r="D390" s="917"/>
      <c r="E390" s="4"/>
      <c r="F390" s="917"/>
      <c r="G390" s="4"/>
      <c r="H390" s="920"/>
      <c r="I390" s="3"/>
      <c r="J390" s="920"/>
      <c r="K390" s="3"/>
      <c r="L390" s="920"/>
      <c r="M390" s="3"/>
      <c r="N390" s="920"/>
      <c r="O390" s="3"/>
      <c r="P390" s="3"/>
      <c r="Q390" s="533"/>
      <c r="R390" s="920"/>
      <c r="S390" s="534"/>
      <c r="T390" s="920"/>
      <c r="U390" s="920"/>
      <c r="V390" s="920"/>
      <c r="W390" s="535"/>
      <c r="X390" s="687"/>
      <c r="Y390" s="687"/>
      <c r="Z390" s="687"/>
      <c r="AA390" s="678"/>
      <c r="AB390" s="543"/>
      <c r="AC390" s="3"/>
      <c r="AD390" s="533"/>
      <c r="AE390" s="3"/>
      <c r="AF390" s="4"/>
      <c r="AG390" s="4"/>
      <c r="AH390" s="4"/>
      <c r="AI390" s="4"/>
      <c r="AJ390" s="4"/>
      <c r="AK390" s="4"/>
      <c r="AL390" s="4"/>
      <c r="AM390" s="4"/>
      <c r="AN390" s="4"/>
      <c r="AO390" s="4"/>
      <c r="AP390" s="4"/>
      <c r="AQ390" s="4"/>
      <c r="AR390" s="4"/>
      <c r="AS390" s="4"/>
      <c r="AT390" s="4"/>
      <c r="AU390" s="4"/>
      <c r="AV390" s="537"/>
      <c r="AW390" s="537"/>
      <c r="AX390" s="4"/>
      <c r="AY390" s="4"/>
      <c r="AZ390" s="4"/>
      <c r="BA390" s="4"/>
      <c r="BB390" s="4"/>
      <c r="BC390" s="4"/>
      <c r="BD390" s="4"/>
      <c r="BE390" s="4"/>
      <c r="BF390" s="4"/>
      <c r="BG390" s="4"/>
      <c r="BH390" s="4"/>
      <c r="BI390" s="4"/>
      <c r="BJ390" s="4"/>
      <c r="BK390" s="4"/>
      <c r="BL390" s="4"/>
      <c r="BM390" s="4"/>
      <c r="BN390" s="4"/>
      <c r="BO390" s="4"/>
      <c r="BP390" s="4"/>
      <c r="BQ390" s="4"/>
      <c r="BR390" s="4"/>
    </row>
    <row r="391" spans="1:70" ht="27" customHeight="1" x14ac:dyDescent="0.2">
      <c r="A391" s="532"/>
      <c r="B391" s="917"/>
      <c r="C391" s="4"/>
      <c r="D391" s="917"/>
      <c r="E391" s="4"/>
      <c r="F391" s="917"/>
      <c r="G391" s="4"/>
      <c r="H391" s="920"/>
      <c r="I391" s="3"/>
      <c r="J391" s="920"/>
      <c r="K391" s="3"/>
      <c r="L391" s="920"/>
      <c r="M391" s="3"/>
      <c r="N391" s="920"/>
      <c r="O391" s="3"/>
      <c r="P391" s="3"/>
      <c r="Q391" s="533"/>
      <c r="R391" s="920"/>
      <c r="S391" s="534"/>
      <c r="T391" s="920"/>
      <c r="U391" s="920"/>
      <c r="V391" s="920"/>
      <c r="W391" s="535"/>
      <c r="X391" s="687"/>
      <c r="Y391" s="687"/>
      <c r="Z391" s="687"/>
      <c r="AA391" s="678"/>
      <c r="AB391" s="543"/>
      <c r="AC391" s="3"/>
      <c r="AD391" s="533"/>
      <c r="AE391" s="3"/>
      <c r="AF391" s="4"/>
      <c r="AG391" s="4"/>
      <c r="AH391" s="4"/>
      <c r="AI391" s="4"/>
      <c r="AJ391" s="4"/>
      <c r="AK391" s="4"/>
      <c r="AL391" s="4"/>
      <c r="AM391" s="4"/>
      <c r="AN391" s="4"/>
      <c r="AO391" s="4"/>
      <c r="AP391" s="4"/>
      <c r="AQ391" s="4"/>
      <c r="AR391" s="4"/>
      <c r="AS391" s="4"/>
      <c r="AT391" s="4"/>
      <c r="AU391" s="4"/>
      <c r="AV391" s="537"/>
      <c r="AW391" s="537"/>
      <c r="AX391" s="4"/>
      <c r="AY391" s="4"/>
      <c r="AZ391" s="4"/>
      <c r="BA391" s="4"/>
      <c r="BB391" s="4"/>
      <c r="BC391" s="4"/>
      <c r="BD391" s="4"/>
      <c r="BE391" s="4"/>
      <c r="BF391" s="4"/>
      <c r="BG391" s="4"/>
      <c r="BH391" s="4"/>
      <c r="BI391" s="4"/>
      <c r="BJ391" s="4"/>
      <c r="BK391" s="4"/>
      <c r="BL391" s="4"/>
      <c r="BM391" s="4"/>
      <c r="BN391" s="4"/>
      <c r="BO391" s="4"/>
      <c r="BP391" s="4"/>
      <c r="BQ391" s="4"/>
      <c r="BR391" s="4"/>
    </row>
    <row r="392" spans="1:70" ht="27" customHeight="1" x14ac:dyDescent="0.2">
      <c r="A392" s="532"/>
      <c r="B392" s="917"/>
      <c r="C392" s="4"/>
      <c r="D392" s="917"/>
      <c r="E392" s="4"/>
      <c r="F392" s="917"/>
      <c r="G392" s="4"/>
      <c r="H392" s="920"/>
      <c r="I392" s="3"/>
      <c r="J392" s="920"/>
      <c r="K392" s="3"/>
      <c r="L392" s="920"/>
      <c r="M392" s="3"/>
      <c r="N392" s="920"/>
      <c r="O392" s="3"/>
      <c r="P392" s="3"/>
      <c r="Q392" s="533"/>
      <c r="R392" s="920"/>
      <c r="S392" s="534"/>
      <c r="T392" s="920"/>
      <c r="U392" s="920"/>
      <c r="V392" s="920"/>
      <c r="W392" s="535"/>
      <c r="X392" s="687"/>
      <c r="Y392" s="687"/>
      <c r="Z392" s="687"/>
      <c r="AA392" s="678"/>
      <c r="AB392" s="543"/>
      <c r="AC392" s="3"/>
      <c r="AD392" s="533"/>
      <c r="AE392" s="3"/>
      <c r="AF392" s="4"/>
      <c r="AG392" s="4"/>
      <c r="AH392" s="4"/>
      <c r="AI392" s="4"/>
      <c r="AJ392" s="4"/>
      <c r="AK392" s="4"/>
      <c r="AL392" s="4"/>
      <c r="AM392" s="4"/>
      <c r="AN392" s="4"/>
      <c r="AO392" s="4"/>
      <c r="AP392" s="4"/>
      <c r="AQ392" s="4"/>
      <c r="AR392" s="4"/>
      <c r="AS392" s="4"/>
      <c r="AT392" s="4"/>
      <c r="AU392" s="4"/>
      <c r="AV392" s="537"/>
      <c r="AW392" s="537"/>
      <c r="AX392" s="4"/>
      <c r="AY392" s="4"/>
      <c r="AZ392" s="4"/>
      <c r="BA392" s="4"/>
      <c r="BB392" s="4"/>
      <c r="BC392" s="4"/>
      <c r="BD392" s="4"/>
      <c r="BE392" s="4"/>
      <c r="BF392" s="4"/>
      <c r="BG392" s="4"/>
      <c r="BH392" s="4"/>
      <c r="BI392" s="4"/>
      <c r="BJ392" s="4"/>
      <c r="BK392" s="4"/>
      <c r="BL392" s="4"/>
      <c r="BM392" s="4"/>
      <c r="BN392" s="4"/>
      <c r="BO392" s="4"/>
      <c r="BP392" s="4"/>
      <c r="BQ392" s="4"/>
      <c r="BR392" s="4"/>
    </row>
    <row r="393" spans="1:70" ht="27" customHeight="1" x14ac:dyDescent="0.2">
      <c r="A393" s="532"/>
      <c r="B393" s="917"/>
      <c r="C393" s="4"/>
      <c r="D393" s="917"/>
      <c r="E393" s="4"/>
      <c r="F393" s="917"/>
      <c r="G393" s="4"/>
      <c r="H393" s="920"/>
      <c r="I393" s="3"/>
      <c r="J393" s="920"/>
      <c r="K393" s="3"/>
      <c r="L393" s="920"/>
      <c r="M393" s="3"/>
      <c r="N393" s="920"/>
      <c r="O393" s="3"/>
      <c r="P393" s="3"/>
      <c r="Q393" s="533"/>
      <c r="R393" s="920"/>
      <c r="S393" s="534"/>
      <c r="T393" s="920"/>
      <c r="U393" s="920"/>
      <c r="V393" s="920"/>
      <c r="W393" s="535"/>
      <c r="X393" s="687"/>
      <c r="Y393" s="687"/>
      <c r="Z393" s="687"/>
      <c r="AA393" s="678"/>
      <c r="AB393" s="543"/>
      <c r="AC393" s="3"/>
      <c r="AD393" s="533"/>
      <c r="AE393" s="3"/>
      <c r="AF393" s="4"/>
      <c r="AG393" s="4"/>
      <c r="AH393" s="4"/>
      <c r="AI393" s="4"/>
      <c r="AJ393" s="4"/>
      <c r="AK393" s="4"/>
      <c r="AL393" s="4"/>
      <c r="AM393" s="4"/>
      <c r="AN393" s="4"/>
      <c r="AO393" s="4"/>
      <c r="AP393" s="4"/>
      <c r="AQ393" s="4"/>
      <c r="AR393" s="4"/>
      <c r="AS393" s="4"/>
      <c r="AT393" s="4"/>
      <c r="AU393" s="4"/>
      <c r="AV393" s="537"/>
      <c r="AW393" s="537"/>
      <c r="AX393" s="4"/>
      <c r="AY393" s="4"/>
      <c r="AZ393" s="4"/>
      <c r="BA393" s="4"/>
      <c r="BB393" s="4"/>
      <c r="BC393" s="4"/>
      <c r="BD393" s="4"/>
      <c r="BE393" s="4"/>
      <c r="BF393" s="4"/>
      <c r="BG393" s="4"/>
      <c r="BH393" s="4"/>
      <c r="BI393" s="4"/>
      <c r="BJ393" s="4"/>
      <c r="BK393" s="4"/>
      <c r="BL393" s="4"/>
      <c r="BM393" s="4"/>
      <c r="BN393" s="4"/>
      <c r="BO393" s="4"/>
      <c r="BP393" s="4"/>
      <c r="BQ393" s="4"/>
      <c r="BR393" s="4"/>
    </row>
    <row r="394" spans="1:70" ht="27" customHeight="1" x14ac:dyDescent="0.2">
      <c r="A394" s="532"/>
      <c r="B394" s="917"/>
      <c r="C394" s="4"/>
      <c r="D394" s="917"/>
      <c r="E394" s="4"/>
      <c r="F394" s="917"/>
      <c r="G394" s="4"/>
      <c r="H394" s="920"/>
      <c r="I394" s="3"/>
      <c r="J394" s="920"/>
      <c r="K394" s="3"/>
      <c r="L394" s="920"/>
      <c r="M394" s="3"/>
      <c r="N394" s="920"/>
      <c r="O394" s="3"/>
      <c r="P394" s="3"/>
      <c r="Q394" s="533"/>
      <c r="R394" s="920"/>
      <c r="S394" s="534"/>
      <c r="T394" s="920"/>
      <c r="U394" s="920"/>
      <c r="V394" s="920"/>
      <c r="W394" s="535"/>
      <c r="X394" s="687"/>
      <c r="Y394" s="687"/>
      <c r="Z394" s="687"/>
      <c r="AA394" s="678"/>
      <c r="AB394" s="543"/>
      <c r="AC394" s="3"/>
      <c r="AD394" s="533"/>
      <c r="AE394" s="3"/>
      <c r="AF394" s="4"/>
      <c r="AG394" s="4"/>
      <c r="AH394" s="4"/>
      <c r="AI394" s="4"/>
      <c r="AJ394" s="4"/>
      <c r="AK394" s="4"/>
      <c r="AL394" s="4"/>
      <c r="AM394" s="4"/>
      <c r="AN394" s="4"/>
      <c r="AO394" s="4"/>
      <c r="AP394" s="4"/>
      <c r="AQ394" s="4"/>
      <c r="AR394" s="4"/>
      <c r="AS394" s="4"/>
      <c r="AT394" s="4"/>
      <c r="AU394" s="4"/>
      <c r="AV394" s="537"/>
      <c r="AW394" s="537"/>
      <c r="AX394" s="4"/>
      <c r="AY394" s="4"/>
      <c r="AZ394" s="4"/>
      <c r="BA394" s="4"/>
      <c r="BB394" s="4"/>
      <c r="BC394" s="4"/>
      <c r="BD394" s="4"/>
      <c r="BE394" s="4"/>
      <c r="BF394" s="4"/>
      <c r="BG394" s="4"/>
      <c r="BH394" s="4"/>
      <c r="BI394" s="4"/>
      <c r="BJ394" s="4"/>
      <c r="BK394" s="4"/>
      <c r="BL394" s="4"/>
      <c r="BM394" s="4"/>
      <c r="BN394" s="4"/>
      <c r="BO394" s="4"/>
      <c r="BP394" s="4"/>
      <c r="BQ394" s="4"/>
      <c r="BR394" s="4"/>
    </row>
    <row r="395" spans="1:70" ht="27" customHeight="1" x14ac:dyDescent="0.2">
      <c r="A395" s="532"/>
      <c r="B395" s="917"/>
      <c r="C395" s="4"/>
      <c r="D395" s="917"/>
      <c r="E395" s="4"/>
      <c r="F395" s="917"/>
      <c r="G395" s="4"/>
      <c r="H395" s="920"/>
      <c r="I395" s="3"/>
      <c r="J395" s="920"/>
      <c r="K395" s="3"/>
      <c r="L395" s="920"/>
      <c r="M395" s="3"/>
      <c r="N395" s="920"/>
      <c r="O395" s="3"/>
      <c r="P395" s="3"/>
      <c r="Q395" s="533"/>
      <c r="R395" s="920"/>
      <c r="S395" s="534"/>
      <c r="T395" s="920"/>
      <c r="U395" s="920"/>
      <c r="V395" s="920"/>
      <c r="W395" s="535"/>
      <c r="X395" s="687"/>
      <c r="Y395" s="687"/>
      <c r="Z395" s="687"/>
      <c r="AA395" s="678"/>
      <c r="AB395" s="543"/>
      <c r="AC395" s="3"/>
      <c r="AD395" s="533"/>
      <c r="AE395" s="3"/>
      <c r="AF395" s="4"/>
      <c r="AG395" s="4"/>
      <c r="AH395" s="4"/>
      <c r="AI395" s="4"/>
      <c r="AJ395" s="4"/>
      <c r="AK395" s="4"/>
      <c r="AL395" s="4"/>
      <c r="AM395" s="4"/>
      <c r="AN395" s="4"/>
      <c r="AO395" s="4"/>
      <c r="AP395" s="4"/>
      <c r="AQ395" s="4"/>
      <c r="AR395" s="4"/>
      <c r="AS395" s="4"/>
      <c r="AT395" s="4"/>
      <c r="AU395" s="4"/>
      <c r="AV395" s="537"/>
      <c r="AW395" s="537"/>
      <c r="AX395" s="4"/>
      <c r="AY395" s="4"/>
      <c r="AZ395" s="4"/>
      <c r="BA395" s="4"/>
      <c r="BB395" s="4"/>
      <c r="BC395" s="4"/>
      <c r="BD395" s="4"/>
      <c r="BE395" s="4"/>
      <c r="BF395" s="4"/>
      <c r="BG395" s="4"/>
      <c r="BH395" s="4"/>
      <c r="BI395" s="4"/>
      <c r="BJ395" s="4"/>
      <c r="BK395" s="4"/>
      <c r="BL395" s="4"/>
      <c r="BM395" s="4"/>
      <c r="BN395" s="4"/>
      <c r="BO395" s="4"/>
      <c r="BP395" s="4"/>
      <c r="BQ395" s="4"/>
      <c r="BR395" s="4"/>
    </row>
    <row r="396" spans="1:70" ht="27" customHeight="1" x14ac:dyDescent="0.2">
      <c r="A396" s="532"/>
      <c r="B396" s="917"/>
      <c r="C396" s="4"/>
      <c r="D396" s="917"/>
      <c r="E396" s="4"/>
      <c r="F396" s="917"/>
      <c r="G396" s="4"/>
      <c r="H396" s="920"/>
      <c r="I396" s="3"/>
      <c r="J396" s="920"/>
      <c r="K396" s="3"/>
      <c r="L396" s="920"/>
      <c r="M396" s="3"/>
      <c r="N396" s="920"/>
      <c r="O396" s="3"/>
      <c r="P396" s="3"/>
      <c r="Q396" s="533"/>
      <c r="R396" s="920"/>
      <c r="S396" s="534"/>
      <c r="T396" s="920"/>
      <c r="U396" s="920"/>
      <c r="V396" s="920"/>
      <c r="W396" s="535"/>
      <c r="X396" s="687"/>
      <c r="Y396" s="687"/>
      <c r="Z396" s="687"/>
      <c r="AA396" s="678"/>
      <c r="AB396" s="543"/>
      <c r="AC396" s="3"/>
      <c r="AD396" s="533"/>
      <c r="AE396" s="3"/>
      <c r="AF396" s="4"/>
      <c r="AG396" s="4"/>
      <c r="AH396" s="4"/>
      <c r="AI396" s="4"/>
      <c r="AJ396" s="4"/>
      <c r="AK396" s="4"/>
      <c r="AL396" s="4"/>
      <c r="AM396" s="4"/>
      <c r="AN396" s="4"/>
      <c r="AO396" s="4"/>
      <c r="AP396" s="4"/>
      <c r="AQ396" s="4"/>
      <c r="AR396" s="4"/>
      <c r="AS396" s="4"/>
      <c r="AT396" s="4"/>
      <c r="AU396" s="4"/>
      <c r="AV396" s="537"/>
      <c r="AW396" s="537"/>
      <c r="AX396" s="4"/>
      <c r="AY396" s="4"/>
      <c r="AZ396" s="4"/>
      <c r="BA396" s="4"/>
      <c r="BB396" s="4"/>
      <c r="BC396" s="4"/>
      <c r="BD396" s="4"/>
      <c r="BE396" s="4"/>
      <c r="BF396" s="4"/>
      <c r="BG396" s="4"/>
      <c r="BH396" s="4"/>
      <c r="BI396" s="4"/>
      <c r="BJ396" s="4"/>
      <c r="BK396" s="4"/>
      <c r="BL396" s="4"/>
      <c r="BM396" s="4"/>
      <c r="BN396" s="4"/>
      <c r="BO396" s="4"/>
      <c r="BP396" s="4"/>
      <c r="BQ396" s="4"/>
      <c r="BR396" s="4"/>
    </row>
    <row r="397" spans="1:70" ht="27" customHeight="1" x14ac:dyDescent="0.2">
      <c r="A397" s="532"/>
      <c r="B397" s="917"/>
      <c r="C397" s="4"/>
      <c r="D397" s="917"/>
      <c r="E397" s="4"/>
      <c r="F397" s="917"/>
      <c r="G397" s="4"/>
      <c r="H397" s="920"/>
      <c r="I397" s="3"/>
      <c r="J397" s="920"/>
      <c r="K397" s="3"/>
      <c r="L397" s="920"/>
      <c r="M397" s="3"/>
      <c r="N397" s="920"/>
      <c r="O397" s="3"/>
      <c r="P397" s="3"/>
      <c r="Q397" s="533"/>
      <c r="R397" s="920"/>
      <c r="S397" s="534"/>
      <c r="T397" s="920"/>
      <c r="U397" s="920"/>
      <c r="V397" s="920"/>
      <c r="W397" s="535"/>
      <c r="X397" s="687"/>
      <c r="Y397" s="687"/>
      <c r="Z397" s="687"/>
      <c r="AA397" s="678"/>
      <c r="AB397" s="543"/>
      <c r="AC397" s="3"/>
      <c r="AD397" s="533"/>
      <c r="AE397" s="3"/>
      <c r="AF397" s="4"/>
      <c r="AG397" s="4"/>
      <c r="AH397" s="4"/>
      <c r="AI397" s="4"/>
      <c r="AJ397" s="4"/>
      <c r="AK397" s="4"/>
      <c r="AL397" s="4"/>
      <c r="AM397" s="4"/>
      <c r="AN397" s="4"/>
      <c r="AO397" s="4"/>
      <c r="AP397" s="4"/>
      <c r="AQ397" s="4"/>
      <c r="AR397" s="4"/>
      <c r="AS397" s="4"/>
      <c r="AT397" s="4"/>
      <c r="AU397" s="4"/>
      <c r="AV397" s="537"/>
      <c r="AW397" s="537"/>
      <c r="AX397" s="4"/>
      <c r="AY397" s="4"/>
      <c r="AZ397" s="4"/>
      <c r="BA397" s="4"/>
      <c r="BB397" s="4"/>
      <c r="BC397" s="4"/>
      <c r="BD397" s="4"/>
      <c r="BE397" s="4"/>
      <c r="BF397" s="4"/>
      <c r="BG397" s="4"/>
      <c r="BH397" s="4"/>
      <c r="BI397" s="4"/>
      <c r="BJ397" s="4"/>
      <c r="BK397" s="4"/>
      <c r="BL397" s="4"/>
      <c r="BM397" s="4"/>
      <c r="BN397" s="4"/>
      <c r="BO397" s="4"/>
      <c r="BP397" s="4"/>
      <c r="BQ397" s="4"/>
      <c r="BR397" s="4"/>
    </row>
    <row r="398" spans="1:70" ht="27" customHeight="1" x14ac:dyDescent="0.2">
      <c r="A398" s="532"/>
      <c r="B398" s="917"/>
      <c r="C398" s="4"/>
      <c r="D398" s="917"/>
      <c r="E398" s="4"/>
      <c r="F398" s="917"/>
      <c r="G398" s="4"/>
      <c r="H398" s="920"/>
      <c r="I398" s="3"/>
      <c r="J398" s="920"/>
      <c r="K398" s="3"/>
      <c r="L398" s="920"/>
      <c r="M398" s="3"/>
      <c r="N398" s="920"/>
      <c r="O398" s="3"/>
      <c r="P398" s="3"/>
      <c r="Q398" s="533"/>
      <c r="R398" s="920"/>
      <c r="S398" s="534"/>
      <c r="T398" s="920"/>
      <c r="U398" s="920"/>
      <c r="V398" s="920"/>
      <c r="W398" s="535"/>
      <c r="X398" s="687"/>
      <c r="Y398" s="687"/>
      <c r="Z398" s="687"/>
      <c r="AA398" s="678"/>
      <c r="AB398" s="543"/>
      <c r="AC398" s="3"/>
      <c r="AD398" s="533"/>
      <c r="AE398" s="3"/>
      <c r="AF398" s="4"/>
      <c r="AG398" s="4"/>
      <c r="AH398" s="4"/>
      <c r="AI398" s="4"/>
      <c r="AJ398" s="4"/>
      <c r="AK398" s="4"/>
      <c r="AL398" s="4"/>
      <c r="AM398" s="4"/>
      <c r="AN398" s="4"/>
      <c r="AO398" s="4"/>
      <c r="AP398" s="4"/>
      <c r="AQ398" s="4"/>
      <c r="AR398" s="4"/>
      <c r="AS398" s="4"/>
      <c r="AT398" s="4"/>
      <c r="AU398" s="4"/>
      <c r="AV398" s="537"/>
      <c r="AW398" s="537"/>
      <c r="AX398" s="4"/>
      <c r="AY398" s="4"/>
      <c r="AZ398" s="4"/>
      <c r="BA398" s="4"/>
      <c r="BB398" s="4"/>
      <c r="BC398" s="4"/>
      <c r="BD398" s="4"/>
      <c r="BE398" s="4"/>
      <c r="BF398" s="4"/>
      <c r="BG398" s="4"/>
      <c r="BH398" s="4"/>
      <c r="BI398" s="4"/>
      <c r="BJ398" s="4"/>
      <c r="BK398" s="4"/>
      <c r="BL398" s="4"/>
      <c r="BM398" s="4"/>
      <c r="BN398" s="4"/>
      <c r="BO398" s="4"/>
      <c r="BP398" s="4"/>
      <c r="BQ398" s="4"/>
      <c r="BR398" s="4"/>
    </row>
    <row r="399" spans="1:70" ht="27" customHeight="1" x14ac:dyDescent="0.2">
      <c r="A399" s="532"/>
      <c r="B399" s="917"/>
      <c r="C399" s="4"/>
      <c r="D399" s="917"/>
      <c r="E399" s="4"/>
      <c r="F399" s="917"/>
      <c r="G399" s="4"/>
      <c r="H399" s="920"/>
      <c r="I399" s="3"/>
      <c r="J399" s="920"/>
      <c r="K399" s="3"/>
      <c r="L399" s="920"/>
      <c r="M399" s="3"/>
      <c r="N399" s="920"/>
      <c r="O399" s="3"/>
      <c r="P399" s="3"/>
      <c r="Q399" s="533"/>
      <c r="R399" s="920"/>
      <c r="S399" s="534"/>
      <c r="T399" s="920"/>
      <c r="U399" s="920"/>
      <c r="V399" s="920"/>
      <c r="W399" s="535"/>
      <c r="X399" s="687"/>
      <c r="Y399" s="687"/>
      <c r="Z399" s="687"/>
      <c r="AA399" s="678"/>
      <c r="AB399" s="543"/>
      <c r="AC399" s="3"/>
      <c r="AD399" s="533"/>
      <c r="AE399" s="3"/>
      <c r="AF399" s="4"/>
      <c r="AG399" s="4"/>
      <c r="AH399" s="4"/>
      <c r="AI399" s="4"/>
      <c r="AJ399" s="4"/>
      <c r="AK399" s="4"/>
      <c r="AL399" s="4"/>
      <c r="AM399" s="4"/>
      <c r="AN399" s="4"/>
      <c r="AO399" s="4"/>
      <c r="AP399" s="4"/>
      <c r="AQ399" s="4"/>
      <c r="AR399" s="4"/>
      <c r="AS399" s="4"/>
      <c r="AT399" s="4"/>
      <c r="AU399" s="4"/>
      <c r="AV399" s="537"/>
      <c r="AW399" s="537"/>
      <c r="AX399" s="4"/>
      <c r="AY399" s="4"/>
      <c r="AZ399" s="4"/>
      <c r="BA399" s="4"/>
      <c r="BB399" s="4"/>
      <c r="BC399" s="4"/>
      <c r="BD399" s="4"/>
      <c r="BE399" s="4"/>
      <c r="BF399" s="4"/>
      <c r="BG399" s="4"/>
      <c r="BH399" s="4"/>
      <c r="BI399" s="4"/>
      <c r="BJ399" s="4"/>
      <c r="BK399" s="4"/>
      <c r="BL399" s="4"/>
      <c r="BM399" s="4"/>
      <c r="BN399" s="4"/>
      <c r="BO399" s="4"/>
      <c r="BP399" s="4"/>
      <c r="BQ399" s="4"/>
      <c r="BR399" s="4"/>
    </row>
    <row r="400" spans="1:70" ht="27" customHeight="1" x14ac:dyDescent="0.2">
      <c r="A400" s="532"/>
      <c r="B400" s="917"/>
      <c r="C400" s="4"/>
      <c r="D400" s="917"/>
      <c r="E400" s="4"/>
      <c r="F400" s="917"/>
      <c r="G400" s="4"/>
      <c r="H400" s="920"/>
      <c r="I400" s="3"/>
      <c r="J400" s="920"/>
      <c r="K400" s="3"/>
      <c r="L400" s="920"/>
      <c r="M400" s="3"/>
      <c r="N400" s="920"/>
      <c r="O400" s="3"/>
      <c r="P400" s="3"/>
      <c r="Q400" s="533"/>
      <c r="R400" s="920"/>
      <c r="S400" s="534"/>
      <c r="T400" s="920"/>
      <c r="U400" s="920"/>
      <c r="V400" s="920"/>
      <c r="W400" s="535"/>
      <c r="X400" s="687"/>
      <c r="Y400" s="687"/>
      <c r="Z400" s="687"/>
      <c r="AA400" s="678"/>
      <c r="AB400" s="543"/>
      <c r="AC400" s="3"/>
      <c r="AD400" s="533"/>
      <c r="AE400" s="3"/>
      <c r="AF400" s="4"/>
      <c r="AG400" s="4"/>
      <c r="AH400" s="4"/>
      <c r="AI400" s="4"/>
      <c r="AJ400" s="4"/>
      <c r="AK400" s="4"/>
      <c r="AL400" s="4"/>
      <c r="AM400" s="4"/>
      <c r="AN400" s="4"/>
      <c r="AO400" s="4"/>
      <c r="AP400" s="4"/>
      <c r="AQ400" s="4"/>
      <c r="AR400" s="4"/>
      <c r="AS400" s="4"/>
      <c r="AT400" s="4"/>
      <c r="AU400" s="4"/>
      <c r="AV400" s="537"/>
      <c r="AW400" s="537"/>
      <c r="AX400" s="4"/>
      <c r="AY400" s="4"/>
      <c r="AZ400" s="4"/>
      <c r="BA400" s="4"/>
      <c r="BB400" s="4"/>
      <c r="BC400" s="4"/>
      <c r="BD400" s="4"/>
      <c r="BE400" s="4"/>
      <c r="BF400" s="4"/>
      <c r="BG400" s="4"/>
      <c r="BH400" s="4"/>
      <c r="BI400" s="4"/>
      <c r="BJ400" s="4"/>
      <c r="BK400" s="4"/>
      <c r="BL400" s="4"/>
      <c r="BM400" s="4"/>
      <c r="BN400" s="4"/>
      <c r="BO400" s="4"/>
      <c r="BP400" s="4"/>
      <c r="BQ400" s="4"/>
      <c r="BR400" s="4"/>
    </row>
    <row r="401" spans="1:70" ht="27" customHeight="1" x14ac:dyDescent="0.2">
      <c r="A401" s="532"/>
      <c r="B401" s="917"/>
      <c r="C401" s="4"/>
      <c r="D401" s="917"/>
      <c r="E401" s="4"/>
      <c r="F401" s="917"/>
      <c r="G401" s="4"/>
      <c r="H401" s="920"/>
      <c r="I401" s="3"/>
      <c r="J401" s="920"/>
      <c r="K401" s="3"/>
      <c r="L401" s="920"/>
      <c r="M401" s="3"/>
      <c r="N401" s="920"/>
      <c r="O401" s="3"/>
      <c r="P401" s="3"/>
      <c r="Q401" s="533"/>
      <c r="R401" s="920"/>
      <c r="S401" s="534"/>
      <c r="T401" s="920"/>
      <c r="U401" s="920"/>
      <c r="V401" s="920"/>
      <c r="W401" s="535"/>
      <c r="X401" s="687"/>
      <c r="Y401" s="687"/>
      <c r="Z401" s="687"/>
      <c r="AA401" s="678"/>
      <c r="AB401" s="543"/>
      <c r="AC401" s="3"/>
      <c r="AD401" s="533"/>
      <c r="AE401" s="3"/>
      <c r="AF401" s="4"/>
      <c r="AG401" s="4"/>
      <c r="AH401" s="4"/>
      <c r="AI401" s="4"/>
      <c r="AJ401" s="4"/>
      <c r="AK401" s="4"/>
      <c r="AL401" s="4"/>
      <c r="AM401" s="4"/>
      <c r="AN401" s="4"/>
      <c r="AO401" s="4"/>
      <c r="AP401" s="4"/>
      <c r="AQ401" s="4"/>
      <c r="AR401" s="4"/>
      <c r="AS401" s="4"/>
      <c r="AT401" s="4"/>
      <c r="AU401" s="4"/>
      <c r="AV401" s="537"/>
      <c r="AW401" s="537"/>
      <c r="AX401" s="4"/>
      <c r="AY401" s="4"/>
      <c r="AZ401" s="4"/>
      <c r="BA401" s="4"/>
      <c r="BB401" s="4"/>
      <c r="BC401" s="4"/>
      <c r="BD401" s="4"/>
      <c r="BE401" s="4"/>
      <c r="BF401" s="4"/>
      <c r="BG401" s="4"/>
      <c r="BH401" s="4"/>
      <c r="BI401" s="4"/>
      <c r="BJ401" s="4"/>
      <c r="BK401" s="4"/>
      <c r="BL401" s="4"/>
      <c r="BM401" s="4"/>
      <c r="BN401" s="4"/>
      <c r="BO401" s="4"/>
      <c r="BP401" s="4"/>
      <c r="BQ401" s="4"/>
      <c r="BR401" s="4"/>
    </row>
    <row r="402" spans="1:70" ht="27" customHeight="1" x14ac:dyDescent="0.2">
      <c r="A402" s="532"/>
      <c r="B402" s="917"/>
      <c r="C402" s="4"/>
      <c r="D402" s="917"/>
      <c r="E402" s="4"/>
      <c r="F402" s="917"/>
      <c r="G402" s="4"/>
      <c r="H402" s="920"/>
      <c r="I402" s="3"/>
      <c r="J402" s="920"/>
      <c r="K402" s="3"/>
      <c r="L402" s="920"/>
      <c r="M402" s="3"/>
      <c r="N402" s="920"/>
      <c r="O402" s="3"/>
      <c r="P402" s="3"/>
      <c r="Q402" s="533"/>
      <c r="R402" s="920"/>
      <c r="S402" s="534"/>
      <c r="T402" s="920"/>
      <c r="U402" s="920"/>
      <c r="V402" s="920"/>
      <c r="W402" s="535"/>
      <c r="X402" s="687"/>
      <c r="Y402" s="687"/>
      <c r="Z402" s="687"/>
      <c r="AA402" s="678"/>
      <c r="AB402" s="543"/>
      <c r="AC402" s="3"/>
      <c r="AD402" s="533"/>
      <c r="AE402" s="3"/>
      <c r="AF402" s="4"/>
      <c r="AG402" s="4"/>
      <c r="AH402" s="4"/>
      <c r="AI402" s="4"/>
      <c r="AJ402" s="4"/>
      <c r="AK402" s="4"/>
      <c r="AL402" s="4"/>
      <c r="AM402" s="4"/>
      <c r="AN402" s="4"/>
      <c r="AO402" s="4"/>
      <c r="AP402" s="4"/>
      <c r="AQ402" s="4"/>
      <c r="AR402" s="4"/>
      <c r="AS402" s="4"/>
      <c r="AT402" s="4"/>
      <c r="AU402" s="4"/>
      <c r="AV402" s="537"/>
      <c r="AW402" s="537"/>
      <c r="AX402" s="4"/>
      <c r="AY402" s="4"/>
      <c r="AZ402" s="4"/>
      <c r="BA402" s="4"/>
      <c r="BB402" s="4"/>
      <c r="BC402" s="4"/>
      <c r="BD402" s="4"/>
      <c r="BE402" s="4"/>
      <c r="BF402" s="4"/>
      <c r="BG402" s="4"/>
      <c r="BH402" s="4"/>
      <c r="BI402" s="4"/>
      <c r="BJ402" s="4"/>
      <c r="BK402" s="4"/>
      <c r="BL402" s="4"/>
      <c r="BM402" s="4"/>
      <c r="BN402" s="4"/>
      <c r="BO402" s="4"/>
      <c r="BP402" s="4"/>
      <c r="BQ402" s="4"/>
      <c r="BR402" s="4"/>
    </row>
    <row r="403" spans="1:70" ht="27" customHeight="1" x14ac:dyDescent="0.2">
      <c r="A403" s="532"/>
      <c r="B403" s="917"/>
      <c r="C403" s="4"/>
      <c r="D403" s="917"/>
      <c r="E403" s="4"/>
      <c r="F403" s="917"/>
      <c r="G403" s="4"/>
      <c r="H403" s="920"/>
      <c r="I403" s="3"/>
      <c r="J403" s="920"/>
      <c r="K403" s="3"/>
      <c r="L403" s="920"/>
      <c r="M403" s="3"/>
      <c r="N403" s="920"/>
      <c r="O403" s="3"/>
      <c r="P403" s="3"/>
      <c r="Q403" s="533"/>
      <c r="R403" s="920"/>
      <c r="S403" s="534"/>
      <c r="T403" s="920"/>
      <c r="U403" s="920"/>
      <c r="V403" s="920"/>
      <c r="W403" s="535"/>
      <c r="X403" s="687"/>
      <c r="Y403" s="687"/>
      <c r="Z403" s="687"/>
      <c r="AA403" s="678"/>
      <c r="AB403" s="543"/>
      <c r="AC403" s="3"/>
      <c r="AD403" s="533"/>
      <c r="AE403" s="3"/>
      <c r="AF403" s="4"/>
      <c r="AG403" s="4"/>
      <c r="AH403" s="4"/>
      <c r="AI403" s="4"/>
      <c r="AJ403" s="4"/>
      <c r="AK403" s="4"/>
      <c r="AL403" s="4"/>
      <c r="AM403" s="4"/>
      <c r="AN403" s="4"/>
      <c r="AO403" s="4"/>
      <c r="AP403" s="4"/>
      <c r="AQ403" s="4"/>
      <c r="AR403" s="4"/>
      <c r="AS403" s="4"/>
      <c r="AT403" s="4"/>
      <c r="AU403" s="4"/>
      <c r="AV403" s="537"/>
      <c r="AW403" s="537"/>
      <c r="AX403" s="4"/>
      <c r="AY403" s="4"/>
      <c r="AZ403" s="4"/>
      <c r="BA403" s="4"/>
      <c r="BB403" s="4"/>
      <c r="BC403" s="4"/>
      <c r="BD403" s="4"/>
      <c r="BE403" s="4"/>
      <c r="BF403" s="4"/>
      <c r="BG403" s="4"/>
      <c r="BH403" s="4"/>
      <c r="BI403" s="4"/>
      <c r="BJ403" s="4"/>
      <c r="BK403" s="4"/>
      <c r="BL403" s="4"/>
      <c r="BM403" s="4"/>
      <c r="BN403" s="4"/>
      <c r="BO403" s="4"/>
      <c r="BP403" s="4"/>
      <c r="BQ403" s="4"/>
      <c r="BR403" s="4"/>
    </row>
    <row r="404" spans="1:70" ht="27" customHeight="1" x14ac:dyDescent="0.2">
      <c r="A404" s="532"/>
      <c r="B404" s="917"/>
      <c r="C404" s="4"/>
      <c r="D404" s="917"/>
      <c r="E404" s="4"/>
      <c r="F404" s="917"/>
      <c r="G404" s="4"/>
      <c r="H404" s="920"/>
      <c r="I404" s="3"/>
      <c r="J404" s="920"/>
      <c r="K404" s="3"/>
      <c r="L404" s="920"/>
      <c r="M404" s="3"/>
      <c r="N404" s="920"/>
      <c r="O404" s="3"/>
      <c r="P404" s="3"/>
      <c r="Q404" s="533"/>
      <c r="R404" s="920"/>
      <c r="S404" s="534"/>
      <c r="T404" s="920"/>
      <c r="U404" s="920"/>
      <c r="V404" s="920"/>
      <c r="W404" s="535"/>
      <c r="X404" s="687"/>
      <c r="Y404" s="687"/>
      <c r="Z404" s="687"/>
      <c r="AA404" s="678"/>
      <c r="AB404" s="543"/>
      <c r="AC404" s="3"/>
      <c r="AD404" s="533"/>
      <c r="AE404" s="3"/>
      <c r="AF404" s="4"/>
      <c r="AG404" s="4"/>
      <c r="AH404" s="4"/>
      <c r="AI404" s="4"/>
      <c r="AJ404" s="4"/>
      <c r="AK404" s="4"/>
      <c r="AL404" s="4"/>
      <c r="AM404" s="4"/>
      <c r="AN404" s="4"/>
      <c r="AO404" s="4"/>
      <c r="AP404" s="4"/>
      <c r="AQ404" s="4"/>
      <c r="AR404" s="4"/>
      <c r="AS404" s="4"/>
      <c r="AT404" s="4"/>
      <c r="AU404" s="4"/>
      <c r="AV404" s="537"/>
      <c r="AW404" s="537"/>
      <c r="AX404" s="4"/>
      <c r="AY404" s="4"/>
      <c r="AZ404" s="4"/>
      <c r="BA404" s="4"/>
      <c r="BB404" s="4"/>
      <c r="BC404" s="4"/>
      <c r="BD404" s="4"/>
      <c r="BE404" s="4"/>
      <c r="BF404" s="4"/>
      <c r="BG404" s="4"/>
      <c r="BH404" s="4"/>
      <c r="BI404" s="4"/>
      <c r="BJ404" s="4"/>
      <c r="BK404" s="4"/>
      <c r="BL404" s="4"/>
      <c r="BM404" s="4"/>
      <c r="BN404" s="4"/>
      <c r="BO404" s="4"/>
      <c r="BP404" s="4"/>
      <c r="BQ404" s="4"/>
      <c r="BR404" s="4"/>
    </row>
    <row r="405" spans="1:70" ht="27" customHeight="1" x14ac:dyDescent="0.2">
      <c r="A405" s="532"/>
      <c r="B405" s="917"/>
      <c r="C405" s="4"/>
      <c r="D405" s="917"/>
      <c r="E405" s="4"/>
      <c r="F405" s="917"/>
      <c r="G405" s="4"/>
      <c r="H405" s="920"/>
      <c r="I405" s="3"/>
      <c r="J405" s="920"/>
      <c r="K405" s="3"/>
      <c r="L405" s="920"/>
      <c r="M405" s="3"/>
      <c r="N405" s="920"/>
      <c r="O405" s="3"/>
      <c r="P405" s="3"/>
      <c r="Q405" s="533"/>
      <c r="R405" s="920"/>
      <c r="S405" s="534"/>
      <c r="T405" s="920"/>
      <c r="U405" s="920"/>
      <c r="V405" s="920"/>
      <c r="W405" s="535"/>
      <c r="X405" s="687"/>
      <c r="Y405" s="687"/>
      <c r="Z405" s="687"/>
      <c r="AA405" s="678"/>
      <c r="AB405" s="543"/>
      <c r="AC405" s="3"/>
      <c r="AD405" s="533"/>
      <c r="AE405" s="3"/>
      <c r="AF405" s="4"/>
      <c r="AG405" s="4"/>
      <c r="AH405" s="4"/>
      <c r="AI405" s="4"/>
      <c r="AJ405" s="4"/>
      <c r="AK405" s="4"/>
      <c r="AL405" s="4"/>
      <c r="AM405" s="4"/>
      <c r="AN405" s="4"/>
      <c r="AO405" s="4"/>
      <c r="AP405" s="4"/>
      <c r="AQ405" s="4"/>
      <c r="AR405" s="4"/>
      <c r="AS405" s="4"/>
      <c r="AT405" s="4"/>
      <c r="AU405" s="4"/>
      <c r="AV405" s="537"/>
      <c r="AW405" s="537"/>
      <c r="AX405" s="4"/>
      <c r="AY405" s="4"/>
      <c r="AZ405" s="4"/>
      <c r="BA405" s="4"/>
      <c r="BB405" s="4"/>
      <c r="BC405" s="4"/>
      <c r="BD405" s="4"/>
      <c r="BE405" s="4"/>
      <c r="BF405" s="4"/>
      <c r="BG405" s="4"/>
      <c r="BH405" s="4"/>
      <c r="BI405" s="4"/>
      <c r="BJ405" s="4"/>
      <c r="BK405" s="4"/>
      <c r="BL405" s="4"/>
      <c r="BM405" s="4"/>
      <c r="BN405" s="4"/>
      <c r="BO405" s="4"/>
      <c r="BP405" s="4"/>
      <c r="BQ405" s="4"/>
      <c r="BR405" s="4"/>
    </row>
    <row r="406" spans="1:70" ht="27" customHeight="1" x14ac:dyDescent="0.2">
      <c r="A406" s="532"/>
      <c r="B406" s="917"/>
      <c r="C406" s="4"/>
      <c r="D406" s="917"/>
      <c r="E406" s="4"/>
      <c r="F406" s="917"/>
      <c r="G406" s="4"/>
      <c r="H406" s="920"/>
      <c r="I406" s="3"/>
      <c r="J406" s="920"/>
      <c r="K406" s="3"/>
      <c r="L406" s="920"/>
      <c r="M406" s="3"/>
      <c r="N406" s="920"/>
      <c r="O406" s="3"/>
      <c r="P406" s="3"/>
      <c r="Q406" s="533"/>
      <c r="R406" s="920"/>
      <c r="S406" s="534"/>
      <c r="T406" s="920"/>
      <c r="U406" s="920"/>
      <c r="V406" s="920"/>
      <c r="W406" s="535"/>
      <c r="X406" s="687"/>
      <c r="Y406" s="687"/>
      <c r="Z406" s="687"/>
      <c r="AA406" s="678"/>
      <c r="AB406" s="543"/>
      <c r="AC406" s="3"/>
      <c r="AD406" s="533"/>
      <c r="AE406" s="3"/>
      <c r="AF406" s="4"/>
      <c r="AG406" s="4"/>
      <c r="AH406" s="4"/>
      <c r="AI406" s="4"/>
      <c r="AJ406" s="4"/>
      <c r="AK406" s="4"/>
      <c r="AL406" s="4"/>
      <c r="AM406" s="4"/>
      <c r="AN406" s="4"/>
      <c r="AO406" s="4"/>
      <c r="AP406" s="4"/>
      <c r="AQ406" s="4"/>
      <c r="AR406" s="4"/>
      <c r="AS406" s="4"/>
      <c r="AT406" s="4"/>
      <c r="AU406" s="4"/>
      <c r="AV406" s="537"/>
      <c r="AW406" s="537"/>
      <c r="AX406" s="4"/>
      <c r="AY406" s="4"/>
      <c r="AZ406" s="4"/>
      <c r="BA406" s="4"/>
      <c r="BB406" s="4"/>
      <c r="BC406" s="4"/>
      <c r="BD406" s="4"/>
      <c r="BE406" s="4"/>
      <c r="BF406" s="4"/>
      <c r="BG406" s="4"/>
      <c r="BH406" s="4"/>
      <c r="BI406" s="4"/>
      <c r="BJ406" s="4"/>
      <c r="BK406" s="4"/>
      <c r="BL406" s="4"/>
      <c r="BM406" s="4"/>
      <c r="BN406" s="4"/>
      <c r="BO406" s="4"/>
      <c r="BP406" s="4"/>
      <c r="BQ406" s="4"/>
      <c r="BR406" s="4"/>
    </row>
    <row r="407" spans="1:70" ht="27" customHeight="1" x14ac:dyDescent="0.2">
      <c r="A407" s="532"/>
      <c r="B407" s="917"/>
      <c r="C407" s="4"/>
      <c r="D407" s="917"/>
      <c r="E407" s="4"/>
      <c r="F407" s="917"/>
      <c r="G407" s="4"/>
      <c r="H407" s="920"/>
      <c r="I407" s="3"/>
      <c r="J407" s="920"/>
      <c r="K407" s="3"/>
      <c r="L407" s="920"/>
      <c r="M407" s="3"/>
      <c r="N407" s="920"/>
      <c r="O407" s="3"/>
      <c r="P407" s="3"/>
      <c r="Q407" s="533"/>
      <c r="R407" s="920"/>
      <c r="S407" s="534"/>
      <c r="T407" s="920"/>
      <c r="U407" s="920"/>
      <c r="V407" s="920"/>
      <c r="W407" s="535"/>
      <c r="X407" s="687"/>
      <c r="Y407" s="687"/>
      <c r="Z407" s="687"/>
      <c r="AA407" s="678"/>
      <c r="AB407" s="543"/>
      <c r="AC407" s="3"/>
      <c r="AD407" s="533"/>
      <c r="AE407" s="3"/>
      <c r="AF407" s="4"/>
      <c r="AG407" s="4"/>
      <c r="AH407" s="4"/>
      <c r="AI407" s="4"/>
      <c r="AJ407" s="4"/>
      <c r="AK407" s="4"/>
      <c r="AL407" s="4"/>
      <c r="AM407" s="4"/>
      <c r="AN407" s="4"/>
      <c r="AO407" s="4"/>
      <c r="AP407" s="4"/>
      <c r="AQ407" s="4"/>
      <c r="AR407" s="4"/>
      <c r="AS407" s="4"/>
      <c r="AT407" s="4"/>
      <c r="AU407" s="4"/>
      <c r="AV407" s="537"/>
      <c r="AW407" s="537"/>
      <c r="AX407" s="4"/>
      <c r="AY407" s="4"/>
      <c r="AZ407" s="4"/>
      <c r="BA407" s="4"/>
      <c r="BB407" s="4"/>
      <c r="BC407" s="4"/>
      <c r="BD407" s="4"/>
      <c r="BE407" s="4"/>
      <c r="BF407" s="4"/>
      <c r="BG407" s="4"/>
      <c r="BH407" s="4"/>
      <c r="BI407" s="4"/>
      <c r="BJ407" s="4"/>
      <c r="BK407" s="4"/>
      <c r="BL407" s="4"/>
      <c r="BM407" s="4"/>
      <c r="BN407" s="4"/>
      <c r="BO407" s="4"/>
      <c r="BP407" s="4"/>
      <c r="BQ407" s="4"/>
      <c r="BR407" s="4"/>
    </row>
    <row r="408" spans="1:70" ht="27" customHeight="1" x14ac:dyDescent="0.2">
      <c r="A408" s="532"/>
      <c r="B408" s="917"/>
      <c r="C408" s="4"/>
      <c r="D408" s="917"/>
      <c r="E408" s="4"/>
      <c r="F408" s="917"/>
      <c r="G408" s="4"/>
      <c r="H408" s="920"/>
      <c r="I408" s="3"/>
      <c r="J408" s="920"/>
      <c r="K408" s="3"/>
      <c r="L408" s="920"/>
      <c r="M408" s="3"/>
      <c r="N408" s="920"/>
      <c r="O408" s="3"/>
      <c r="P408" s="3"/>
      <c r="Q408" s="533"/>
      <c r="R408" s="920"/>
      <c r="S408" s="534"/>
      <c r="T408" s="920"/>
      <c r="U408" s="920"/>
      <c r="V408" s="920"/>
      <c r="W408" s="535"/>
      <c r="X408" s="687"/>
      <c r="Y408" s="687"/>
      <c r="Z408" s="687"/>
      <c r="AA408" s="678"/>
      <c r="AB408" s="543"/>
      <c r="AC408" s="3"/>
      <c r="AD408" s="533"/>
      <c r="AE408" s="3"/>
      <c r="AF408" s="4"/>
      <c r="AG408" s="4"/>
      <c r="AH408" s="4"/>
      <c r="AI408" s="4"/>
      <c r="AJ408" s="4"/>
      <c r="AK408" s="4"/>
      <c r="AL408" s="4"/>
      <c r="AM408" s="4"/>
      <c r="AN408" s="4"/>
      <c r="AO408" s="4"/>
      <c r="AP408" s="4"/>
      <c r="AQ408" s="4"/>
      <c r="AR408" s="4"/>
      <c r="AS408" s="4"/>
      <c r="AT408" s="4"/>
      <c r="AU408" s="4"/>
      <c r="AV408" s="537"/>
      <c r="AW408" s="537"/>
      <c r="AX408" s="4"/>
      <c r="AY408" s="4"/>
      <c r="AZ408" s="4"/>
      <c r="BA408" s="4"/>
      <c r="BB408" s="4"/>
      <c r="BC408" s="4"/>
      <c r="BD408" s="4"/>
      <c r="BE408" s="4"/>
      <c r="BF408" s="4"/>
      <c r="BG408" s="4"/>
      <c r="BH408" s="4"/>
      <c r="BI408" s="4"/>
      <c r="BJ408" s="4"/>
      <c r="BK408" s="4"/>
      <c r="BL408" s="4"/>
      <c r="BM408" s="4"/>
      <c r="BN408" s="4"/>
      <c r="BO408" s="4"/>
      <c r="BP408" s="4"/>
      <c r="BQ408" s="4"/>
      <c r="BR408" s="4"/>
    </row>
    <row r="409" spans="1:70" ht="27" customHeight="1" x14ac:dyDescent="0.2">
      <c r="A409" s="532"/>
      <c r="B409" s="917"/>
      <c r="C409" s="4"/>
      <c r="D409" s="917"/>
      <c r="E409" s="4"/>
      <c r="F409" s="917"/>
      <c r="G409" s="4"/>
      <c r="H409" s="920"/>
      <c r="I409" s="3"/>
      <c r="J409" s="920"/>
      <c r="K409" s="3"/>
      <c r="L409" s="920"/>
      <c r="M409" s="3"/>
      <c r="N409" s="920"/>
      <c r="O409" s="3"/>
      <c r="P409" s="3"/>
      <c r="Q409" s="533"/>
      <c r="R409" s="920"/>
      <c r="S409" s="534"/>
      <c r="T409" s="920"/>
      <c r="U409" s="920"/>
      <c r="V409" s="920"/>
      <c r="W409" s="535"/>
      <c r="X409" s="687"/>
      <c r="Y409" s="687"/>
      <c r="Z409" s="687"/>
      <c r="AA409" s="678"/>
      <c r="AB409" s="543"/>
      <c r="AC409" s="3"/>
      <c r="AD409" s="533"/>
      <c r="AE409" s="3"/>
      <c r="AF409" s="4"/>
      <c r="AG409" s="4"/>
      <c r="AH409" s="4"/>
      <c r="AI409" s="4"/>
      <c r="AJ409" s="4"/>
      <c r="AK409" s="4"/>
      <c r="AL409" s="4"/>
      <c r="AM409" s="4"/>
      <c r="AN409" s="4"/>
      <c r="AO409" s="4"/>
      <c r="AP409" s="4"/>
      <c r="AQ409" s="4"/>
      <c r="AR409" s="4"/>
      <c r="AS409" s="4"/>
      <c r="AT409" s="4"/>
      <c r="AU409" s="4"/>
      <c r="AV409" s="537"/>
      <c r="AW409" s="537"/>
      <c r="AX409" s="4"/>
      <c r="AY409" s="4"/>
      <c r="AZ409" s="4"/>
      <c r="BA409" s="4"/>
      <c r="BB409" s="4"/>
      <c r="BC409" s="4"/>
      <c r="BD409" s="4"/>
      <c r="BE409" s="4"/>
      <c r="BF409" s="4"/>
      <c r="BG409" s="4"/>
      <c r="BH409" s="4"/>
      <c r="BI409" s="4"/>
      <c r="BJ409" s="4"/>
      <c r="BK409" s="4"/>
      <c r="BL409" s="4"/>
      <c r="BM409" s="4"/>
      <c r="BN409" s="4"/>
      <c r="BO409" s="4"/>
      <c r="BP409" s="4"/>
      <c r="BQ409" s="4"/>
      <c r="BR409" s="4"/>
    </row>
    <row r="410" spans="1:70" ht="27" customHeight="1" x14ac:dyDescent="0.2">
      <c r="A410" s="532"/>
      <c r="B410" s="917"/>
      <c r="C410" s="4"/>
      <c r="D410" s="917"/>
      <c r="E410" s="4"/>
      <c r="F410" s="917"/>
      <c r="G410" s="4"/>
      <c r="H410" s="920"/>
      <c r="I410" s="3"/>
      <c r="J410" s="920"/>
      <c r="K410" s="3"/>
      <c r="L410" s="920"/>
      <c r="M410" s="3"/>
      <c r="N410" s="920"/>
      <c r="O410" s="3"/>
      <c r="P410" s="3"/>
      <c r="Q410" s="533"/>
      <c r="R410" s="920"/>
      <c r="S410" s="534"/>
      <c r="T410" s="920"/>
      <c r="U410" s="920"/>
      <c r="V410" s="920"/>
      <c r="W410" s="535"/>
      <c r="X410" s="687"/>
      <c r="Y410" s="687"/>
      <c r="Z410" s="687"/>
      <c r="AA410" s="678"/>
      <c r="AB410" s="543"/>
      <c r="AC410" s="3"/>
      <c r="AD410" s="533"/>
      <c r="AE410" s="3"/>
      <c r="AF410" s="4"/>
      <c r="AG410" s="4"/>
      <c r="AH410" s="4"/>
      <c r="AI410" s="4"/>
      <c r="AJ410" s="4"/>
      <c r="AK410" s="4"/>
      <c r="AL410" s="4"/>
      <c r="AM410" s="4"/>
      <c r="AN410" s="4"/>
      <c r="AO410" s="4"/>
      <c r="AP410" s="4"/>
      <c r="AQ410" s="4"/>
      <c r="AR410" s="4"/>
      <c r="AS410" s="4"/>
      <c r="AT410" s="4"/>
      <c r="AU410" s="4"/>
      <c r="AV410" s="537"/>
      <c r="AW410" s="537"/>
      <c r="AX410" s="4"/>
      <c r="AY410" s="4"/>
      <c r="AZ410" s="4"/>
      <c r="BA410" s="4"/>
      <c r="BB410" s="4"/>
      <c r="BC410" s="4"/>
      <c r="BD410" s="4"/>
      <c r="BE410" s="4"/>
      <c r="BF410" s="4"/>
      <c r="BG410" s="4"/>
      <c r="BH410" s="4"/>
      <c r="BI410" s="4"/>
      <c r="BJ410" s="4"/>
      <c r="BK410" s="4"/>
      <c r="BL410" s="4"/>
      <c r="BM410" s="4"/>
      <c r="BN410" s="4"/>
      <c r="BO410" s="4"/>
      <c r="BP410" s="4"/>
      <c r="BQ410" s="4"/>
      <c r="BR410" s="4"/>
    </row>
    <row r="411" spans="1:70" ht="27" customHeight="1" x14ac:dyDescent="0.2">
      <c r="A411" s="532"/>
      <c r="B411" s="917"/>
      <c r="C411" s="4"/>
      <c r="D411" s="917"/>
      <c r="E411" s="4"/>
      <c r="F411" s="917"/>
      <c r="G411" s="4"/>
      <c r="H411" s="920"/>
      <c r="I411" s="3"/>
      <c r="J411" s="920"/>
      <c r="K411" s="3"/>
      <c r="L411" s="920"/>
      <c r="M411" s="3"/>
      <c r="N411" s="920"/>
      <c r="O411" s="3"/>
      <c r="P411" s="3"/>
      <c r="Q411" s="533"/>
      <c r="R411" s="920"/>
      <c r="S411" s="534"/>
      <c r="T411" s="920"/>
      <c r="U411" s="920"/>
      <c r="V411" s="920"/>
      <c r="W411" s="535"/>
      <c r="X411" s="687"/>
      <c r="Y411" s="687"/>
      <c r="Z411" s="687"/>
      <c r="AA411" s="678"/>
      <c r="AB411" s="543"/>
      <c r="AC411" s="3"/>
      <c r="AD411" s="533"/>
      <c r="AE411" s="3"/>
      <c r="AF411" s="4"/>
      <c r="AG411" s="4"/>
      <c r="AH411" s="4"/>
      <c r="AI411" s="4"/>
      <c r="AJ411" s="4"/>
      <c r="AK411" s="4"/>
      <c r="AL411" s="4"/>
      <c r="AM411" s="4"/>
      <c r="AN411" s="4"/>
      <c r="AO411" s="4"/>
      <c r="AP411" s="4"/>
      <c r="AQ411" s="4"/>
      <c r="AR411" s="4"/>
      <c r="AS411" s="4"/>
      <c r="AT411" s="4"/>
      <c r="AU411" s="4"/>
      <c r="AV411" s="537"/>
      <c r="AW411" s="537"/>
      <c r="AX411" s="4"/>
      <c r="AY411" s="4"/>
      <c r="AZ411" s="4"/>
      <c r="BA411" s="4"/>
      <c r="BB411" s="4"/>
      <c r="BC411" s="4"/>
      <c r="BD411" s="4"/>
      <c r="BE411" s="4"/>
      <c r="BF411" s="4"/>
      <c r="BG411" s="4"/>
      <c r="BH411" s="4"/>
      <c r="BI411" s="4"/>
      <c r="BJ411" s="4"/>
      <c r="BK411" s="4"/>
      <c r="BL411" s="4"/>
      <c r="BM411" s="4"/>
      <c r="BN411" s="4"/>
      <c r="BO411" s="4"/>
      <c r="BP411" s="4"/>
      <c r="BQ411" s="4"/>
      <c r="BR411" s="4"/>
    </row>
    <row r="412" spans="1:70" ht="27" customHeight="1" x14ac:dyDescent="0.2">
      <c r="A412" s="532"/>
      <c r="B412" s="917"/>
      <c r="C412" s="4"/>
      <c r="D412" s="917"/>
      <c r="E412" s="4"/>
      <c r="F412" s="917"/>
      <c r="G412" s="4"/>
      <c r="H412" s="920"/>
      <c r="I412" s="3"/>
      <c r="J412" s="920"/>
      <c r="K412" s="3"/>
      <c r="L412" s="920"/>
      <c r="M412" s="3"/>
      <c r="N412" s="920"/>
      <c r="O412" s="3"/>
      <c r="P412" s="3"/>
      <c r="Q412" s="533"/>
      <c r="R412" s="920"/>
      <c r="S412" s="534"/>
      <c r="T412" s="920"/>
      <c r="U412" s="920"/>
      <c r="V412" s="920"/>
      <c r="W412" s="535"/>
      <c r="X412" s="687"/>
      <c r="Y412" s="687"/>
      <c r="Z412" s="687"/>
      <c r="AA412" s="678"/>
      <c r="AB412" s="543"/>
      <c r="AC412" s="3"/>
      <c r="AD412" s="533"/>
      <c r="AE412" s="3"/>
      <c r="AF412" s="4"/>
      <c r="AG412" s="4"/>
      <c r="AH412" s="4"/>
      <c r="AI412" s="4"/>
      <c r="AJ412" s="4"/>
      <c r="AK412" s="4"/>
      <c r="AL412" s="4"/>
      <c r="AM412" s="4"/>
      <c r="AN412" s="4"/>
      <c r="AO412" s="4"/>
      <c r="AP412" s="4"/>
      <c r="AQ412" s="4"/>
      <c r="AR412" s="4"/>
      <c r="AS412" s="4"/>
      <c r="AT412" s="4"/>
      <c r="AU412" s="4"/>
      <c r="AV412" s="537"/>
      <c r="AW412" s="537"/>
      <c r="AX412" s="4"/>
      <c r="AY412" s="4"/>
      <c r="AZ412" s="4"/>
      <c r="BA412" s="4"/>
      <c r="BB412" s="4"/>
      <c r="BC412" s="4"/>
      <c r="BD412" s="4"/>
      <c r="BE412" s="4"/>
      <c r="BF412" s="4"/>
      <c r="BG412" s="4"/>
      <c r="BH412" s="4"/>
      <c r="BI412" s="4"/>
      <c r="BJ412" s="4"/>
      <c r="BK412" s="4"/>
      <c r="BL412" s="4"/>
      <c r="BM412" s="4"/>
      <c r="BN412" s="4"/>
      <c r="BO412" s="4"/>
      <c r="BP412" s="4"/>
      <c r="BQ412" s="4"/>
      <c r="BR412" s="4"/>
    </row>
    <row r="413" spans="1:70" ht="27" customHeight="1" x14ac:dyDescent="0.2">
      <c r="A413" s="532"/>
      <c r="B413" s="917"/>
      <c r="C413" s="4"/>
      <c r="D413" s="917"/>
      <c r="E413" s="4"/>
      <c r="F413" s="917"/>
      <c r="G413" s="4"/>
      <c r="H413" s="920"/>
      <c r="I413" s="3"/>
      <c r="J413" s="920"/>
      <c r="K413" s="3"/>
      <c r="L413" s="920"/>
      <c r="M413" s="3"/>
      <c r="N413" s="920"/>
      <c r="O413" s="3"/>
      <c r="P413" s="3"/>
      <c r="Q413" s="533"/>
      <c r="R413" s="920"/>
      <c r="S413" s="534"/>
      <c r="T413" s="920"/>
      <c r="U413" s="920"/>
      <c r="V413" s="920"/>
      <c r="W413" s="535"/>
      <c r="X413" s="687"/>
      <c r="Y413" s="687"/>
      <c r="Z413" s="687"/>
      <c r="AA413" s="678"/>
      <c r="AB413" s="543"/>
      <c r="AC413" s="3"/>
      <c r="AD413" s="533"/>
      <c r="AE413" s="3"/>
      <c r="AF413" s="4"/>
      <c r="AG413" s="4"/>
      <c r="AH413" s="4"/>
      <c r="AI413" s="4"/>
      <c r="AJ413" s="4"/>
      <c r="AK413" s="4"/>
      <c r="AL413" s="4"/>
      <c r="AM413" s="4"/>
      <c r="AN413" s="4"/>
      <c r="AO413" s="4"/>
      <c r="AP413" s="4"/>
      <c r="AQ413" s="4"/>
      <c r="AR413" s="4"/>
      <c r="AS413" s="4"/>
      <c r="AT413" s="4"/>
      <c r="AU413" s="4"/>
      <c r="AV413" s="537"/>
      <c r="AW413" s="537"/>
      <c r="AX413" s="4"/>
      <c r="AY413" s="4"/>
      <c r="AZ413" s="4"/>
      <c r="BA413" s="4"/>
      <c r="BB413" s="4"/>
      <c r="BC413" s="4"/>
      <c r="BD413" s="4"/>
      <c r="BE413" s="4"/>
      <c r="BF413" s="4"/>
      <c r="BG413" s="4"/>
      <c r="BH413" s="4"/>
      <c r="BI413" s="4"/>
      <c r="BJ413" s="4"/>
      <c r="BK413" s="4"/>
      <c r="BL413" s="4"/>
      <c r="BM413" s="4"/>
      <c r="BN413" s="4"/>
      <c r="BO413" s="4"/>
      <c r="BP413" s="4"/>
      <c r="BQ413" s="4"/>
      <c r="BR413" s="4"/>
    </row>
    <row r="414" spans="1:70" ht="27" customHeight="1" x14ac:dyDescent="0.2">
      <c r="A414" s="532"/>
      <c r="B414" s="917"/>
      <c r="C414" s="4"/>
      <c r="D414" s="917"/>
      <c r="E414" s="4"/>
      <c r="F414" s="917"/>
      <c r="G414" s="4"/>
      <c r="H414" s="920"/>
      <c r="I414" s="3"/>
      <c r="J414" s="920"/>
      <c r="K414" s="3"/>
      <c r="L414" s="920"/>
      <c r="M414" s="3"/>
      <c r="N414" s="920"/>
      <c r="O414" s="3"/>
      <c r="P414" s="3"/>
      <c r="Q414" s="533"/>
      <c r="R414" s="920"/>
      <c r="S414" s="534"/>
      <c r="T414" s="920"/>
      <c r="U414" s="920"/>
      <c r="V414" s="920"/>
      <c r="W414" s="535"/>
      <c r="X414" s="687"/>
      <c r="Y414" s="687"/>
      <c r="Z414" s="687"/>
      <c r="AA414" s="678"/>
      <c r="AB414" s="543"/>
      <c r="AC414" s="3"/>
      <c r="AD414" s="533"/>
      <c r="AE414" s="3"/>
      <c r="AF414" s="4"/>
      <c r="AG414" s="4"/>
      <c r="AH414" s="4"/>
      <c r="AI414" s="4"/>
      <c r="AJ414" s="4"/>
      <c r="AK414" s="4"/>
      <c r="AL414" s="4"/>
      <c r="AM414" s="4"/>
      <c r="AN414" s="4"/>
      <c r="AO414" s="4"/>
      <c r="AP414" s="4"/>
      <c r="AQ414" s="4"/>
      <c r="AR414" s="4"/>
      <c r="AS414" s="4"/>
      <c r="AT414" s="4"/>
      <c r="AU414" s="4"/>
      <c r="AV414" s="537"/>
      <c r="AW414" s="537"/>
      <c r="AX414" s="4"/>
      <c r="AY414" s="4"/>
      <c r="AZ414" s="4"/>
      <c r="BA414" s="4"/>
      <c r="BB414" s="4"/>
      <c r="BC414" s="4"/>
      <c r="BD414" s="4"/>
      <c r="BE414" s="4"/>
      <c r="BF414" s="4"/>
      <c r="BG414" s="4"/>
      <c r="BH414" s="4"/>
      <c r="BI414" s="4"/>
      <c r="BJ414" s="4"/>
      <c r="BK414" s="4"/>
      <c r="BL414" s="4"/>
      <c r="BM414" s="4"/>
      <c r="BN414" s="4"/>
      <c r="BO414" s="4"/>
      <c r="BP414" s="4"/>
      <c r="BQ414" s="4"/>
      <c r="BR414" s="4"/>
    </row>
    <row r="415" spans="1:70" ht="27" customHeight="1" x14ac:dyDescent="0.2">
      <c r="A415" s="532"/>
      <c r="B415" s="917"/>
      <c r="C415" s="4"/>
      <c r="D415" s="917"/>
      <c r="E415" s="4"/>
      <c r="F415" s="917"/>
      <c r="G415" s="4"/>
      <c r="H415" s="920"/>
      <c r="I415" s="3"/>
      <c r="J415" s="920"/>
      <c r="K415" s="3"/>
      <c r="L415" s="920"/>
      <c r="M415" s="3"/>
      <c r="N415" s="920"/>
      <c r="O415" s="3"/>
      <c r="P415" s="3"/>
      <c r="Q415" s="533"/>
      <c r="R415" s="920"/>
      <c r="S415" s="534"/>
      <c r="T415" s="920"/>
      <c r="U415" s="920"/>
      <c r="V415" s="920"/>
      <c r="W415" s="535"/>
      <c r="X415" s="687"/>
      <c r="Y415" s="687"/>
      <c r="Z415" s="687"/>
      <c r="AA415" s="678"/>
      <c r="AB415" s="543"/>
      <c r="AC415" s="3"/>
      <c r="AD415" s="533"/>
      <c r="AE415" s="3"/>
      <c r="AF415" s="4"/>
      <c r="AG415" s="4"/>
      <c r="AH415" s="4"/>
      <c r="AI415" s="4"/>
      <c r="AJ415" s="4"/>
      <c r="AK415" s="4"/>
      <c r="AL415" s="4"/>
      <c r="AM415" s="4"/>
      <c r="AN415" s="4"/>
      <c r="AO415" s="4"/>
      <c r="AP415" s="4"/>
      <c r="AQ415" s="4"/>
      <c r="AR415" s="4"/>
      <c r="AS415" s="4"/>
      <c r="AT415" s="4"/>
      <c r="AU415" s="4"/>
      <c r="AV415" s="537"/>
      <c r="AW415" s="537"/>
      <c r="AX415" s="4"/>
      <c r="AY415" s="4"/>
      <c r="AZ415" s="4"/>
      <c r="BA415" s="4"/>
      <c r="BB415" s="4"/>
      <c r="BC415" s="4"/>
      <c r="BD415" s="4"/>
      <c r="BE415" s="4"/>
      <c r="BF415" s="4"/>
      <c r="BG415" s="4"/>
      <c r="BH415" s="4"/>
      <c r="BI415" s="4"/>
      <c r="BJ415" s="4"/>
      <c r="BK415" s="4"/>
      <c r="BL415" s="4"/>
      <c r="BM415" s="4"/>
      <c r="BN415" s="4"/>
      <c r="BO415" s="4"/>
      <c r="BP415" s="4"/>
      <c r="BQ415" s="4"/>
      <c r="BR415" s="4"/>
    </row>
    <row r="416" spans="1:70" ht="27" customHeight="1" x14ac:dyDescent="0.2">
      <c r="A416" s="532"/>
      <c r="B416" s="917"/>
      <c r="C416" s="4"/>
      <c r="D416" s="917"/>
      <c r="E416" s="4"/>
      <c r="F416" s="917"/>
      <c r="G416" s="4"/>
      <c r="H416" s="920"/>
      <c r="I416" s="3"/>
      <c r="J416" s="920"/>
      <c r="K416" s="3"/>
      <c r="L416" s="920"/>
      <c r="M416" s="3"/>
      <c r="N416" s="920"/>
      <c r="O416" s="3"/>
      <c r="P416" s="3"/>
      <c r="Q416" s="533"/>
      <c r="R416" s="920"/>
      <c r="S416" s="534"/>
      <c r="T416" s="920"/>
      <c r="U416" s="920"/>
      <c r="V416" s="920"/>
      <c r="W416" s="535"/>
      <c r="X416" s="687"/>
      <c r="Y416" s="687"/>
      <c r="Z416" s="687"/>
      <c r="AA416" s="678"/>
      <c r="AB416" s="543"/>
      <c r="AC416" s="3"/>
      <c r="AD416" s="533"/>
      <c r="AE416" s="3"/>
      <c r="AF416" s="4"/>
      <c r="AG416" s="4"/>
      <c r="AH416" s="4"/>
      <c r="AI416" s="4"/>
      <c r="AJ416" s="4"/>
      <c r="AK416" s="4"/>
      <c r="AL416" s="4"/>
      <c r="AM416" s="4"/>
      <c r="AN416" s="4"/>
      <c r="AO416" s="4"/>
      <c r="AP416" s="4"/>
      <c r="AQ416" s="4"/>
      <c r="AR416" s="4"/>
      <c r="AS416" s="4"/>
      <c r="AT416" s="4"/>
      <c r="AU416" s="4"/>
      <c r="AV416" s="537"/>
      <c r="AW416" s="537"/>
      <c r="AX416" s="4"/>
      <c r="AY416" s="4"/>
      <c r="AZ416" s="4"/>
      <c r="BA416" s="4"/>
      <c r="BB416" s="4"/>
      <c r="BC416" s="4"/>
      <c r="BD416" s="4"/>
      <c r="BE416" s="4"/>
      <c r="BF416" s="4"/>
      <c r="BG416" s="4"/>
      <c r="BH416" s="4"/>
      <c r="BI416" s="4"/>
      <c r="BJ416" s="4"/>
      <c r="BK416" s="4"/>
      <c r="BL416" s="4"/>
      <c r="BM416" s="4"/>
      <c r="BN416" s="4"/>
      <c r="BO416" s="4"/>
      <c r="BP416" s="4"/>
      <c r="BQ416" s="4"/>
      <c r="BR416" s="4"/>
    </row>
    <row r="417" spans="1:70" ht="27" customHeight="1" x14ac:dyDescent="0.2">
      <c r="A417" s="532"/>
      <c r="B417" s="917"/>
      <c r="C417" s="4"/>
      <c r="D417" s="917"/>
      <c r="E417" s="4"/>
      <c r="F417" s="917"/>
      <c r="G417" s="4"/>
      <c r="H417" s="920"/>
      <c r="I417" s="3"/>
      <c r="J417" s="920"/>
      <c r="K417" s="3"/>
      <c r="L417" s="920"/>
      <c r="M417" s="3"/>
      <c r="N417" s="920"/>
      <c r="O417" s="3"/>
      <c r="P417" s="3"/>
      <c r="Q417" s="533"/>
      <c r="R417" s="920"/>
      <c r="S417" s="534"/>
      <c r="T417" s="920"/>
      <c r="U417" s="920"/>
      <c r="V417" s="920"/>
      <c r="W417" s="535"/>
      <c r="X417" s="687"/>
      <c r="Y417" s="687"/>
      <c r="Z417" s="687"/>
      <c r="AA417" s="678"/>
      <c r="AB417" s="543"/>
      <c r="AC417" s="3"/>
      <c r="AD417" s="533"/>
      <c r="AE417" s="3"/>
      <c r="AF417" s="4"/>
      <c r="AG417" s="4"/>
      <c r="AH417" s="4"/>
      <c r="AI417" s="4"/>
      <c r="AJ417" s="4"/>
      <c r="AK417" s="4"/>
      <c r="AL417" s="4"/>
      <c r="AM417" s="4"/>
      <c r="AN417" s="4"/>
      <c r="AO417" s="4"/>
      <c r="AP417" s="4"/>
      <c r="AQ417" s="4"/>
      <c r="AR417" s="4"/>
      <c r="AS417" s="4"/>
      <c r="AT417" s="4"/>
      <c r="AU417" s="4"/>
      <c r="AV417" s="537"/>
      <c r="AW417" s="537"/>
      <c r="AX417" s="4"/>
      <c r="AY417" s="4"/>
      <c r="AZ417" s="4"/>
      <c r="BA417" s="4"/>
      <c r="BB417" s="4"/>
      <c r="BC417" s="4"/>
      <c r="BD417" s="4"/>
      <c r="BE417" s="4"/>
      <c r="BF417" s="4"/>
      <c r="BG417" s="4"/>
      <c r="BH417" s="4"/>
      <c r="BI417" s="4"/>
      <c r="BJ417" s="4"/>
      <c r="BK417" s="4"/>
      <c r="BL417" s="4"/>
      <c r="BM417" s="4"/>
      <c r="BN417" s="4"/>
      <c r="BO417" s="4"/>
      <c r="BP417" s="4"/>
      <c r="BQ417" s="4"/>
      <c r="BR417" s="4"/>
    </row>
    <row r="418" spans="1:70" ht="27" customHeight="1" x14ac:dyDescent="0.2">
      <c r="A418" s="532"/>
      <c r="B418" s="917"/>
      <c r="C418" s="4"/>
      <c r="D418" s="917"/>
      <c r="E418" s="4"/>
      <c r="F418" s="917"/>
      <c r="G418" s="4"/>
      <c r="H418" s="920"/>
      <c r="I418" s="3"/>
      <c r="J418" s="920"/>
      <c r="K418" s="3"/>
      <c r="L418" s="920"/>
      <c r="M418" s="3"/>
      <c r="N418" s="920"/>
      <c r="O418" s="3"/>
      <c r="P418" s="3"/>
      <c r="Q418" s="533"/>
      <c r="R418" s="920"/>
      <c r="S418" s="534"/>
      <c r="T418" s="920"/>
      <c r="U418" s="920"/>
      <c r="V418" s="920"/>
      <c r="W418" s="535"/>
      <c r="X418" s="687"/>
      <c r="Y418" s="687"/>
      <c r="Z418" s="687"/>
      <c r="AA418" s="678"/>
      <c r="AB418" s="543"/>
      <c r="AC418" s="3"/>
      <c r="AD418" s="533"/>
      <c r="AE418" s="3"/>
      <c r="AF418" s="4"/>
      <c r="AG418" s="4"/>
      <c r="AH418" s="4"/>
      <c r="AI418" s="4"/>
      <c r="AJ418" s="4"/>
      <c r="AK418" s="4"/>
      <c r="AL418" s="4"/>
      <c r="AM418" s="4"/>
      <c r="AN418" s="4"/>
      <c r="AO418" s="4"/>
      <c r="AP418" s="4"/>
      <c r="AQ418" s="4"/>
      <c r="AR418" s="4"/>
      <c r="AS418" s="4"/>
      <c r="AT418" s="4"/>
      <c r="AU418" s="4"/>
      <c r="AV418" s="537"/>
      <c r="AW418" s="537"/>
      <c r="AX418" s="4"/>
      <c r="AY418" s="4"/>
      <c r="AZ418" s="4"/>
      <c r="BA418" s="4"/>
      <c r="BB418" s="4"/>
      <c r="BC418" s="4"/>
      <c r="BD418" s="4"/>
      <c r="BE418" s="4"/>
      <c r="BF418" s="4"/>
      <c r="BG418" s="4"/>
      <c r="BH418" s="4"/>
      <c r="BI418" s="4"/>
      <c r="BJ418" s="4"/>
      <c r="BK418" s="4"/>
      <c r="BL418" s="4"/>
      <c r="BM418" s="4"/>
      <c r="BN418" s="4"/>
      <c r="BO418" s="4"/>
      <c r="BP418" s="4"/>
      <c r="BQ418" s="4"/>
      <c r="BR418" s="4"/>
    </row>
    <row r="419" spans="1:70" ht="27" customHeight="1" x14ac:dyDescent="0.2">
      <c r="A419" s="532"/>
      <c r="B419" s="917"/>
      <c r="C419" s="4"/>
      <c r="D419" s="917"/>
      <c r="E419" s="4"/>
      <c r="F419" s="917"/>
      <c r="G419" s="4"/>
      <c r="H419" s="920"/>
      <c r="I419" s="3"/>
      <c r="J419" s="920"/>
      <c r="K419" s="3"/>
      <c r="L419" s="920"/>
      <c r="M419" s="3"/>
      <c r="N419" s="920"/>
      <c r="O419" s="3"/>
      <c r="P419" s="3"/>
      <c r="Q419" s="533"/>
      <c r="R419" s="920"/>
      <c r="S419" s="534"/>
      <c r="T419" s="920"/>
      <c r="U419" s="920"/>
      <c r="V419" s="920"/>
      <c r="W419" s="535"/>
      <c r="X419" s="687"/>
      <c r="Y419" s="687"/>
      <c r="Z419" s="687"/>
      <c r="AA419" s="678"/>
      <c r="AB419" s="543"/>
      <c r="AC419" s="3"/>
      <c r="AD419" s="533"/>
      <c r="AE419" s="3"/>
      <c r="AF419" s="4"/>
      <c r="AG419" s="4"/>
      <c r="AH419" s="4"/>
      <c r="AI419" s="4"/>
      <c r="AJ419" s="4"/>
      <c r="AK419" s="4"/>
      <c r="AL419" s="4"/>
      <c r="AM419" s="4"/>
      <c r="AN419" s="4"/>
      <c r="AO419" s="4"/>
      <c r="AP419" s="4"/>
      <c r="AQ419" s="4"/>
      <c r="AR419" s="4"/>
      <c r="AS419" s="4"/>
      <c r="AT419" s="4"/>
      <c r="AU419" s="4"/>
      <c r="AV419" s="537"/>
      <c r="AW419" s="537"/>
      <c r="AX419" s="4"/>
      <c r="AY419" s="4"/>
      <c r="AZ419" s="4"/>
      <c r="BA419" s="4"/>
      <c r="BB419" s="4"/>
      <c r="BC419" s="4"/>
      <c r="BD419" s="4"/>
      <c r="BE419" s="4"/>
      <c r="BF419" s="4"/>
      <c r="BG419" s="4"/>
      <c r="BH419" s="4"/>
      <c r="BI419" s="4"/>
      <c r="BJ419" s="4"/>
      <c r="BK419" s="4"/>
      <c r="BL419" s="4"/>
      <c r="BM419" s="4"/>
      <c r="BN419" s="4"/>
      <c r="BO419" s="4"/>
      <c r="BP419" s="4"/>
      <c r="BQ419" s="4"/>
      <c r="BR419" s="4"/>
    </row>
    <row r="420" spans="1:70" ht="27" customHeight="1" x14ac:dyDescent="0.2">
      <c r="A420" s="532"/>
      <c r="B420" s="917"/>
      <c r="C420" s="4"/>
      <c r="D420" s="917"/>
      <c r="E420" s="4"/>
      <c r="F420" s="917"/>
      <c r="G420" s="4"/>
      <c r="H420" s="920"/>
      <c r="I420" s="3"/>
      <c r="J420" s="920"/>
      <c r="K420" s="3"/>
      <c r="L420" s="920"/>
      <c r="M420" s="3"/>
      <c r="N420" s="920"/>
      <c r="O420" s="3"/>
      <c r="P420" s="3"/>
      <c r="Q420" s="533"/>
      <c r="R420" s="920"/>
      <c r="S420" s="534"/>
      <c r="T420" s="920"/>
      <c r="U420" s="920"/>
      <c r="V420" s="920"/>
      <c r="W420" s="535"/>
      <c r="X420" s="687"/>
      <c r="Y420" s="687"/>
      <c r="Z420" s="687"/>
      <c r="AA420" s="678"/>
      <c r="AB420" s="543"/>
      <c r="AC420" s="3"/>
      <c r="AD420" s="533"/>
      <c r="AE420" s="3"/>
      <c r="AF420" s="4"/>
      <c r="AG420" s="4"/>
      <c r="AH420" s="4"/>
      <c r="AI420" s="4"/>
      <c r="AJ420" s="4"/>
      <c r="AK420" s="4"/>
      <c r="AL420" s="4"/>
      <c r="AM420" s="4"/>
      <c r="AN420" s="4"/>
      <c r="AO420" s="4"/>
      <c r="AP420" s="4"/>
      <c r="AQ420" s="4"/>
      <c r="AR420" s="4"/>
      <c r="AS420" s="4"/>
      <c r="AT420" s="4"/>
      <c r="AU420" s="4"/>
      <c r="AV420" s="537"/>
      <c r="AW420" s="537"/>
      <c r="AX420" s="4"/>
      <c r="AY420" s="4"/>
      <c r="AZ420" s="4"/>
      <c r="BA420" s="4"/>
      <c r="BB420" s="4"/>
      <c r="BC420" s="4"/>
      <c r="BD420" s="4"/>
      <c r="BE420" s="4"/>
      <c r="BF420" s="4"/>
      <c r="BG420" s="4"/>
      <c r="BH420" s="4"/>
      <c r="BI420" s="4"/>
      <c r="BJ420" s="4"/>
      <c r="BK420" s="4"/>
      <c r="BL420" s="4"/>
      <c r="BM420" s="4"/>
      <c r="BN420" s="4"/>
      <c r="BO420" s="4"/>
      <c r="BP420" s="4"/>
      <c r="BQ420" s="4"/>
      <c r="BR420" s="4"/>
    </row>
    <row r="421" spans="1:70" ht="27" customHeight="1" x14ac:dyDescent="0.2">
      <c r="A421" s="532"/>
      <c r="B421" s="917"/>
      <c r="C421" s="4"/>
      <c r="D421" s="917"/>
      <c r="E421" s="4"/>
      <c r="F421" s="917"/>
      <c r="G421" s="4"/>
      <c r="H421" s="920"/>
      <c r="I421" s="3"/>
      <c r="J421" s="920"/>
      <c r="K421" s="3"/>
      <c r="L421" s="920"/>
      <c r="M421" s="3"/>
      <c r="N421" s="920"/>
      <c r="O421" s="3"/>
      <c r="P421" s="3"/>
      <c r="Q421" s="533"/>
      <c r="R421" s="920"/>
      <c r="S421" s="534"/>
      <c r="T421" s="920"/>
      <c r="U421" s="920"/>
      <c r="V421" s="920"/>
      <c r="W421" s="535"/>
      <c r="X421" s="687"/>
      <c r="Y421" s="687"/>
      <c r="Z421" s="687"/>
      <c r="AA421" s="678"/>
      <c r="AB421" s="543"/>
      <c r="AC421" s="3"/>
      <c r="AD421" s="533"/>
      <c r="AE421" s="3"/>
      <c r="AF421" s="4"/>
      <c r="AG421" s="4"/>
      <c r="AH421" s="4"/>
      <c r="AI421" s="4"/>
      <c r="AJ421" s="4"/>
      <c r="AK421" s="4"/>
      <c r="AL421" s="4"/>
      <c r="AM421" s="4"/>
      <c r="AN421" s="4"/>
      <c r="AO421" s="4"/>
      <c r="AP421" s="4"/>
      <c r="AQ421" s="4"/>
      <c r="AR421" s="4"/>
      <c r="AS421" s="4"/>
      <c r="AT421" s="4"/>
      <c r="AU421" s="4"/>
      <c r="AV421" s="537"/>
      <c r="AW421" s="537"/>
      <c r="AX421" s="4"/>
      <c r="AY421" s="4"/>
      <c r="AZ421" s="4"/>
      <c r="BA421" s="4"/>
      <c r="BB421" s="4"/>
      <c r="BC421" s="4"/>
      <c r="BD421" s="4"/>
      <c r="BE421" s="4"/>
      <c r="BF421" s="4"/>
      <c r="BG421" s="4"/>
      <c r="BH421" s="4"/>
      <c r="BI421" s="4"/>
      <c r="BJ421" s="4"/>
      <c r="BK421" s="4"/>
      <c r="BL421" s="4"/>
      <c r="BM421" s="4"/>
      <c r="BN421" s="4"/>
      <c r="BO421" s="4"/>
      <c r="BP421" s="4"/>
      <c r="BQ421" s="4"/>
      <c r="BR421" s="4"/>
    </row>
    <row r="422" spans="1:70" ht="27" customHeight="1" x14ac:dyDescent="0.2">
      <c r="A422" s="532"/>
      <c r="B422" s="917"/>
      <c r="C422" s="4"/>
      <c r="D422" s="917"/>
      <c r="E422" s="4"/>
      <c r="F422" s="917"/>
      <c r="G422" s="4"/>
      <c r="H422" s="920"/>
      <c r="I422" s="3"/>
      <c r="J422" s="920"/>
      <c r="K422" s="3"/>
      <c r="L422" s="920"/>
      <c r="M422" s="3"/>
      <c r="N422" s="920"/>
      <c r="O422" s="3"/>
      <c r="P422" s="3"/>
      <c r="Q422" s="533"/>
      <c r="R422" s="920"/>
      <c r="S422" s="534"/>
      <c r="T422" s="920"/>
      <c r="U422" s="920"/>
      <c r="V422" s="920"/>
      <c r="W422" s="535"/>
      <c r="X422" s="687"/>
      <c r="Y422" s="687"/>
      <c r="Z422" s="687"/>
      <c r="AA422" s="678"/>
      <c r="AB422" s="543"/>
      <c r="AC422" s="3"/>
      <c r="AD422" s="533"/>
      <c r="AE422" s="3"/>
      <c r="AF422" s="4"/>
      <c r="AG422" s="4"/>
      <c r="AH422" s="4"/>
      <c r="AI422" s="4"/>
      <c r="AJ422" s="4"/>
      <c r="AK422" s="4"/>
      <c r="AL422" s="4"/>
      <c r="AM422" s="4"/>
      <c r="AN422" s="4"/>
      <c r="AO422" s="4"/>
      <c r="AP422" s="4"/>
      <c r="AQ422" s="4"/>
      <c r="AR422" s="4"/>
      <c r="AS422" s="4"/>
      <c r="AT422" s="4"/>
      <c r="AU422" s="4"/>
      <c r="AV422" s="537"/>
      <c r="AW422" s="537"/>
      <c r="AX422" s="4"/>
      <c r="AY422" s="4"/>
      <c r="AZ422" s="4"/>
      <c r="BA422" s="4"/>
      <c r="BB422" s="4"/>
      <c r="BC422" s="4"/>
      <c r="BD422" s="4"/>
      <c r="BE422" s="4"/>
      <c r="BF422" s="4"/>
      <c r="BG422" s="4"/>
      <c r="BH422" s="4"/>
      <c r="BI422" s="4"/>
      <c r="BJ422" s="4"/>
      <c r="BK422" s="4"/>
      <c r="BL422" s="4"/>
      <c r="BM422" s="4"/>
      <c r="BN422" s="4"/>
      <c r="BO422" s="4"/>
      <c r="BP422" s="4"/>
      <c r="BQ422" s="4"/>
      <c r="BR422" s="4"/>
    </row>
    <row r="423" spans="1:70" ht="27" customHeight="1" x14ac:dyDescent="0.2">
      <c r="A423" s="532"/>
      <c r="B423" s="917"/>
      <c r="C423" s="4"/>
      <c r="D423" s="917"/>
      <c r="E423" s="4"/>
      <c r="F423" s="917"/>
      <c r="G423" s="4"/>
      <c r="H423" s="920"/>
      <c r="I423" s="3"/>
      <c r="J423" s="920"/>
      <c r="K423" s="3"/>
      <c r="L423" s="920"/>
      <c r="M423" s="3"/>
      <c r="N423" s="920"/>
      <c r="O423" s="3"/>
      <c r="P423" s="3"/>
      <c r="Q423" s="533"/>
      <c r="R423" s="920"/>
      <c r="S423" s="534"/>
      <c r="T423" s="920"/>
      <c r="U423" s="920"/>
      <c r="V423" s="920"/>
      <c r="W423" s="535"/>
      <c r="X423" s="687"/>
      <c r="Y423" s="687"/>
      <c r="Z423" s="687"/>
      <c r="AA423" s="678"/>
      <c r="AB423" s="543"/>
      <c r="AC423" s="3"/>
      <c r="AD423" s="533"/>
      <c r="AE423" s="3"/>
      <c r="AF423" s="4"/>
      <c r="AG423" s="4"/>
      <c r="AH423" s="4"/>
      <c r="AI423" s="4"/>
      <c r="AJ423" s="4"/>
      <c r="AK423" s="4"/>
      <c r="AL423" s="4"/>
      <c r="AM423" s="4"/>
      <c r="AN423" s="4"/>
      <c r="AO423" s="4"/>
      <c r="AP423" s="4"/>
      <c r="AQ423" s="4"/>
      <c r="AR423" s="4"/>
      <c r="AS423" s="4"/>
      <c r="AT423" s="4"/>
      <c r="AU423" s="4"/>
      <c r="AV423" s="537"/>
      <c r="AW423" s="537"/>
      <c r="AX423" s="4"/>
      <c r="AY423" s="4"/>
      <c r="AZ423" s="4"/>
      <c r="BA423" s="4"/>
      <c r="BB423" s="4"/>
      <c r="BC423" s="4"/>
      <c r="BD423" s="4"/>
      <c r="BE423" s="4"/>
      <c r="BF423" s="4"/>
      <c r="BG423" s="4"/>
      <c r="BH423" s="4"/>
      <c r="BI423" s="4"/>
      <c r="BJ423" s="4"/>
      <c r="BK423" s="4"/>
      <c r="BL423" s="4"/>
      <c r="BM423" s="4"/>
      <c r="BN423" s="4"/>
      <c r="BO423" s="4"/>
      <c r="BP423" s="4"/>
      <c r="BQ423" s="4"/>
      <c r="BR423" s="4"/>
    </row>
    <row r="424" spans="1:70" ht="27" customHeight="1" x14ac:dyDescent="0.2">
      <c r="A424" s="532"/>
      <c r="B424" s="917"/>
      <c r="C424" s="4"/>
      <c r="D424" s="917"/>
      <c r="E424" s="4"/>
      <c r="F424" s="917"/>
      <c r="G424" s="4"/>
      <c r="H424" s="920"/>
      <c r="I424" s="3"/>
      <c r="J424" s="920"/>
      <c r="K424" s="3"/>
      <c r="L424" s="920"/>
      <c r="M424" s="3"/>
      <c r="N424" s="920"/>
      <c r="O424" s="3"/>
      <c r="P424" s="3"/>
      <c r="Q424" s="533"/>
      <c r="R424" s="920"/>
      <c r="S424" s="534"/>
      <c r="T424" s="920"/>
      <c r="U424" s="920"/>
      <c r="V424" s="920"/>
      <c r="W424" s="535"/>
      <c r="X424" s="687"/>
      <c r="Y424" s="687"/>
      <c r="Z424" s="687"/>
      <c r="AA424" s="678"/>
      <c r="AB424" s="543"/>
      <c r="AC424" s="3"/>
      <c r="AD424" s="533"/>
      <c r="AE424" s="3"/>
      <c r="AF424" s="4"/>
      <c r="AG424" s="4"/>
      <c r="AH424" s="4"/>
      <c r="AI424" s="4"/>
      <c r="AJ424" s="4"/>
      <c r="AK424" s="4"/>
      <c r="AL424" s="4"/>
      <c r="AM424" s="4"/>
      <c r="AN424" s="4"/>
      <c r="AO424" s="4"/>
      <c r="AP424" s="4"/>
      <c r="AQ424" s="4"/>
      <c r="AR424" s="4"/>
      <c r="AS424" s="4"/>
      <c r="AT424" s="4"/>
      <c r="AU424" s="4"/>
      <c r="AV424" s="537"/>
      <c r="AW424" s="537"/>
      <c r="AX424" s="4"/>
      <c r="AY424" s="4"/>
      <c r="AZ424" s="4"/>
      <c r="BA424" s="4"/>
      <c r="BB424" s="4"/>
      <c r="BC424" s="4"/>
      <c r="BD424" s="4"/>
      <c r="BE424" s="4"/>
      <c r="BF424" s="4"/>
      <c r="BG424" s="4"/>
      <c r="BH424" s="4"/>
      <c r="BI424" s="4"/>
      <c r="BJ424" s="4"/>
      <c r="BK424" s="4"/>
      <c r="BL424" s="4"/>
      <c r="BM424" s="4"/>
      <c r="BN424" s="4"/>
      <c r="BO424" s="4"/>
      <c r="BP424" s="4"/>
      <c r="BQ424" s="4"/>
      <c r="BR424" s="4"/>
    </row>
    <row r="425" spans="1:70" ht="27" customHeight="1" x14ac:dyDescent="0.2">
      <c r="A425" s="532"/>
      <c r="B425" s="917"/>
      <c r="C425" s="4"/>
      <c r="D425" s="917"/>
      <c r="E425" s="4"/>
      <c r="F425" s="917"/>
      <c r="G425" s="4"/>
      <c r="H425" s="920"/>
      <c r="I425" s="3"/>
      <c r="J425" s="920"/>
      <c r="K425" s="3"/>
      <c r="L425" s="920"/>
      <c r="M425" s="3"/>
      <c r="N425" s="920"/>
      <c r="O425" s="3"/>
      <c r="P425" s="3"/>
      <c r="Q425" s="533"/>
      <c r="R425" s="920"/>
      <c r="S425" s="534"/>
      <c r="T425" s="920"/>
      <c r="U425" s="920"/>
      <c r="V425" s="920"/>
      <c r="W425" s="535"/>
      <c r="X425" s="687"/>
      <c r="Y425" s="687"/>
      <c r="Z425" s="687"/>
      <c r="AA425" s="678"/>
      <c r="AB425" s="543"/>
      <c r="AC425" s="3"/>
      <c r="AD425" s="533"/>
      <c r="AE425" s="3"/>
      <c r="AF425" s="4"/>
      <c r="AG425" s="4"/>
      <c r="AH425" s="4"/>
      <c r="AI425" s="4"/>
      <c r="AJ425" s="4"/>
      <c r="AK425" s="4"/>
      <c r="AL425" s="4"/>
      <c r="AM425" s="4"/>
      <c r="AN425" s="4"/>
      <c r="AO425" s="4"/>
      <c r="AP425" s="4"/>
      <c r="AQ425" s="4"/>
      <c r="AR425" s="4"/>
      <c r="AS425" s="4"/>
      <c r="AT425" s="4"/>
      <c r="AU425" s="4"/>
      <c r="AV425" s="537"/>
      <c r="AW425" s="537"/>
      <c r="AX425" s="4"/>
      <c r="AY425" s="4"/>
      <c r="AZ425" s="4"/>
      <c r="BA425" s="4"/>
      <c r="BB425" s="4"/>
      <c r="BC425" s="4"/>
      <c r="BD425" s="4"/>
      <c r="BE425" s="4"/>
      <c r="BF425" s="4"/>
      <c r="BG425" s="4"/>
      <c r="BH425" s="4"/>
      <c r="BI425" s="4"/>
      <c r="BJ425" s="4"/>
      <c r="BK425" s="4"/>
      <c r="BL425" s="4"/>
      <c r="BM425" s="4"/>
      <c r="BN425" s="4"/>
      <c r="BO425" s="4"/>
      <c r="BP425" s="4"/>
      <c r="BQ425" s="4"/>
      <c r="BR425" s="4"/>
    </row>
    <row r="426" spans="1:70" ht="27" customHeight="1" x14ac:dyDescent="0.2">
      <c r="A426" s="532"/>
      <c r="B426" s="917"/>
      <c r="C426" s="4"/>
      <c r="D426" s="917"/>
      <c r="E426" s="4"/>
      <c r="F426" s="917"/>
      <c r="G426" s="4"/>
      <c r="H426" s="920"/>
      <c r="I426" s="3"/>
      <c r="J426" s="920"/>
      <c r="K426" s="3"/>
      <c r="L426" s="920"/>
      <c r="M426" s="3"/>
      <c r="N426" s="920"/>
      <c r="O426" s="3"/>
      <c r="P426" s="3"/>
      <c r="Q426" s="533"/>
      <c r="R426" s="920"/>
      <c r="S426" s="534"/>
      <c r="T426" s="920"/>
      <c r="U426" s="920"/>
      <c r="V426" s="920"/>
      <c r="W426" s="535"/>
      <c r="X426" s="687"/>
      <c r="Y426" s="687"/>
      <c r="Z426" s="687"/>
      <c r="AA426" s="678"/>
      <c r="AB426" s="543"/>
      <c r="AC426" s="3"/>
      <c r="AD426" s="533"/>
      <c r="AE426" s="3"/>
      <c r="AF426" s="4"/>
      <c r="AG426" s="4"/>
      <c r="AH426" s="4"/>
      <c r="AI426" s="4"/>
      <c r="AJ426" s="4"/>
      <c r="AK426" s="4"/>
      <c r="AL426" s="4"/>
      <c r="AM426" s="4"/>
      <c r="AN426" s="4"/>
      <c r="AO426" s="4"/>
      <c r="AP426" s="4"/>
      <c r="AQ426" s="4"/>
      <c r="AR426" s="4"/>
      <c r="AS426" s="4"/>
      <c r="AT426" s="4"/>
      <c r="AU426" s="4"/>
      <c r="AV426" s="537"/>
      <c r="AW426" s="537"/>
      <c r="AX426" s="4"/>
      <c r="AY426" s="4"/>
      <c r="AZ426" s="4"/>
      <c r="BA426" s="4"/>
      <c r="BB426" s="4"/>
      <c r="BC426" s="4"/>
      <c r="BD426" s="4"/>
      <c r="BE426" s="4"/>
      <c r="BF426" s="4"/>
      <c r="BG426" s="4"/>
      <c r="BH426" s="4"/>
      <c r="BI426" s="4"/>
      <c r="BJ426" s="4"/>
      <c r="BK426" s="4"/>
      <c r="BL426" s="4"/>
      <c r="BM426" s="4"/>
      <c r="BN426" s="4"/>
      <c r="BO426" s="4"/>
      <c r="BP426" s="4"/>
      <c r="BQ426" s="4"/>
      <c r="BR426" s="4"/>
    </row>
    <row r="427" spans="1:70" ht="27" customHeight="1" x14ac:dyDescent="0.2">
      <c r="A427" s="532"/>
      <c r="B427" s="917"/>
      <c r="C427" s="4"/>
      <c r="D427" s="917"/>
      <c r="E427" s="4"/>
      <c r="F427" s="917"/>
      <c r="G427" s="4"/>
      <c r="H427" s="920"/>
      <c r="I427" s="3"/>
      <c r="J427" s="920"/>
      <c r="K427" s="3"/>
      <c r="L427" s="920"/>
      <c r="M427" s="3"/>
      <c r="N427" s="920"/>
      <c r="O427" s="3"/>
      <c r="P427" s="3"/>
      <c r="Q427" s="533"/>
      <c r="R427" s="920"/>
      <c r="S427" s="534"/>
      <c r="T427" s="920"/>
      <c r="U427" s="920"/>
      <c r="V427" s="920"/>
      <c r="W427" s="535"/>
      <c r="X427" s="687"/>
      <c r="Y427" s="687"/>
      <c r="Z427" s="687"/>
      <c r="AA427" s="678"/>
      <c r="AB427" s="543"/>
      <c r="AC427" s="3"/>
      <c r="AD427" s="533"/>
      <c r="AE427" s="3"/>
      <c r="AF427" s="4"/>
      <c r="AG427" s="4"/>
      <c r="AH427" s="4"/>
      <c r="AI427" s="4"/>
      <c r="AJ427" s="4"/>
      <c r="AK427" s="4"/>
      <c r="AL427" s="4"/>
      <c r="AM427" s="4"/>
      <c r="AN427" s="4"/>
      <c r="AO427" s="4"/>
      <c r="AP427" s="4"/>
      <c r="AQ427" s="4"/>
      <c r="AR427" s="4"/>
      <c r="AS427" s="4"/>
      <c r="AT427" s="4"/>
      <c r="AU427" s="4"/>
      <c r="AV427" s="537"/>
      <c r="AW427" s="537"/>
      <c r="AX427" s="4"/>
      <c r="AY427" s="4"/>
      <c r="AZ427" s="4"/>
      <c r="BA427" s="4"/>
      <c r="BB427" s="4"/>
      <c r="BC427" s="4"/>
      <c r="BD427" s="4"/>
      <c r="BE427" s="4"/>
      <c r="BF427" s="4"/>
      <c r="BG427" s="4"/>
      <c r="BH427" s="4"/>
      <c r="BI427" s="4"/>
      <c r="BJ427" s="4"/>
      <c r="BK427" s="4"/>
      <c r="BL427" s="4"/>
      <c r="BM427" s="4"/>
      <c r="BN427" s="4"/>
      <c r="BO427" s="4"/>
      <c r="BP427" s="4"/>
      <c r="BQ427" s="4"/>
      <c r="BR427" s="4"/>
    </row>
    <row r="428" spans="1:70" ht="27" customHeight="1" x14ac:dyDescent="0.2">
      <c r="A428" s="532"/>
      <c r="B428" s="917"/>
      <c r="C428" s="4"/>
      <c r="D428" s="917"/>
      <c r="E428" s="4"/>
      <c r="F428" s="917"/>
      <c r="G428" s="4"/>
      <c r="H428" s="920"/>
      <c r="I428" s="3"/>
      <c r="J428" s="920"/>
      <c r="K428" s="3"/>
      <c r="L428" s="920"/>
      <c r="M428" s="3"/>
      <c r="N428" s="920"/>
      <c r="O428" s="3"/>
      <c r="P428" s="3"/>
      <c r="Q428" s="533"/>
      <c r="R428" s="920"/>
      <c r="S428" s="534"/>
      <c r="T428" s="920"/>
      <c r="U428" s="920"/>
      <c r="V428" s="920"/>
      <c r="W428" s="535"/>
      <c r="X428" s="687"/>
      <c r="Y428" s="687"/>
      <c r="Z428" s="687"/>
      <c r="AA428" s="678"/>
      <c r="AB428" s="543"/>
      <c r="AC428" s="3"/>
      <c r="AD428" s="533"/>
      <c r="AE428" s="3"/>
      <c r="AF428" s="4"/>
      <c r="AG428" s="4"/>
      <c r="AH428" s="4"/>
      <c r="AI428" s="4"/>
      <c r="AJ428" s="4"/>
      <c r="AK428" s="4"/>
      <c r="AL428" s="4"/>
      <c r="AM428" s="4"/>
      <c r="AN428" s="4"/>
      <c r="AO428" s="4"/>
      <c r="AP428" s="4"/>
      <c r="AQ428" s="4"/>
      <c r="AR428" s="4"/>
      <c r="AS428" s="4"/>
      <c r="AT428" s="4"/>
      <c r="AU428" s="4"/>
      <c r="AV428" s="537"/>
      <c r="AW428" s="537"/>
      <c r="AX428" s="4"/>
      <c r="AY428" s="4"/>
      <c r="AZ428" s="4"/>
      <c r="BA428" s="4"/>
      <c r="BB428" s="4"/>
      <c r="BC428" s="4"/>
      <c r="BD428" s="4"/>
      <c r="BE428" s="4"/>
      <c r="BF428" s="4"/>
      <c r="BG428" s="4"/>
      <c r="BH428" s="4"/>
      <c r="BI428" s="4"/>
      <c r="BJ428" s="4"/>
      <c r="BK428" s="4"/>
      <c r="BL428" s="4"/>
      <c r="BM428" s="4"/>
      <c r="BN428" s="4"/>
      <c r="BO428" s="4"/>
      <c r="BP428" s="4"/>
      <c r="BQ428" s="4"/>
      <c r="BR428" s="4"/>
    </row>
    <row r="429" spans="1:70" ht="27" customHeight="1" x14ac:dyDescent="0.2">
      <c r="A429" s="532"/>
      <c r="B429" s="917"/>
      <c r="C429" s="4"/>
      <c r="D429" s="917"/>
      <c r="E429" s="4"/>
      <c r="F429" s="917"/>
      <c r="G429" s="4"/>
      <c r="H429" s="920"/>
      <c r="I429" s="3"/>
      <c r="J429" s="920"/>
      <c r="K429" s="3"/>
      <c r="L429" s="920"/>
      <c r="M429" s="3"/>
      <c r="N429" s="920"/>
      <c r="O429" s="3"/>
      <c r="P429" s="3"/>
      <c r="Q429" s="533"/>
      <c r="R429" s="920"/>
      <c r="S429" s="534"/>
      <c r="T429" s="920"/>
      <c r="U429" s="920"/>
      <c r="V429" s="920"/>
      <c r="W429" s="535"/>
      <c r="X429" s="687"/>
      <c r="Y429" s="687"/>
      <c r="Z429" s="687"/>
      <c r="AA429" s="678"/>
      <c r="AB429" s="543"/>
      <c r="AC429" s="3"/>
      <c r="AD429" s="533"/>
      <c r="AE429" s="3"/>
      <c r="AF429" s="4"/>
      <c r="AG429" s="4"/>
      <c r="AH429" s="4"/>
      <c r="AI429" s="4"/>
      <c r="AJ429" s="4"/>
      <c r="AK429" s="4"/>
      <c r="AL429" s="4"/>
      <c r="AM429" s="4"/>
      <c r="AN429" s="4"/>
      <c r="AO429" s="4"/>
      <c r="AP429" s="4"/>
      <c r="AQ429" s="4"/>
      <c r="AR429" s="4"/>
      <c r="AS429" s="4"/>
      <c r="AT429" s="4"/>
      <c r="AU429" s="4"/>
      <c r="AV429" s="537"/>
      <c r="AW429" s="537"/>
      <c r="AX429" s="4"/>
      <c r="AY429" s="4"/>
      <c r="AZ429" s="4"/>
      <c r="BA429" s="4"/>
      <c r="BB429" s="4"/>
      <c r="BC429" s="4"/>
      <c r="BD429" s="4"/>
      <c r="BE429" s="4"/>
      <c r="BF429" s="4"/>
      <c r="BG429" s="4"/>
      <c r="BH429" s="4"/>
      <c r="BI429" s="4"/>
      <c r="BJ429" s="4"/>
      <c r="BK429" s="4"/>
      <c r="BL429" s="4"/>
      <c r="BM429" s="4"/>
      <c r="BN429" s="4"/>
      <c r="BO429" s="4"/>
      <c r="BP429" s="4"/>
      <c r="BQ429" s="4"/>
      <c r="BR429" s="4"/>
    </row>
    <row r="430" spans="1:70" ht="27" customHeight="1" x14ac:dyDescent="0.2">
      <c r="A430" s="532"/>
      <c r="B430" s="917"/>
      <c r="C430" s="4"/>
      <c r="D430" s="917"/>
      <c r="E430" s="4"/>
      <c r="F430" s="917"/>
      <c r="G430" s="4"/>
      <c r="H430" s="920"/>
      <c r="I430" s="3"/>
      <c r="J430" s="920"/>
      <c r="K430" s="3"/>
      <c r="L430" s="920"/>
      <c r="M430" s="3"/>
      <c r="N430" s="920"/>
      <c r="O430" s="3"/>
      <c r="P430" s="3"/>
      <c r="Q430" s="533"/>
      <c r="R430" s="920"/>
      <c r="S430" s="534"/>
      <c r="T430" s="920"/>
      <c r="U430" s="920"/>
      <c r="V430" s="920"/>
      <c r="W430" s="535"/>
      <c r="X430" s="687"/>
      <c r="Y430" s="687"/>
      <c r="Z430" s="687"/>
      <c r="AA430" s="678"/>
      <c r="AB430" s="543"/>
      <c r="AC430" s="3"/>
      <c r="AD430" s="533"/>
      <c r="AE430" s="3"/>
      <c r="AF430" s="4"/>
      <c r="AG430" s="4"/>
      <c r="AH430" s="4"/>
      <c r="AI430" s="4"/>
      <c r="AJ430" s="4"/>
      <c r="AK430" s="4"/>
      <c r="AL430" s="4"/>
      <c r="AM430" s="4"/>
      <c r="AN430" s="4"/>
      <c r="AO430" s="4"/>
      <c r="AP430" s="4"/>
      <c r="AQ430" s="4"/>
      <c r="AR430" s="4"/>
      <c r="AS430" s="4"/>
      <c r="AT430" s="4"/>
      <c r="AU430" s="4"/>
      <c r="AV430" s="537"/>
      <c r="AW430" s="537"/>
      <c r="AX430" s="4"/>
      <c r="AY430" s="4"/>
      <c r="AZ430" s="4"/>
      <c r="BA430" s="4"/>
      <c r="BB430" s="4"/>
      <c r="BC430" s="4"/>
      <c r="BD430" s="4"/>
      <c r="BE430" s="4"/>
      <c r="BF430" s="4"/>
      <c r="BG430" s="4"/>
      <c r="BH430" s="4"/>
      <c r="BI430" s="4"/>
      <c r="BJ430" s="4"/>
      <c r="BK430" s="4"/>
      <c r="BL430" s="4"/>
      <c r="BM430" s="4"/>
      <c r="BN430" s="4"/>
      <c r="BO430" s="4"/>
      <c r="BP430" s="4"/>
      <c r="BQ430" s="4"/>
      <c r="BR430" s="4"/>
    </row>
    <row r="431" spans="1:70" ht="27" customHeight="1" x14ac:dyDescent="0.2">
      <c r="A431" s="532"/>
      <c r="B431" s="917"/>
      <c r="C431" s="4"/>
      <c r="D431" s="917"/>
      <c r="E431" s="4"/>
      <c r="F431" s="917"/>
      <c r="G431" s="4"/>
      <c r="H431" s="920"/>
      <c r="I431" s="3"/>
      <c r="J431" s="920"/>
      <c r="K431" s="3"/>
      <c r="L431" s="920"/>
      <c r="M431" s="3"/>
      <c r="N431" s="920"/>
      <c r="O431" s="3"/>
      <c r="P431" s="3"/>
      <c r="Q431" s="533"/>
      <c r="R431" s="920"/>
      <c r="S431" s="534"/>
      <c r="T431" s="920"/>
      <c r="U431" s="920"/>
      <c r="V431" s="920"/>
      <c r="W431" s="535"/>
      <c r="X431" s="687"/>
      <c r="Y431" s="687"/>
      <c r="Z431" s="687"/>
      <c r="AA431" s="678"/>
      <c r="AB431" s="543"/>
      <c r="AC431" s="3"/>
      <c r="AD431" s="533"/>
      <c r="AE431" s="3"/>
      <c r="AF431" s="4"/>
      <c r="AG431" s="4"/>
      <c r="AH431" s="4"/>
      <c r="AI431" s="4"/>
      <c r="AJ431" s="4"/>
      <c r="AK431" s="4"/>
      <c r="AL431" s="4"/>
      <c r="AM431" s="4"/>
      <c r="AN431" s="4"/>
      <c r="AO431" s="4"/>
      <c r="AP431" s="4"/>
      <c r="AQ431" s="4"/>
      <c r="AR431" s="4"/>
      <c r="AS431" s="4"/>
      <c r="AT431" s="4"/>
      <c r="AU431" s="4"/>
      <c r="AV431" s="537"/>
      <c r="AW431" s="537"/>
      <c r="AX431" s="4"/>
      <c r="AY431" s="4"/>
      <c r="AZ431" s="4"/>
      <c r="BA431" s="4"/>
      <c r="BB431" s="4"/>
      <c r="BC431" s="4"/>
      <c r="BD431" s="4"/>
      <c r="BE431" s="4"/>
      <c r="BF431" s="4"/>
      <c r="BG431" s="4"/>
      <c r="BH431" s="4"/>
      <c r="BI431" s="4"/>
      <c r="BJ431" s="4"/>
      <c r="BK431" s="4"/>
      <c r="BL431" s="4"/>
      <c r="BM431" s="4"/>
      <c r="BN431" s="4"/>
      <c r="BO431" s="4"/>
      <c r="BP431" s="4"/>
      <c r="BQ431" s="4"/>
      <c r="BR431" s="4"/>
    </row>
    <row r="432" spans="1:70" ht="27" customHeight="1" x14ac:dyDescent="0.2">
      <c r="A432" s="532"/>
      <c r="B432" s="917"/>
      <c r="C432" s="4"/>
      <c r="D432" s="917"/>
      <c r="E432" s="4"/>
      <c r="F432" s="917"/>
      <c r="G432" s="4"/>
      <c r="H432" s="920"/>
      <c r="I432" s="3"/>
      <c r="J432" s="920"/>
      <c r="K432" s="3"/>
      <c r="L432" s="920"/>
      <c r="M432" s="3"/>
      <c r="N432" s="920"/>
      <c r="O432" s="3"/>
      <c r="P432" s="3"/>
      <c r="Q432" s="533"/>
      <c r="R432" s="920"/>
      <c r="S432" s="534"/>
      <c r="T432" s="920"/>
      <c r="U432" s="920"/>
      <c r="V432" s="920"/>
      <c r="W432" s="535"/>
      <c r="X432" s="687"/>
      <c r="Y432" s="687"/>
      <c r="Z432" s="687"/>
      <c r="AA432" s="678"/>
      <c r="AB432" s="543"/>
      <c r="AC432" s="3"/>
      <c r="AD432" s="533"/>
      <c r="AE432" s="3"/>
      <c r="AF432" s="4"/>
      <c r="AG432" s="4"/>
      <c r="AH432" s="4"/>
      <c r="AI432" s="4"/>
      <c r="AJ432" s="4"/>
      <c r="AK432" s="4"/>
      <c r="AL432" s="4"/>
      <c r="AM432" s="4"/>
      <c r="AN432" s="4"/>
      <c r="AO432" s="4"/>
      <c r="AP432" s="4"/>
      <c r="AQ432" s="4"/>
      <c r="AR432" s="4"/>
      <c r="AS432" s="4"/>
      <c r="AT432" s="4"/>
      <c r="AU432" s="4"/>
      <c r="AV432" s="537"/>
      <c r="AW432" s="537"/>
      <c r="AX432" s="4"/>
      <c r="AY432" s="4"/>
      <c r="AZ432" s="4"/>
      <c r="BA432" s="4"/>
      <c r="BB432" s="4"/>
      <c r="BC432" s="4"/>
      <c r="BD432" s="4"/>
      <c r="BE432" s="4"/>
      <c r="BF432" s="4"/>
      <c r="BG432" s="4"/>
      <c r="BH432" s="4"/>
      <c r="BI432" s="4"/>
      <c r="BJ432" s="4"/>
      <c r="BK432" s="4"/>
      <c r="BL432" s="4"/>
      <c r="BM432" s="4"/>
      <c r="BN432" s="4"/>
      <c r="BO432" s="4"/>
      <c r="BP432" s="4"/>
      <c r="BQ432" s="4"/>
      <c r="BR432" s="4"/>
    </row>
    <row r="433" spans="1:70" ht="27" customHeight="1" x14ac:dyDescent="0.2">
      <c r="A433" s="532"/>
      <c r="B433" s="917"/>
      <c r="C433" s="4"/>
      <c r="D433" s="917"/>
      <c r="E433" s="4"/>
      <c r="F433" s="917"/>
      <c r="G433" s="4"/>
      <c r="H433" s="920"/>
      <c r="I433" s="3"/>
      <c r="J433" s="920"/>
      <c r="K433" s="3"/>
      <c r="L433" s="920"/>
      <c r="M433" s="3"/>
      <c r="N433" s="920"/>
      <c r="O433" s="3"/>
      <c r="P433" s="3"/>
      <c r="Q433" s="533"/>
      <c r="R433" s="920"/>
      <c r="S433" s="534"/>
      <c r="T433" s="920"/>
      <c r="U433" s="920"/>
      <c r="V433" s="920"/>
      <c r="W433" s="535"/>
      <c r="X433" s="687"/>
      <c r="Y433" s="687"/>
      <c r="Z433" s="687"/>
      <c r="AA433" s="678"/>
      <c r="AB433" s="543"/>
      <c r="AC433" s="3"/>
      <c r="AD433" s="533"/>
      <c r="AE433" s="3"/>
      <c r="AF433" s="4"/>
      <c r="AG433" s="4"/>
      <c r="AH433" s="4"/>
      <c r="AI433" s="4"/>
      <c r="AJ433" s="4"/>
      <c r="AK433" s="4"/>
      <c r="AL433" s="4"/>
      <c r="AM433" s="4"/>
      <c r="AN433" s="4"/>
      <c r="AO433" s="4"/>
      <c r="AP433" s="4"/>
      <c r="AQ433" s="4"/>
      <c r="AR433" s="4"/>
      <c r="AS433" s="4"/>
      <c r="AT433" s="4"/>
      <c r="AU433" s="4"/>
      <c r="AV433" s="537"/>
      <c r="AW433" s="537"/>
      <c r="AX433" s="4"/>
      <c r="AY433" s="4"/>
      <c r="AZ433" s="4"/>
      <c r="BA433" s="4"/>
      <c r="BB433" s="4"/>
      <c r="BC433" s="4"/>
      <c r="BD433" s="4"/>
      <c r="BE433" s="4"/>
      <c r="BF433" s="4"/>
      <c r="BG433" s="4"/>
      <c r="BH433" s="4"/>
      <c r="BI433" s="4"/>
      <c r="BJ433" s="4"/>
      <c r="BK433" s="4"/>
      <c r="BL433" s="4"/>
      <c r="BM433" s="4"/>
      <c r="BN433" s="4"/>
      <c r="BO433" s="4"/>
      <c r="BP433" s="4"/>
      <c r="BQ433" s="4"/>
      <c r="BR433" s="4"/>
    </row>
    <row r="434" spans="1:70" ht="27" customHeight="1" x14ac:dyDescent="0.2">
      <c r="A434" s="532"/>
      <c r="B434" s="917"/>
      <c r="C434" s="4"/>
      <c r="D434" s="917"/>
      <c r="E434" s="4"/>
      <c r="F434" s="917"/>
      <c r="G434" s="4"/>
      <c r="H434" s="920"/>
      <c r="I434" s="3"/>
      <c r="J434" s="920"/>
      <c r="K434" s="3"/>
      <c r="L434" s="920"/>
      <c r="M434" s="3"/>
      <c r="N434" s="920"/>
      <c r="O434" s="3"/>
      <c r="P434" s="3"/>
      <c r="Q434" s="533"/>
      <c r="R434" s="920"/>
      <c r="S434" s="534"/>
      <c r="T434" s="920"/>
      <c r="U434" s="920"/>
      <c r="V434" s="920"/>
      <c r="W434" s="535"/>
      <c r="X434" s="687"/>
      <c r="Y434" s="687"/>
      <c r="Z434" s="687"/>
      <c r="AA434" s="678"/>
      <c r="AB434" s="543"/>
      <c r="AC434" s="3"/>
      <c r="AD434" s="533"/>
      <c r="AE434" s="3"/>
      <c r="AF434" s="4"/>
      <c r="AG434" s="4"/>
      <c r="AH434" s="4"/>
      <c r="AI434" s="4"/>
      <c r="AJ434" s="4"/>
      <c r="AK434" s="4"/>
      <c r="AL434" s="4"/>
      <c r="AM434" s="4"/>
      <c r="AN434" s="4"/>
      <c r="AO434" s="4"/>
      <c r="AP434" s="4"/>
      <c r="AQ434" s="4"/>
      <c r="AR434" s="4"/>
      <c r="AS434" s="4"/>
      <c r="AT434" s="4"/>
      <c r="AU434" s="4"/>
      <c r="AV434" s="537"/>
      <c r="AW434" s="537"/>
      <c r="AX434" s="4"/>
      <c r="AY434" s="4"/>
      <c r="AZ434" s="4"/>
      <c r="BA434" s="4"/>
      <c r="BB434" s="4"/>
      <c r="BC434" s="4"/>
      <c r="BD434" s="4"/>
      <c r="BE434" s="4"/>
      <c r="BF434" s="4"/>
      <c r="BG434" s="4"/>
      <c r="BH434" s="4"/>
      <c r="BI434" s="4"/>
      <c r="BJ434" s="4"/>
      <c r="BK434" s="4"/>
      <c r="BL434" s="4"/>
      <c r="BM434" s="4"/>
      <c r="BN434" s="4"/>
      <c r="BO434" s="4"/>
      <c r="BP434" s="4"/>
      <c r="BQ434" s="4"/>
      <c r="BR434" s="4"/>
    </row>
    <row r="435" spans="1:70" ht="27" customHeight="1" x14ac:dyDescent="0.2">
      <c r="A435" s="532"/>
      <c r="B435" s="917"/>
      <c r="C435" s="4"/>
      <c r="D435" s="917"/>
      <c r="E435" s="4"/>
      <c r="F435" s="917"/>
      <c r="G435" s="4"/>
      <c r="H435" s="920"/>
      <c r="I435" s="3"/>
      <c r="J435" s="920"/>
      <c r="K435" s="3"/>
      <c r="L435" s="920"/>
      <c r="M435" s="3"/>
      <c r="N435" s="920"/>
      <c r="O435" s="3"/>
      <c r="P435" s="3"/>
      <c r="Q435" s="533"/>
      <c r="R435" s="920"/>
      <c r="S435" s="534"/>
      <c r="T435" s="920"/>
      <c r="U435" s="920"/>
      <c r="V435" s="920"/>
      <c r="W435" s="535"/>
      <c r="X435" s="687"/>
      <c r="Y435" s="687"/>
      <c r="Z435" s="687"/>
      <c r="AA435" s="678"/>
      <c r="AB435" s="543"/>
      <c r="AC435" s="3"/>
      <c r="AD435" s="533"/>
      <c r="AE435" s="3"/>
      <c r="AF435" s="4"/>
      <c r="AG435" s="4"/>
      <c r="AH435" s="4"/>
      <c r="AI435" s="4"/>
      <c r="AJ435" s="4"/>
      <c r="AK435" s="4"/>
      <c r="AL435" s="4"/>
      <c r="AM435" s="4"/>
      <c r="AN435" s="4"/>
      <c r="AO435" s="4"/>
      <c r="AP435" s="4"/>
      <c r="AQ435" s="4"/>
      <c r="AR435" s="4"/>
      <c r="AS435" s="4"/>
      <c r="AT435" s="4"/>
      <c r="AU435" s="4"/>
      <c r="AV435" s="537"/>
      <c r="AW435" s="537"/>
      <c r="AX435" s="4"/>
      <c r="AY435" s="4"/>
      <c r="AZ435" s="4"/>
      <c r="BA435" s="4"/>
      <c r="BB435" s="4"/>
      <c r="BC435" s="4"/>
      <c r="BD435" s="4"/>
      <c r="BE435" s="4"/>
      <c r="BF435" s="4"/>
      <c r="BG435" s="4"/>
      <c r="BH435" s="4"/>
      <c r="BI435" s="4"/>
      <c r="BJ435" s="4"/>
      <c r="BK435" s="4"/>
      <c r="BL435" s="4"/>
      <c r="BM435" s="4"/>
      <c r="BN435" s="4"/>
      <c r="BO435" s="4"/>
      <c r="BP435" s="4"/>
      <c r="BQ435" s="4"/>
      <c r="BR435" s="4"/>
    </row>
    <row r="436" spans="1:70" ht="27" customHeight="1" x14ac:dyDescent="0.2">
      <c r="A436" s="532"/>
      <c r="B436" s="917"/>
      <c r="C436" s="4"/>
      <c r="D436" s="917"/>
      <c r="E436" s="4"/>
      <c r="F436" s="917"/>
      <c r="G436" s="4"/>
      <c r="H436" s="920"/>
      <c r="I436" s="3"/>
      <c r="J436" s="920"/>
      <c r="K436" s="3"/>
      <c r="L436" s="920"/>
      <c r="M436" s="3"/>
      <c r="N436" s="920"/>
      <c r="O436" s="3"/>
      <c r="P436" s="3"/>
      <c r="Q436" s="533"/>
      <c r="R436" s="920"/>
      <c r="S436" s="534"/>
      <c r="T436" s="920"/>
      <c r="U436" s="920"/>
      <c r="V436" s="920"/>
      <c r="W436" s="535"/>
      <c r="X436" s="687"/>
      <c r="Y436" s="687"/>
      <c r="Z436" s="687"/>
      <c r="AA436" s="678"/>
      <c r="AB436" s="543"/>
      <c r="AC436" s="3"/>
      <c r="AD436" s="533"/>
      <c r="AE436" s="3"/>
      <c r="AF436" s="4"/>
      <c r="AG436" s="4"/>
      <c r="AH436" s="4"/>
      <c r="AI436" s="4"/>
      <c r="AJ436" s="4"/>
      <c r="AK436" s="4"/>
      <c r="AL436" s="4"/>
      <c r="AM436" s="4"/>
      <c r="AN436" s="4"/>
      <c r="AO436" s="4"/>
      <c r="AP436" s="4"/>
      <c r="AQ436" s="4"/>
      <c r="AR436" s="4"/>
      <c r="AS436" s="4"/>
      <c r="AT436" s="4"/>
      <c r="AU436" s="4"/>
      <c r="AV436" s="537"/>
      <c r="AW436" s="537"/>
      <c r="AX436" s="4"/>
      <c r="AY436" s="4"/>
      <c r="AZ436" s="4"/>
      <c r="BA436" s="4"/>
      <c r="BB436" s="4"/>
      <c r="BC436" s="4"/>
      <c r="BD436" s="4"/>
      <c r="BE436" s="4"/>
      <c r="BF436" s="4"/>
      <c r="BG436" s="4"/>
      <c r="BH436" s="4"/>
      <c r="BI436" s="4"/>
      <c r="BJ436" s="4"/>
      <c r="BK436" s="4"/>
      <c r="BL436" s="4"/>
      <c r="BM436" s="4"/>
      <c r="BN436" s="4"/>
      <c r="BO436" s="4"/>
      <c r="BP436" s="4"/>
      <c r="BQ436" s="4"/>
      <c r="BR436" s="4"/>
    </row>
    <row r="437" spans="1:70" ht="27" customHeight="1" x14ac:dyDescent="0.2">
      <c r="A437" s="532"/>
      <c r="B437" s="917"/>
      <c r="C437" s="4"/>
      <c r="D437" s="917"/>
      <c r="E437" s="4"/>
      <c r="F437" s="917"/>
      <c r="G437" s="4"/>
      <c r="H437" s="920"/>
      <c r="I437" s="3"/>
      <c r="J437" s="920"/>
      <c r="K437" s="3"/>
      <c r="L437" s="920"/>
      <c r="M437" s="3"/>
      <c r="N437" s="920"/>
      <c r="O437" s="3"/>
      <c r="P437" s="3"/>
      <c r="Q437" s="533"/>
      <c r="R437" s="920"/>
      <c r="S437" s="534"/>
      <c r="T437" s="920"/>
      <c r="U437" s="920"/>
      <c r="V437" s="920"/>
      <c r="W437" s="535"/>
      <c r="X437" s="687"/>
      <c r="Y437" s="687"/>
      <c r="Z437" s="687"/>
      <c r="AA437" s="678"/>
      <c r="AB437" s="543"/>
      <c r="AC437" s="3"/>
      <c r="AD437" s="533"/>
      <c r="AE437" s="3"/>
      <c r="AF437" s="4"/>
      <c r="AG437" s="4"/>
      <c r="AH437" s="4"/>
      <c r="AI437" s="4"/>
      <c r="AJ437" s="4"/>
      <c r="AK437" s="4"/>
      <c r="AL437" s="4"/>
      <c r="AM437" s="4"/>
      <c r="AN437" s="4"/>
      <c r="AO437" s="4"/>
      <c r="AP437" s="4"/>
      <c r="AQ437" s="4"/>
      <c r="AR437" s="4"/>
      <c r="AS437" s="4"/>
      <c r="AT437" s="4"/>
      <c r="AU437" s="4"/>
      <c r="AV437" s="537"/>
      <c r="AW437" s="537"/>
      <c r="AX437" s="4"/>
      <c r="AY437" s="4"/>
      <c r="AZ437" s="4"/>
      <c r="BA437" s="4"/>
      <c r="BB437" s="4"/>
      <c r="BC437" s="4"/>
      <c r="BD437" s="4"/>
      <c r="BE437" s="4"/>
      <c r="BF437" s="4"/>
      <c r="BG437" s="4"/>
      <c r="BH437" s="4"/>
      <c r="BI437" s="4"/>
      <c r="BJ437" s="4"/>
      <c r="BK437" s="4"/>
      <c r="BL437" s="4"/>
      <c r="BM437" s="4"/>
      <c r="BN437" s="4"/>
      <c r="BO437" s="4"/>
      <c r="BP437" s="4"/>
      <c r="BQ437" s="4"/>
      <c r="BR437" s="4"/>
    </row>
    <row r="438" spans="1:70" ht="27" customHeight="1" x14ac:dyDescent="0.2">
      <c r="A438" s="532"/>
      <c r="B438" s="917"/>
      <c r="C438" s="4"/>
      <c r="D438" s="917"/>
      <c r="E438" s="4"/>
      <c r="F438" s="917"/>
      <c r="G438" s="4"/>
      <c r="H438" s="920"/>
      <c r="I438" s="3"/>
      <c r="J438" s="920"/>
      <c r="K438" s="3"/>
      <c r="L438" s="920"/>
      <c r="M438" s="3"/>
      <c r="N438" s="920"/>
      <c r="O438" s="3"/>
      <c r="P438" s="3"/>
      <c r="Q438" s="533"/>
      <c r="R438" s="920"/>
      <c r="S438" s="534"/>
      <c r="T438" s="920"/>
      <c r="U438" s="920"/>
      <c r="V438" s="920"/>
      <c r="W438" s="535"/>
      <c r="X438" s="687"/>
      <c r="Y438" s="687"/>
      <c r="Z438" s="687"/>
      <c r="AA438" s="678"/>
      <c r="AB438" s="543"/>
      <c r="AC438" s="3"/>
      <c r="AD438" s="533"/>
      <c r="AE438" s="3"/>
      <c r="AF438" s="4"/>
      <c r="AG438" s="4"/>
      <c r="AH438" s="4"/>
      <c r="AI438" s="4"/>
      <c r="AJ438" s="4"/>
      <c r="AK438" s="4"/>
      <c r="AL438" s="4"/>
      <c r="AM438" s="4"/>
      <c r="AN438" s="4"/>
      <c r="AO438" s="4"/>
      <c r="AP438" s="4"/>
      <c r="AQ438" s="4"/>
      <c r="AR438" s="4"/>
      <c r="AS438" s="4"/>
      <c r="AT438" s="4"/>
      <c r="AU438" s="4"/>
      <c r="AV438" s="537"/>
      <c r="AW438" s="537"/>
      <c r="AX438" s="4"/>
      <c r="AY438" s="4"/>
      <c r="AZ438" s="4"/>
      <c r="BA438" s="4"/>
      <c r="BB438" s="4"/>
      <c r="BC438" s="4"/>
      <c r="BD438" s="4"/>
      <c r="BE438" s="4"/>
      <c r="BF438" s="4"/>
      <c r="BG438" s="4"/>
      <c r="BH438" s="4"/>
      <c r="BI438" s="4"/>
      <c r="BJ438" s="4"/>
      <c r="BK438" s="4"/>
      <c r="BL438" s="4"/>
      <c r="BM438" s="4"/>
      <c r="BN438" s="4"/>
      <c r="BO438" s="4"/>
      <c r="BP438" s="4"/>
      <c r="BQ438" s="4"/>
      <c r="BR438" s="4"/>
    </row>
    <row r="439" spans="1:70" ht="27" customHeight="1" x14ac:dyDescent="0.2">
      <c r="A439" s="532"/>
      <c r="B439" s="917"/>
      <c r="C439" s="4"/>
      <c r="D439" s="917"/>
      <c r="E439" s="4"/>
      <c r="F439" s="917"/>
      <c r="G439" s="4"/>
      <c r="H439" s="920"/>
      <c r="I439" s="3"/>
      <c r="J439" s="920"/>
      <c r="K439" s="3"/>
      <c r="L439" s="920"/>
      <c r="M439" s="3"/>
      <c r="N439" s="920"/>
      <c r="O439" s="3"/>
      <c r="P439" s="3"/>
      <c r="Q439" s="533"/>
      <c r="R439" s="920"/>
      <c r="S439" s="534"/>
      <c r="T439" s="920"/>
      <c r="U439" s="920"/>
      <c r="V439" s="920"/>
      <c r="W439" s="535"/>
      <c r="X439" s="687"/>
      <c r="Y439" s="687"/>
      <c r="Z439" s="687"/>
      <c r="AA439" s="678"/>
      <c r="AB439" s="543"/>
      <c r="AC439" s="3"/>
      <c r="AD439" s="533"/>
      <c r="AE439" s="3"/>
      <c r="AF439" s="4"/>
      <c r="AG439" s="4"/>
      <c r="AH439" s="4"/>
      <c r="AI439" s="4"/>
      <c r="AJ439" s="4"/>
      <c r="AK439" s="4"/>
      <c r="AL439" s="4"/>
      <c r="AM439" s="4"/>
      <c r="AN439" s="4"/>
      <c r="AO439" s="4"/>
      <c r="AP439" s="4"/>
      <c r="AQ439" s="4"/>
      <c r="AR439" s="4"/>
      <c r="AS439" s="4"/>
      <c r="AT439" s="4"/>
      <c r="AU439" s="4"/>
      <c r="AV439" s="537"/>
      <c r="AW439" s="537"/>
      <c r="AX439" s="4"/>
      <c r="AY439" s="4"/>
      <c r="AZ439" s="4"/>
      <c r="BA439" s="4"/>
      <c r="BB439" s="4"/>
      <c r="BC439" s="4"/>
      <c r="BD439" s="4"/>
      <c r="BE439" s="4"/>
      <c r="BF439" s="4"/>
      <c r="BG439" s="4"/>
      <c r="BH439" s="4"/>
      <c r="BI439" s="4"/>
      <c r="BJ439" s="4"/>
      <c r="BK439" s="4"/>
      <c r="BL439" s="4"/>
      <c r="BM439" s="4"/>
      <c r="BN439" s="4"/>
      <c r="BO439" s="4"/>
      <c r="BP439" s="4"/>
      <c r="BQ439" s="4"/>
      <c r="BR439" s="4"/>
    </row>
    <row r="440" spans="1:70" ht="27" customHeight="1" x14ac:dyDescent="0.2">
      <c r="A440" s="532"/>
      <c r="B440" s="917"/>
      <c r="C440" s="4"/>
      <c r="D440" s="917"/>
      <c r="E440" s="4"/>
      <c r="F440" s="917"/>
      <c r="G440" s="4"/>
      <c r="H440" s="920"/>
      <c r="I440" s="3"/>
      <c r="J440" s="920"/>
      <c r="K440" s="3"/>
      <c r="L440" s="920"/>
      <c r="M440" s="3"/>
      <c r="N440" s="920"/>
      <c r="O440" s="3"/>
      <c r="P440" s="3"/>
      <c r="Q440" s="533"/>
      <c r="R440" s="920"/>
      <c r="S440" s="534"/>
      <c r="T440" s="920"/>
      <c r="U440" s="920"/>
      <c r="V440" s="920"/>
      <c r="W440" s="535"/>
      <c r="X440" s="687"/>
      <c r="Y440" s="687"/>
      <c r="Z440" s="687"/>
      <c r="AA440" s="678"/>
      <c r="AB440" s="543"/>
      <c r="AC440" s="3"/>
      <c r="AD440" s="533"/>
      <c r="AE440" s="3"/>
      <c r="AF440" s="4"/>
      <c r="AG440" s="4"/>
      <c r="AH440" s="4"/>
      <c r="AI440" s="4"/>
      <c r="AJ440" s="4"/>
      <c r="AK440" s="4"/>
      <c r="AL440" s="4"/>
      <c r="AM440" s="4"/>
      <c r="AN440" s="4"/>
      <c r="AO440" s="4"/>
      <c r="AP440" s="4"/>
      <c r="AQ440" s="4"/>
      <c r="AR440" s="4"/>
      <c r="AS440" s="4"/>
      <c r="AT440" s="4"/>
      <c r="AU440" s="4"/>
      <c r="AV440" s="537"/>
      <c r="AW440" s="537"/>
      <c r="AX440" s="4"/>
      <c r="AY440" s="4"/>
      <c r="AZ440" s="4"/>
      <c r="BA440" s="4"/>
      <c r="BB440" s="4"/>
      <c r="BC440" s="4"/>
      <c r="BD440" s="4"/>
      <c r="BE440" s="4"/>
      <c r="BF440" s="4"/>
      <c r="BG440" s="4"/>
      <c r="BH440" s="4"/>
      <c r="BI440" s="4"/>
      <c r="BJ440" s="4"/>
      <c r="BK440" s="4"/>
      <c r="BL440" s="4"/>
      <c r="BM440" s="4"/>
      <c r="BN440" s="4"/>
      <c r="BO440" s="4"/>
      <c r="BP440" s="4"/>
      <c r="BQ440" s="4"/>
      <c r="BR440" s="4"/>
    </row>
    <row r="441" spans="1:70" ht="27" customHeight="1" x14ac:dyDescent="0.2">
      <c r="A441" s="532"/>
      <c r="B441" s="917"/>
      <c r="C441" s="4"/>
      <c r="D441" s="917"/>
      <c r="E441" s="4"/>
      <c r="F441" s="917"/>
      <c r="G441" s="4"/>
      <c r="H441" s="920"/>
      <c r="I441" s="3"/>
      <c r="J441" s="920"/>
      <c r="K441" s="3"/>
      <c r="L441" s="920"/>
      <c r="M441" s="3"/>
      <c r="N441" s="920"/>
      <c r="O441" s="3"/>
      <c r="P441" s="3"/>
      <c r="Q441" s="533"/>
      <c r="R441" s="920"/>
      <c r="S441" s="534"/>
      <c r="T441" s="920"/>
      <c r="U441" s="920"/>
      <c r="V441" s="920"/>
      <c r="W441" s="535"/>
      <c r="X441" s="687"/>
      <c r="Y441" s="687"/>
      <c r="Z441" s="687"/>
      <c r="AA441" s="678"/>
      <c r="AB441" s="543"/>
      <c r="AC441" s="3"/>
      <c r="AD441" s="533"/>
      <c r="AE441" s="3"/>
      <c r="AF441" s="4"/>
      <c r="AG441" s="4"/>
      <c r="AH441" s="4"/>
      <c r="AI441" s="4"/>
      <c r="AJ441" s="4"/>
      <c r="AK441" s="4"/>
      <c r="AL441" s="4"/>
      <c r="AM441" s="4"/>
      <c r="AN441" s="4"/>
      <c r="AO441" s="4"/>
      <c r="AP441" s="4"/>
      <c r="AQ441" s="4"/>
      <c r="AR441" s="4"/>
      <c r="AS441" s="4"/>
      <c r="AT441" s="4"/>
      <c r="AU441" s="4"/>
      <c r="AV441" s="537"/>
      <c r="AW441" s="537"/>
      <c r="AX441" s="4"/>
      <c r="AY441" s="4"/>
      <c r="AZ441" s="4"/>
      <c r="BA441" s="4"/>
      <c r="BB441" s="4"/>
      <c r="BC441" s="4"/>
      <c r="BD441" s="4"/>
      <c r="BE441" s="4"/>
      <c r="BF441" s="4"/>
      <c r="BG441" s="4"/>
      <c r="BH441" s="4"/>
      <c r="BI441" s="4"/>
      <c r="BJ441" s="4"/>
      <c r="BK441" s="4"/>
      <c r="BL441" s="4"/>
      <c r="BM441" s="4"/>
      <c r="BN441" s="4"/>
      <c r="BO441" s="4"/>
      <c r="BP441" s="4"/>
      <c r="BQ441" s="4"/>
      <c r="BR441" s="4"/>
    </row>
    <row r="442" spans="1:70" ht="27" customHeight="1" x14ac:dyDescent="0.2">
      <c r="A442" s="532"/>
      <c r="B442" s="917"/>
      <c r="C442" s="4"/>
      <c r="D442" s="917"/>
      <c r="E442" s="4"/>
      <c r="F442" s="917"/>
      <c r="G442" s="4"/>
      <c r="H442" s="920"/>
      <c r="I442" s="3"/>
      <c r="J442" s="920"/>
      <c r="K442" s="3"/>
      <c r="L442" s="920"/>
      <c r="M442" s="3"/>
      <c r="N442" s="920"/>
      <c r="O442" s="3"/>
      <c r="P442" s="3"/>
      <c r="Q442" s="533"/>
      <c r="R442" s="920"/>
      <c r="S442" s="534"/>
      <c r="T442" s="920"/>
      <c r="U442" s="920"/>
      <c r="V442" s="920"/>
      <c r="W442" s="535"/>
      <c r="X442" s="687"/>
      <c r="Y442" s="687"/>
      <c r="Z442" s="687"/>
      <c r="AA442" s="678"/>
      <c r="AB442" s="543"/>
      <c r="AC442" s="3"/>
      <c r="AD442" s="533"/>
      <c r="AE442" s="3"/>
      <c r="AF442" s="4"/>
      <c r="AG442" s="4"/>
      <c r="AH442" s="4"/>
      <c r="AI442" s="4"/>
      <c r="AJ442" s="4"/>
      <c r="AK442" s="4"/>
      <c r="AL442" s="4"/>
      <c r="AM442" s="4"/>
      <c r="AN442" s="4"/>
      <c r="AO442" s="4"/>
      <c r="AP442" s="4"/>
      <c r="AQ442" s="4"/>
      <c r="AR442" s="4"/>
      <c r="AS442" s="4"/>
      <c r="AT442" s="4"/>
      <c r="AU442" s="4"/>
      <c r="AV442" s="537"/>
      <c r="AW442" s="537"/>
      <c r="AX442" s="4"/>
      <c r="AY442" s="4"/>
      <c r="AZ442" s="4"/>
      <c r="BA442" s="4"/>
      <c r="BB442" s="4"/>
      <c r="BC442" s="4"/>
      <c r="BD442" s="4"/>
      <c r="BE442" s="4"/>
      <c r="BF442" s="4"/>
      <c r="BG442" s="4"/>
      <c r="BH442" s="4"/>
      <c r="BI442" s="4"/>
      <c r="BJ442" s="4"/>
      <c r="BK442" s="4"/>
      <c r="BL442" s="4"/>
      <c r="BM442" s="4"/>
      <c r="BN442" s="4"/>
      <c r="BO442" s="4"/>
      <c r="BP442" s="4"/>
      <c r="BQ442" s="4"/>
      <c r="BR442" s="4"/>
    </row>
    <row r="443" spans="1:70" ht="27" customHeight="1" x14ac:dyDescent="0.2">
      <c r="A443" s="532"/>
      <c r="B443" s="917"/>
      <c r="C443" s="4"/>
      <c r="D443" s="917"/>
      <c r="E443" s="4"/>
      <c r="F443" s="917"/>
      <c r="G443" s="4"/>
      <c r="H443" s="920"/>
      <c r="I443" s="3"/>
      <c r="J443" s="920"/>
      <c r="K443" s="3"/>
      <c r="L443" s="920"/>
      <c r="M443" s="3"/>
      <c r="N443" s="920"/>
      <c r="O443" s="3"/>
      <c r="P443" s="3"/>
      <c r="Q443" s="533"/>
      <c r="R443" s="920"/>
      <c r="S443" s="534"/>
      <c r="T443" s="920"/>
      <c r="U443" s="920"/>
      <c r="V443" s="920"/>
      <c r="W443" s="535"/>
      <c r="X443" s="687"/>
      <c r="Y443" s="687"/>
      <c r="Z443" s="687"/>
      <c r="AA443" s="678"/>
      <c r="AB443" s="543"/>
      <c r="AC443" s="3"/>
      <c r="AD443" s="533"/>
      <c r="AE443" s="3"/>
      <c r="AF443" s="4"/>
      <c r="AG443" s="4"/>
      <c r="AH443" s="4"/>
      <c r="AI443" s="4"/>
      <c r="AJ443" s="4"/>
      <c r="AK443" s="4"/>
      <c r="AL443" s="4"/>
      <c r="AM443" s="4"/>
      <c r="AN443" s="4"/>
      <c r="AO443" s="4"/>
      <c r="AP443" s="4"/>
      <c r="AQ443" s="4"/>
      <c r="AR443" s="4"/>
      <c r="AS443" s="4"/>
      <c r="AT443" s="4"/>
      <c r="AU443" s="4"/>
      <c r="AV443" s="537"/>
      <c r="AW443" s="537"/>
      <c r="AX443" s="4"/>
      <c r="AY443" s="4"/>
      <c r="AZ443" s="4"/>
      <c r="BA443" s="4"/>
      <c r="BB443" s="4"/>
      <c r="BC443" s="4"/>
      <c r="BD443" s="4"/>
      <c r="BE443" s="4"/>
      <c r="BF443" s="4"/>
      <c r="BG443" s="4"/>
      <c r="BH443" s="4"/>
      <c r="BI443" s="4"/>
      <c r="BJ443" s="4"/>
      <c r="BK443" s="4"/>
      <c r="BL443" s="4"/>
      <c r="BM443" s="4"/>
      <c r="BN443" s="4"/>
      <c r="BO443" s="4"/>
      <c r="BP443" s="4"/>
      <c r="BQ443" s="4"/>
      <c r="BR443" s="4"/>
    </row>
    <row r="444" spans="1:70" ht="27" customHeight="1" x14ac:dyDescent="0.2">
      <c r="A444" s="532"/>
      <c r="B444" s="917"/>
      <c r="C444" s="4"/>
      <c r="D444" s="917"/>
      <c r="E444" s="4"/>
      <c r="F444" s="917"/>
      <c r="G444" s="4"/>
      <c r="H444" s="920"/>
      <c r="I444" s="3"/>
      <c r="J444" s="920"/>
      <c r="K444" s="3"/>
      <c r="L444" s="920"/>
      <c r="M444" s="3"/>
      <c r="N444" s="920"/>
      <c r="O444" s="3"/>
      <c r="P444" s="3"/>
      <c r="Q444" s="533"/>
      <c r="R444" s="920"/>
      <c r="S444" s="534"/>
      <c r="T444" s="920"/>
      <c r="U444" s="920"/>
      <c r="V444" s="920"/>
      <c r="W444" s="535"/>
      <c r="X444" s="687"/>
      <c r="Y444" s="687"/>
      <c r="Z444" s="687"/>
      <c r="AA444" s="678"/>
      <c r="AB444" s="543"/>
      <c r="AC444" s="3"/>
      <c r="AD444" s="533"/>
      <c r="AE444" s="3"/>
      <c r="AF444" s="4"/>
      <c r="AG444" s="4"/>
      <c r="AH444" s="4"/>
      <c r="AI444" s="4"/>
      <c r="AJ444" s="4"/>
      <c r="AK444" s="4"/>
      <c r="AL444" s="4"/>
      <c r="AM444" s="4"/>
      <c r="AN444" s="4"/>
      <c r="AO444" s="4"/>
      <c r="AP444" s="4"/>
      <c r="AQ444" s="4"/>
      <c r="AR444" s="4"/>
      <c r="AS444" s="4"/>
      <c r="AT444" s="4"/>
      <c r="AU444" s="4"/>
      <c r="AV444" s="537"/>
      <c r="AW444" s="537"/>
      <c r="AX444" s="4"/>
      <c r="AY444" s="4"/>
      <c r="AZ444" s="4"/>
      <c r="BA444" s="4"/>
      <c r="BB444" s="4"/>
      <c r="BC444" s="4"/>
      <c r="BD444" s="4"/>
      <c r="BE444" s="4"/>
      <c r="BF444" s="4"/>
      <c r="BG444" s="4"/>
      <c r="BH444" s="4"/>
      <c r="BI444" s="4"/>
      <c r="BJ444" s="4"/>
      <c r="BK444" s="4"/>
      <c r="BL444" s="4"/>
      <c r="BM444" s="4"/>
      <c r="BN444" s="4"/>
      <c r="BO444" s="4"/>
      <c r="BP444" s="4"/>
      <c r="BQ444" s="4"/>
      <c r="BR444" s="4"/>
    </row>
    <row r="445" spans="1:70" ht="27" customHeight="1" x14ac:dyDescent="0.2">
      <c r="A445" s="532"/>
      <c r="B445" s="917"/>
      <c r="C445" s="4"/>
      <c r="D445" s="917"/>
      <c r="E445" s="4"/>
      <c r="F445" s="917"/>
      <c r="G445" s="4"/>
      <c r="H445" s="920"/>
      <c r="I445" s="3"/>
      <c r="J445" s="920"/>
      <c r="K445" s="3"/>
      <c r="L445" s="920"/>
      <c r="M445" s="3"/>
      <c r="N445" s="920"/>
      <c r="O445" s="3"/>
      <c r="P445" s="3"/>
      <c r="Q445" s="533"/>
      <c r="R445" s="920"/>
      <c r="S445" s="534"/>
      <c r="T445" s="920"/>
      <c r="U445" s="920"/>
      <c r="V445" s="920"/>
      <c r="W445" s="535"/>
      <c r="X445" s="687"/>
      <c r="Y445" s="687"/>
      <c r="Z445" s="687"/>
      <c r="AA445" s="678"/>
      <c r="AB445" s="543"/>
      <c r="AC445" s="3"/>
      <c r="AD445" s="533"/>
      <c r="AE445" s="3"/>
      <c r="AF445" s="4"/>
      <c r="AG445" s="4"/>
      <c r="AH445" s="4"/>
      <c r="AI445" s="4"/>
      <c r="AJ445" s="4"/>
      <c r="AK445" s="4"/>
      <c r="AL445" s="4"/>
      <c r="AM445" s="4"/>
      <c r="AN445" s="4"/>
      <c r="AO445" s="4"/>
      <c r="AP445" s="4"/>
      <c r="AQ445" s="4"/>
      <c r="AR445" s="4"/>
      <c r="AS445" s="4"/>
      <c r="AT445" s="4"/>
      <c r="AU445" s="4"/>
      <c r="AV445" s="537"/>
      <c r="AW445" s="537"/>
      <c r="AX445" s="4"/>
      <c r="AY445" s="4"/>
      <c r="AZ445" s="4"/>
      <c r="BA445" s="4"/>
      <c r="BB445" s="4"/>
      <c r="BC445" s="4"/>
      <c r="BD445" s="4"/>
      <c r="BE445" s="4"/>
      <c r="BF445" s="4"/>
      <c r="BG445" s="4"/>
      <c r="BH445" s="4"/>
      <c r="BI445" s="4"/>
      <c r="BJ445" s="4"/>
      <c r="BK445" s="4"/>
      <c r="BL445" s="4"/>
      <c r="BM445" s="4"/>
      <c r="BN445" s="4"/>
      <c r="BO445" s="4"/>
      <c r="BP445" s="4"/>
      <c r="BQ445" s="4"/>
      <c r="BR445" s="4"/>
    </row>
    <row r="446" spans="1:70" ht="27" customHeight="1" x14ac:dyDescent="0.2">
      <c r="A446" s="532"/>
      <c r="B446" s="917"/>
      <c r="C446" s="4"/>
      <c r="D446" s="917"/>
      <c r="E446" s="4"/>
      <c r="F446" s="917"/>
      <c r="G446" s="4"/>
      <c r="H446" s="920"/>
      <c r="I446" s="3"/>
      <c r="J446" s="920"/>
      <c r="K446" s="3"/>
      <c r="L446" s="920"/>
      <c r="M446" s="3"/>
      <c r="N446" s="920"/>
      <c r="O446" s="3"/>
      <c r="P446" s="3"/>
      <c r="Q446" s="533"/>
      <c r="R446" s="920"/>
      <c r="S446" s="534"/>
      <c r="T446" s="920"/>
      <c r="U446" s="920"/>
      <c r="V446" s="920"/>
      <c r="W446" s="535"/>
      <c r="X446" s="687"/>
      <c r="Y446" s="687"/>
      <c r="Z446" s="687"/>
      <c r="AA446" s="678"/>
      <c r="AB446" s="543"/>
      <c r="AC446" s="3"/>
      <c r="AD446" s="533"/>
      <c r="AE446" s="3"/>
      <c r="AF446" s="4"/>
      <c r="AG446" s="4"/>
      <c r="AH446" s="4"/>
      <c r="AI446" s="4"/>
      <c r="AJ446" s="4"/>
      <c r="AK446" s="4"/>
      <c r="AL446" s="4"/>
      <c r="AM446" s="4"/>
      <c r="AN446" s="4"/>
      <c r="AO446" s="4"/>
      <c r="AP446" s="4"/>
      <c r="AQ446" s="4"/>
      <c r="AR446" s="4"/>
      <c r="AS446" s="4"/>
      <c r="AT446" s="4"/>
      <c r="AU446" s="4"/>
      <c r="AV446" s="537"/>
      <c r="AW446" s="537"/>
      <c r="AX446" s="4"/>
      <c r="AY446" s="4"/>
      <c r="AZ446" s="4"/>
      <c r="BA446" s="4"/>
      <c r="BB446" s="4"/>
      <c r="BC446" s="4"/>
      <c r="BD446" s="4"/>
      <c r="BE446" s="4"/>
      <c r="BF446" s="4"/>
      <c r="BG446" s="4"/>
      <c r="BH446" s="4"/>
      <c r="BI446" s="4"/>
      <c r="BJ446" s="4"/>
      <c r="BK446" s="4"/>
      <c r="BL446" s="4"/>
      <c r="BM446" s="4"/>
      <c r="BN446" s="4"/>
      <c r="BO446" s="4"/>
      <c r="BP446" s="4"/>
      <c r="BQ446" s="4"/>
      <c r="BR446" s="4"/>
    </row>
    <row r="447" spans="1:70" ht="27" customHeight="1" x14ac:dyDescent="0.2">
      <c r="A447" s="532"/>
      <c r="B447" s="917"/>
      <c r="C447" s="4"/>
      <c r="D447" s="917"/>
      <c r="E447" s="4"/>
      <c r="F447" s="917"/>
      <c r="G447" s="4"/>
      <c r="H447" s="920"/>
      <c r="I447" s="3"/>
      <c r="J447" s="920"/>
      <c r="K447" s="3"/>
      <c r="L447" s="920"/>
      <c r="M447" s="3"/>
      <c r="N447" s="920"/>
      <c r="O447" s="3"/>
      <c r="P447" s="3"/>
      <c r="Q447" s="533"/>
      <c r="R447" s="920"/>
      <c r="S447" s="534"/>
      <c r="T447" s="920"/>
      <c r="U447" s="920"/>
      <c r="V447" s="920"/>
      <c r="W447" s="535"/>
      <c r="X447" s="687"/>
      <c r="Y447" s="687"/>
      <c r="Z447" s="687"/>
      <c r="AA447" s="678"/>
      <c r="AB447" s="543"/>
      <c r="AC447" s="3"/>
      <c r="AD447" s="533"/>
      <c r="AE447" s="3"/>
      <c r="AF447" s="4"/>
      <c r="AG447" s="4"/>
      <c r="AH447" s="4"/>
      <c r="AI447" s="4"/>
      <c r="AJ447" s="4"/>
      <c r="AK447" s="4"/>
      <c r="AL447" s="4"/>
      <c r="AM447" s="4"/>
      <c r="AN447" s="4"/>
      <c r="AO447" s="4"/>
      <c r="AP447" s="4"/>
      <c r="AQ447" s="4"/>
      <c r="AR447" s="4"/>
      <c r="AS447" s="4"/>
      <c r="AT447" s="4"/>
      <c r="AU447" s="4"/>
      <c r="AV447" s="537"/>
      <c r="AW447" s="537"/>
      <c r="AX447" s="4"/>
      <c r="AY447" s="4"/>
      <c r="AZ447" s="4"/>
      <c r="BA447" s="4"/>
      <c r="BB447" s="4"/>
      <c r="BC447" s="4"/>
      <c r="BD447" s="4"/>
      <c r="BE447" s="4"/>
      <c r="BF447" s="4"/>
      <c r="BG447" s="4"/>
      <c r="BH447" s="4"/>
      <c r="BI447" s="4"/>
      <c r="BJ447" s="4"/>
      <c r="BK447" s="4"/>
      <c r="BL447" s="4"/>
      <c r="BM447" s="4"/>
      <c r="BN447" s="4"/>
      <c r="BO447" s="4"/>
      <c r="BP447" s="4"/>
      <c r="BQ447" s="4"/>
      <c r="BR447" s="4"/>
    </row>
    <row r="448" spans="1:70" ht="27" customHeight="1" x14ac:dyDescent="0.2">
      <c r="A448" s="532"/>
      <c r="B448" s="917"/>
      <c r="C448" s="4"/>
      <c r="D448" s="917"/>
      <c r="E448" s="4"/>
      <c r="F448" s="917"/>
      <c r="G448" s="4"/>
      <c r="H448" s="920"/>
      <c r="I448" s="3"/>
      <c r="J448" s="920"/>
      <c r="K448" s="3"/>
      <c r="L448" s="920"/>
      <c r="M448" s="3"/>
      <c r="N448" s="920"/>
      <c r="O448" s="3"/>
      <c r="P448" s="3"/>
      <c r="Q448" s="533"/>
      <c r="R448" s="920"/>
      <c r="S448" s="534"/>
      <c r="T448" s="920"/>
      <c r="U448" s="920"/>
      <c r="V448" s="920"/>
      <c r="W448" s="535"/>
      <c r="X448" s="687"/>
      <c r="Y448" s="687"/>
      <c r="Z448" s="687"/>
      <c r="AA448" s="678"/>
      <c r="AB448" s="543"/>
      <c r="AC448" s="3"/>
      <c r="AD448" s="533"/>
      <c r="AE448" s="3"/>
      <c r="AF448" s="4"/>
      <c r="AG448" s="4"/>
      <c r="AH448" s="4"/>
      <c r="AI448" s="4"/>
      <c r="AJ448" s="4"/>
      <c r="AK448" s="4"/>
      <c r="AL448" s="4"/>
      <c r="AM448" s="4"/>
      <c r="AN448" s="4"/>
      <c r="AO448" s="4"/>
      <c r="AP448" s="4"/>
      <c r="AQ448" s="4"/>
      <c r="AR448" s="4"/>
      <c r="AS448" s="4"/>
      <c r="AT448" s="4"/>
      <c r="AU448" s="4"/>
      <c r="AV448" s="537"/>
      <c r="AW448" s="537"/>
      <c r="AX448" s="4"/>
      <c r="AY448" s="4"/>
      <c r="AZ448" s="4"/>
      <c r="BA448" s="4"/>
      <c r="BB448" s="4"/>
      <c r="BC448" s="4"/>
      <c r="BD448" s="4"/>
      <c r="BE448" s="4"/>
      <c r="BF448" s="4"/>
      <c r="BG448" s="4"/>
      <c r="BH448" s="4"/>
      <c r="BI448" s="4"/>
      <c r="BJ448" s="4"/>
      <c r="BK448" s="4"/>
      <c r="BL448" s="4"/>
      <c r="BM448" s="4"/>
      <c r="BN448" s="4"/>
      <c r="BO448" s="4"/>
      <c r="BP448" s="4"/>
      <c r="BQ448" s="4"/>
      <c r="BR448" s="4"/>
    </row>
    <row r="449" spans="1:70" ht="27" customHeight="1" x14ac:dyDescent="0.2">
      <c r="A449" s="532"/>
      <c r="B449" s="917"/>
      <c r="C449" s="4"/>
      <c r="D449" s="917"/>
      <c r="E449" s="4"/>
      <c r="F449" s="917"/>
      <c r="G449" s="4"/>
      <c r="H449" s="920"/>
      <c r="I449" s="3"/>
      <c r="J449" s="920"/>
      <c r="K449" s="3"/>
      <c r="L449" s="920"/>
      <c r="M449" s="3"/>
      <c r="N449" s="920"/>
      <c r="O449" s="3"/>
      <c r="P449" s="3"/>
      <c r="Q449" s="533"/>
      <c r="R449" s="920"/>
      <c r="S449" s="534"/>
      <c r="T449" s="920"/>
      <c r="U449" s="920"/>
      <c r="V449" s="920"/>
      <c r="W449" s="535"/>
      <c r="X449" s="687"/>
      <c r="Y449" s="687"/>
      <c r="Z449" s="687"/>
      <c r="AA449" s="678"/>
      <c r="AB449" s="543"/>
      <c r="AC449" s="3"/>
      <c r="AD449" s="533"/>
      <c r="AE449" s="3"/>
      <c r="AF449" s="4"/>
      <c r="AG449" s="4"/>
      <c r="AH449" s="4"/>
      <c r="AI449" s="4"/>
      <c r="AJ449" s="4"/>
      <c r="AK449" s="4"/>
      <c r="AL449" s="4"/>
      <c r="AM449" s="4"/>
      <c r="AN449" s="4"/>
      <c r="AO449" s="4"/>
      <c r="AP449" s="4"/>
      <c r="AQ449" s="4"/>
      <c r="AR449" s="4"/>
      <c r="AS449" s="4"/>
      <c r="AT449" s="4"/>
      <c r="AU449" s="4"/>
      <c r="AV449" s="537"/>
      <c r="AW449" s="537"/>
      <c r="AX449" s="4"/>
      <c r="AY449" s="4"/>
      <c r="AZ449" s="4"/>
      <c r="BA449" s="4"/>
      <c r="BB449" s="4"/>
      <c r="BC449" s="4"/>
      <c r="BD449" s="4"/>
      <c r="BE449" s="4"/>
      <c r="BF449" s="4"/>
      <c r="BG449" s="4"/>
      <c r="BH449" s="4"/>
      <c r="BI449" s="4"/>
      <c r="BJ449" s="4"/>
      <c r="BK449" s="4"/>
      <c r="BL449" s="4"/>
      <c r="BM449" s="4"/>
      <c r="BN449" s="4"/>
      <c r="BO449" s="4"/>
      <c r="BP449" s="4"/>
      <c r="BQ449" s="4"/>
      <c r="BR449" s="4"/>
    </row>
    <row r="450" spans="1:70" ht="27" customHeight="1" x14ac:dyDescent="0.2">
      <c r="A450" s="532"/>
      <c r="B450" s="917"/>
      <c r="C450" s="4"/>
      <c r="D450" s="917"/>
      <c r="E450" s="4"/>
      <c r="F450" s="917"/>
      <c r="G450" s="4"/>
      <c r="H450" s="920"/>
      <c r="I450" s="3"/>
      <c r="J450" s="920"/>
      <c r="K450" s="3"/>
      <c r="L450" s="920"/>
      <c r="M450" s="3"/>
      <c r="N450" s="920"/>
      <c r="O450" s="3"/>
      <c r="P450" s="3"/>
      <c r="Q450" s="533"/>
      <c r="R450" s="920"/>
      <c r="S450" s="534"/>
      <c r="T450" s="920"/>
      <c r="U450" s="920"/>
      <c r="V450" s="920"/>
      <c r="W450" s="535"/>
      <c r="X450" s="687"/>
      <c r="Y450" s="687"/>
      <c r="Z450" s="687"/>
      <c r="AA450" s="678"/>
      <c r="AB450" s="543"/>
      <c r="AC450" s="3"/>
      <c r="AD450" s="533"/>
      <c r="AE450" s="3"/>
      <c r="AF450" s="4"/>
      <c r="AG450" s="4"/>
      <c r="AH450" s="4"/>
      <c r="AI450" s="4"/>
      <c r="AJ450" s="4"/>
      <c r="AK450" s="4"/>
      <c r="AL450" s="4"/>
      <c r="AM450" s="4"/>
      <c r="AN450" s="4"/>
      <c r="AO450" s="4"/>
      <c r="AP450" s="4"/>
      <c r="AQ450" s="4"/>
      <c r="AR450" s="4"/>
      <c r="AS450" s="4"/>
      <c r="AT450" s="4"/>
      <c r="AU450" s="4"/>
      <c r="AV450" s="537"/>
      <c r="AW450" s="537"/>
      <c r="AX450" s="4"/>
      <c r="AY450" s="4"/>
      <c r="AZ450" s="4"/>
      <c r="BA450" s="4"/>
      <c r="BB450" s="4"/>
      <c r="BC450" s="4"/>
      <c r="BD450" s="4"/>
      <c r="BE450" s="4"/>
      <c r="BF450" s="4"/>
      <c r="BG450" s="4"/>
      <c r="BH450" s="4"/>
      <c r="BI450" s="4"/>
      <c r="BJ450" s="4"/>
      <c r="BK450" s="4"/>
      <c r="BL450" s="4"/>
      <c r="BM450" s="4"/>
      <c r="BN450" s="4"/>
      <c r="BO450" s="4"/>
      <c r="BP450" s="4"/>
      <c r="BQ450" s="4"/>
      <c r="BR450" s="4"/>
    </row>
    <row r="451" spans="1:70" ht="27" customHeight="1" x14ac:dyDescent="0.2">
      <c r="A451" s="532"/>
      <c r="B451" s="917"/>
      <c r="C451" s="4"/>
      <c r="D451" s="917"/>
      <c r="E451" s="4"/>
      <c r="F451" s="917"/>
      <c r="G451" s="4"/>
      <c r="H451" s="920"/>
      <c r="I451" s="3"/>
      <c r="J451" s="920"/>
      <c r="K451" s="3"/>
      <c r="L451" s="920"/>
      <c r="M451" s="3"/>
      <c r="N451" s="920"/>
      <c r="O451" s="3"/>
      <c r="P451" s="3"/>
      <c r="Q451" s="533"/>
      <c r="R451" s="920"/>
      <c r="S451" s="534"/>
      <c r="T451" s="920"/>
      <c r="U451" s="920"/>
      <c r="V451" s="920"/>
      <c r="W451" s="535"/>
      <c r="X451" s="687"/>
      <c r="Y451" s="687"/>
      <c r="Z451" s="687"/>
      <c r="AA451" s="678"/>
      <c r="AB451" s="543"/>
      <c r="AC451" s="3"/>
      <c r="AD451" s="533"/>
      <c r="AE451" s="3"/>
      <c r="AF451" s="4"/>
      <c r="AG451" s="4"/>
      <c r="AH451" s="4"/>
      <c r="AI451" s="4"/>
      <c r="AJ451" s="4"/>
      <c r="AK451" s="4"/>
      <c r="AL451" s="4"/>
      <c r="AM451" s="4"/>
      <c r="AN451" s="4"/>
      <c r="AO451" s="4"/>
      <c r="AP451" s="4"/>
      <c r="AQ451" s="4"/>
      <c r="AR451" s="4"/>
      <c r="AS451" s="4"/>
      <c r="AT451" s="4"/>
      <c r="AU451" s="4"/>
      <c r="AV451" s="537"/>
      <c r="AW451" s="537"/>
      <c r="AX451" s="4"/>
      <c r="AY451" s="4"/>
      <c r="AZ451" s="4"/>
      <c r="BA451" s="4"/>
      <c r="BB451" s="4"/>
      <c r="BC451" s="4"/>
      <c r="BD451" s="4"/>
      <c r="BE451" s="4"/>
      <c r="BF451" s="4"/>
      <c r="BG451" s="4"/>
      <c r="BH451" s="4"/>
      <c r="BI451" s="4"/>
      <c r="BJ451" s="4"/>
      <c r="BK451" s="4"/>
      <c r="BL451" s="4"/>
      <c r="BM451" s="4"/>
      <c r="BN451" s="4"/>
      <c r="BO451" s="4"/>
      <c r="BP451" s="4"/>
      <c r="BQ451" s="4"/>
      <c r="BR451" s="4"/>
    </row>
    <row r="452" spans="1:70" ht="27" customHeight="1" x14ac:dyDescent="0.2">
      <c r="A452" s="532"/>
      <c r="B452" s="917"/>
      <c r="C452" s="4"/>
      <c r="D452" s="917"/>
      <c r="E452" s="4"/>
      <c r="F452" s="917"/>
      <c r="G452" s="4"/>
      <c r="H452" s="920"/>
      <c r="I452" s="3"/>
      <c r="J452" s="920"/>
      <c r="K452" s="3"/>
      <c r="L452" s="920"/>
      <c r="M452" s="3"/>
      <c r="N452" s="920"/>
      <c r="O452" s="3"/>
      <c r="P452" s="3"/>
      <c r="Q452" s="533"/>
      <c r="R452" s="920"/>
      <c r="S452" s="534"/>
      <c r="T452" s="920"/>
      <c r="U452" s="920"/>
      <c r="V452" s="920"/>
      <c r="W452" s="535"/>
      <c r="X452" s="687"/>
      <c r="Y452" s="687"/>
      <c r="Z452" s="687"/>
      <c r="AA452" s="678"/>
      <c r="AB452" s="543"/>
      <c r="AC452" s="3"/>
      <c r="AD452" s="533"/>
      <c r="AE452" s="3"/>
      <c r="AF452" s="4"/>
      <c r="AG452" s="4"/>
      <c r="AH452" s="4"/>
      <c r="AI452" s="4"/>
      <c r="AJ452" s="4"/>
      <c r="AK452" s="4"/>
      <c r="AL452" s="4"/>
      <c r="AM452" s="4"/>
      <c r="AN452" s="4"/>
      <c r="AO452" s="4"/>
      <c r="AP452" s="4"/>
      <c r="AQ452" s="4"/>
      <c r="AR452" s="4"/>
      <c r="AS452" s="4"/>
      <c r="AT452" s="4"/>
      <c r="AU452" s="4"/>
      <c r="AV452" s="537"/>
      <c r="AW452" s="537"/>
      <c r="AX452" s="4"/>
      <c r="AY452" s="4"/>
      <c r="AZ452" s="4"/>
      <c r="BA452" s="4"/>
      <c r="BB452" s="4"/>
      <c r="BC452" s="4"/>
      <c r="BD452" s="4"/>
      <c r="BE452" s="4"/>
      <c r="BF452" s="4"/>
      <c r="BG452" s="4"/>
      <c r="BH452" s="4"/>
      <c r="BI452" s="4"/>
      <c r="BJ452" s="4"/>
      <c r="BK452" s="4"/>
      <c r="BL452" s="4"/>
      <c r="BM452" s="4"/>
      <c r="BN452" s="4"/>
      <c r="BO452" s="4"/>
      <c r="BP452" s="4"/>
      <c r="BQ452" s="4"/>
      <c r="BR452" s="4"/>
    </row>
    <row r="453" spans="1:70" ht="27" customHeight="1" x14ac:dyDescent="0.2">
      <c r="A453" s="532"/>
      <c r="B453" s="917"/>
      <c r="C453" s="4"/>
      <c r="D453" s="917"/>
      <c r="E453" s="4"/>
      <c r="F453" s="917"/>
      <c r="G453" s="4"/>
      <c r="H453" s="920"/>
      <c r="I453" s="3"/>
      <c r="J453" s="920"/>
      <c r="K453" s="3"/>
      <c r="L453" s="920"/>
      <c r="M453" s="3"/>
      <c r="N453" s="920"/>
      <c r="O453" s="3"/>
      <c r="P453" s="3"/>
      <c r="Q453" s="533"/>
      <c r="R453" s="920"/>
      <c r="S453" s="534"/>
      <c r="T453" s="920"/>
      <c r="U453" s="920"/>
      <c r="V453" s="920"/>
      <c r="W453" s="535"/>
      <c r="X453" s="687"/>
      <c r="Y453" s="687"/>
      <c r="Z453" s="687"/>
      <c r="AA453" s="678"/>
      <c r="AB453" s="543"/>
      <c r="AC453" s="3"/>
      <c r="AD453" s="533"/>
      <c r="AE453" s="3"/>
      <c r="AF453" s="4"/>
      <c r="AG453" s="4"/>
      <c r="AH453" s="4"/>
      <c r="AI453" s="4"/>
      <c r="AJ453" s="4"/>
      <c r="AK453" s="4"/>
      <c r="AL453" s="4"/>
      <c r="AM453" s="4"/>
      <c r="AN453" s="4"/>
      <c r="AO453" s="4"/>
      <c r="AP453" s="4"/>
      <c r="AQ453" s="4"/>
      <c r="AR453" s="4"/>
      <c r="AS453" s="4"/>
      <c r="AT453" s="4"/>
      <c r="AU453" s="4"/>
      <c r="AV453" s="537"/>
      <c r="AW453" s="537"/>
      <c r="AX453" s="4"/>
      <c r="AY453" s="4"/>
      <c r="AZ453" s="4"/>
      <c r="BA453" s="4"/>
      <c r="BB453" s="4"/>
      <c r="BC453" s="4"/>
      <c r="BD453" s="4"/>
      <c r="BE453" s="4"/>
      <c r="BF453" s="4"/>
      <c r="BG453" s="4"/>
      <c r="BH453" s="4"/>
      <c r="BI453" s="4"/>
      <c r="BJ453" s="4"/>
      <c r="BK453" s="4"/>
      <c r="BL453" s="4"/>
      <c r="BM453" s="4"/>
      <c r="BN453" s="4"/>
      <c r="BO453" s="4"/>
      <c r="BP453" s="4"/>
      <c r="BQ453" s="4"/>
      <c r="BR453" s="4"/>
    </row>
    <row r="454" spans="1:70" ht="27" customHeight="1" x14ac:dyDescent="0.2">
      <c r="A454" s="532"/>
      <c r="B454" s="917"/>
      <c r="C454" s="4"/>
      <c r="D454" s="917"/>
      <c r="E454" s="4"/>
      <c r="F454" s="917"/>
      <c r="G454" s="4"/>
      <c r="H454" s="920"/>
      <c r="I454" s="3"/>
      <c r="J454" s="920"/>
      <c r="K454" s="3"/>
      <c r="L454" s="920"/>
      <c r="M454" s="3"/>
      <c r="N454" s="920"/>
      <c r="O454" s="3"/>
      <c r="P454" s="3"/>
      <c r="Q454" s="533"/>
      <c r="R454" s="920"/>
      <c r="S454" s="534"/>
      <c r="T454" s="920"/>
      <c r="U454" s="920"/>
      <c r="V454" s="920"/>
      <c r="W454" s="535"/>
      <c r="X454" s="687"/>
      <c r="Y454" s="687"/>
      <c r="Z454" s="687"/>
      <c r="AA454" s="678"/>
      <c r="AB454" s="543"/>
      <c r="AC454" s="3"/>
      <c r="AD454" s="533"/>
      <c r="AE454" s="3"/>
      <c r="AF454" s="4"/>
      <c r="AG454" s="4"/>
      <c r="AH454" s="4"/>
      <c r="AI454" s="4"/>
      <c r="AJ454" s="4"/>
      <c r="AK454" s="4"/>
      <c r="AL454" s="4"/>
      <c r="AM454" s="4"/>
      <c r="AN454" s="4"/>
      <c r="AO454" s="4"/>
      <c r="AP454" s="4"/>
      <c r="AQ454" s="4"/>
      <c r="AR454" s="4"/>
      <c r="AS454" s="4"/>
      <c r="AT454" s="4"/>
      <c r="AU454" s="4"/>
      <c r="AV454" s="537"/>
      <c r="AW454" s="537"/>
      <c r="AX454" s="4"/>
      <c r="AY454" s="4"/>
      <c r="AZ454" s="4"/>
      <c r="BA454" s="4"/>
      <c r="BB454" s="4"/>
      <c r="BC454" s="4"/>
      <c r="BD454" s="4"/>
      <c r="BE454" s="4"/>
      <c r="BF454" s="4"/>
      <c r="BG454" s="4"/>
      <c r="BH454" s="4"/>
      <c r="BI454" s="4"/>
      <c r="BJ454" s="4"/>
      <c r="BK454" s="4"/>
      <c r="BL454" s="4"/>
      <c r="BM454" s="4"/>
      <c r="BN454" s="4"/>
      <c r="BO454" s="4"/>
      <c r="BP454" s="4"/>
      <c r="BQ454" s="4"/>
      <c r="BR454" s="4"/>
    </row>
    <row r="455" spans="1:70" ht="27" customHeight="1" x14ac:dyDescent="0.2">
      <c r="A455" s="532"/>
      <c r="B455" s="917"/>
      <c r="C455" s="4"/>
      <c r="D455" s="917"/>
      <c r="E455" s="4"/>
      <c r="F455" s="917"/>
      <c r="G455" s="4"/>
      <c r="H455" s="920"/>
      <c r="I455" s="3"/>
      <c r="J455" s="920"/>
      <c r="K455" s="3"/>
      <c r="L455" s="920"/>
      <c r="M455" s="3"/>
      <c r="N455" s="920"/>
      <c r="O455" s="3"/>
      <c r="P455" s="3"/>
      <c r="Q455" s="533"/>
      <c r="R455" s="920"/>
      <c r="S455" s="534"/>
      <c r="T455" s="920"/>
      <c r="U455" s="920"/>
      <c r="V455" s="920"/>
      <c r="W455" s="535"/>
      <c r="X455" s="687"/>
      <c r="Y455" s="687"/>
      <c r="Z455" s="687"/>
      <c r="AA455" s="678"/>
      <c r="AB455" s="543"/>
      <c r="AC455" s="3"/>
      <c r="AD455" s="533"/>
      <c r="AE455" s="3"/>
      <c r="AF455" s="4"/>
      <c r="AG455" s="4"/>
      <c r="AH455" s="4"/>
      <c r="AI455" s="4"/>
      <c r="AJ455" s="4"/>
      <c r="AK455" s="4"/>
      <c r="AL455" s="4"/>
      <c r="AM455" s="4"/>
      <c r="AN455" s="4"/>
      <c r="AO455" s="4"/>
      <c r="AP455" s="4"/>
      <c r="AQ455" s="4"/>
      <c r="AR455" s="4"/>
      <c r="AS455" s="4"/>
      <c r="AT455" s="4"/>
      <c r="AU455" s="4"/>
      <c r="AV455" s="537"/>
      <c r="AW455" s="537"/>
      <c r="AX455" s="4"/>
      <c r="AY455" s="4"/>
      <c r="AZ455" s="4"/>
      <c r="BA455" s="4"/>
      <c r="BB455" s="4"/>
      <c r="BC455" s="4"/>
      <c r="BD455" s="4"/>
      <c r="BE455" s="4"/>
      <c r="BF455" s="4"/>
      <c r="BG455" s="4"/>
      <c r="BH455" s="4"/>
      <c r="BI455" s="4"/>
      <c r="BJ455" s="4"/>
      <c r="BK455" s="4"/>
      <c r="BL455" s="4"/>
      <c r="BM455" s="4"/>
      <c r="BN455" s="4"/>
      <c r="BO455" s="4"/>
      <c r="BP455" s="4"/>
      <c r="BQ455" s="4"/>
      <c r="BR455" s="4"/>
    </row>
    <row r="456" spans="1:70" ht="27" customHeight="1" x14ac:dyDescent="0.2">
      <c r="A456" s="532"/>
      <c r="B456" s="917"/>
      <c r="C456" s="4"/>
      <c r="D456" s="917"/>
      <c r="E456" s="4"/>
      <c r="F456" s="917"/>
      <c r="G456" s="4"/>
      <c r="H456" s="920"/>
      <c r="I456" s="3"/>
      <c r="J456" s="920"/>
      <c r="K456" s="3"/>
      <c r="L456" s="920"/>
      <c r="M456" s="3"/>
      <c r="N456" s="920"/>
      <c r="O456" s="3"/>
      <c r="P456" s="3"/>
      <c r="Q456" s="533"/>
      <c r="R456" s="920"/>
      <c r="S456" s="534"/>
      <c r="T456" s="920"/>
      <c r="U456" s="920"/>
      <c r="V456" s="920"/>
      <c r="W456" s="535"/>
      <c r="X456" s="687"/>
      <c r="Y456" s="687"/>
      <c r="Z456" s="687"/>
      <c r="AA456" s="678"/>
      <c r="AB456" s="543"/>
      <c r="AC456" s="3"/>
      <c r="AD456" s="533"/>
      <c r="AE456" s="3"/>
      <c r="AF456" s="4"/>
      <c r="AG456" s="4"/>
      <c r="AH456" s="4"/>
      <c r="AI456" s="4"/>
      <c r="AJ456" s="4"/>
      <c r="AK456" s="4"/>
      <c r="AL456" s="4"/>
      <c r="AM456" s="4"/>
      <c r="AN456" s="4"/>
      <c r="AO456" s="4"/>
      <c r="AP456" s="4"/>
      <c r="AQ456" s="4"/>
      <c r="AR456" s="4"/>
      <c r="AS456" s="4"/>
      <c r="AT456" s="4"/>
      <c r="AU456" s="4"/>
      <c r="AV456" s="537"/>
      <c r="AW456" s="537"/>
      <c r="AX456" s="4"/>
      <c r="AY456" s="4"/>
      <c r="AZ456" s="4"/>
      <c r="BA456" s="4"/>
      <c r="BB456" s="4"/>
      <c r="BC456" s="4"/>
      <c r="BD456" s="4"/>
      <c r="BE456" s="4"/>
      <c r="BF456" s="4"/>
      <c r="BG456" s="4"/>
      <c r="BH456" s="4"/>
      <c r="BI456" s="4"/>
      <c r="BJ456" s="4"/>
      <c r="BK456" s="4"/>
      <c r="BL456" s="4"/>
      <c r="BM456" s="4"/>
      <c r="BN456" s="4"/>
      <c r="BO456" s="4"/>
      <c r="BP456" s="4"/>
      <c r="BQ456" s="4"/>
      <c r="BR456" s="4"/>
    </row>
    <row r="457" spans="1:70" ht="27" customHeight="1" x14ac:dyDescent="0.2">
      <c r="A457" s="532"/>
      <c r="B457" s="917"/>
      <c r="C457" s="4"/>
      <c r="D457" s="917"/>
      <c r="E457" s="4"/>
      <c r="F457" s="917"/>
      <c r="G457" s="4"/>
      <c r="H457" s="920"/>
      <c r="I457" s="3"/>
      <c r="J457" s="920"/>
      <c r="K457" s="3"/>
      <c r="L457" s="920"/>
      <c r="M457" s="3"/>
      <c r="N457" s="920"/>
      <c r="O457" s="3"/>
      <c r="P457" s="3"/>
      <c r="Q457" s="533"/>
      <c r="R457" s="920"/>
      <c r="S457" s="534"/>
      <c r="T457" s="920"/>
      <c r="U457" s="920"/>
      <c r="V457" s="920"/>
      <c r="W457" s="535"/>
      <c r="X457" s="687"/>
      <c r="Y457" s="687"/>
      <c r="Z457" s="687"/>
      <c r="AA457" s="678"/>
      <c r="AB457" s="543"/>
      <c r="AC457" s="3"/>
      <c r="AD457" s="533"/>
      <c r="AE457" s="3"/>
      <c r="AF457" s="4"/>
      <c r="AG457" s="4"/>
      <c r="AH457" s="4"/>
      <c r="AI457" s="4"/>
      <c r="AJ457" s="4"/>
      <c r="AK457" s="4"/>
      <c r="AL457" s="4"/>
      <c r="AM457" s="4"/>
      <c r="AN457" s="4"/>
      <c r="AO457" s="4"/>
      <c r="AP457" s="4"/>
      <c r="AQ457" s="4"/>
      <c r="AR457" s="4"/>
      <c r="AS457" s="4"/>
      <c r="AT457" s="4"/>
      <c r="AU457" s="4"/>
      <c r="AV457" s="537"/>
      <c r="AW457" s="537"/>
      <c r="AX457" s="4"/>
      <c r="AY457" s="4"/>
      <c r="AZ457" s="4"/>
      <c r="BA457" s="4"/>
      <c r="BB457" s="4"/>
      <c r="BC457" s="4"/>
      <c r="BD457" s="4"/>
      <c r="BE457" s="4"/>
      <c r="BF457" s="4"/>
      <c r="BG457" s="4"/>
      <c r="BH457" s="4"/>
      <c r="BI457" s="4"/>
      <c r="BJ457" s="4"/>
      <c r="BK457" s="4"/>
      <c r="BL457" s="4"/>
      <c r="BM457" s="4"/>
      <c r="BN457" s="4"/>
      <c r="BO457" s="4"/>
      <c r="BP457" s="4"/>
      <c r="BQ457" s="4"/>
      <c r="BR457" s="4"/>
    </row>
    <row r="458" spans="1:70" ht="27" customHeight="1" x14ac:dyDescent="0.2">
      <c r="A458" s="532"/>
      <c r="B458" s="917"/>
      <c r="C458" s="4"/>
      <c r="D458" s="917"/>
      <c r="E458" s="4"/>
      <c r="F458" s="917"/>
      <c r="G458" s="4"/>
      <c r="H458" s="920"/>
      <c r="I458" s="3"/>
      <c r="J458" s="920"/>
      <c r="K458" s="3"/>
      <c r="L458" s="920"/>
      <c r="M458" s="3"/>
      <c r="N458" s="920"/>
      <c r="O458" s="3"/>
      <c r="P458" s="3"/>
      <c r="Q458" s="533"/>
      <c r="R458" s="920"/>
      <c r="S458" s="534"/>
      <c r="T458" s="920"/>
      <c r="U458" s="920"/>
      <c r="V458" s="920"/>
      <c r="W458" s="535"/>
      <c r="X458" s="687"/>
      <c r="Y458" s="687"/>
      <c r="Z458" s="687"/>
      <c r="AA458" s="678"/>
      <c r="AB458" s="543"/>
      <c r="AC458" s="3"/>
      <c r="AD458" s="533"/>
      <c r="AE458" s="3"/>
      <c r="AF458" s="4"/>
      <c r="AG458" s="4"/>
      <c r="AH458" s="4"/>
      <c r="AI458" s="4"/>
      <c r="AJ458" s="4"/>
      <c r="AK458" s="4"/>
      <c r="AL458" s="4"/>
      <c r="AM458" s="4"/>
      <c r="AN458" s="4"/>
      <c r="AO458" s="4"/>
      <c r="AP458" s="4"/>
      <c r="AQ458" s="4"/>
      <c r="AR458" s="4"/>
      <c r="AS458" s="4"/>
      <c r="AT458" s="4"/>
      <c r="AU458" s="4"/>
      <c r="AV458" s="537"/>
      <c r="AW458" s="537"/>
      <c r="AX458" s="4"/>
      <c r="AY458" s="4"/>
      <c r="AZ458" s="4"/>
      <c r="BA458" s="4"/>
      <c r="BB458" s="4"/>
      <c r="BC458" s="4"/>
      <c r="BD458" s="4"/>
      <c r="BE458" s="4"/>
      <c r="BF458" s="4"/>
      <c r="BG458" s="4"/>
      <c r="BH458" s="4"/>
      <c r="BI458" s="4"/>
      <c r="BJ458" s="4"/>
      <c r="BK458" s="4"/>
      <c r="BL458" s="4"/>
      <c r="BM458" s="4"/>
      <c r="BN458" s="4"/>
      <c r="BO458" s="4"/>
      <c r="BP458" s="4"/>
      <c r="BQ458" s="4"/>
      <c r="BR458" s="4"/>
    </row>
    <row r="459" spans="1:70" ht="27" customHeight="1" x14ac:dyDescent="0.2">
      <c r="A459" s="532"/>
      <c r="B459" s="917"/>
      <c r="C459" s="4"/>
      <c r="D459" s="917"/>
      <c r="E459" s="4"/>
      <c r="F459" s="917"/>
      <c r="G459" s="4"/>
      <c r="H459" s="920"/>
      <c r="I459" s="3"/>
      <c r="J459" s="920"/>
      <c r="K459" s="3"/>
      <c r="L459" s="920"/>
      <c r="M459" s="3"/>
      <c r="N459" s="920"/>
      <c r="O459" s="3"/>
      <c r="P459" s="3"/>
      <c r="Q459" s="533"/>
      <c r="R459" s="920"/>
      <c r="S459" s="534"/>
      <c r="T459" s="920"/>
      <c r="U459" s="920"/>
      <c r="V459" s="920"/>
      <c r="W459" s="535"/>
      <c r="X459" s="687"/>
      <c r="Y459" s="687"/>
      <c r="Z459" s="687"/>
      <c r="AA459" s="678"/>
      <c r="AB459" s="543"/>
      <c r="AC459" s="3"/>
      <c r="AD459" s="533"/>
      <c r="AE459" s="3"/>
      <c r="AF459" s="4"/>
      <c r="AG459" s="4"/>
      <c r="AH459" s="4"/>
      <c r="AI459" s="4"/>
      <c r="AJ459" s="4"/>
      <c r="AK459" s="4"/>
      <c r="AL459" s="4"/>
      <c r="AM459" s="4"/>
      <c r="AN459" s="4"/>
      <c r="AO459" s="4"/>
      <c r="AP459" s="4"/>
      <c r="AQ459" s="4"/>
      <c r="AR459" s="4"/>
      <c r="AS459" s="4"/>
      <c r="AT459" s="4"/>
      <c r="AU459" s="4"/>
      <c r="AV459" s="537"/>
      <c r="AW459" s="537"/>
      <c r="AX459" s="4"/>
      <c r="AY459" s="4"/>
      <c r="AZ459" s="4"/>
      <c r="BA459" s="4"/>
      <c r="BB459" s="4"/>
      <c r="BC459" s="4"/>
      <c r="BD459" s="4"/>
      <c r="BE459" s="4"/>
      <c r="BF459" s="4"/>
      <c r="BG459" s="4"/>
      <c r="BH459" s="4"/>
      <c r="BI459" s="4"/>
      <c r="BJ459" s="4"/>
      <c r="BK459" s="4"/>
      <c r="BL459" s="4"/>
      <c r="BM459" s="4"/>
      <c r="BN459" s="4"/>
      <c r="BO459" s="4"/>
      <c r="BP459" s="4"/>
      <c r="BQ459" s="4"/>
      <c r="BR459" s="4"/>
    </row>
    <row r="460" spans="1:70" ht="27" customHeight="1" x14ac:dyDescent="0.2">
      <c r="A460" s="532"/>
      <c r="B460" s="917"/>
      <c r="C460" s="4"/>
      <c r="D460" s="917"/>
      <c r="E460" s="4"/>
      <c r="F460" s="917"/>
      <c r="G460" s="4"/>
      <c r="H460" s="920"/>
      <c r="I460" s="3"/>
      <c r="J460" s="920"/>
      <c r="K460" s="3"/>
      <c r="L460" s="920"/>
      <c r="M460" s="3"/>
      <c r="N460" s="920"/>
      <c r="O460" s="3"/>
      <c r="P460" s="3"/>
      <c r="Q460" s="533"/>
      <c r="R460" s="920"/>
      <c r="S460" s="534"/>
      <c r="T460" s="920"/>
      <c r="U460" s="920"/>
      <c r="V460" s="920"/>
      <c r="W460" s="535"/>
      <c r="X460" s="687"/>
      <c r="Y460" s="687"/>
      <c r="Z460" s="687"/>
      <c r="AA460" s="678"/>
      <c r="AB460" s="543"/>
      <c r="AC460" s="3"/>
      <c r="AD460" s="533"/>
      <c r="AE460" s="3"/>
      <c r="AF460" s="4"/>
      <c r="AG460" s="4"/>
      <c r="AH460" s="4"/>
      <c r="AI460" s="4"/>
      <c r="AJ460" s="4"/>
      <c r="AK460" s="4"/>
      <c r="AL460" s="4"/>
      <c r="AM460" s="4"/>
      <c r="AN460" s="4"/>
      <c r="AO460" s="4"/>
      <c r="AP460" s="4"/>
      <c r="AQ460" s="4"/>
      <c r="AR460" s="4"/>
      <c r="AS460" s="4"/>
      <c r="AT460" s="4"/>
      <c r="AU460" s="4"/>
      <c r="AV460" s="537"/>
      <c r="AW460" s="537"/>
      <c r="AX460" s="4"/>
      <c r="AY460" s="4"/>
      <c r="AZ460" s="4"/>
      <c r="BA460" s="4"/>
      <c r="BB460" s="4"/>
      <c r="BC460" s="4"/>
      <c r="BD460" s="4"/>
      <c r="BE460" s="4"/>
      <c r="BF460" s="4"/>
      <c r="BG460" s="4"/>
      <c r="BH460" s="4"/>
      <c r="BI460" s="4"/>
      <c r="BJ460" s="4"/>
      <c r="BK460" s="4"/>
      <c r="BL460" s="4"/>
      <c r="BM460" s="4"/>
      <c r="BN460" s="4"/>
      <c r="BO460" s="4"/>
      <c r="BP460" s="4"/>
      <c r="BQ460" s="4"/>
      <c r="BR460" s="4"/>
    </row>
    <row r="461" spans="1:70" ht="27" customHeight="1" x14ac:dyDescent="0.2">
      <c r="A461" s="532"/>
      <c r="B461" s="917"/>
      <c r="C461" s="4"/>
      <c r="D461" s="917"/>
      <c r="E461" s="4"/>
      <c r="F461" s="917"/>
      <c r="G461" s="4"/>
      <c r="H461" s="920"/>
      <c r="I461" s="3"/>
      <c r="J461" s="920"/>
      <c r="K461" s="3"/>
      <c r="L461" s="920"/>
      <c r="M461" s="3"/>
      <c r="N461" s="920"/>
      <c r="O461" s="3"/>
      <c r="P461" s="3"/>
      <c r="Q461" s="533"/>
      <c r="R461" s="920"/>
      <c r="S461" s="534"/>
      <c r="T461" s="920"/>
      <c r="U461" s="920"/>
      <c r="V461" s="920"/>
      <c r="W461" s="535"/>
      <c r="X461" s="687"/>
      <c r="Y461" s="687"/>
      <c r="Z461" s="687"/>
      <c r="AA461" s="678"/>
      <c r="AB461" s="543"/>
      <c r="AC461" s="3"/>
      <c r="AD461" s="533"/>
      <c r="AE461" s="3"/>
      <c r="AF461" s="4"/>
      <c r="AG461" s="4"/>
      <c r="AH461" s="4"/>
      <c r="AI461" s="4"/>
      <c r="AJ461" s="4"/>
      <c r="AK461" s="4"/>
      <c r="AL461" s="4"/>
      <c r="AM461" s="4"/>
      <c r="AN461" s="4"/>
      <c r="AO461" s="4"/>
      <c r="AP461" s="4"/>
      <c r="AQ461" s="4"/>
      <c r="AR461" s="4"/>
      <c r="AS461" s="4"/>
      <c r="AT461" s="4"/>
      <c r="AU461" s="4"/>
      <c r="AV461" s="537"/>
      <c r="AW461" s="537"/>
      <c r="AX461" s="4"/>
      <c r="AY461" s="4"/>
      <c r="AZ461" s="4"/>
      <c r="BA461" s="4"/>
      <c r="BB461" s="4"/>
      <c r="BC461" s="4"/>
      <c r="BD461" s="4"/>
      <c r="BE461" s="4"/>
      <c r="BF461" s="4"/>
      <c r="BG461" s="4"/>
      <c r="BH461" s="4"/>
      <c r="BI461" s="4"/>
      <c r="BJ461" s="4"/>
      <c r="BK461" s="4"/>
      <c r="BL461" s="4"/>
      <c r="BM461" s="4"/>
      <c r="BN461" s="4"/>
      <c r="BO461" s="4"/>
      <c r="BP461" s="4"/>
      <c r="BQ461" s="4"/>
      <c r="BR461" s="4"/>
    </row>
    <row r="462" spans="1:70" ht="27" customHeight="1" x14ac:dyDescent="0.2">
      <c r="A462" s="532"/>
      <c r="B462" s="917"/>
      <c r="C462" s="4"/>
      <c r="D462" s="917"/>
      <c r="E462" s="4"/>
      <c r="F462" s="917"/>
      <c r="G462" s="4"/>
      <c r="H462" s="920"/>
      <c r="I462" s="3"/>
      <c r="J462" s="920"/>
      <c r="K462" s="3"/>
      <c r="L462" s="920"/>
      <c r="M462" s="3"/>
      <c r="N462" s="920"/>
      <c r="O462" s="3"/>
      <c r="P462" s="3"/>
      <c r="Q462" s="533"/>
      <c r="R462" s="920"/>
      <c r="S462" s="534"/>
      <c r="T462" s="920"/>
      <c r="U462" s="920"/>
      <c r="V462" s="920"/>
      <c r="W462" s="535"/>
      <c r="X462" s="687"/>
      <c r="Y462" s="687"/>
      <c r="Z462" s="687"/>
      <c r="AA462" s="678"/>
      <c r="AB462" s="543"/>
      <c r="AC462" s="3"/>
      <c r="AD462" s="533"/>
      <c r="AE462" s="3"/>
      <c r="AF462" s="4"/>
      <c r="AG462" s="4"/>
      <c r="AH462" s="4"/>
      <c r="AI462" s="4"/>
      <c r="AJ462" s="4"/>
      <c r="AK462" s="4"/>
      <c r="AL462" s="4"/>
      <c r="AM462" s="4"/>
      <c r="AN462" s="4"/>
      <c r="AO462" s="4"/>
      <c r="AP462" s="4"/>
      <c r="AQ462" s="4"/>
      <c r="AR462" s="4"/>
      <c r="AS462" s="4"/>
      <c r="AT462" s="4"/>
      <c r="AU462" s="4"/>
      <c r="AV462" s="537"/>
      <c r="AW462" s="537"/>
      <c r="AX462" s="4"/>
      <c r="AY462" s="4"/>
      <c r="AZ462" s="4"/>
      <c r="BA462" s="4"/>
      <c r="BB462" s="4"/>
      <c r="BC462" s="4"/>
      <c r="BD462" s="4"/>
      <c r="BE462" s="4"/>
      <c r="BF462" s="4"/>
      <c r="BG462" s="4"/>
      <c r="BH462" s="4"/>
      <c r="BI462" s="4"/>
      <c r="BJ462" s="4"/>
      <c r="BK462" s="4"/>
      <c r="BL462" s="4"/>
      <c r="BM462" s="4"/>
      <c r="BN462" s="4"/>
      <c r="BO462" s="4"/>
      <c r="BP462" s="4"/>
      <c r="BQ462" s="4"/>
      <c r="BR462" s="4"/>
    </row>
    <row r="463" spans="1:70" ht="27" customHeight="1" x14ac:dyDescent="0.2">
      <c r="A463" s="532"/>
      <c r="B463" s="917"/>
      <c r="C463" s="4"/>
      <c r="D463" s="917"/>
      <c r="E463" s="4"/>
      <c r="F463" s="917"/>
      <c r="G463" s="4"/>
      <c r="H463" s="920"/>
      <c r="I463" s="3"/>
      <c r="J463" s="920"/>
      <c r="K463" s="3"/>
      <c r="L463" s="920"/>
      <c r="M463" s="3"/>
      <c r="N463" s="920"/>
      <c r="O463" s="3"/>
      <c r="P463" s="3"/>
      <c r="Q463" s="533"/>
      <c r="R463" s="920"/>
      <c r="S463" s="534"/>
      <c r="T463" s="920"/>
      <c r="U463" s="920"/>
      <c r="V463" s="920"/>
      <c r="W463" s="535"/>
      <c r="X463" s="687"/>
      <c r="Y463" s="687"/>
      <c r="Z463" s="687"/>
      <c r="AA463" s="678"/>
      <c r="AB463" s="543"/>
      <c r="AC463" s="3"/>
      <c r="AD463" s="533"/>
      <c r="AE463" s="3"/>
      <c r="AF463" s="4"/>
      <c r="AG463" s="4"/>
      <c r="AH463" s="4"/>
      <c r="AI463" s="4"/>
      <c r="AJ463" s="4"/>
      <c r="AK463" s="4"/>
      <c r="AL463" s="4"/>
      <c r="AM463" s="4"/>
      <c r="AN463" s="4"/>
      <c r="AO463" s="4"/>
      <c r="AP463" s="4"/>
      <c r="AQ463" s="4"/>
      <c r="AR463" s="4"/>
      <c r="AS463" s="4"/>
      <c r="AT463" s="4"/>
      <c r="AU463" s="4"/>
      <c r="AV463" s="537"/>
      <c r="AW463" s="537"/>
      <c r="AX463" s="4"/>
      <c r="AY463" s="4"/>
      <c r="AZ463" s="4"/>
      <c r="BA463" s="4"/>
      <c r="BB463" s="4"/>
      <c r="BC463" s="4"/>
      <c r="BD463" s="4"/>
      <c r="BE463" s="4"/>
      <c r="BF463" s="4"/>
      <c r="BG463" s="4"/>
      <c r="BH463" s="4"/>
      <c r="BI463" s="4"/>
      <c r="BJ463" s="4"/>
      <c r="BK463" s="4"/>
      <c r="BL463" s="4"/>
      <c r="BM463" s="4"/>
      <c r="BN463" s="4"/>
      <c r="BO463" s="4"/>
      <c r="BP463" s="4"/>
      <c r="BQ463" s="4"/>
      <c r="BR463" s="4"/>
    </row>
    <row r="464" spans="1:70" ht="27" customHeight="1" x14ac:dyDescent="0.2">
      <c r="A464" s="532"/>
      <c r="B464" s="917"/>
      <c r="C464" s="4"/>
      <c r="D464" s="917"/>
      <c r="E464" s="4"/>
      <c r="F464" s="917"/>
      <c r="G464" s="4"/>
      <c r="H464" s="920"/>
      <c r="I464" s="3"/>
      <c r="J464" s="920"/>
      <c r="K464" s="3"/>
      <c r="L464" s="920"/>
      <c r="M464" s="3"/>
      <c r="N464" s="920"/>
      <c r="O464" s="3"/>
      <c r="P464" s="3"/>
      <c r="Q464" s="533"/>
      <c r="R464" s="920"/>
      <c r="S464" s="534"/>
      <c r="T464" s="920"/>
      <c r="U464" s="920"/>
      <c r="V464" s="920"/>
      <c r="W464" s="535"/>
      <c r="X464" s="687"/>
      <c r="Y464" s="687"/>
      <c r="Z464" s="687"/>
      <c r="AA464" s="678"/>
      <c r="AB464" s="543"/>
      <c r="AC464" s="3"/>
      <c r="AD464" s="533"/>
      <c r="AE464" s="3"/>
      <c r="AF464" s="4"/>
      <c r="AG464" s="4"/>
      <c r="AH464" s="4"/>
      <c r="AI464" s="4"/>
      <c r="AJ464" s="4"/>
      <c r="AK464" s="4"/>
      <c r="AL464" s="4"/>
      <c r="AM464" s="4"/>
      <c r="AN464" s="4"/>
      <c r="AO464" s="4"/>
      <c r="AP464" s="4"/>
      <c r="AQ464" s="4"/>
      <c r="AR464" s="4"/>
      <c r="AS464" s="4"/>
      <c r="AT464" s="4"/>
      <c r="AU464" s="4"/>
      <c r="AV464" s="537"/>
      <c r="AW464" s="537"/>
      <c r="AX464" s="4"/>
      <c r="AY464" s="4"/>
      <c r="AZ464" s="4"/>
      <c r="BA464" s="4"/>
      <c r="BB464" s="4"/>
      <c r="BC464" s="4"/>
      <c r="BD464" s="4"/>
      <c r="BE464" s="4"/>
      <c r="BF464" s="4"/>
      <c r="BG464" s="4"/>
      <c r="BH464" s="4"/>
      <c r="BI464" s="4"/>
      <c r="BJ464" s="4"/>
      <c r="BK464" s="4"/>
      <c r="BL464" s="4"/>
      <c r="BM464" s="4"/>
      <c r="BN464" s="4"/>
      <c r="BO464" s="4"/>
      <c r="BP464" s="4"/>
      <c r="BQ464" s="4"/>
      <c r="BR464" s="4"/>
    </row>
    <row r="465" spans="1:70" ht="27" customHeight="1" x14ac:dyDescent="0.2">
      <c r="A465" s="532"/>
      <c r="B465" s="917"/>
      <c r="C465" s="4"/>
      <c r="D465" s="917"/>
      <c r="E465" s="4"/>
      <c r="F465" s="917"/>
      <c r="G465" s="4"/>
      <c r="H465" s="920"/>
      <c r="I465" s="3"/>
      <c r="J465" s="920"/>
      <c r="K465" s="3"/>
      <c r="L465" s="920"/>
      <c r="M465" s="3"/>
      <c r="N465" s="920"/>
      <c r="O465" s="3"/>
      <c r="P465" s="3"/>
      <c r="Q465" s="533"/>
      <c r="R465" s="920"/>
      <c r="S465" s="534"/>
      <c r="T465" s="920"/>
      <c r="U465" s="920"/>
      <c r="V465" s="920"/>
      <c r="W465" s="535"/>
      <c r="X465" s="687"/>
      <c r="Y465" s="687"/>
      <c r="Z465" s="687"/>
      <c r="AA465" s="678"/>
      <c r="AB465" s="543"/>
      <c r="AC465" s="3"/>
      <c r="AD465" s="533"/>
      <c r="AE465" s="3"/>
      <c r="AF465" s="4"/>
      <c r="AG465" s="4"/>
      <c r="AH465" s="4"/>
      <c r="AI465" s="4"/>
      <c r="AJ465" s="4"/>
      <c r="AK465" s="4"/>
      <c r="AL465" s="4"/>
      <c r="AM465" s="4"/>
      <c r="AN465" s="4"/>
      <c r="AO465" s="4"/>
      <c r="AP465" s="4"/>
      <c r="AQ465" s="4"/>
      <c r="AR465" s="4"/>
      <c r="AS465" s="4"/>
      <c r="AT465" s="4"/>
      <c r="AU465" s="4"/>
      <c r="AV465" s="537"/>
      <c r="AW465" s="537"/>
      <c r="AX465" s="4"/>
      <c r="AY465" s="4"/>
      <c r="AZ465" s="4"/>
      <c r="BA465" s="4"/>
      <c r="BB465" s="4"/>
      <c r="BC465" s="4"/>
      <c r="BD465" s="4"/>
      <c r="BE465" s="4"/>
      <c r="BF465" s="4"/>
      <c r="BG465" s="4"/>
      <c r="BH465" s="4"/>
      <c r="BI465" s="4"/>
      <c r="BJ465" s="4"/>
      <c r="BK465" s="4"/>
      <c r="BL465" s="4"/>
      <c r="BM465" s="4"/>
      <c r="BN465" s="4"/>
      <c r="BO465" s="4"/>
      <c r="BP465" s="4"/>
      <c r="BQ465" s="4"/>
      <c r="BR465" s="4"/>
    </row>
    <row r="466" spans="1:70" ht="27" customHeight="1" x14ac:dyDescent="0.2">
      <c r="A466" s="532"/>
      <c r="B466" s="917"/>
      <c r="C466" s="4"/>
      <c r="D466" s="917"/>
      <c r="E466" s="4"/>
      <c r="F466" s="917"/>
      <c r="G466" s="4"/>
      <c r="H466" s="920"/>
      <c r="I466" s="3"/>
      <c r="J466" s="920"/>
      <c r="K466" s="3"/>
      <c r="L466" s="920"/>
      <c r="M466" s="3"/>
      <c r="N466" s="920"/>
      <c r="O466" s="3"/>
      <c r="P466" s="3"/>
      <c r="Q466" s="533"/>
      <c r="R466" s="920"/>
      <c r="S466" s="534"/>
      <c r="T466" s="920"/>
      <c r="U466" s="920"/>
      <c r="V466" s="920"/>
      <c r="W466" s="535"/>
      <c r="X466" s="687"/>
      <c r="Y466" s="687"/>
      <c r="Z466" s="687"/>
      <c r="AA466" s="678"/>
      <c r="AB466" s="543"/>
      <c r="AC466" s="3"/>
      <c r="AD466" s="533"/>
      <c r="AE466" s="3"/>
      <c r="AF466" s="4"/>
      <c r="AG466" s="4"/>
      <c r="AH466" s="4"/>
      <c r="AI466" s="4"/>
      <c r="AJ466" s="4"/>
      <c r="AK466" s="4"/>
      <c r="AL466" s="4"/>
      <c r="AM466" s="4"/>
      <c r="AN466" s="4"/>
      <c r="AO466" s="4"/>
      <c r="AP466" s="4"/>
      <c r="AQ466" s="4"/>
      <c r="AR466" s="4"/>
      <c r="AS466" s="4"/>
      <c r="AT466" s="4"/>
      <c r="AU466" s="4"/>
      <c r="AV466" s="537"/>
      <c r="AW466" s="537"/>
      <c r="AX466" s="4"/>
      <c r="AY466" s="4"/>
      <c r="AZ466" s="4"/>
      <c r="BA466" s="4"/>
      <c r="BB466" s="4"/>
      <c r="BC466" s="4"/>
      <c r="BD466" s="4"/>
      <c r="BE466" s="4"/>
      <c r="BF466" s="4"/>
      <c r="BG466" s="4"/>
      <c r="BH466" s="4"/>
      <c r="BI466" s="4"/>
      <c r="BJ466" s="4"/>
      <c r="BK466" s="4"/>
      <c r="BL466" s="4"/>
      <c r="BM466" s="4"/>
      <c r="BN466" s="4"/>
      <c r="BO466" s="4"/>
      <c r="BP466" s="4"/>
      <c r="BQ466" s="4"/>
      <c r="BR466" s="4"/>
    </row>
    <row r="467" spans="1:70" ht="27" customHeight="1" x14ac:dyDescent="0.2">
      <c r="A467" s="532"/>
      <c r="B467" s="917"/>
      <c r="C467" s="4"/>
      <c r="D467" s="917"/>
      <c r="E467" s="4"/>
      <c r="F467" s="917"/>
      <c r="G467" s="4"/>
      <c r="H467" s="920"/>
      <c r="I467" s="3"/>
      <c r="J467" s="920"/>
      <c r="K467" s="3"/>
      <c r="L467" s="920"/>
      <c r="M467" s="3"/>
      <c r="N467" s="920"/>
      <c r="O467" s="3"/>
      <c r="P467" s="3"/>
      <c r="Q467" s="533"/>
      <c r="R467" s="920"/>
      <c r="S467" s="534"/>
      <c r="T467" s="920"/>
      <c r="U467" s="920"/>
      <c r="V467" s="920"/>
      <c r="W467" s="535"/>
      <c r="X467" s="687"/>
      <c r="Y467" s="687"/>
      <c r="Z467" s="687"/>
      <c r="AA467" s="678"/>
      <c r="AB467" s="543"/>
      <c r="AC467" s="3"/>
      <c r="AD467" s="533"/>
      <c r="AE467" s="3"/>
      <c r="AF467" s="4"/>
      <c r="AG467" s="4"/>
      <c r="AH467" s="4"/>
      <c r="AI467" s="4"/>
      <c r="AJ467" s="4"/>
      <c r="AK467" s="4"/>
      <c r="AL467" s="4"/>
      <c r="AM467" s="4"/>
      <c r="AN467" s="4"/>
      <c r="AO467" s="4"/>
      <c r="AP467" s="4"/>
      <c r="AQ467" s="4"/>
      <c r="AR467" s="4"/>
      <c r="AS467" s="4"/>
      <c r="AT467" s="4"/>
      <c r="AU467" s="4"/>
      <c r="AV467" s="537"/>
      <c r="AW467" s="537"/>
      <c r="AX467" s="4"/>
      <c r="AY467" s="4"/>
      <c r="AZ467" s="4"/>
      <c r="BA467" s="4"/>
      <c r="BB467" s="4"/>
      <c r="BC467" s="4"/>
      <c r="BD467" s="4"/>
      <c r="BE467" s="4"/>
      <c r="BF467" s="4"/>
      <c r="BG467" s="4"/>
      <c r="BH467" s="4"/>
      <c r="BI467" s="4"/>
      <c r="BJ467" s="4"/>
      <c r="BK467" s="4"/>
      <c r="BL467" s="4"/>
      <c r="BM467" s="4"/>
      <c r="BN467" s="4"/>
      <c r="BO467" s="4"/>
      <c r="BP467" s="4"/>
      <c r="BQ467" s="4"/>
      <c r="BR467" s="4"/>
    </row>
    <row r="468" spans="1:70" ht="27" customHeight="1" x14ac:dyDescent="0.2">
      <c r="A468" s="532"/>
      <c r="B468" s="917"/>
      <c r="C468" s="4"/>
      <c r="D468" s="917"/>
      <c r="E468" s="4"/>
      <c r="F468" s="917"/>
      <c r="G468" s="4"/>
      <c r="H468" s="920"/>
      <c r="I468" s="3"/>
      <c r="J468" s="920"/>
      <c r="K468" s="3"/>
      <c r="L468" s="920"/>
      <c r="M468" s="3"/>
      <c r="N468" s="920"/>
      <c r="O468" s="3"/>
      <c r="P468" s="3"/>
      <c r="Q468" s="533"/>
      <c r="R468" s="920"/>
      <c r="S468" s="534"/>
      <c r="T468" s="920"/>
      <c r="U468" s="920"/>
      <c r="V468" s="920"/>
      <c r="W468" s="535"/>
      <c r="X468" s="687"/>
      <c r="Y468" s="687"/>
      <c r="Z468" s="687"/>
      <c r="AA468" s="678"/>
      <c r="AB468" s="543"/>
      <c r="AC468" s="3"/>
      <c r="AD468" s="533"/>
      <c r="AE468" s="3"/>
      <c r="AF468" s="4"/>
      <c r="AG468" s="4"/>
      <c r="AH468" s="4"/>
      <c r="AI468" s="4"/>
      <c r="AJ468" s="4"/>
      <c r="AK468" s="4"/>
      <c r="AL468" s="4"/>
      <c r="AM468" s="4"/>
      <c r="AN468" s="4"/>
      <c r="AO468" s="4"/>
      <c r="AP468" s="4"/>
      <c r="AQ468" s="4"/>
      <c r="AR468" s="4"/>
      <c r="AS468" s="4"/>
      <c r="AT468" s="4"/>
      <c r="AU468" s="4"/>
      <c r="AV468" s="537"/>
      <c r="AW468" s="537"/>
      <c r="AX468" s="4"/>
      <c r="AY468" s="4"/>
      <c r="AZ468" s="4"/>
      <c r="BA468" s="4"/>
      <c r="BB468" s="4"/>
      <c r="BC468" s="4"/>
      <c r="BD468" s="4"/>
      <c r="BE468" s="4"/>
      <c r="BF468" s="4"/>
      <c r="BG468" s="4"/>
      <c r="BH468" s="4"/>
      <c r="BI468" s="4"/>
      <c r="BJ468" s="4"/>
      <c r="BK468" s="4"/>
      <c r="BL468" s="4"/>
      <c r="BM468" s="4"/>
      <c r="BN468" s="4"/>
      <c r="BO468" s="4"/>
      <c r="BP468" s="4"/>
      <c r="BQ468" s="4"/>
      <c r="BR468" s="4"/>
    </row>
    <row r="469" spans="1:70" ht="27" customHeight="1" x14ac:dyDescent="0.2">
      <c r="A469" s="532"/>
      <c r="B469" s="917"/>
      <c r="C469" s="4"/>
      <c r="D469" s="917"/>
      <c r="E469" s="4"/>
      <c r="F469" s="917"/>
      <c r="G469" s="4"/>
      <c r="H469" s="920"/>
      <c r="I469" s="3"/>
      <c r="J469" s="920"/>
      <c r="K469" s="3"/>
      <c r="L469" s="920"/>
      <c r="M469" s="3"/>
      <c r="N469" s="920"/>
      <c r="O469" s="3"/>
      <c r="P469" s="3"/>
      <c r="Q469" s="533"/>
      <c r="R469" s="920"/>
      <c r="S469" s="534"/>
      <c r="T469" s="920"/>
      <c r="U469" s="920"/>
      <c r="V469" s="920"/>
      <c r="W469" s="535"/>
      <c r="X469" s="687"/>
      <c r="Y469" s="687"/>
      <c r="Z469" s="687"/>
      <c r="AA469" s="678"/>
      <c r="AB469" s="543"/>
      <c r="AC469" s="3"/>
      <c r="AD469" s="533"/>
      <c r="AE469" s="3"/>
      <c r="AF469" s="4"/>
      <c r="AG469" s="4"/>
      <c r="AH469" s="4"/>
      <c r="AI469" s="4"/>
      <c r="AJ469" s="4"/>
      <c r="AK469" s="4"/>
      <c r="AL469" s="4"/>
      <c r="AM469" s="4"/>
      <c r="AN469" s="4"/>
      <c r="AO469" s="4"/>
      <c r="AP469" s="4"/>
      <c r="AQ469" s="4"/>
      <c r="AR469" s="4"/>
      <c r="AS469" s="4"/>
      <c r="AT469" s="4"/>
      <c r="AU469" s="4"/>
      <c r="AV469" s="537"/>
      <c r="AW469" s="537"/>
      <c r="AX469" s="4"/>
      <c r="AY469" s="4"/>
      <c r="AZ469" s="4"/>
      <c r="BA469" s="4"/>
      <c r="BB469" s="4"/>
      <c r="BC469" s="4"/>
      <c r="BD469" s="4"/>
      <c r="BE469" s="4"/>
      <c r="BF469" s="4"/>
      <c r="BG469" s="4"/>
      <c r="BH469" s="4"/>
      <c r="BI469" s="4"/>
      <c r="BJ469" s="4"/>
      <c r="BK469" s="4"/>
      <c r="BL469" s="4"/>
      <c r="BM469" s="4"/>
      <c r="BN469" s="4"/>
      <c r="BO469" s="4"/>
      <c r="BP469" s="4"/>
      <c r="BQ469" s="4"/>
      <c r="BR469" s="4"/>
    </row>
    <row r="470" spans="1:70" ht="27" customHeight="1" x14ac:dyDescent="0.2">
      <c r="A470" s="532"/>
      <c r="B470" s="917"/>
      <c r="C470" s="4"/>
      <c r="D470" s="917"/>
      <c r="E470" s="4"/>
      <c r="F470" s="917"/>
      <c r="G470" s="4"/>
      <c r="H470" s="920"/>
      <c r="I470" s="3"/>
      <c r="J470" s="920"/>
      <c r="K470" s="3"/>
      <c r="L470" s="920"/>
      <c r="M470" s="3"/>
      <c r="N470" s="920"/>
      <c r="O470" s="3"/>
      <c r="P470" s="3"/>
      <c r="Q470" s="533"/>
      <c r="R470" s="920"/>
      <c r="S470" s="534"/>
      <c r="T470" s="920"/>
      <c r="U470" s="920"/>
      <c r="V470" s="920"/>
      <c r="W470" s="535"/>
      <c r="X470" s="687"/>
      <c r="Y470" s="687"/>
      <c r="Z470" s="687"/>
      <c r="AA470" s="678"/>
      <c r="AB470" s="543"/>
      <c r="AC470" s="3"/>
      <c r="AD470" s="533"/>
      <c r="AE470" s="3"/>
      <c r="AF470" s="4"/>
      <c r="AG470" s="4"/>
      <c r="AH470" s="4"/>
      <c r="AI470" s="4"/>
      <c r="AJ470" s="4"/>
      <c r="AK470" s="4"/>
      <c r="AL470" s="4"/>
      <c r="AM470" s="4"/>
      <c r="AN470" s="4"/>
      <c r="AO470" s="4"/>
      <c r="AP470" s="4"/>
      <c r="AQ470" s="4"/>
      <c r="AR470" s="4"/>
      <c r="AS470" s="4"/>
      <c r="AT470" s="4"/>
      <c r="AU470" s="4"/>
      <c r="AV470" s="537"/>
      <c r="AW470" s="537"/>
      <c r="AX470" s="4"/>
      <c r="AY470" s="4"/>
      <c r="AZ470" s="4"/>
      <c r="BA470" s="4"/>
      <c r="BB470" s="4"/>
      <c r="BC470" s="4"/>
      <c r="BD470" s="4"/>
      <c r="BE470" s="4"/>
      <c r="BF470" s="4"/>
      <c r="BG470" s="4"/>
      <c r="BH470" s="4"/>
      <c r="BI470" s="4"/>
      <c r="BJ470" s="4"/>
      <c r="BK470" s="4"/>
      <c r="BL470" s="4"/>
      <c r="BM470" s="4"/>
      <c r="BN470" s="4"/>
      <c r="BO470" s="4"/>
      <c r="BP470" s="4"/>
      <c r="BQ470" s="4"/>
      <c r="BR470" s="4"/>
    </row>
    <row r="471" spans="1:70" ht="27" customHeight="1" x14ac:dyDescent="0.2">
      <c r="A471" s="532"/>
      <c r="B471" s="917"/>
      <c r="C471" s="4"/>
      <c r="D471" s="917"/>
      <c r="E471" s="4"/>
      <c r="F471" s="917"/>
      <c r="G471" s="4"/>
      <c r="H471" s="920"/>
      <c r="I471" s="3"/>
      <c r="J471" s="920"/>
      <c r="K471" s="3"/>
      <c r="L471" s="920"/>
      <c r="M471" s="3"/>
      <c r="N471" s="920"/>
      <c r="O471" s="3"/>
      <c r="P471" s="3"/>
      <c r="Q471" s="533"/>
      <c r="R471" s="920"/>
      <c r="S471" s="534"/>
      <c r="T471" s="920"/>
      <c r="U471" s="920"/>
      <c r="V471" s="920"/>
      <c r="W471" s="535"/>
      <c r="X471" s="687"/>
      <c r="Y471" s="687"/>
      <c r="Z471" s="687"/>
      <c r="AA471" s="678"/>
      <c r="AB471" s="543"/>
      <c r="AC471" s="3"/>
      <c r="AD471" s="533"/>
      <c r="AE471" s="3"/>
      <c r="AF471" s="4"/>
      <c r="AG471" s="4"/>
      <c r="AH471" s="4"/>
      <c r="AI471" s="4"/>
      <c r="AJ471" s="4"/>
      <c r="AK471" s="4"/>
      <c r="AL471" s="4"/>
      <c r="AM471" s="4"/>
      <c r="AN471" s="4"/>
      <c r="AO471" s="4"/>
      <c r="AP471" s="4"/>
      <c r="AQ471" s="4"/>
      <c r="AR471" s="4"/>
      <c r="AS471" s="4"/>
      <c r="AT471" s="4"/>
      <c r="AU471" s="4"/>
      <c r="AV471" s="537"/>
      <c r="AW471" s="537"/>
      <c r="AX471" s="4"/>
      <c r="AY471" s="4"/>
      <c r="AZ471" s="4"/>
      <c r="BA471" s="4"/>
      <c r="BB471" s="4"/>
      <c r="BC471" s="4"/>
      <c r="BD471" s="4"/>
      <c r="BE471" s="4"/>
      <c r="BF471" s="4"/>
      <c r="BG471" s="4"/>
      <c r="BH471" s="4"/>
      <c r="BI471" s="4"/>
      <c r="BJ471" s="4"/>
      <c r="BK471" s="4"/>
      <c r="BL471" s="4"/>
      <c r="BM471" s="4"/>
      <c r="BN471" s="4"/>
      <c r="BO471" s="4"/>
      <c r="BP471" s="4"/>
      <c r="BQ471" s="4"/>
      <c r="BR471" s="4"/>
    </row>
    <row r="472" spans="1:70" ht="27" customHeight="1" x14ac:dyDescent="0.2">
      <c r="A472" s="532"/>
      <c r="B472" s="917"/>
      <c r="C472" s="4"/>
      <c r="D472" s="917"/>
      <c r="E472" s="4"/>
      <c r="F472" s="917"/>
      <c r="G472" s="4"/>
      <c r="H472" s="920"/>
      <c r="I472" s="3"/>
      <c r="J472" s="920"/>
      <c r="K472" s="3"/>
      <c r="L472" s="920"/>
      <c r="M472" s="3"/>
      <c r="N472" s="920"/>
      <c r="O472" s="3"/>
      <c r="P472" s="3"/>
      <c r="Q472" s="533"/>
      <c r="R472" s="920"/>
      <c r="S472" s="534"/>
      <c r="T472" s="920"/>
      <c r="U472" s="920"/>
      <c r="V472" s="920"/>
      <c r="W472" s="535"/>
      <c r="X472" s="687"/>
      <c r="Y472" s="687"/>
      <c r="Z472" s="687"/>
      <c r="AA472" s="678"/>
      <c r="AB472" s="543"/>
      <c r="AC472" s="3"/>
      <c r="AD472" s="533"/>
      <c r="AE472" s="3"/>
      <c r="AF472" s="4"/>
      <c r="AG472" s="4"/>
      <c r="AH472" s="4"/>
      <c r="AI472" s="4"/>
      <c r="AJ472" s="4"/>
      <c r="AK472" s="4"/>
      <c r="AL472" s="4"/>
      <c r="AM472" s="4"/>
      <c r="AN472" s="4"/>
      <c r="AO472" s="4"/>
      <c r="AP472" s="4"/>
      <c r="AQ472" s="4"/>
      <c r="AR472" s="4"/>
      <c r="AS472" s="4"/>
      <c r="AT472" s="4"/>
      <c r="AU472" s="4"/>
      <c r="AV472" s="537"/>
      <c r="AW472" s="537"/>
      <c r="AX472" s="4"/>
      <c r="AY472" s="4"/>
      <c r="AZ472" s="4"/>
      <c r="BA472" s="4"/>
      <c r="BB472" s="4"/>
      <c r="BC472" s="4"/>
      <c r="BD472" s="4"/>
      <c r="BE472" s="4"/>
      <c r="BF472" s="4"/>
      <c r="BG472" s="4"/>
      <c r="BH472" s="4"/>
      <c r="BI472" s="4"/>
      <c r="BJ472" s="4"/>
      <c r="BK472" s="4"/>
      <c r="BL472" s="4"/>
      <c r="BM472" s="4"/>
      <c r="BN472" s="4"/>
      <c r="BO472" s="4"/>
      <c r="BP472" s="4"/>
      <c r="BQ472" s="4"/>
      <c r="BR472" s="4"/>
    </row>
    <row r="473" spans="1:70" ht="27" customHeight="1" x14ac:dyDescent="0.2">
      <c r="A473" s="532"/>
      <c r="B473" s="917"/>
      <c r="C473" s="4"/>
      <c r="D473" s="917"/>
      <c r="E473" s="4"/>
      <c r="F473" s="917"/>
      <c r="G473" s="4"/>
      <c r="H473" s="920"/>
      <c r="I473" s="3"/>
      <c r="J473" s="920"/>
      <c r="K473" s="3"/>
      <c r="L473" s="920"/>
      <c r="M473" s="3"/>
      <c r="N473" s="920"/>
      <c r="O473" s="3"/>
      <c r="P473" s="3"/>
      <c r="Q473" s="533"/>
      <c r="R473" s="920"/>
      <c r="S473" s="534"/>
      <c r="T473" s="920"/>
      <c r="U473" s="920"/>
      <c r="V473" s="920"/>
      <c r="W473" s="535"/>
      <c r="X473" s="687"/>
      <c r="Y473" s="687"/>
      <c r="Z473" s="687"/>
      <c r="AA473" s="678"/>
      <c r="AB473" s="543"/>
      <c r="AC473" s="3"/>
      <c r="AD473" s="533"/>
      <c r="AE473" s="3"/>
      <c r="AF473" s="4"/>
      <c r="AG473" s="4"/>
      <c r="AH473" s="4"/>
      <c r="AI473" s="4"/>
      <c r="AJ473" s="4"/>
      <c r="AK473" s="4"/>
      <c r="AL473" s="4"/>
      <c r="AM473" s="4"/>
      <c r="AN473" s="4"/>
      <c r="AO473" s="4"/>
      <c r="AP473" s="4"/>
      <c r="AQ473" s="4"/>
      <c r="AR473" s="4"/>
      <c r="AS473" s="4"/>
      <c r="AT473" s="4"/>
      <c r="AU473" s="4"/>
      <c r="AV473" s="537"/>
      <c r="AW473" s="537"/>
      <c r="AX473" s="4"/>
      <c r="AY473" s="4"/>
      <c r="AZ473" s="4"/>
      <c r="BA473" s="4"/>
      <c r="BB473" s="4"/>
      <c r="BC473" s="4"/>
      <c r="BD473" s="4"/>
      <c r="BE473" s="4"/>
      <c r="BF473" s="4"/>
      <c r="BG473" s="4"/>
      <c r="BH473" s="4"/>
      <c r="BI473" s="4"/>
      <c r="BJ473" s="4"/>
      <c r="BK473" s="4"/>
      <c r="BL473" s="4"/>
      <c r="BM473" s="4"/>
      <c r="BN473" s="4"/>
      <c r="BO473" s="4"/>
      <c r="BP473" s="4"/>
      <c r="BQ473" s="4"/>
      <c r="BR473" s="4"/>
    </row>
    <row r="474" spans="1:70" ht="27" customHeight="1" x14ac:dyDescent="0.2">
      <c r="A474" s="532"/>
      <c r="B474" s="917"/>
      <c r="C474" s="4"/>
      <c r="D474" s="917"/>
      <c r="E474" s="4"/>
      <c r="F474" s="917"/>
      <c r="G474" s="4"/>
      <c r="H474" s="920"/>
      <c r="I474" s="3"/>
      <c r="J474" s="920"/>
      <c r="K474" s="3"/>
      <c r="L474" s="920"/>
      <c r="M474" s="3"/>
      <c r="N474" s="920"/>
      <c r="O474" s="3"/>
      <c r="P474" s="3"/>
      <c r="Q474" s="533"/>
      <c r="R474" s="920"/>
      <c r="S474" s="534"/>
      <c r="T474" s="920"/>
      <c r="U474" s="920"/>
      <c r="V474" s="920"/>
      <c r="W474" s="535"/>
      <c r="X474" s="687"/>
      <c r="Y474" s="687"/>
      <c r="Z474" s="687"/>
      <c r="AA474" s="678"/>
      <c r="AB474" s="543"/>
      <c r="AC474" s="3"/>
      <c r="AD474" s="533"/>
      <c r="AE474" s="3"/>
      <c r="AF474" s="4"/>
      <c r="AG474" s="4"/>
      <c r="AH474" s="4"/>
      <c r="AI474" s="4"/>
      <c r="AJ474" s="4"/>
      <c r="AK474" s="4"/>
      <c r="AL474" s="4"/>
      <c r="AM474" s="4"/>
      <c r="AN474" s="4"/>
      <c r="AO474" s="4"/>
      <c r="AP474" s="4"/>
      <c r="AQ474" s="4"/>
      <c r="AR474" s="4"/>
      <c r="AS474" s="4"/>
      <c r="AT474" s="4"/>
      <c r="AU474" s="4"/>
      <c r="AV474" s="537"/>
      <c r="AW474" s="537"/>
      <c r="AX474" s="4"/>
      <c r="AY474" s="4"/>
      <c r="AZ474" s="4"/>
      <c r="BA474" s="4"/>
      <c r="BB474" s="4"/>
      <c r="BC474" s="4"/>
      <c r="BD474" s="4"/>
      <c r="BE474" s="4"/>
      <c r="BF474" s="4"/>
      <c r="BG474" s="4"/>
      <c r="BH474" s="4"/>
      <c r="BI474" s="4"/>
      <c r="BJ474" s="4"/>
      <c r="BK474" s="4"/>
      <c r="BL474" s="4"/>
      <c r="BM474" s="4"/>
      <c r="BN474" s="4"/>
      <c r="BO474" s="4"/>
      <c r="BP474" s="4"/>
      <c r="BQ474" s="4"/>
      <c r="BR474" s="4"/>
    </row>
    <row r="475" spans="1:70" ht="27" customHeight="1" x14ac:dyDescent="0.2">
      <c r="A475" s="532"/>
      <c r="B475" s="917"/>
      <c r="C475" s="4"/>
      <c r="D475" s="917"/>
      <c r="E475" s="4"/>
      <c r="F475" s="917"/>
      <c r="G475" s="4"/>
      <c r="H475" s="920"/>
      <c r="I475" s="3"/>
      <c r="J475" s="920"/>
      <c r="K475" s="3"/>
      <c r="L475" s="920"/>
      <c r="M475" s="3"/>
      <c r="N475" s="920"/>
      <c r="O475" s="3"/>
      <c r="P475" s="3"/>
      <c r="Q475" s="533"/>
      <c r="R475" s="920"/>
      <c r="S475" s="534"/>
      <c r="T475" s="920"/>
      <c r="U475" s="920"/>
      <c r="V475" s="920"/>
      <c r="W475" s="535"/>
      <c r="X475" s="687"/>
      <c r="Y475" s="687"/>
      <c r="Z475" s="687"/>
      <c r="AA475" s="678"/>
      <c r="AB475" s="543"/>
      <c r="AC475" s="3"/>
      <c r="AD475" s="533"/>
      <c r="AE475" s="3"/>
      <c r="AF475" s="4"/>
      <c r="AG475" s="4"/>
      <c r="AH475" s="4"/>
      <c r="AI475" s="4"/>
      <c r="AJ475" s="4"/>
      <c r="AK475" s="4"/>
      <c r="AL475" s="4"/>
      <c r="AM475" s="4"/>
      <c r="AN475" s="4"/>
      <c r="AO475" s="4"/>
      <c r="AP475" s="4"/>
      <c r="AQ475" s="4"/>
      <c r="AR475" s="4"/>
      <c r="AS475" s="4"/>
      <c r="AT475" s="4"/>
      <c r="AU475" s="4"/>
      <c r="AV475" s="537"/>
      <c r="AW475" s="537"/>
      <c r="AX475" s="4"/>
      <c r="AY475" s="4"/>
      <c r="AZ475" s="4"/>
      <c r="BA475" s="4"/>
      <c r="BB475" s="4"/>
      <c r="BC475" s="4"/>
      <c r="BD475" s="4"/>
      <c r="BE475" s="4"/>
      <c r="BF475" s="4"/>
      <c r="BG475" s="4"/>
      <c r="BH475" s="4"/>
      <c r="BI475" s="4"/>
      <c r="BJ475" s="4"/>
      <c r="BK475" s="4"/>
      <c r="BL475" s="4"/>
      <c r="BM475" s="4"/>
      <c r="BN475" s="4"/>
      <c r="BO475" s="4"/>
      <c r="BP475" s="4"/>
      <c r="BQ475" s="4"/>
      <c r="BR475" s="4"/>
    </row>
    <row r="476" spans="1:70" ht="27" customHeight="1" x14ac:dyDescent="0.2">
      <c r="A476" s="532"/>
      <c r="B476" s="917"/>
      <c r="C476" s="4"/>
      <c r="D476" s="917"/>
      <c r="E476" s="4"/>
      <c r="F476" s="917"/>
      <c r="G476" s="4"/>
      <c r="H476" s="920"/>
      <c r="I476" s="3"/>
      <c r="J476" s="920"/>
      <c r="K476" s="3"/>
      <c r="L476" s="920"/>
      <c r="M476" s="3"/>
      <c r="N476" s="920"/>
      <c r="O476" s="3"/>
      <c r="P476" s="3"/>
      <c r="Q476" s="533"/>
      <c r="R476" s="920"/>
      <c r="S476" s="534"/>
      <c r="T476" s="920"/>
      <c r="U476" s="920"/>
      <c r="V476" s="920"/>
      <c r="W476" s="535"/>
      <c r="X476" s="687"/>
      <c r="Y476" s="687"/>
      <c r="Z476" s="687"/>
      <c r="AA476" s="678"/>
      <c r="AB476" s="543"/>
      <c r="AC476" s="3"/>
      <c r="AD476" s="533"/>
      <c r="AE476" s="3"/>
      <c r="AF476" s="4"/>
      <c r="AG476" s="4"/>
      <c r="AH476" s="4"/>
      <c r="AI476" s="4"/>
      <c r="AJ476" s="4"/>
      <c r="AK476" s="4"/>
      <c r="AL476" s="4"/>
      <c r="AM476" s="4"/>
      <c r="AN476" s="4"/>
      <c r="AO476" s="4"/>
      <c r="AP476" s="4"/>
      <c r="AQ476" s="4"/>
      <c r="AR476" s="4"/>
      <c r="AS476" s="4"/>
      <c r="AT476" s="4"/>
      <c r="AU476" s="4"/>
      <c r="AV476" s="537"/>
      <c r="AW476" s="537"/>
      <c r="AX476" s="4"/>
      <c r="AY476" s="4"/>
      <c r="AZ476" s="4"/>
      <c r="BA476" s="4"/>
      <c r="BB476" s="4"/>
      <c r="BC476" s="4"/>
      <c r="BD476" s="4"/>
      <c r="BE476" s="4"/>
      <c r="BF476" s="4"/>
      <c r="BG476" s="4"/>
      <c r="BH476" s="4"/>
      <c r="BI476" s="4"/>
      <c r="BJ476" s="4"/>
      <c r="BK476" s="4"/>
      <c r="BL476" s="4"/>
      <c r="BM476" s="4"/>
      <c r="BN476" s="4"/>
      <c r="BO476" s="4"/>
      <c r="BP476" s="4"/>
      <c r="BQ476" s="4"/>
      <c r="BR476" s="4"/>
    </row>
    <row r="477" spans="1:70" ht="27" customHeight="1" x14ac:dyDescent="0.2">
      <c r="A477" s="532"/>
      <c r="B477" s="917"/>
      <c r="C477" s="4"/>
      <c r="D477" s="917"/>
      <c r="E477" s="4"/>
      <c r="F477" s="917"/>
      <c r="G477" s="4"/>
      <c r="H477" s="920"/>
      <c r="I477" s="3"/>
      <c r="J477" s="920"/>
      <c r="K477" s="3"/>
      <c r="L477" s="920"/>
      <c r="M477" s="3"/>
      <c r="N477" s="920"/>
      <c r="O477" s="3"/>
      <c r="P477" s="3"/>
      <c r="Q477" s="533"/>
      <c r="R477" s="920"/>
      <c r="S477" s="534"/>
      <c r="T477" s="920"/>
      <c r="U477" s="920"/>
      <c r="V477" s="920"/>
      <c r="W477" s="535"/>
      <c r="X477" s="687"/>
      <c r="Y477" s="687"/>
      <c r="Z477" s="687"/>
      <c r="AA477" s="678"/>
      <c r="AB477" s="543"/>
      <c r="AC477" s="3"/>
      <c r="AD477" s="533"/>
      <c r="AE477" s="3"/>
      <c r="AF477" s="4"/>
      <c r="AG477" s="4"/>
      <c r="AH477" s="4"/>
      <c r="AI477" s="4"/>
      <c r="AJ477" s="4"/>
      <c r="AK477" s="4"/>
      <c r="AL477" s="4"/>
      <c r="AM477" s="4"/>
      <c r="AN477" s="4"/>
      <c r="AO477" s="4"/>
      <c r="AP477" s="4"/>
      <c r="AQ477" s="4"/>
      <c r="AR477" s="4"/>
      <c r="AS477" s="4"/>
      <c r="AT477" s="4"/>
      <c r="AU477" s="4"/>
      <c r="AV477" s="537"/>
      <c r="AW477" s="537"/>
      <c r="AX477" s="4"/>
      <c r="AY477" s="4"/>
      <c r="AZ477" s="4"/>
      <c r="BA477" s="4"/>
      <c r="BB477" s="4"/>
      <c r="BC477" s="4"/>
      <c r="BD477" s="4"/>
      <c r="BE477" s="4"/>
      <c r="BF477" s="4"/>
      <c r="BG477" s="4"/>
      <c r="BH477" s="4"/>
      <c r="BI477" s="4"/>
      <c r="BJ477" s="4"/>
      <c r="BK477" s="4"/>
      <c r="BL477" s="4"/>
      <c r="BM477" s="4"/>
      <c r="BN477" s="4"/>
      <c r="BO477" s="4"/>
      <c r="BP477" s="4"/>
      <c r="BQ477" s="4"/>
      <c r="BR477" s="4"/>
    </row>
    <row r="478" spans="1:70" ht="27" customHeight="1" x14ac:dyDescent="0.2">
      <c r="A478" s="532"/>
      <c r="B478" s="917"/>
      <c r="C478" s="4"/>
      <c r="D478" s="917"/>
      <c r="E478" s="4"/>
      <c r="F478" s="917"/>
      <c r="G478" s="4"/>
      <c r="H478" s="920"/>
      <c r="I478" s="3"/>
      <c r="J478" s="920"/>
      <c r="K478" s="3"/>
      <c r="L478" s="920"/>
      <c r="M478" s="3"/>
      <c r="N478" s="920"/>
      <c r="O478" s="3"/>
      <c r="P478" s="3"/>
      <c r="Q478" s="533"/>
      <c r="R478" s="920"/>
      <c r="S478" s="534"/>
      <c r="T478" s="920"/>
      <c r="U478" s="920"/>
      <c r="V478" s="920"/>
      <c r="W478" s="535"/>
      <c r="X478" s="687"/>
      <c r="Y478" s="687"/>
      <c r="Z478" s="687"/>
      <c r="AA478" s="678"/>
      <c r="AB478" s="543"/>
      <c r="AC478" s="3"/>
      <c r="AD478" s="533"/>
      <c r="AE478" s="3"/>
      <c r="AF478" s="4"/>
      <c r="AG478" s="4"/>
      <c r="AH478" s="4"/>
      <c r="AI478" s="4"/>
      <c r="AJ478" s="4"/>
      <c r="AK478" s="4"/>
      <c r="AL478" s="4"/>
      <c r="AM478" s="4"/>
      <c r="AN478" s="4"/>
      <c r="AO478" s="4"/>
      <c r="AP478" s="4"/>
      <c r="AQ478" s="4"/>
      <c r="AR478" s="4"/>
      <c r="AS478" s="4"/>
      <c r="AT478" s="4"/>
      <c r="AU478" s="4"/>
      <c r="AV478" s="537"/>
      <c r="AW478" s="537"/>
      <c r="AX478" s="4"/>
      <c r="AY478" s="4"/>
      <c r="AZ478" s="4"/>
      <c r="BA478" s="4"/>
      <c r="BB478" s="4"/>
      <c r="BC478" s="4"/>
      <c r="BD478" s="4"/>
      <c r="BE478" s="4"/>
      <c r="BF478" s="4"/>
      <c r="BG478" s="4"/>
      <c r="BH478" s="4"/>
      <c r="BI478" s="4"/>
      <c r="BJ478" s="4"/>
      <c r="BK478" s="4"/>
      <c r="BL478" s="4"/>
      <c r="BM478" s="4"/>
      <c r="BN478" s="4"/>
      <c r="BO478" s="4"/>
      <c r="BP478" s="4"/>
      <c r="BQ478" s="4"/>
      <c r="BR478" s="4"/>
    </row>
    <row r="479" spans="1:70" ht="27" customHeight="1" x14ac:dyDescent="0.2">
      <c r="A479" s="532"/>
      <c r="B479" s="917"/>
      <c r="C479" s="4"/>
      <c r="D479" s="917"/>
      <c r="E479" s="4"/>
      <c r="F479" s="917"/>
      <c r="G479" s="4"/>
      <c r="H479" s="920"/>
      <c r="I479" s="3"/>
      <c r="J479" s="920"/>
      <c r="K479" s="3"/>
      <c r="L479" s="920"/>
      <c r="M479" s="3"/>
      <c r="N479" s="920"/>
      <c r="O479" s="3"/>
      <c r="P479" s="3"/>
      <c r="Q479" s="533"/>
      <c r="R479" s="920"/>
      <c r="S479" s="534"/>
      <c r="T479" s="920"/>
      <c r="U479" s="920"/>
      <c r="V479" s="920"/>
      <c r="W479" s="535"/>
      <c r="X479" s="687"/>
      <c r="Y479" s="687"/>
      <c r="Z479" s="687"/>
      <c r="AA479" s="678"/>
      <c r="AB479" s="543"/>
      <c r="AC479" s="3"/>
      <c r="AD479" s="533"/>
      <c r="AE479" s="3"/>
      <c r="AF479" s="4"/>
      <c r="AG479" s="4"/>
      <c r="AH479" s="4"/>
      <c r="AI479" s="4"/>
      <c r="AJ479" s="4"/>
      <c r="AK479" s="4"/>
      <c r="AL479" s="4"/>
      <c r="AM479" s="4"/>
      <c r="AN479" s="4"/>
      <c r="AO479" s="4"/>
      <c r="AP479" s="4"/>
      <c r="AQ479" s="4"/>
      <c r="AR479" s="4"/>
      <c r="AS479" s="4"/>
      <c r="AT479" s="4"/>
      <c r="AU479" s="4"/>
      <c r="AV479" s="537"/>
      <c r="AW479" s="537"/>
      <c r="AX479" s="4"/>
      <c r="AY479" s="4"/>
      <c r="AZ479" s="4"/>
      <c r="BA479" s="4"/>
      <c r="BB479" s="4"/>
      <c r="BC479" s="4"/>
      <c r="BD479" s="4"/>
      <c r="BE479" s="4"/>
      <c r="BF479" s="4"/>
      <c r="BG479" s="4"/>
      <c r="BH479" s="4"/>
      <c r="BI479" s="4"/>
      <c r="BJ479" s="4"/>
      <c r="BK479" s="4"/>
      <c r="BL479" s="4"/>
      <c r="BM479" s="4"/>
      <c r="BN479" s="4"/>
      <c r="BO479" s="4"/>
      <c r="BP479" s="4"/>
      <c r="BQ479" s="4"/>
      <c r="BR479" s="4"/>
    </row>
    <row r="480" spans="1:70" ht="27" customHeight="1" x14ac:dyDescent="0.2">
      <c r="A480" s="532"/>
      <c r="B480" s="917"/>
      <c r="C480" s="4"/>
      <c r="D480" s="917"/>
      <c r="E480" s="4"/>
      <c r="F480" s="917"/>
      <c r="G480" s="4"/>
      <c r="H480" s="920"/>
      <c r="I480" s="3"/>
      <c r="J480" s="920"/>
      <c r="K480" s="3"/>
      <c r="L480" s="920"/>
      <c r="M480" s="3"/>
      <c r="N480" s="920"/>
      <c r="O480" s="3"/>
      <c r="P480" s="3"/>
      <c r="Q480" s="533"/>
      <c r="R480" s="920"/>
      <c r="S480" s="534"/>
      <c r="T480" s="920"/>
      <c r="U480" s="920"/>
      <c r="V480" s="920"/>
      <c r="W480" s="535"/>
      <c r="X480" s="687"/>
      <c r="Y480" s="687"/>
      <c r="Z480" s="687"/>
      <c r="AA480" s="678"/>
      <c r="AB480" s="543"/>
      <c r="AC480" s="3"/>
      <c r="AD480" s="533"/>
      <c r="AE480" s="3"/>
      <c r="AF480" s="4"/>
      <c r="AG480" s="4"/>
      <c r="AH480" s="4"/>
      <c r="AI480" s="4"/>
      <c r="AJ480" s="4"/>
      <c r="AK480" s="4"/>
      <c r="AL480" s="4"/>
      <c r="AM480" s="4"/>
      <c r="AN480" s="4"/>
      <c r="AO480" s="4"/>
      <c r="AP480" s="4"/>
      <c r="AQ480" s="4"/>
      <c r="AR480" s="4"/>
      <c r="AS480" s="4"/>
      <c r="AT480" s="4"/>
      <c r="AU480" s="4"/>
      <c r="AV480" s="537"/>
      <c r="AW480" s="537"/>
      <c r="AX480" s="4"/>
      <c r="AY480" s="4"/>
      <c r="AZ480" s="4"/>
      <c r="BA480" s="4"/>
      <c r="BB480" s="4"/>
      <c r="BC480" s="4"/>
      <c r="BD480" s="4"/>
      <c r="BE480" s="4"/>
      <c r="BF480" s="4"/>
      <c r="BG480" s="4"/>
      <c r="BH480" s="4"/>
      <c r="BI480" s="4"/>
      <c r="BJ480" s="4"/>
      <c r="BK480" s="4"/>
      <c r="BL480" s="4"/>
      <c r="BM480" s="4"/>
      <c r="BN480" s="4"/>
      <c r="BO480" s="4"/>
      <c r="BP480" s="4"/>
      <c r="BQ480" s="4"/>
      <c r="BR480" s="4"/>
    </row>
    <row r="481" spans="1:70" ht="27" customHeight="1" x14ac:dyDescent="0.2">
      <c r="A481" s="532"/>
      <c r="B481" s="917"/>
      <c r="C481" s="4"/>
      <c r="D481" s="917"/>
      <c r="E481" s="4"/>
      <c r="F481" s="917"/>
      <c r="G481" s="4"/>
      <c r="H481" s="920"/>
      <c r="I481" s="3"/>
      <c r="J481" s="920"/>
      <c r="K481" s="3"/>
      <c r="L481" s="920"/>
      <c r="M481" s="3"/>
      <c r="N481" s="920"/>
      <c r="O481" s="3"/>
      <c r="P481" s="3"/>
      <c r="Q481" s="533"/>
      <c r="R481" s="920"/>
      <c r="S481" s="534"/>
      <c r="T481" s="920"/>
      <c r="U481" s="920"/>
      <c r="V481" s="920"/>
      <c r="W481" s="535"/>
      <c r="X481" s="687"/>
      <c r="Y481" s="687"/>
      <c r="Z481" s="687"/>
      <c r="AA481" s="678"/>
      <c r="AB481" s="543"/>
      <c r="AC481" s="3"/>
      <c r="AD481" s="533"/>
      <c r="AE481" s="3"/>
      <c r="AF481" s="4"/>
      <c r="AG481" s="4"/>
      <c r="AH481" s="4"/>
      <c r="AI481" s="4"/>
      <c r="AJ481" s="4"/>
      <c r="AK481" s="4"/>
      <c r="AL481" s="4"/>
      <c r="AM481" s="4"/>
      <c r="AN481" s="4"/>
      <c r="AO481" s="4"/>
      <c r="AP481" s="4"/>
      <c r="AQ481" s="4"/>
      <c r="AR481" s="4"/>
      <c r="AS481" s="4"/>
      <c r="AT481" s="4"/>
      <c r="AU481" s="4"/>
      <c r="AV481" s="537"/>
      <c r="AW481" s="537"/>
      <c r="AX481" s="4"/>
      <c r="AY481" s="4"/>
      <c r="AZ481" s="4"/>
      <c r="BA481" s="4"/>
      <c r="BB481" s="4"/>
      <c r="BC481" s="4"/>
      <c r="BD481" s="4"/>
      <c r="BE481" s="4"/>
      <c r="BF481" s="4"/>
      <c r="BG481" s="4"/>
      <c r="BH481" s="4"/>
      <c r="BI481" s="4"/>
      <c r="BJ481" s="4"/>
      <c r="BK481" s="4"/>
      <c r="BL481" s="4"/>
      <c r="BM481" s="4"/>
      <c r="BN481" s="4"/>
      <c r="BO481" s="4"/>
      <c r="BP481" s="4"/>
      <c r="BQ481" s="4"/>
      <c r="BR481" s="4"/>
    </row>
    <row r="482" spans="1:70" ht="27" customHeight="1" x14ac:dyDescent="0.2">
      <c r="A482" s="532"/>
      <c r="B482" s="917"/>
      <c r="C482" s="4"/>
      <c r="D482" s="917"/>
      <c r="E482" s="4"/>
      <c r="F482" s="917"/>
      <c r="G482" s="4"/>
      <c r="H482" s="920"/>
      <c r="I482" s="3"/>
      <c r="J482" s="920"/>
      <c r="K482" s="3"/>
      <c r="L482" s="920"/>
      <c r="M482" s="3"/>
      <c r="N482" s="920"/>
      <c r="O482" s="3"/>
      <c r="P482" s="3"/>
      <c r="Q482" s="533"/>
      <c r="R482" s="920"/>
      <c r="S482" s="534"/>
      <c r="T482" s="920"/>
      <c r="U482" s="920"/>
      <c r="V482" s="920"/>
      <c r="W482" s="535"/>
      <c r="X482" s="687"/>
      <c r="Y482" s="687"/>
      <c r="Z482" s="687"/>
      <c r="AA482" s="678"/>
      <c r="AB482" s="543"/>
      <c r="AC482" s="3"/>
      <c r="AD482" s="533"/>
      <c r="AE482" s="3"/>
      <c r="AF482" s="4"/>
      <c r="AG482" s="4"/>
      <c r="AH482" s="4"/>
      <c r="AI482" s="4"/>
      <c r="AJ482" s="4"/>
      <c r="AK482" s="4"/>
      <c r="AL482" s="4"/>
      <c r="AM482" s="4"/>
      <c r="AN482" s="4"/>
      <c r="AO482" s="4"/>
      <c r="AP482" s="4"/>
      <c r="AQ482" s="4"/>
      <c r="AR482" s="4"/>
      <c r="AS482" s="4"/>
      <c r="AT482" s="4"/>
      <c r="AU482" s="4"/>
      <c r="AV482" s="537"/>
      <c r="AW482" s="537"/>
      <c r="AX482" s="4"/>
      <c r="AY482" s="4"/>
      <c r="AZ482" s="4"/>
      <c r="BA482" s="4"/>
      <c r="BB482" s="4"/>
      <c r="BC482" s="4"/>
      <c r="BD482" s="4"/>
      <c r="BE482" s="4"/>
      <c r="BF482" s="4"/>
      <c r="BG482" s="4"/>
      <c r="BH482" s="4"/>
      <c r="BI482" s="4"/>
      <c r="BJ482" s="4"/>
      <c r="BK482" s="4"/>
      <c r="BL482" s="4"/>
      <c r="BM482" s="4"/>
      <c r="BN482" s="4"/>
      <c r="BO482" s="4"/>
      <c r="BP482" s="4"/>
      <c r="BQ482" s="4"/>
      <c r="BR482" s="4"/>
    </row>
    <row r="483" spans="1:70" ht="27" customHeight="1" x14ac:dyDescent="0.2">
      <c r="A483" s="532"/>
      <c r="B483" s="917"/>
      <c r="C483" s="4"/>
      <c r="D483" s="917"/>
      <c r="E483" s="4"/>
      <c r="F483" s="917"/>
      <c r="G483" s="4"/>
      <c r="H483" s="920"/>
      <c r="I483" s="3"/>
      <c r="J483" s="920"/>
      <c r="K483" s="3"/>
      <c r="L483" s="920"/>
      <c r="M483" s="3"/>
      <c r="N483" s="920"/>
      <c r="O483" s="3"/>
      <c r="P483" s="3"/>
      <c r="Q483" s="533"/>
      <c r="R483" s="920"/>
      <c r="S483" s="534"/>
      <c r="T483" s="920"/>
      <c r="U483" s="920"/>
      <c r="V483" s="920"/>
      <c r="W483" s="535"/>
      <c r="X483" s="687"/>
      <c r="Y483" s="687"/>
      <c r="Z483" s="687"/>
      <c r="AA483" s="678"/>
      <c r="AB483" s="543"/>
      <c r="AC483" s="3"/>
      <c r="AD483" s="533"/>
      <c r="AE483" s="3"/>
      <c r="AF483" s="4"/>
      <c r="AG483" s="4"/>
      <c r="AH483" s="4"/>
      <c r="AI483" s="4"/>
      <c r="AJ483" s="4"/>
      <c r="AK483" s="4"/>
      <c r="AL483" s="4"/>
      <c r="AM483" s="4"/>
      <c r="AN483" s="4"/>
      <c r="AO483" s="4"/>
      <c r="AP483" s="4"/>
      <c r="AQ483" s="4"/>
      <c r="AR483" s="4"/>
      <c r="AS483" s="4"/>
      <c r="AT483" s="4"/>
      <c r="AU483" s="4"/>
      <c r="AV483" s="537"/>
      <c r="AW483" s="537"/>
      <c r="AX483" s="4"/>
      <c r="AY483" s="4"/>
      <c r="AZ483" s="4"/>
      <c r="BA483" s="4"/>
      <c r="BB483" s="4"/>
      <c r="BC483" s="4"/>
      <c r="BD483" s="4"/>
      <c r="BE483" s="4"/>
      <c r="BF483" s="4"/>
      <c r="BG483" s="4"/>
      <c r="BH483" s="4"/>
      <c r="BI483" s="4"/>
      <c r="BJ483" s="4"/>
      <c r="BK483" s="4"/>
      <c r="BL483" s="4"/>
      <c r="BM483" s="4"/>
      <c r="BN483" s="4"/>
      <c r="BO483" s="4"/>
      <c r="BP483" s="4"/>
      <c r="BQ483" s="4"/>
      <c r="BR483" s="4"/>
    </row>
    <row r="484" spans="1:70" ht="27" customHeight="1" x14ac:dyDescent="0.2">
      <c r="A484" s="532"/>
      <c r="B484" s="917"/>
      <c r="C484" s="4"/>
      <c r="D484" s="917"/>
      <c r="E484" s="4"/>
      <c r="F484" s="917"/>
      <c r="G484" s="4"/>
      <c r="H484" s="920"/>
      <c r="I484" s="3"/>
      <c r="J484" s="920"/>
      <c r="K484" s="3"/>
      <c r="L484" s="920"/>
      <c r="M484" s="3"/>
      <c r="N484" s="920"/>
      <c r="O484" s="3"/>
      <c r="P484" s="3"/>
      <c r="Q484" s="533"/>
      <c r="R484" s="920"/>
      <c r="S484" s="534"/>
      <c r="T484" s="920"/>
      <c r="U484" s="920"/>
      <c r="V484" s="920"/>
      <c r="W484" s="535"/>
      <c r="X484" s="687"/>
      <c r="Y484" s="687"/>
      <c r="Z484" s="687"/>
      <c r="AA484" s="678"/>
      <c r="AB484" s="543"/>
      <c r="AC484" s="3"/>
      <c r="AD484" s="533"/>
      <c r="AE484" s="3"/>
      <c r="AF484" s="4"/>
      <c r="AG484" s="4"/>
      <c r="AH484" s="4"/>
      <c r="AI484" s="4"/>
      <c r="AJ484" s="4"/>
      <c r="AK484" s="4"/>
      <c r="AL484" s="4"/>
      <c r="AM484" s="4"/>
      <c r="AN484" s="4"/>
      <c r="AO484" s="4"/>
      <c r="AP484" s="4"/>
      <c r="AQ484" s="4"/>
      <c r="AR484" s="4"/>
      <c r="AS484" s="4"/>
      <c r="AT484" s="4"/>
      <c r="AU484" s="4"/>
      <c r="AV484" s="537"/>
      <c r="AW484" s="537"/>
      <c r="AX484" s="4"/>
      <c r="AY484" s="4"/>
      <c r="AZ484" s="4"/>
      <c r="BA484" s="4"/>
      <c r="BB484" s="4"/>
      <c r="BC484" s="4"/>
      <c r="BD484" s="4"/>
      <c r="BE484" s="4"/>
      <c r="BF484" s="4"/>
      <c r="BG484" s="4"/>
      <c r="BH484" s="4"/>
      <c r="BI484" s="4"/>
      <c r="BJ484" s="4"/>
      <c r="BK484" s="4"/>
      <c r="BL484" s="4"/>
      <c r="BM484" s="4"/>
      <c r="BN484" s="4"/>
      <c r="BO484" s="4"/>
      <c r="BP484" s="4"/>
      <c r="BQ484" s="4"/>
      <c r="BR484" s="4"/>
    </row>
    <row r="485" spans="1:70" ht="27" customHeight="1" x14ac:dyDescent="0.2">
      <c r="A485" s="532"/>
      <c r="B485" s="917"/>
      <c r="C485" s="4"/>
      <c r="D485" s="917"/>
      <c r="E485" s="4"/>
      <c r="F485" s="917"/>
      <c r="G485" s="4"/>
      <c r="H485" s="920"/>
      <c r="I485" s="3"/>
      <c r="J485" s="920"/>
      <c r="K485" s="3"/>
      <c r="L485" s="920"/>
      <c r="M485" s="3"/>
      <c r="N485" s="920"/>
      <c r="O485" s="3"/>
      <c r="P485" s="3"/>
      <c r="Q485" s="533"/>
      <c r="R485" s="920"/>
      <c r="S485" s="534"/>
      <c r="T485" s="920"/>
      <c r="U485" s="920"/>
      <c r="V485" s="920"/>
      <c r="W485" s="535"/>
      <c r="X485" s="687"/>
      <c r="Y485" s="687"/>
      <c r="Z485" s="687"/>
      <c r="AA485" s="678"/>
      <c r="AB485" s="543"/>
      <c r="AC485" s="3"/>
      <c r="AD485" s="533"/>
      <c r="AE485" s="3"/>
      <c r="AF485" s="4"/>
      <c r="AG485" s="4"/>
      <c r="AH485" s="4"/>
      <c r="AI485" s="4"/>
      <c r="AJ485" s="4"/>
      <c r="AK485" s="4"/>
      <c r="AL485" s="4"/>
      <c r="AM485" s="4"/>
      <c r="AN485" s="4"/>
      <c r="AO485" s="4"/>
      <c r="AP485" s="4"/>
      <c r="AQ485" s="4"/>
      <c r="AR485" s="4"/>
      <c r="AS485" s="4"/>
      <c r="AT485" s="4"/>
      <c r="AU485" s="4"/>
      <c r="AV485" s="537"/>
      <c r="AW485" s="537"/>
      <c r="AX485" s="4"/>
      <c r="AY485" s="4"/>
      <c r="AZ485" s="4"/>
      <c r="BA485" s="4"/>
      <c r="BB485" s="4"/>
      <c r="BC485" s="4"/>
      <c r="BD485" s="4"/>
      <c r="BE485" s="4"/>
      <c r="BF485" s="4"/>
      <c r="BG485" s="4"/>
      <c r="BH485" s="4"/>
      <c r="BI485" s="4"/>
      <c r="BJ485" s="4"/>
      <c r="BK485" s="4"/>
      <c r="BL485" s="4"/>
      <c r="BM485" s="4"/>
      <c r="BN485" s="4"/>
      <c r="BO485" s="4"/>
      <c r="BP485" s="4"/>
      <c r="BQ485" s="4"/>
      <c r="BR485" s="4"/>
    </row>
    <row r="486" spans="1:70" ht="27" customHeight="1" x14ac:dyDescent="0.2">
      <c r="A486" s="532"/>
      <c r="B486" s="917"/>
      <c r="C486" s="4"/>
      <c r="D486" s="917"/>
      <c r="E486" s="4"/>
      <c r="F486" s="917"/>
      <c r="G486" s="4"/>
      <c r="H486" s="920"/>
      <c r="I486" s="3"/>
      <c r="J486" s="920"/>
      <c r="K486" s="3"/>
      <c r="L486" s="920"/>
      <c r="M486" s="3"/>
      <c r="N486" s="920"/>
      <c r="O486" s="3"/>
      <c r="P486" s="3"/>
      <c r="Q486" s="533"/>
      <c r="R486" s="920"/>
      <c r="S486" s="534"/>
      <c r="T486" s="920"/>
      <c r="U486" s="920"/>
      <c r="V486" s="920"/>
      <c r="W486" s="535"/>
      <c r="X486" s="687"/>
      <c r="Y486" s="687"/>
      <c r="Z486" s="687"/>
      <c r="AA486" s="678"/>
      <c r="AB486" s="543"/>
      <c r="AC486" s="3"/>
      <c r="AD486" s="533"/>
      <c r="AE486" s="3"/>
      <c r="AF486" s="4"/>
      <c r="AG486" s="4"/>
      <c r="AH486" s="4"/>
      <c r="AI486" s="4"/>
      <c r="AJ486" s="4"/>
      <c r="AK486" s="4"/>
      <c r="AL486" s="4"/>
      <c r="AM486" s="4"/>
      <c r="AN486" s="4"/>
      <c r="AO486" s="4"/>
      <c r="AP486" s="4"/>
      <c r="AQ486" s="4"/>
      <c r="AR486" s="4"/>
      <c r="AS486" s="4"/>
      <c r="AT486" s="4"/>
      <c r="AU486" s="4"/>
      <c r="AV486" s="537"/>
      <c r="AW486" s="537"/>
      <c r="AX486" s="4"/>
      <c r="AY486" s="4"/>
      <c r="AZ486" s="4"/>
      <c r="BA486" s="4"/>
      <c r="BB486" s="4"/>
      <c r="BC486" s="4"/>
      <c r="BD486" s="4"/>
      <c r="BE486" s="4"/>
      <c r="BF486" s="4"/>
      <c r="BG486" s="4"/>
      <c r="BH486" s="4"/>
      <c r="BI486" s="4"/>
      <c r="BJ486" s="4"/>
      <c r="BK486" s="4"/>
      <c r="BL486" s="4"/>
      <c r="BM486" s="4"/>
      <c r="BN486" s="4"/>
      <c r="BO486" s="4"/>
      <c r="BP486" s="4"/>
      <c r="BQ486" s="4"/>
      <c r="BR486" s="4"/>
    </row>
    <row r="487" spans="1:70" ht="27" customHeight="1" x14ac:dyDescent="0.2">
      <c r="A487" s="532"/>
      <c r="B487" s="917"/>
      <c r="C487" s="4"/>
      <c r="D487" s="917"/>
      <c r="E487" s="4"/>
      <c r="F487" s="917"/>
      <c r="G487" s="4"/>
      <c r="H487" s="920"/>
      <c r="I487" s="3"/>
      <c r="J487" s="920"/>
      <c r="K487" s="3"/>
      <c r="L487" s="920"/>
      <c r="M487" s="3"/>
      <c r="N487" s="920"/>
      <c r="O487" s="3"/>
      <c r="P487" s="3"/>
      <c r="Q487" s="533"/>
      <c r="R487" s="920"/>
      <c r="S487" s="534"/>
      <c r="T487" s="920"/>
      <c r="U487" s="920"/>
      <c r="V487" s="920"/>
      <c r="W487" s="535"/>
      <c r="X487" s="687"/>
      <c r="Y487" s="687"/>
      <c r="Z487" s="687"/>
      <c r="AA487" s="678"/>
      <c r="AB487" s="543"/>
      <c r="AC487" s="3"/>
      <c r="AD487" s="533"/>
      <c r="AE487" s="3"/>
      <c r="AF487" s="4"/>
      <c r="AG487" s="4"/>
      <c r="AH487" s="4"/>
      <c r="AI487" s="4"/>
      <c r="AJ487" s="4"/>
      <c r="AK487" s="4"/>
      <c r="AL487" s="4"/>
      <c r="AM487" s="4"/>
      <c r="AN487" s="4"/>
      <c r="AO487" s="4"/>
      <c r="AP487" s="4"/>
      <c r="AQ487" s="4"/>
      <c r="AR487" s="4"/>
      <c r="AS487" s="4"/>
      <c r="AT487" s="4"/>
      <c r="AU487" s="4"/>
      <c r="AV487" s="537"/>
      <c r="AW487" s="537"/>
      <c r="AX487" s="4"/>
      <c r="AY487" s="4"/>
      <c r="AZ487" s="4"/>
      <c r="BA487" s="4"/>
      <c r="BB487" s="4"/>
      <c r="BC487" s="4"/>
      <c r="BD487" s="4"/>
      <c r="BE487" s="4"/>
      <c r="BF487" s="4"/>
      <c r="BG487" s="4"/>
      <c r="BH487" s="4"/>
      <c r="BI487" s="4"/>
      <c r="BJ487" s="4"/>
      <c r="BK487" s="4"/>
      <c r="BL487" s="4"/>
      <c r="BM487" s="4"/>
      <c r="BN487" s="4"/>
      <c r="BO487" s="4"/>
      <c r="BP487" s="4"/>
      <c r="BQ487" s="4"/>
      <c r="BR487" s="4"/>
    </row>
    <row r="488" spans="1:70" ht="27" customHeight="1" x14ac:dyDescent="0.2">
      <c r="A488" s="532"/>
      <c r="B488" s="917"/>
      <c r="C488" s="4"/>
      <c r="D488" s="917"/>
      <c r="E488" s="4"/>
      <c r="F488" s="917"/>
      <c r="G488" s="4"/>
      <c r="H488" s="920"/>
      <c r="I488" s="3"/>
      <c r="J488" s="920"/>
      <c r="K488" s="3"/>
      <c r="L488" s="920"/>
      <c r="M488" s="3"/>
      <c r="N488" s="920"/>
      <c r="O488" s="3"/>
      <c r="P488" s="3"/>
      <c r="Q488" s="533"/>
      <c r="R488" s="920"/>
      <c r="S488" s="534"/>
      <c r="T488" s="920"/>
      <c r="U488" s="920"/>
      <c r="V488" s="920"/>
      <c r="W488" s="535"/>
      <c r="X488" s="687"/>
      <c r="Y488" s="687"/>
      <c r="Z488" s="687"/>
      <c r="AA488" s="678"/>
      <c r="AB488" s="543"/>
      <c r="AC488" s="3"/>
      <c r="AD488" s="533"/>
      <c r="AE488" s="3"/>
      <c r="AF488" s="4"/>
      <c r="AG488" s="4"/>
      <c r="AH488" s="4"/>
      <c r="AI488" s="4"/>
      <c r="AJ488" s="4"/>
      <c r="AK488" s="4"/>
      <c r="AL488" s="4"/>
      <c r="AM488" s="4"/>
      <c r="AN488" s="4"/>
      <c r="AO488" s="4"/>
      <c r="AP488" s="4"/>
      <c r="AQ488" s="4"/>
      <c r="AR488" s="4"/>
      <c r="AS488" s="4"/>
      <c r="AT488" s="4"/>
      <c r="AU488" s="4"/>
      <c r="AV488" s="537"/>
      <c r="AW488" s="537"/>
      <c r="AX488" s="4"/>
      <c r="AY488" s="4"/>
      <c r="AZ488" s="4"/>
      <c r="BA488" s="4"/>
      <c r="BB488" s="4"/>
      <c r="BC488" s="4"/>
      <c r="BD488" s="4"/>
      <c r="BE488" s="4"/>
      <c r="BF488" s="4"/>
      <c r="BG488" s="4"/>
      <c r="BH488" s="4"/>
      <c r="BI488" s="4"/>
      <c r="BJ488" s="4"/>
      <c r="BK488" s="4"/>
      <c r="BL488" s="4"/>
      <c r="BM488" s="4"/>
      <c r="BN488" s="4"/>
      <c r="BO488" s="4"/>
      <c r="BP488" s="4"/>
      <c r="BQ488" s="4"/>
      <c r="BR488" s="4"/>
    </row>
    <row r="489" spans="1:70" ht="27" customHeight="1" x14ac:dyDescent="0.2">
      <c r="A489" s="532"/>
      <c r="B489" s="917"/>
      <c r="C489" s="4"/>
      <c r="D489" s="917"/>
      <c r="E489" s="4"/>
      <c r="F489" s="917"/>
      <c r="G489" s="4"/>
      <c r="H489" s="920"/>
      <c r="I489" s="3"/>
      <c r="J489" s="920"/>
      <c r="K489" s="3"/>
      <c r="L489" s="920"/>
      <c r="M489" s="3"/>
      <c r="N489" s="920"/>
      <c r="O489" s="3"/>
      <c r="P489" s="3"/>
      <c r="Q489" s="533"/>
      <c r="R489" s="920"/>
      <c r="S489" s="534"/>
      <c r="T489" s="920"/>
      <c r="U489" s="920"/>
      <c r="V489" s="920"/>
      <c r="W489" s="535"/>
      <c r="X489" s="687"/>
      <c r="Y489" s="687"/>
      <c r="Z489" s="687"/>
      <c r="AA489" s="678"/>
      <c r="AB489" s="543"/>
      <c r="AC489" s="3"/>
      <c r="AD489" s="533"/>
      <c r="AE489" s="3"/>
      <c r="AF489" s="4"/>
      <c r="AG489" s="4"/>
      <c r="AH489" s="4"/>
      <c r="AI489" s="4"/>
      <c r="AJ489" s="4"/>
      <c r="AK489" s="4"/>
      <c r="AL489" s="4"/>
      <c r="AM489" s="4"/>
      <c r="AN489" s="4"/>
      <c r="AO489" s="4"/>
      <c r="AP489" s="4"/>
      <c r="AQ489" s="4"/>
      <c r="AR489" s="4"/>
      <c r="AS489" s="4"/>
      <c r="AT489" s="4"/>
      <c r="AU489" s="4"/>
      <c r="AV489" s="537"/>
      <c r="AW489" s="537"/>
      <c r="AX489" s="4"/>
      <c r="AY489" s="4"/>
      <c r="AZ489" s="4"/>
      <c r="BA489" s="4"/>
      <c r="BB489" s="4"/>
      <c r="BC489" s="4"/>
      <c r="BD489" s="4"/>
      <c r="BE489" s="4"/>
      <c r="BF489" s="4"/>
      <c r="BG489" s="4"/>
      <c r="BH489" s="4"/>
      <c r="BI489" s="4"/>
      <c r="BJ489" s="4"/>
      <c r="BK489" s="4"/>
      <c r="BL489" s="4"/>
      <c r="BM489" s="4"/>
      <c r="BN489" s="4"/>
      <c r="BO489" s="4"/>
      <c r="BP489" s="4"/>
      <c r="BQ489" s="4"/>
      <c r="BR489" s="4"/>
    </row>
    <row r="490" spans="1:70" ht="27" customHeight="1" x14ac:dyDescent="0.2">
      <c r="A490" s="532"/>
      <c r="B490" s="917"/>
      <c r="C490" s="4"/>
      <c r="D490" s="917"/>
      <c r="E490" s="4"/>
      <c r="F490" s="917"/>
      <c r="G490" s="4"/>
      <c r="H490" s="920"/>
      <c r="I490" s="3"/>
      <c r="J490" s="920"/>
      <c r="K490" s="3"/>
      <c r="L490" s="920"/>
      <c r="M490" s="3"/>
      <c r="N490" s="920"/>
      <c r="O490" s="3"/>
      <c r="P490" s="3"/>
      <c r="Q490" s="533"/>
      <c r="R490" s="920"/>
      <c r="S490" s="534"/>
      <c r="T490" s="920"/>
      <c r="U490" s="920"/>
      <c r="V490" s="920"/>
      <c r="W490" s="535"/>
      <c r="X490" s="687"/>
      <c r="Y490" s="687"/>
      <c r="Z490" s="687"/>
      <c r="AA490" s="678"/>
      <c r="AB490" s="543"/>
      <c r="AC490" s="3"/>
      <c r="AD490" s="533"/>
      <c r="AE490" s="3"/>
      <c r="AF490" s="4"/>
      <c r="AG490" s="4"/>
      <c r="AH490" s="4"/>
      <c r="AI490" s="4"/>
      <c r="AJ490" s="4"/>
      <c r="AK490" s="4"/>
      <c r="AL490" s="4"/>
      <c r="AM490" s="4"/>
      <c r="AN490" s="4"/>
      <c r="AO490" s="4"/>
      <c r="AP490" s="4"/>
      <c r="AQ490" s="4"/>
      <c r="AR490" s="4"/>
      <c r="AS490" s="4"/>
      <c r="AT490" s="4"/>
      <c r="AU490" s="4"/>
      <c r="AV490" s="537"/>
      <c r="AW490" s="537"/>
      <c r="AX490" s="4"/>
      <c r="AY490" s="4"/>
      <c r="AZ490" s="4"/>
      <c r="BA490" s="4"/>
      <c r="BB490" s="4"/>
      <c r="BC490" s="4"/>
      <c r="BD490" s="4"/>
      <c r="BE490" s="4"/>
      <c r="BF490" s="4"/>
      <c r="BG490" s="4"/>
      <c r="BH490" s="4"/>
      <c r="BI490" s="4"/>
      <c r="BJ490" s="4"/>
      <c r="BK490" s="4"/>
      <c r="BL490" s="4"/>
      <c r="BM490" s="4"/>
      <c r="BN490" s="4"/>
      <c r="BO490" s="4"/>
      <c r="BP490" s="4"/>
      <c r="BQ490" s="4"/>
      <c r="BR490" s="4"/>
    </row>
    <row r="491" spans="1:70" ht="27" customHeight="1" x14ac:dyDescent="0.2">
      <c r="A491" s="532"/>
      <c r="B491" s="917"/>
      <c r="C491" s="4"/>
      <c r="D491" s="917"/>
      <c r="E491" s="4"/>
      <c r="F491" s="917"/>
      <c r="G491" s="4"/>
      <c r="H491" s="920"/>
      <c r="I491" s="3"/>
      <c r="J491" s="920"/>
      <c r="K491" s="3"/>
      <c r="L491" s="920"/>
      <c r="M491" s="3"/>
      <c r="N491" s="920"/>
      <c r="O491" s="3"/>
      <c r="P491" s="3"/>
      <c r="Q491" s="533"/>
      <c r="R491" s="920"/>
      <c r="S491" s="534"/>
      <c r="T491" s="920"/>
      <c r="U491" s="920"/>
      <c r="V491" s="920"/>
      <c r="W491" s="535"/>
      <c r="X491" s="687"/>
      <c r="Y491" s="687"/>
      <c r="Z491" s="687"/>
      <c r="AA491" s="678"/>
      <c r="AB491" s="543"/>
      <c r="AC491" s="3"/>
      <c r="AD491" s="533"/>
      <c r="AE491" s="3"/>
      <c r="AF491" s="4"/>
      <c r="AG491" s="4"/>
      <c r="AH491" s="4"/>
      <c r="AI491" s="4"/>
      <c r="AJ491" s="4"/>
      <c r="AK491" s="4"/>
      <c r="AL491" s="4"/>
      <c r="AM491" s="4"/>
      <c r="AN491" s="4"/>
      <c r="AO491" s="4"/>
      <c r="AP491" s="4"/>
      <c r="AQ491" s="4"/>
      <c r="AR491" s="4"/>
      <c r="AS491" s="4"/>
      <c r="AT491" s="4"/>
      <c r="AU491" s="4"/>
      <c r="AV491" s="537"/>
      <c r="AW491" s="537"/>
      <c r="AX491" s="4"/>
      <c r="AY491" s="4"/>
      <c r="AZ491" s="4"/>
      <c r="BA491" s="4"/>
      <c r="BB491" s="4"/>
      <c r="BC491" s="4"/>
      <c r="BD491" s="4"/>
      <c r="BE491" s="4"/>
      <c r="BF491" s="4"/>
      <c r="BG491" s="4"/>
      <c r="BH491" s="4"/>
      <c r="BI491" s="4"/>
      <c r="BJ491" s="4"/>
      <c r="BK491" s="4"/>
      <c r="BL491" s="4"/>
      <c r="BM491" s="4"/>
      <c r="BN491" s="4"/>
      <c r="BO491" s="4"/>
      <c r="BP491" s="4"/>
      <c r="BQ491" s="4"/>
      <c r="BR491" s="4"/>
    </row>
    <row r="492" spans="1:70" ht="27" customHeight="1" x14ac:dyDescent="0.2">
      <c r="A492" s="532"/>
      <c r="B492" s="917"/>
      <c r="C492" s="4"/>
      <c r="D492" s="917"/>
      <c r="E492" s="4"/>
      <c r="F492" s="917"/>
      <c r="G492" s="4"/>
      <c r="H492" s="920"/>
      <c r="I492" s="3"/>
      <c r="J492" s="920"/>
      <c r="K492" s="3"/>
      <c r="L492" s="920"/>
      <c r="M492" s="3"/>
      <c r="N492" s="920"/>
      <c r="O492" s="3"/>
      <c r="P492" s="3"/>
      <c r="Q492" s="533"/>
      <c r="R492" s="920"/>
      <c r="S492" s="534"/>
      <c r="T492" s="920"/>
      <c r="U492" s="920"/>
      <c r="V492" s="920"/>
      <c r="W492" s="535"/>
      <c r="X492" s="687"/>
      <c r="Y492" s="687"/>
      <c r="Z492" s="687"/>
      <c r="AA492" s="678"/>
      <c r="AB492" s="543"/>
      <c r="AC492" s="3"/>
      <c r="AD492" s="533"/>
      <c r="AE492" s="3"/>
      <c r="AF492" s="4"/>
      <c r="AG492" s="4"/>
      <c r="AH492" s="4"/>
      <c r="AI492" s="4"/>
      <c r="AJ492" s="4"/>
      <c r="AK492" s="4"/>
      <c r="AL492" s="4"/>
      <c r="AM492" s="4"/>
      <c r="AN492" s="4"/>
      <c r="AO492" s="4"/>
      <c r="AP492" s="4"/>
      <c r="AQ492" s="4"/>
      <c r="AR492" s="4"/>
      <c r="AS492" s="4"/>
      <c r="AT492" s="4"/>
      <c r="AU492" s="4"/>
      <c r="AV492" s="537"/>
      <c r="AW492" s="537"/>
      <c r="AX492" s="4"/>
      <c r="AY492" s="4"/>
      <c r="AZ492" s="4"/>
      <c r="BA492" s="4"/>
      <c r="BB492" s="4"/>
      <c r="BC492" s="4"/>
      <c r="BD492" s="4"/>
      <c r="BE492" s="4"/>
      <c r="BF492" s="4"/>
      <c r="BG492" s="4"/>
      <c r="BH492" s="4"/>
      <c r="BI492" s="4"/>
      <c r="BJ492" s="4"/>
      <c r="BK492" s="4"/>
      <c r="BL492" s="4"/>
      <c r="BM492" s="4"/>
      <c r="BN492" s="4"/>
      <c r="BO492" s="4"/>
      <c r="BP492" s="4"/>
      <c r="BQ492" s="4"/>
      <c r="BR492" s="4"/>
    </row>
    <row r="493" spans="1:70" ht="27" customHeight="1" x14ac:dyDescent="0.2">
      <c r="A493" s="532"/>
      <c r="B493" s="917"/>
      <c r="C493" s="4"/>
      <c r="D493" s="917"/>
      <c r="E493" s="4"/>
      <c r="F493" s="917"/>
      <c r="G493" s="4"/>
      <c r="H493" s="920"/>
      <c r="I493" s="3"/>
      <c r="J493" s="920"/>
      <c r="K493" s="3"/>
      <c r="L493" s="920"/>
      <c r="M493" s="3"/>
      <c r="N493" s="920"/>
      <c r="O493" s="3"/>
      <c r="P493" s="3"/>
      <c r="Q493" s="533"/>
      <c r="R493" s="920"/>
      <c r="S493" s="534"/>
      <c r="T493" s="920"/>
      <c r="U493" s="920"/>
      <c r="V493" s="920"/>
      <c r="W493" s="535"/>
      <c r="X493" s="687"/>
      <c r="Y493" s="687"/>
      <c r="Z493" s="687"/>
      <c r="AA493" s="678"/>
      <c r="AB493" s="543"/>
      <c r="AC493" s="3"/>
      <c r="AD493" s="533"/>
      <c r="AE493" s="3"/>
      <c r="AF493" s="4"/>
      <c r="AG493" s="4"/>
      <c r="AH493" s="4"/>
      <c r="AI493" s="4"/>
      <c r="AJ493" s="4"/>
      <c r="AK493" s="4"/>
      <c r="AL493" s="4"/>
      <c r="AM493" s="4"/>
      <c r="AN493" s="4"/>
      <c r="AO493" s="4"/>
      <c r="AP493" s="4"/>
      <c r="AQ493" s="4"/>
      <c r="AR493" s="4"/>
      <c r="AS493" s="4"/>
      <c r="AT493" s="4"/>
      <c r="AU493" s="4"/>
      <c r="AV493" s="537"/>
      <c r="AW493" s="537"/>
      <c r="AX493" s="4"/>
      <c r="AY493" s="4"/>
      <c r="AZ493" s="4"/>
      <c r="BA493" s="4"/>
      <c r="BB493" s="4"/>
      <c r="BC493" s="4"/>
      <c r="BD493" s="4"/>
      <c r="BE493" s="4"/>
      <c r="BF493" s="4"/>
      <c r="BG493" s="4"/>
      <c r="BH493" s="4"/>
      <c r="BI493" s="4"/>
      <c r="BJ493" s="4"/>
      <c r="BK493" s="4"/>
      <c r="BL493" s="4"/>
      <c r="BM493" s="4"/>
      <c r="BN493" s="4"/>
      <c r="BO493" s="4"/>
      <c r="BP493" s="4"/>
      <c r="BQ493" s="4"/>
      <c r="BR493" s="4"/>
    </row>
    <row r="494" spans="1:70" ht="27" customHeight="1" x14ac:dyDescent="0.2">
      <c r="A494" s="532"/>
      <c r="B494" s="917"/>
      <c r="C494" s="4"/>
      <c r="D494" s="917"/>
      <c r="E494" s="4"/>
      <c r="F494" s="917"/>
      <c r="G494" s="4"/>
      <c r="H494" s="920"/>
      <c r="I494" s="3"/>
      <c r="J494" s="920"/>
      <c r="K494" s="3"/>
      <c r="L494" s="920"/>
      <c r="M494" s="3"/>
      <c r="N494" s="920"/>
      <c r="O494" s="3"/>
      <c r="P494" s="3"/>
      <c r="Q494" s="533"/>
      <c r="R494" s="920"/>
      <c r="S494" s="534"/>
      <c r="T494" s="920"/>
      <c r="U494" s="920"/>
      <c r="V494" s="920"/>
      <c r="W494" s="535"/>
      <c r="X494" s="687"/>
      <c r="Y494" s="687"/>
      <c r="Z494" s="687"/>
      <c r="AA494" s="678"/>
      <c r="AB494" s="543"/>
      <c r="AC494" s="3"/>
      <c r="AD494" s="533"/>
      <c r="AE494" s="3"/>
      <c r="AF494" s="4"/>
      <c r="AG494" s="4"/>
      <c r="AH494" s="4"/>
      <c r="AI494" s="4"/>
      <c r="AJ494" s="4"/>
      <c r="AK494" s="4"/>
      <c r="AL494" s="4"/>
      <c r="AM494" s="4"/>
      <c r="AN494" s="4"/>
      <c r="AO494" s="4"/>
      <c r="AP494" s="4"/>
      <c r="AQ494" s="4"/>
      <c r="AR494" s="4"/>
      <c r="AS494" s="4"/>
      <c r="AT494" s="4"/>
      <c r="AU494" s="4"/>
      <c r="AV494" s="537"/>
      <c r="AW494" s="537"/>
      <c r="AX494" s="4"/>
      <c r="AY494" s="4"/>
      <c r="AZ494" s="4"/>
      <c r="BA494" s="4"/>
      <c r="BB494" s="4"/>
      <c r="BC494" s="4"/>
      <c r="BD494" s="4"/>
      <c r="BE494" s="4"/>
      <c r="BF494" s="4"/>
      <c r="BG494" s="4"/>
      <c r="BH494" s="4"/>
      <c r="BI494" s="4"/>
      <c r="BJ494" s="4"/>
      <c r="BK494" s="4"/>
      <c r="BL494" s="4"/>
      <c r="BM494" s="4"/>
      <c r="BN494" s="4"/>
      <c r="BO494" s="4"/>
      <c r="BP494" s="4"/>
      <c r="BQ494" s="4"/>
      <c r="BR494" s="4"/>
    </row>
    <row r="495" spans="1:70" ht="27" customHeight="1" x14ac:dyDescent="0.2">
      <c r="A495" s="532"/>
      <c r="B495" s="917"/>
      <c r="C495" s="4"/>
      <c r="D495" s="917"/>
      <c r="E495" s="4"/>
      <c r="F495" s="917"/>
      <c r="G495" s="4"/>
      <c r="H495" s="920"/>
      <c r="I495" s="3"/>
      <c r="J495" s="920"/>
      <c r="K495" s="3"/>
      <c r="L495" s="920"/>
      <c r="M495" s="3"/>
      <c r="N495" s="920"/>
      <c r="O495" s="3"/>
      <c r="P495" s="3"/>
      <c r="Q495" s="533"/>
      <c r="R495" s="920"/>
      <c r="S495" s="534"/>
      <c r="T495" s="920"/>
      <c r="U495" s="920"/>
      <c r="V495" s="920"/>
      <c r="W495" s="535"/>
      <c r="X495" s="687"/>
      <c r="Y495" s="687"/>
      <c r="Z495" s="687"/>
      <c r="AA495" s="678"/>
      <c r="AB495" s="543"/>
      <c r="AC495" s="3"/>
      <c r="AD495" s="533"/>
      <c r="AE495" s="3"/>
      <c r="AF495" s="4"/>
      <c r="AG495" s="4"/>
      <c r="AH495" s="4"/>
      <c r="AI495" s="4"/>
      <c r="AJ495" s="4"/>
      <c r="AK495" s="4"/>
      <c r="AL495" s="4"/>
      <c r="AM495" s="4"/>
      <c r="AN495" s="4"/>
      <c r="AO495" s="4"/>
      <c r="AP495" s="4"/>
      <c r="AQ495" s="4"/>
      <c r="AR495" s="4"/>
      <c r="AS495" s="4"/>
      <c r="AT495" s="4"/>
      <c r="AU495" s="4"/>
      <c r="AV495" s="537"/>
      <c r="AW495" s="537"/>
      <c r="AX495" s="4"/>
      <c r="AY495" s="4"/>
      <c r="AZ495" s="4"/>
      <c r="BA495" s="4"/>
      <c r="BB495" s="4"/>
      <c r="BC495" s="4"/>
      <c r="BD495" s="4"/>
      <c r="BE495" s="4"/>
      <c r="BF495" s="4"/>
      <c r="BG495" s="4"/>
      <c r="BH495" s="4"/>
      <c r="BI495" s="4"/>
      <c r="BJ495" s="4"/>
      <c r="BK495" s="4"/>
      <c r="BL495" s="4"/>
      <c r="BM495" s="4"/>
      <c r="BN495" s="4"/>
      <c r="BO495" s="4"/>
      <c r="BP495" s="4"/>
      <c r="BQ495" s="4"/>
      <c r="BR495" s="4"/>
    </row>
    <row r="496" spans="1:70" ht="27" customHeight="1" x14ac:dyDescent="0.2">
      <c r="A496" s="532"/>
      <c r="B496" s="917"/>
      <c r="C496" s="4"/>
      <c r="D496" s="917"/>
      <c r="E496" s="4"/>
      <c r="F496" s="917"/>
      <c r="G496" s="4"/>
      <c r="H496" s="920"/>
      <c r="I496" s="3"/>
      <c r="J496" s="920"/>
      <c r="K496" s="3"/>
      <c r="L496" s="920"/>
      <c r="M496" s="3"/>
      <c r="N496" s="920"/>
      <c r="O496" s="3"/>
      <c r="P496" s="3"/>
      <c r="Q496" s="533"/>
      <c r="R496" s="920"/>
      <c r="S496" s="534"/>
      <c r="T496" s="920"/>
      <c r="U496" s="920"/>
      <c r="V496" s="920"/>
      <c r="W496" s="535"/>
      <c r="X496" s="687"/>
      <c r="Y496" s="687"/>
      <c r="Z496" s="687"/>
      <c r="AA496" s="678"/>
      <c r="AB496" s="543"/>
      <c r="AC496" s="3"/>
      <c r="AD496" s="533"/>
      <c r="AE496" s="3"/>
      <c r="AF496" s="4"/>
      <c r="AG496" s="4"/>
      <c r="AH496" s="4"/>
      <c r="AI496" s="4"/>
      <c r="AJ496" s="4"/>
      <c r="AK496" s="4"/>
      <c r="AL496" s="4"/>
      <c r="AM496" s="4"/>
      <c r="AN496" s="4"/>
      <c r="AO496" s="4"/>
      <c r="AP496" s="4"/>
      <c r="AQ496" s="4"/>
      <c r="AR496" s="4"/>
      <c r="AS496" s="4"/>
      <c r="AT496" s="4"/>
      <c r="AU496" s="4"/>
      <c r="AV496" s="537"/>
      <c r="AW496" s="537"/>
      <c r="AX496" s="4"/>
      <c r="AY496" s="4"/>
      <c r="AZ496" s="4"/>
      <c r="BA496" s="4"/>
      <c r="BB496" s="4"/>
      <c r="BC496" s="4"/>
      <c r="BD496" s="4"/>
      <c r="BE496" s="4"/>
      <c r="BF496" s="4"/>
      <c r="BG496" s="4"/>
      <c r="BH496" s="4"/>
      <c r="BI496" s="4"/>
      <c r="BJ496" s="4"/>
      <c r="BK496" s="4"/>
      <c r="BL496" s="4"/>
      <c r="BM496" s="4"/>
      <c r="BN496" s="4"/>
      <c r="BO496" s="4"/>
      <c r="BP496" s="4"/>
      <c r="BQ496" s="4"/>
      <c r="BR496" s="4"/>
    </row>
    <row r="497" spans="1:70" ht="27" customHeight="1" x14ac:dyDescent="0.2">
      <c r="A497" s="532"/>
      <c r="B497" s="917"/>
      <c r="C497" s="4"/>
      <c r="D497" s="917"/>
      <c r="E497" s="4"/>
      <c r="F497" s="917"/>
      <c r="G497" s="4"/>
      <c r="H497" s="920"/>
      <c r="I497" s="3"/>
      <c r="J497" s="920"/>
      <c r="K497" s="3"/>
      <c r="L497" s="920"/>
      <c r="M497" s="3"/>
      <c r="N497" s="920"/>
      <c r="O497" s="3"/>
      <c r="P497" s="3"/>
      <c r="Q497" s="533"/>
      <c r="R497" s="920"/>
      <c r="S497" s="534"/>
      <c r="T497" s="920"/>
      <c r="U497" s="920"/>
      <c r="V497" s="920"/>
      <c r="W497" s="535"/>
      <c r="X497" s="687"/>
      <c r="Y497" s="687"/>
      <c r="Z497" s="687"/>
      <c r="AA497" s="678"/>
      <c r="AB497" s="543"/>
      <c r="AC497" s="3"/>
      <c r="AD497" s="533"/>
      <c r="AE497" s="3"/>
      <c r="AF497" s="4"/>
      <c r="AG497" s="4"/>
      <c r="AH497" s="4"/>
      <c r="AI497" s="4"/>
      <c r="AJ497" s="4"/>
      <c r="AK497" s="4"/>
      <c r="AL497" s="4"/>
      <c r="AM497" s="4"/>
      <c r="AN497" s="4"/>
      <c r="AO497" s="4"/>
      <c r="AP497" s="4"/>
      <c r="AQ497" s="4"/>
      <c r="AR497" s="4"/>
      <c r="AS497" s="4"/>
      <c r="AT497" s="4"/>
      <c r="AU497" s="4"/>
      <c r="AV497" s="537"/>
      <c r="AW497" s="537"/>
      <c r="AX497" s="4"/>
      <c r="AY497" s="4"/>
      <c r="AZ497" s="4"/>
      <c r="BA497" s="4"/>
      <c r="BB497" s="4"/>
      <c r="BC497" s="4"/>
      <c r="BD497" s="4"/>
      <c r="BE497" s="4"/>
      <c r="BF497" s="4"/>
      <c r="BG497" s="4"/>
      <c r="BH497" s="4"/>
      <c r="BI497" s="4"/>
      <c r="BJ497" s="4"/>
      <c r="BK497" s="4"/>
      <c r="BL497" s="4"/>
      <c r="BM497" s="4"/>
      <c r="BN497" s="4"/>
      <c r="BO497" s="4"/>
      <c r="BP497" s="4"/>
      <c r="BQ497" s="4"/>
      <c r="BR497" s="4"/>
    </row>
    <row r="498" spans="1:70" ht="27" customHeight="1" x14ac:dyDescent="0.2">
      <c r="A498" s="532"/>
      <c r="B498" s="917"/>
      <c r="C498" s="4"/>
      <c r="D498" s="917"/>
      <c r="E498" s="4"/>
      <c r="F498" s="917"/>
      <c r="G498" s="4"/>
      <c r="H498" s="920"/>
      <c r="I498" s="3"/>
      <c r="J498" s="920"/>
      <c r="K498" s="3"/>
      <c r="L498" s="920"/>
      <c r="M498" s="3"/>
      <c r="N498" s="920"/>
      <c r="O498" s="3"/>
      <c r="P498" s="3"/>
      <c r="Q498" s="533"/>
      <c r="R498" s="920"/>
      <c r="S498" s="534"/>
      <c r="T498" s="920"/>
      <c r="U498" s="920"/>
      <c r="V498" s="920"/>
      <c r="W498" s="535"/>
      <c r="X498" s="687"/>
      <c r="Y498" s="687"/>
      <c r="Z498" s="687"/>
      <c r="AA498" s="678"/>
      <c r="AB498" s="543"/>
      <c r="AC498" s="3"/>
      <c r="AD498" s="533"/>
      <c r="AE498" s="3"/>
      <c r="AF498" s="4"/>
      <c r="AG498" s="4"/>
      <c r="AH498" s="4"/>
      <c r="AI498" s="4"/>
      <c r="AJ498" s="4"/>
      <c r="AK498" s="4"/>
      <c r="AL498" s="4"/>
      <c r="AM498" s="4"/>
      <c r="AN498" s="4"/>
      <c r="AO498" s="4"/>
      <c r="AP498" s="4"/>
      <c r="AQ498" s="4"/>
      <c r="AR498" s="4"/>
      <c r="AS498" s="4"/>
      <c r="AT498" s="4"/>
      <c r="AU498" s="4"/>
      <c r="AV498" s="537"/>
      <c r="AW498" s="537"/>
      <c r="AX498" s="4"/>
      <c r="AY498" s="4"/>
      <c r="AZ498" s="4"/>
      <c r="BA498" s="4"/>
      <c r="BB498" s="4"/>
      <c r="BC498" s="4"/>
      <c r="BD498" s="4"/>
      <c r="BE498" s="4"/>
      <c r="BF498" s="4"/>
      <c r="BG498" s="4"/>
      <c r="BH498" s="4"/>
      <c r="BI498" s="4"/>
      <c r="BJ498" s="4"/>
      <c r="BK498" s="4"/>
      <c r="BL498" s="4"/>
      <c r="BM498" s="4"/>
      <c r="BN498" s="4"/>
      <c r="BO498" s="4"/>
      <c r="BP498" s="4"/>
      <c r="BQ498" s="4"/>
      <c r="BR498" s="4"/>
    </row>
    <row r="499" spans="1:70" ht="27" customHeight="1" x14ac:dyDescent="0.2">
      <c r="A499" s="532"/>
      <c r="B499" s="917"/>
      <c r="C499" s="4"/>
      <c r="D499" s="917"/>
      <c r="E499" s="4"/>
      <c r="F499" s="917"/>
      <c r="G499" s="4"/>
      <c r="H499" s="920"/>
      <c r="I499" s="3"/>
      <c r="J499" s="920"/>
      <c r="K499" s="3"/>
      <c r="L499" s="920"/>
      <c r="M499" s="3"/>
      <c r="N499" s="920"/>
      <c r="O499" s="3"/>
      <c r="P499" s="3"/>
      <c r="Q499" s="533"/>
      <c r="R499" s="920"/>
      <c r="S499" s="534"/>
      <c r="T499" s="920"/>
      <c r="U499" s="920"/>
      <c r="V499" s="920"/>
      <c r="W499" s="535"/>
      <c r="X499" s="687"/>
      <c r="Y499" s="687"/>
      <c r="Z499" s="687"/>
      <c r="AA499" s="678"/>
      <c r="AB499" s="543"/>
      <c r="AC499" s="3"/>
      <c r="AD499" s="533"/>
      <c r="AE499" s="3"/>
      <c r="AF499" s="4"/>
      <c r="AG499" s="4"/>
      <c r="AH499" s="4"/>
      <c r="AI499" s="4"/>
      <c r="AJ499" s="4"/>
      <c r="AK499" s="4"/>
      <c r="AL499" s="4"/>
      <c r="AM499" s="4"/>
      <c r="AN499" s="4"/>
      <c r="AO499" s="4"/>
      <c r="AP499" s="4"/>
      <c r="AQ499" s="4"/>
      <c r="AR499" s="4"/>
      <c r="AS499" s="4"/>
      <c r="AT499" s="4"/>
      <c r="AU499" s="4"/>
      <c r="AV499" s="537"/>
      <c r="AW499" s="537"/>
      <c r="AX499" s="4"/>
      <c r="AY499" s="4"/>
      <c r="AZ499" s="4"/>
      <c r="BA499" s="4"/>
      <c r="BB499" s="4"/>
      <c r="BC499" s="4"/>
      <c r="BD499" s="4"/>
      <c r="BE499" s="4"/>
      <c r="BF499" s="4"/>
      <c r="BG499" s="4"/>
      <c r="BH499" s="4"/>
      <c r="BI499" s="4"/>
      <c r="BJ499" s="4"/>
      <c r="BK499" s="4"/>
      <c r="BL499" s="4"/>
      <c r="BM499" s="4"/>
      <c r="BN499" s="4"/>
      <c r="BO499" s="4"/>
      <c r="BP499" s="4"/>
      <c r="BQ499" s="4"/>
      <c r="BR499" s="4"/>
    </row>
    <row r="500" spans="1:70" ht="27" customHeight="1" x14ac:dyDescent="0.2">
      <c r="A500" s="532"/>
      <c r="B500" s="917"/>
      <c r="C500" s="4"/>
      <c r="D500" s="917"/>
      <c r="E500" s="4"/>
      <c r="F500" s="917"/>
      <c r="G500" s="4"/>
      <c r="H500" s="920"/>
      <c r="I500" s="3"/>
      <c r="J500" s="920"/>
      <c r="K500" s="3"/>
      <c r="L500" s="920"/>
      <c r="M500" s="3"/>
      <c r="N500" s="920"/>
      <c r="O500" s="3"/>
      <c r="P500" s="3"/>
      <c r="Q500" s="533"/>
      <c r="R500" s="920"/>
      <c r="S500" s="534"/>
      <c r="T500" s="920"/>
      <c r="U500" s="920"/>
      <c r="V500" s="920"/>
      <c r="W500" s="535"/>
      <c r="X500" s="687"/>
      <c r="Y500" s="687"/>
      <c r="Z500" s="687"/>
      <c r="AA500" s="678"/>
      <c r="AB500" s="543"/>
      <c r="AC500" s="3"/>
      <c r="AD500" s="533"/>
      <c r="AE500" s="3"/>
      <c r="AF500" s="4"/>
      <c r="AG500" s="4"/>
      <c r="AH500" s="4"/>
      <c r="AI500" s="4"/>
      <c r="AJ500" s="4"/>
      <c r="AK500" s="4"/>
      <c r="AL500" s="4"/>
      <c r="AM500" s="4"/>
      <c r="AN500" s="4"/>
      <c r="AO500" s="4"/>
      <c r="AP500" s="4"/>
      <c r="AQ500" s="4"/>
      <c r="AR500" s="4"/>
      <c r="AS500" s="4"/>
      <c r="AT500" s="4"/>
      <c r="AU500" s="4"/>
      <c r="AV500" s="537"/>
      <c r="AW500" s="537"/>
      <c r="AX500" s="4"/>
      <c r="AY500" s="4"/>
      <c r="AZ500" s="4"/>
      <c r="BA500" s="4"/>
      <c r="BB500" s="4"/>
      <c r="BC500" s="4"/>
      <c r="BD500" s="4"/>
      <c r="BE500" s="4"/>
      <c r="BF500" s="4"/>
      <c r="BG500" s="4"/>
      <c r="BH500" s="4"/>
      <c r="BI500" s="4"/>
      <c r="BJ500" s="4"/>
      <c r="BK500" s="4"/>
      <c r="BL500" s="4"/>
      <c r="BM500" s="4"/>
      <c r="BN500" s="4"/>
      <c r="BO500" s="4"/>
      <c r="BP500" s="4"/>
      <c r="BQ500" s="4"/>
      <c r="BR500" s="4"/>
    </row>
    <row r="501" spans="1:70" ht="27" customHeight="1" x14ac:dyDescent="0.2">
      <c r="A501" s="532"/>
      <c r="B501" s="917"/>
      <c r="C501" s="4"/>
      <c r="D501" s="917"/>
      <c r="E501" s="4"/>
      <c r="F501" s="917"/>
      <c r="G501" s="4"/>
      <c r="H501" s="920"/>
      <c r="I501" s="3"/>
      <c r="J501" s="920"/>
      <c r="K501" s="3"/>
      <c r="L501" s="920"/>
      <c r="M501" s="3"/>
      <c r="N501" s="920"/>
      <c r="O501" s="3"/>
      <c r="P501" s="3"/>
      <c r="Q501" s="533"/>
      <c r="R501" s="920"/>
      <c r="S501" s="534"/>
      <c r="T501" s="920"/>
      <c r="U501" s="920"/>
      <c r="V501" s="920"/>
      <c r="W501" s="535"/>
      <c r="X501" s="687"/>
      <c r="Y501" s="687"/>
      <c r="Z501" s="687"/>
      <c r="AA501" s="678"/>
      <c r="AB501" s="543"/>
      <c r="AC501" s="3"/>
      <c r="AD501" s="533"/>
      <c r="AE501" s="3"/>
      <c r="AF501" s="4"/>
      <c r="AG501" s="4"/>
      <c r="AH501" s="4"/>
      <c r="AI501" s="4"/>
      <c r="AJ501" s="4"/>
      <c r="AK501" s="4"/>
      <c r="AL501" s="4"/>
      <c r="AM501" s="4"/>
      <c r="AN501" s="4"/>
      <c r="AO501" s="4"/>
      <c r="AP501" s="4"/>
      <c r="AQ501" s="4"/>
      <c r="AR501" s="4"/>
      <c r="AS501" s="4"/>
      <c r="AT501" s="4"/>
      <c r="AU501" s="4"/>
      <c r="AV501" s="537"/>
      <c r="AW501" s="537"/>
      <c r="AX501" s="4"/>
      <c r="AY501" s="4"/>
      <c r="AZ501" s="4"/>
      <c r="BA501" s="4"/>
      <c r="BB501" s="4"/>
      <c r="BC501" s="4"/>
      <c r="BD501" s="4"/>
      <c r="BE501" s="4"/>
      <c r="BF501" s="4"/>
      <c r="BG501" s="4"/>
      <c r="BH501" s="4"/>
      <c r="BI501" s="4"/>
      <c r="BJ501" s="4"/>
      <c r="BK501" s="4"/>
      <c r="BL501" s="4"/>
      <c r="BM501" s="4"/>
      <c r="BN501" s="4"/>
      <c r="BO501" s="4"/>
      <c r="BP501" s="4"/>
      <c r="BQ501" s="4"/>
      <c r="BR501" s="4"/>
    </row>
    <row r="502" spans="1:70" ht="27" customHeight="1" x14ac:dyDescent="0.2">
      <c r="A502" s="532"/>
      <c r="B502" s="917"/>
      <c r="C502" s="4"/>
      <c r="D502" s="917"/>
      <c r="E502" s="4"/>
      <c r="F502" s="917"/>
      <c r="G502" s="4"/>
      <c r="H502" s="920"/>
      <c r="I502" s="3"/>
      <c r="J502" s="920"/>
      <c r="K502" s="3"/>
      <c r="L502" s="920"/>
      <c r="M502" s="3"/>
      <c r="N502" s="920"/>
      <c r="O502" s="3"/>
      <c r="P502" s="3"/>
      <c r="Q502" s="533"/>
      <c r="R502" s="920"/>
      <c r="S502" s="534"/>
      <c r="T502" s="920"/>
      <c r="U502" s="920"/>
      <c r="V502" s="920"/>
      <c r="W502" s="535"/>
      <c r="X502" s="687"/>
      <c r="Y502" s="687"/>
      <c r="Z502" s="687"/>
      <c r="AA502" s="678"/>
      <c r="AB502" s="543"/>
      <c r="AC502" s="3"/>
      <c r="AD502" s="533"/>
      <c r="AE502" s="3"/>
      <c r="AF502" s="4"/>
      <c r="AG502" s="4"/>
      <c r="AH502" s="4"/>
      <c r="AI502" s="4"/>
      <c r="AJ502" s="4"/>
      <c r="AK502" s="4"/>
      <c r="AL502" s="4"/>
      <c r="AM502" s="4"/>
      <c r="AN502" s="4"/>
      <c r="AO502" s="4"/>
      <c r="AP502" s="4"/>
      <c r="AQ502" s="4"/>
      <c r="AR502" s="4"/>
      <c r="AS502" s="4"/>
      <c r="AT502" s="4"/>
      <c r="AU502" s="4"/>
      <c r="AV502" s="537"/>
      <c r="AW502" s="537"/>
      <c r="AX502" s="4"/>
      <c r="AY502" s="4"/>
      <c r="AZ502" s="4"/>
      <c r="BA502" s="4"/>
      <c r="BB502" s="4"/>
      <c r="BC502" s="4"/>
      <c r="BD502" s="4"/>
      <c r="BE502" s="4"/>
      <c r="BF502" s="4"/>
      <c r="BG502" s="4"/>
      <c r="BH502" s="4"/>
      <c r="BI502" s="4"/>
      <c r="BJ502" s="4"/>
      <c r="BK502" s="4"/>
      <c r="BL502" s="4"/>
      <c r="BM502" s="4"/>
      <c r="BN502" s="4"/>
      <c r="BO502" s="4"/>
      <c r="BP502" s="4"/>
      <c r="BQ502" s="4"/>
      <c r="BR502" s="4"/>
    </row>
    <row r="503" spans="1:70" ht="27" customHeight="1" x14ac:dyDescent="0.2">
      <c r="A503" s="532"/>
      <c r="B503" s="917"/>
      <c r="C503" s="4"/>
      <c r="D503" s="917"/>
      <c r="E503" s="4"/>
      <c r="F503" s="917"/>
      <c r="G503" s="4"/>
      <c r="H503" s="920"/>
      <c r="I503" s="3"/>
      <c r="J503" s="920"/>
      <c r="K503" s="3"/>
      <c r="L503" s="920"/>
      <c r="M503" s="3"/>
      <c r="N503" s="920"/>
      <c r="O503" s="3"/>
      <c r="P503" s="3"/>
      <c r="Q503" s="533"/>
      <c r="R503" s="920"/>
      <c r="S503" s="534"/>
      <c r="T503" s="920"/>
      <c r="U503" s="920"/>
      <c r="V503" s="920"/>
      <c r="W503" s="535"/>
      <c r="X503" s="687"/>
      <c r="Y503" s="687"/>
      <c r="Z503" s="687"/>
      <c r="AA503" s="678"/>
      <c r="AB503" s="543"/>
      <c r="AC503" s="3"/>
      <c r="AD503" s="533"/>
      <c r="AE503" s="3"/>
      <c r="AF503" s="4"/>
      <c r="AG503" s="4"/>
      <c r="AH503" s="4"/>
      <c r="AI503" s="4"/>
      <c r="AJ503" s="4"/>
      <c r="AK503" s="4"/>
      <c r="AL503" s="4"/>
      <c r="AM503" s="4"/>
      <c r="AN503" s="4"/>
      <c r="AO503" s="4"/>
      <c r="AP503" s="4"/>
      <c r="AQ503" s="4"/>
      <c r="AR503" s="4"/>
      <c r="AS503" s="4"/>
      <c r="AT503" s="4"/>
      <c r="AU503" s="4"/>
      <c r="AV503" s="537"/>
      <c r="AW503" s="537"/>
      <c r="AX503" s="4"/>
      <c r="AY503" s="4"/>
      <c r="AZ503" s="4"/>
      <c r="BA503" s="4"/>
      <c r="BB503" s="4"/>
      <c r="BC503" s="4"/>
      <c r="BD503" s="4"/>
      <c r="BE503" s="4"/>
      <c r="BF503" s="4"/>
      <c r="BG503" s="4"/>
      <c r="BH503" s="4"/>
      <c r="BI503" s="4"/>
      <c r="BJ503" s="4"/>
      <c r="BK503" s="4"/>
      <c r="BL503" s="4"/>
      <c r="BM503" s="4"/>
      <c r="BN503" s="4"/>
      <c r="BO503" s="4"/>
      <c r="BP503" s="4"/>
      <c r="BQ503" s="4"/>
      <c r="BR503" s="4"/>
    </row>
    <row r="504" spans="1:70" ht="27" customHeight="1" x14ac:dyDescent="0.2">
      <c r="A504" s="532"/>
      <c r="B504" s="917"/>
      <c r="C504" s="4"/>
      <c r="D504" s="917"/>
      <c r="E504" s="4"/>
      <c r="F504" s="917"/>
      <c r="G504" s="4"/>
      <c r="H504" s="920"/>
      <c r="I504" s="3"/>
      <c r="J504" s="920"/>
      <c r="K504" s="3"/>
      <c r="L504" s="920"/>
      <c r="M504" s="3"/>
      <c r="N504" s="920"/>
      <c r="O504" s="3"/>
      <c r="P504" s="3"/>
      <c r="Q504" s="533"/>
      <c r="R504" s="920"/>
      <c r="S504" s="534"/>
      <c r="T504" s="920"/>
      <c r="U504" s="920"/>
      <c r="V504" s="920"/>
      <c r="W504" s="535"/>
      <c r="X504" s="687"/>
      <c r="Y504" s="687"/>
      <c r="Z504" s="687"/>
      <c r="AA504" s="678"/>
      <c r="AB504" s="543"/>
      <c r="AC504" s="3"/>
      <c r="AD504" s="533"/>
      <c r="AE504" s="3"/>
      <c r="AF504" s="4"/>
      <c r="AG504" s="4"/>
      <c r="AH504" s="4"/>
      <c r="AI504" s="4"/>
      <c r="AJ504" s="4"/>
      <c r="AK504" s="4"/>
      <c r="AL504" s="4"/>
      <c r="AM504" s="4"/>
      <c r="AN504" s="4"/>
      <c r="AO504" s="4"/>
      <c r="AP504" s="4"/>
      <c r="AQ504" s="4"/>
      <c r="AR504" s="4"/>
      <c r="AS504" s="4"/>
      <c r="AT504" s="4"/>
      <c r="AU504" s="4"/>
      <c r="AV504" s="537"/>
      <c r="AW504" s="537"/>
      <c r="AX504" s="4"/>
      <c r="AY504" s="4"/>
      <c r="AZ504" s="4"/>
      <c r="BA504" s="4"/>
      <c r="BB504" s="4"/>
      <c r="BC504" s="4"/>
      <c r="BD504" s="4"/>
      <c r="BE504" s="4"/>
      <c r="BF504" s="4"/>
      <c r="BG504" s="4"/>
      <c r="BH504" s="4"/>
      <c r="BI504" s="4"/>
      <c r="BJ504" s="4"/>
      <c r="BK504" s="4"/>
      <c r="BL504" s="4"/>
      <c r="BM504" s="4"/>
      <c r="BN504" s="4"/>
      <c r="BO504" s="4"/>
      <c r="BP504" s="4"/>
      <c r="BQ504" s="4"/>
      <c r="BR504" s="4"/>
    </row>
    <row r="505" spans="1:70" ht="27" customHeight="1" x14ac:dyDescent="0.2">
      <c r="A505" s="532"/>
      <c r="B505" s="917"/>
      <c r="C505" s="4"/>
      <c r="D505" s="917"/>
      <c r="E505" s="4"/>
      <c r="F505" s="917"/>
      <c r="G505" s="4"/>
      <c r="H505" s="920"/>
      <c r="I505" s="3"/>
      <c r="J505" s="920"/>
      <c r="K505" s="3"/>
      <c r="L505" s="920"/>
      <c r="M505" s="3"/>
      <c r="N505" s="920"/>
      <c r="O505" s="3"/>
      <c r="P505" s="3"/>
      <c r="Q505" s="533"/>
      <c r="R505" s="920"/>
      <c r="S505" s="534"/>
      <c r="T505" s="920"/>
      <c r="U505" s="920"/>
      <c r="V505" s="920"/>
      <c r="W505" s="535"/>
      <c r="X505" s="687"/>
      <c r="Y505" s="687"/>
      <c r="Z505" s="687"/>
      <c r="AA505" s="678"/>
      <c r="AB505" s="543"/>
      <c r="AC505" s="3"/>
      <c r="AD505" s="533"/>
      <c r="AE505" s="3"/>
      <c r="AF505" s="4"/>
      <c r="AG505" s="4"/>
      <c r="AH505" s="4"/>
      <c r="AI505" s="4"/>
      <c r="AJ505" s="4"/>
      <c r="AK505" s="4"/>
      <c r="AL505" s="4"/>
      <c r="AM505" s="4"/>
      <c r="AN505" s="4"/>
      <c r="AO505" s="4"/>
      <c r="AP505" s="4"/>
      <c r="AQ505" s="4"/>
      <c r="AR505" s="4"/>
      <c r="AS505" s="4"/>
      <c r="AT505" s="4"/>
      <c r="AU505" s="4"/>
      <c r="AV505" s="537"/>
      <c r="AW505" s="537"/>
      <c r="AX505" s="4"/>
      <c r="AY505" s="4"/>
      <c r="AZ505" s="4"/>
      <c r="BA505" s="4"/>
      <c r="BB505" s="4"/>
      <c r="BC505" s="4"/>
      <c r="BD505" s="4"/>
      <c r="BE505" s="4"/>
      <c r="BF505" s="4"/>
      <c r="BG505" s="4"/>
      <c r="BH505" s="4"/>
      <c r="BI505" s="4"/>
      <c r="BJ505" s="4"/>
      <c r="BK505" s="4"/>
      <c r="BL505" s="4"/>
      <c r="BM505" s="4"/>
      <c r="BN505" s="4"/>
      <c r="BO505" s="4"/>
      <c r="BP505" s="4"/>
      <c r="BQ505" s="4"/>
      <c r="BR505" s="4"/>
    </row>
    <row r="506" spans="1:70" ht="27" customHeight="1" x14ac:dyDescent="0.2">
      <c r="A506" s="532"/>
      <c r="B506" s="917"/>
      <c r="C506" s="4"/>
      <c r="D506" s="917"/>
      <c r="E506" s="4"/>
      <c r="F506" s="917"/>
      <c r="G506" s="4"/>
      <c r="H506" s="920"/>
      <c r="I506" s="3"/>
      <c r="J506" s="920"/>
      <c r="K506" s="3"/>
      <c r="L506" s="920"/>
      <c r="M506" s="3"/>
      <c r="N506" s="920"/>
      <c r="O506" s="3"/>
      <c r="P506" s="3"/>
      <c r="Q506" s="533"/>
      <c r="R506" s="920"/>
      <c r="S506" s="534"/>
      <c r="T506" s="920"/>
      <c r="U506" s="920"/>
      <c r="V506" s="920"/>
      <c r="W506" s="535"/>
      <c r="X506" s="687"/>
      <c r="Y506" s="687"/>
      <c r="Z506" s="687"/>
      <c r="AA506" s="678"/>
      <c r="AB506" s="543"/>
      <c r="AC506" s="3"/>
      <c r="AD506" s="533"/>
      <c r="AE506" s="3"/>
      <c r="AF506" s="4"/>
      <c r="AG506" s="4"/>
      <c r="AH506" s="4"/>
      <c r="AI506" s="4"/>
      <c r="AJ506" s="4"/>
      <c r="AK506" s="4"/>
      <c r="AL506" s="4"/>
      <c r="AM506" s="4"/>
      <c r="AN506" s="4"/>
      <c r="AO506" s="4"/>
      <c r="AP506" s="4"/>
      <c r="AQ506" s="4"/>
      <c r="AR506" s="4"/>
      <c r="AS506" s="4"/>
      <c r="AT506" s="4"/>
      <c r="AU506" s="4"/>
      <c r="AV506" s="537"/>
      <c r="AW506" s="537"/>
      <c r="AX506" s="4"/>
      <c r="AY506" s="4"/>
      <c r="AZ506" s="4"/>
      <c r="BA506" s="4"/>
      <c r="BB506" s="4"/>
      <c r="BC506" s="4"/>
      <c r="BD506" s="4"/>
      <c r="BE506" s="4"/>
      <c r="BF506" s="4"/>
      <c r="BG506" s="4"/>
      <c r="BH506" s="4"/>
      <c r="BI506" s="4"/>
      <c r="BJ506" s="4"/>
      <c r="BK506" s="4"/>
      <c r="BL506" s="4"/>
      <c r="BM506" s="4"/>
      <c r="BN506" s="4"/>
      <c r="BO506" s="4"/>
      <c r="BP506" s="4"/>
      <c r="BQ506" s="4"/>
      <c r="BR506" s="4"/>
    </row>
    <row r="507" spans="1:70" ht="27" customHeight="1" x14ac:dyDescent="0.2">
      <c r="A507" s="532"/>
      <c r="B507" s="917"/>
      <c r="C507" s="4"/>
      <c r="D507" s="917"/>
      <c r="E507" s="4"/>
      <c r="F507" s="917"/>
      <c r="G507" s="4"/>
      <c r="H507" s="920"/>
      <c r="I507" s="3"/>
      <c r="J507" s="920"/>
      <c r="K507" s="3"/>
      <c r="L507" s="920"/>
      <c r="M507" s="3"/>
      <c r="N507" s="920"/>
      <c r="O507" s="3"/>
      <c r="P507" s="3"/>
      <c r="Q507" s="533"/>
      <c r="R507" s="920"/>
      <c r="S507" s="534"/>
      <c r="T507" s="920"/>
      <c r="U507" s="920"/>
      <c r="V507" s="920"/>
      <c r="W507" s="535"/>
      <c r="X507" s="687"/>
      <c r="Y507" s="687"/>
      <c r="Z507" s="687"/>
      <c r="AA507" s="678"/>
      <c r="AB507" s="543"/>
      <c r="AC507" s="3"/>
      <c r="AD507" s="533"/>
      <c r="AE507" s="3"/>
      <c r="AF507" s="4"/>
      <c r="AG507" s="4"/>
      <c r="AH507" s="4"/>
      <c r="AI507" s="4"/>
      <c r="AJ507" s="4"/>
      <c r="AK507" s="4"/>
      <c r="AL507" s="4"/>
      <c r="AM507" s="4"/>
      <c r="AN507" s="4"/>
      <c r="AO507" s="4"/>
      <c r="AP507" s="4"/>
      <c r="AQ507" s="4"/>
      <c r="AR507" s="4"/>
      <c r="AS507" s="4"/>
      <c r="AT507" s="4"/>
      <c r="AU507" s="4"/>
      <c r="AV507" s="537"/>
      <c r="AW507" s="537"/>
      <c r="AX507" s="4"/>
      <c r="AY507" s="4"/>
      <c r="AZ507" s="4"/>
      <c r="BA507" s="4"/>
      <c r="BB507" s="4"/>
      <c r="BC507" s="4"/>
      <c r="BD507" s="4"/>
      <c r="BE507" s="4"/>
      <c r="BF507" s="4"/>
      <c r="BG507" s="4"/>
      <c r="BH507" s="4"/>
      <c r="BI507" s="4"/>
      <c r="BJ507" s="4"/>
      <c r="BK507" s="4"/>
      <c r="BL507" s="4"/>
      <c r="BM507" s="4"/>
      <c r="BN507" s="4"/>
      <c r="BO507" s="4"/>
      <c r="BP507" s="4"/>
      <c r="BQ507" s="4"/>
      <c r="BR507" s="4"/>
    </row>
    <row r="508" spans="1:70" ht="27" customHeight="1" x14ac:dyDescent="0.2">
      <c r="A508" s="532"/>
      <c r="B508" s="917"/>
      <c r="C508" s="4"/>
      <c r="D508" s="917"/>
      <c r="E508" s="4"/>
      <c r="F508" s="917"/>
      <c r="G508" s="4"/>
      <c r="H508" s="920"/>
      <c r="I508" s="3"/>
      <c r="J508" s="920"/>
      <c r="K508" s="3"/>
      <c r="L508" s="920"/>
      <c r="M508" s="3"/>
      <c r="N508" s="920"/>
      <c r="O508" s="3"/>
      <c r="P508" s="3"/>
      <c r="Q508" s="533"/>
      <c r="R508" s="920"/>
      <c r="S508" s="534"/>
      <c r="T508" s="920"/>
      <c r="U508" s="920"/>
      <c r="V508" s="920"/>
      <c r="W508" s="535"/>
      <c r="X508" s="687"/>
      <c r="Y508" s="687"/>
      <c r="Z508" s="687"/>
      <c r="AA508" s="678"/>
      <c r="AB508" s="543"/>
      <c r="AC508" s="3"/>
      <c r="AD508" s="533"/>
      <c r="AE508" s="3"/>
      <c r="AF508" s="4"/>
      <c r="AG508" s="4"/>
      <c r="AH508" s="4"/>
      <c r="AI508" s="4"/>
      <c r="AJ508" s="4"/>
      <c r="AK508" s="4"/>
      <c r="AL508" s="4"/>
      <c r="AM508" s="4"/>
      <c r="AN508" s="4"/>
      <c r="AO508" s="4"/>
      <c r="AP508" s="4"/>
      <c r="AQ508" s="4"/>
      <c r="AR508" s="4"/>
      <c r="AS508" s="4"/>
      <c r="AT508" s="4"/>
      <c r="AU508" s="4"/>
      <c r="AV508" s="537"/>
      <c r="AW508" s="537"/>
      <c r="AX508" s="4"/>
      <c r="AY508" s="4"/>
      <c r="AZ508" s="4"/>
      <c r="BA508" s="4"/>
      <c r="BB508" s="4"/>
      <c r="BC508" s="4"/>
      <c r="BD508" s="4"/>
      <c r="BE508" s="4"/>
      <c r="BF508" s="4"/>
      <c r="BG508" s="4"/>
      <c r="BH508" s="4"/>
      <c r="BI508" s="4"/>
      <c r="BJ508" s="4"/>
      <c r="BK508" s="4"/>
      <c r="BL508" s="4"/>
      <c r="BM508" s="4"/>
      <c r="BN508" s="4"/>
      <c r="BO508" s="4"/>
      <c r="BP508" s="4"/>
      <c r="BQ508" s="4"/>
      <c r="BR508" s="4"/>
    </row>
    <row r="509" spans="1:70" ht="27" customHeight="1" x14ac:dyDescent="0.2">
      <c r="A509" s="532"/>
      <c r="B509" s="917"/>
      <c r="C509" s="4"/>
      <c r="D509" s="917"/>
      <c r="E509" s="4"/>
      <c r="F509" s="917"/>
      <c r="G509" s="4"/>
      <c r="H509" s="920"/>
      <c r="I509" s="3"/>
      <c r="J509" s="920"/>
      <c r="K509" s="3"/>
      <c r="L509" s="920"/>
      <c r="M509" s="3"/>
      <c r="N509" s="920"/>
      <c r="O509" s="3"/>
      <c r="P509" s="3"/>
      <c r="Q509" s="533"/>
      <c r="R509" s="920"/>
      <c r="S509" s="534"/>
      <c r="T509" s="920"/>
      <c r="U509" s="920"/>
      <c r="V509" s="920"/>
      <c r="W509" s="535"/>
      <c r="X509" s="687"/>
      <c r="Y509" s="687"/>
      <c r="Z509" s="687"/>
      <c r="AA509" s="678"/>
      <c r="AB509" s="543"/>
      <c r="AC509" s="3"/>
      <c r="AD509" s="533"/>
      <c r="AE509" s="3"/>
      <c r="AF509" s="4"/>
      <c r="AG509" s="4"/>
      <c r="AH509" s="4"/>
      <c r="AI509" s="4"/>
      <c r="AJ509" s="4"/>
      <c r="AK509" s="4"/>
      <c r="AL509" s="4"/>
      <c r="AM509" s="4"/>
      <c r="AN509" s="4"/>
      <c r="AO509" s="4"/>
      <c r="AP509" s="4"/>
      <c r="AQ509" s="4"/>
      <c r="AR509" s="4"/>
      <c r="AS509" s="4"/>
      <c r="AT509" s="4"/>
      <c r="AU509" s="4"/>
      <c r="AV509" s="537"/>
      <c r="AW509" s="537"/>
      <c r="AX509" s="4"/>
      <c r="AY509" s="4"/>
      <c r="AZ509" s="4"/>
      <c r="BA509" s="4"/>
      <c r="BB509" s="4"/>
      <c r="BC509" s="4"/>
      <c r="BD509" s="4"/>
      <c r="BE509" s="4"/>
      <c r="BF509" s="4"/>
      <c r="BG509" s="4"/>
      <c r="BH509" s="4"/>
      <c r="BI509" s="4"/>
      <c r="BJ509" s="4"/>
      <c r="BK509" s="4"/>
      <c r="BL509" s="4"/>
      <c r="BM509" s="4"/>
      <c r="BN509" s="4"/>
      <c r="BO509" s="4"/>
      <c r="BP509" s="4"/>
      <c r="BQ509" s="4"/>
      <c r="BR509" s="4"/>
    </row>
    <row r="510" spans="1:70" ht="27" customHeight="1" x14ac:dyDescent="0.2">
      <c r="A510" s="532"/>
      <c r="B510" s="917"/>
      <c r="C510" s="4"/>
      <c r="D510" s="917"/>
      <c r="E510" s="4"/>
      <c r="F510" s="917"/>
      <c r="G510" s="4"/>
      <c r="H510" s="920"/>
      <c r="I510" s="3"/>
      <c r="J510" s="920"/>
      <c r="K510" s="3"/>
      <c r="L510" s="920"/>
      <c r="M510" s="3"/>
      <c r="N510" s="920"/>
      <c r="O510" s="3"/>
      <c r="P510" s="3"/>
      <c r="Q510" s="533"/>
      <c r="R510" s="920"/>
      <c r="S510" s="534"/>
      <c r="T510" s="920"/>
      <c r="U510" s="920"/>
      <c r="V510" s="920"/>
      <c r="W510" s="535"/>
      <c r="X510" s="687"/>
      <c r="Y510" s="687"/>
      <c r="Z510" s="687"/>
      <c r="AA510" s="678"/>
      <c r="AB510" s="543"/>
      <c r="AC510" s="3"/>
      <c r="AD510" s="533"/>
      <c r="AE510" s="3"/>
      <c r="AF510" s="4"/>
      <c r="AG510" s="4"/>
      <c r="AH510" s="4"/>
      <c r="AI510" s="4"/>
      <c r="AJ510" s="4"/>
      <c r="AK510" s="4"/>
      <c r="AL510" s="4"/>
      <c r="AM510" s="4"/>
      <c r="AN510" s="4"/>
      <c r="AO510" s="4"/>
      <c r="AP510" s="4"/>
      <c r="AQ510" s="4"/>
      <c r="AR510" s="4"/>
      <c r="AS510" s="4"/>
      <c r="AT510" s="4"/>
      <c r="AU510" s="4"/>
      <c r="AV510" s="537"/>
      <c r="AW510" s="537"/>
      <c r="AX510" s="4"/>
      <c r="AY510" s="4"/>
      <c r="AZ510" s="4"/>
      <c r="BA510" s="4"/>
      <c r="BB510" s="4"/>
      <c r="BC510" s="4"/>
      <c r="BD510" s="4"/>
      <c r="BE510" s="4"/>
      <c r="BF510" s="4"/>
      <c r="BG510" s="4"/>
      <c r="BH510" s="4"/>
      <c r="BI510" s="4"/>
      <c r="BJ510" s="4"/>
      <c r="BK510" s="4"/>
      <c r="BL510" s="4"/>
      <c r="BM510" s="4"/>
      <c r="BN510" s="4"/>
      <c r="BO510" s="4"/>
      <c r="BP510" s="4"/>
      <c r="BQ510" s="4"/>
      <c r="BR510" s="4"/>
    </row>
    <row r="511" spans="1:70" ht="27" customHeight="1" x14ac:dyDescent="0.2">
      <c r="A511" s="532"/>
      <c r="B511" s="917"/>
      <c r="C511" s="4"/>
      <c r="D511" s="917"/>
      <c r="E511" s="4"/>
      <c r="F511" s="917"/>
      <c r="G511" s="4"/>
      <c r="H511" s="920"/>
      <c r="I511" s="3"/>
      <c r="J511" s="920"/>
      <c r="K511" s="3"/>
      <c r="L511" s="920"/>
      <c r="M511" s="3"/>
      <c r="N511" s="920"/>
      <c r="O511" s="3"/>
      <c r="P511" s="3"/>
      <c r="Q511" s="533"/>
      <c r="R511" s="920"/>
      <c r="S511" s="534"/>
      <c r="T511" s="920"/>
      <c r="U511" s="920"/>
      <c r="V511" s="920"/>
      <c r="W511" s="535"/>
      <c r="X511" s="687"/>
      <c r="Y511" s="687"/>
      <c r="Z511" s="687"/>
      <c r="AA511" s="678"/>
      <c r="AB511" s="543"/>
      <c r="AC511" s="3"/>
      <c r="AD511" s="533"/>
      <c r="AE511" s="3"/>
      <c r="AF511" s="4"/>
      <c r="AG511" s="4"/>
      <c r="AH511" s="4"/>
      <c r="AI511" s="4"/>
      <c r="AJ511" s="4"/>
      <c r="AK511" s="4"/>
      <c r="AL511" s="4"/>
      <c r="AM511" s="4"/>
      <c r="AN511" s="4"/>
      <c r="AO511" s="4"/>
      <c r="AP511" s="4"/>
      <c r="AQ511" s="4"/>
      <c r="AR511" s="4"/>
      <c r="AS511" s="4"/>
      <c r="AT511" s="4"/>
      <c r="AU511" s="4"/>
      <c r="AV511" s="537"/>
      <c r="AW511" s="537"/>
      <c r="AX511" s="4"/>
      <c r="AY511" s="4"/>
      <c r="AZ511" s="4"/>
      <c r="BA511" s="4"/>
      <c r="BB511" s="4"/>
      <c r="BC511" s="4"/>
      <c r="BD511" s="4"/>
      <c r="BE511" s="4"/>
      <c r="BF511" s="4"/>
      <c r="BG511" s="4"/>
      <c r="BH511" s="4"/>
      <c r="BI511" s="4"/>
      <c r="BJ511" s="4"/>
      <c r="BK511" s="4"/>
      <c r="BL511" s="4"/>
      <c r="BM511" s="4"/>
      <c r="BN511" s="4"/>
      <c r="BO511" s="4"/>
      <c r="BP511" s="4"/>
      <c r="BQ511" s="4"/>
      <c r="BR511" s="4"/>
    </row>
    <row r="512" spans="1:70" ht="27" customHeight="1" x14ac:dyDescent="0.2">
      <c r="A512" s="532"/>
      <c r="B512" s="917"/>
      <c r="C512" s="4"/>
      <c r="D512" s="917"/>
      <c r="E512" s="4"/>
      <c r="F512" s="917"/>
      <c r="G512" s="4"/>
      <c r="H512" s="920"/>
      <c r="I512" s="3"/>
      <c r="J512" s="920"/>
      <c r="K512" s="3"/>
      <c r="L512" s="920"/>
      <c r="M512" s="3"/>
      <c r="N512" s="920"/>
      <c r="O512" s="3"/>
      <c r="P512" s="3"/>
      <c r="Q512" s="533"/>
      <c r="R512" s="920"/>
      <c r="S512" s="534"/>
      <c r="T512" s="920"/>
      <c r="U512" s="920"/>
      <c r="V512" s="920"/>
      <c r="W512" s="535"/>
      <c r="X512" s="687"/>
      <c r="Y512" s="687"/>
      <c r="Z512" s="687"/>
      <c r="AA512" s="678"/>
      <c r="AB512" s="543"/>
      <c r="AC512" s="3"/>
      <c r="AD512" s="533"/>
      <c r="AE512" s="3"/>
      <c r="AF512" s="4"/>
      <c r="AG512" s="4"/>
      <c r="AH512" s="4"/>
      <c r="AI512" s="4"/>
      <c r="AJ512" s="4"/>
      <c r="AK512" s="4"/>
      <c r="AL512" s="4"/>
      <c r="AM512" s="4"/>
      <c r="AN512" s="4"/>
      <c r="AO512" s="4"/>
      <c r="AP512" s="4"/>
      <c r="AQ512" s="4"/>
      <c r="AR512" s="4"/>
      <c r="AS512" s="4"/>
      <c r="AT512" s="4"/>
      <c r="AU512" s="4"/>
      <c r="AV512" s="537"/>
      <c r="AW512" s="537"/>
      <c r="AX512" s="4"/>
      <c r="AY512" s="4"/>
      <c r="AZ512" s="4"/>
      <c r="BA512" s="4"/>
      <c r="BB512" s="4"/>
      <c r="BC512" s="4"/>
      <c r="BD512" s="4"/>
      <c r="BE512" s="4"/>
      <c r="BF512" s="4"/>
      <c r="BG512" s="4"/>
      <c r="BH512" s="4"/>
      <c r="BI512" s="4"/>
      <c r="BJ512" s="4"/>
      <c r="BK512" s="4"/>
      <c r="BL512" s="4"/>
      <c r="BM512" s="4"/>
      <c r="BN512" s="4"/>
      <c r="BO512" s="4"/>
      <c r="BP512" s="4"/>
      <c r="BQ512" s="4"/>
      <c r="BR512" s="4"/>
    </row>
    <row r="513" spans="1:70" ht="27" customHeight="1" x14ac:dyDescent="0.2">
      <c r="A513" s="532"/>
      <c r="B513" s="917"/>
      <c r="C513" s="4"/>
      <c r="D513" s="917"/>
      <c r="E513" s="4"/>
      <c r="F513" s="917"/>
      <c r="G513" s="4"/>
      <c r="H513" s="920"/>
      <c r="I513" s="3"/>
      <c r="J513" s="920"/>
      <c r="K513" s="3"/>
      <c r="L513" s="920"/>
      <c r="M513" s="3"/>
      <c r="N513" s="920"/>
      <c r="O513" s="3"/>
      <c r="P513" s="3"/>
      <c r="Q513" s="533"/>
      <c r="R513" s="920"/>
      <c r="S513" s="534"/>
      <c r="T513" s="920"/>
      <c r="U513" s="920"/>
      <c r="V513" s="920"/>
      <c r="W513" s="535"/>
      <c r="X513" s="687"/>
      <c r="Y513" s="687"/>
      <c r="Z513" s="687"/>
      <c r="AA513" s="678"/>
      <c r="AB513" s="543"/>
      <c r="AC513" s="3"/>
      <c r="AD513" s="533"/>
      <c r="AE513" s="3"/>
      <c r="AF513" s="4"/>
      <c r="AG513" s="4"/>
      <c r="AH513" s="4"/>
      <c r="AI513" s="4"/>
      <c r="AJ513" s="4"/>
      <c r="AK513" s="4"/>
      <c r="AL513" s="4"/>
      <c r="AM513" s="4"/>
      <c r="AN513" s="4"/>
      <c r="AO513" s="4"/>
      <c r="AP513" s="4"/>
      <c r="AQ513" s="4"/>
      <c r="AR513" s="4"/>
      <c r="AS513" s="4"/>
      <c r="AT513" s="4"/>
      <c r="AU513" s="4"/>
      <c r="AV513" s="537"/>
      <c r="AW513" s="537"/>
      <c r="AX513" s="4"/>
      <c r="AY513" s="4"/>
      <c r="AZ513" s="4"/>
      <c r="BA513" s="4"/>
      <c r="BB513" s="4"/>
      <c r="BC513" s="4"/>
      <c r="BD513" s="4"/>
      <c r="BE513" s="4"/>
      <c r="BF513" s="4"/>
      <c r="BG513" s="4"/>
      <c r="BH513" s="4"/>
      <c r="BI513" s="4"/>
      <c r="BJ513" s="4"/>
      <c r="BK513" s="4"/>
      <c r="BL513" s="4"/>
      <c r="BM513" s="4"/>
      <c r="BN513" s="4"/>
      <c r="BO513" s="4"/>
      <c r="BP513" s="4"/>
      <c r="BQ513" s="4"/>
      <c r="BR513" s="4"/>
    </row>
    <row r="514" spans="1:70" ht="27" customHeight="1" x14ac:dyDescent="0.2">
      <c r="A514" s="532"/>
      <c r="B514" s="917"/>
      <c r="C514" s="4"/>
      <c r="D514" s="917"/>
      <c r="E514" s="4"/>
      <c r="F514" s="917"/>
      <c r="G514" s="4"/>
      <c r="H514" s="920"/>
      <c r="I514" s="3"/>
      <c r="J514" s="920"/>
      <c r="K514" s="3"/>
      <c r="L514" s="920"/>
      <c r="M514" s="3"/>
      <c r="N514" s="920"/>
      <c r="O514" s="3"/>
      <c r="P514" s="3"/>
      <c r="Q514" s="533"/>
      <c r="R514" s="920"/>
      <c r="S514" s="534"/>
      <c r="T514" s="920"/>
      <c r="U514" s="920"/>
      <c r="V514" s="920"/>
      <c r="W514" s="535"/>
      <c r="X514" s="687"/>
      <c r="Y514" s="687"/>
      <c r="Z514" s="687"/>
      <c r="AA514" s="678"/>
      <c r="AB514" s="543"/>
      <c r="AC514" s="3"/>
      <c r="AD514" s="533"/>
      <c r="AE514" s="3"/>
      <c r="AF514" s="4"/>
      <c r="AG514" s="4"/>
      <c r="AH514" s="4"/>
      <c r="AI514" s="4"/>
      <c r="AJ514" s="4"/>
      <c r="AK514" s="4"/>
      <c r="AL514" s="4"/>
      <c r="AM514" s="4"/>
      <c r="AN514" s="4"/>
      <c r="AO514" s="4"/>
      <c r="AP514" s="4"/>
      <c r="AQ514" s="4"/>
      <c r="AR514" s="4"/>
      <c r="AS514" s="4"/>
      <c r="AT514" s="4"/>
      <c r="AU514" s="4"/>
      <c r="AV514" s="537"/>
      <c r="AW514" s="537"/>
      <c r="AX514" s="4"/>
      <c r="AY514" s="4"/>
      <c r="AZ514" s="4"/>
      <c r="BA514" s="4"/>
      <c r="BB514" s="4"/>
      <c r="BC514" s="4"/>
      <c r="BD514" s="4"/>
      <c r="BE514" s="4"/>
      <c r="BF514" s="4"/>
      <c r="BG514" s="4"/>
      <c r="BH514" s="4"/>
      <c r="BI514" s="4"/>
      <c r="BJ514" s="4"/>
      <c r="BK514" s="4"/>
      <c r="BL514" s="4"/>
      <c r="BM514" s="4"/>
      <c r="BN514" s="4"/>
      <c r="BO514" s="4"/>
      <c r="BP514" s="4"/>
      <c r="BQ514" s="4"/>
      <c r="BR514" s="4"/>
    </row>
    <row r="515" spans="1:70" ht="27" customHeight="1" x14ac:dyDescent="0.2">
      <c r="A515" s="532"/>
      <c r="B515" s="917"/>
      <c r="C515" s="4"/>
      <c r="D515" s="917"/>
      <c r="E515" s="4"/>
      <c r="F515" s="917"/>
      <c r="G515" s="4"/>
      <c r="H515" s="920"/>
      <c r="I515" s="3"/>
      <c r="J515" s="920"/>
      <c r="K515" s="3"/>
      <c r="L515" s="920"/>
      <c r="M515" s="3"/>
      <c r="N515" s="920"/>
      <c r="O515" s="3"/>
      <c r="P515" s="3"/>
      <c r="Q515" s="533"/>
      <c r="R515" s="920"/>
      <c r="S515" s="534"/>
      <c r="T515" s="920"/>
      <c r="U515" s="920"/>
      <c r="V515" s="920"/>
      <c r="W515" s="535"/>
      <c r="X515" s="687"/>
      <c r="Y515" s="687"/>
      <c r="Z515" s="687"/>
      <c r="AA515" s="678"/>
      <c r="AB515" s="543"/>
      <c r="AC515" s="3"/>
      <c r="AD515" s="533"/>
      <c r="AE515" s="3"/>
      <c r="AF515" s="4"/>
      <c r="AG515" s="4"/>
      <c r="AH515" s="4"/>
      <c r="AI515" s="4"/>
      <c r="AJ515" s="4"/>
      <c r="AK515" s="4"/>
      <c r="AL515" s="4"/>
      <c r="AM515" s="4"/>
      <c r="AN515" s="4"/>
      <c r="AO515" s="4"/>
      <c r="AP515" s="4"/>
      <c r="AQ515" s="4"/>
      <c r="AR515" s="4"/>
      <c r="AS515" s="4"/>
      <c r="AT515" s="4"/>
      <c r="AU515" s="4"/>
      <c r="AV515" s="537"/>
      <c r="AW515" s="537"/>
      <c r="AX515" s="4"/>
      <c r="AY515" s="4"/>
      <c r="AZ515" s="4"/>
      <c r="BA515" s="4"/>
      <c r="BB515" s="4"/>
      <c r="BC515" s="4"/>
      <c r="BD515" s="4"/>
      <c r="BE515" s="4"/>
      <c r="BF515" s="4"/>
      <c r="BG515" s="4"/>
      <c r="BH515" s="4"/>
      <c r="BI515" s="4"/>
      <c r="BJ515" s="4"/>
      <c r="BK515" s="4"/>
      <c r="BL515" s="4"/>
      <c r="BM515" s="4"/>
      <c r="BN515" s="4"/>
      <c r="BO515" s="4"/>
      <c r="BP515" s="4"/>
      <c r="BQ515" s="4"/>
      <c r="BR515" s="4"/>
    </row>
    <row r="516" spans="1:70" ht="27" customHeight="1" x14ac:dyDescent="0.2">
      <c r="A516" s="532"/>
      <c r="B516" s="917"/>
      <c r="C516" s="4"/>
      <c r="D516" s="917"/>
      <c r="E516" s="4"/>
      <c r="F516" s="917"/>
      <c r="G516" s="4"/>
      <c r="H516" s="920"/>
      <c r="I516" s="3"/>
      <c r="J516" s="920"/>
      <c r="K516" s="3"/>
      <c r="L516" s="920"/>
      <c r="M516" s="3"/>
      <c r="N516" s="920"/>
      <c r="O516" s="3"/>
      <c r="P516" s="3"/>
      <c r="Q516" s="533"/>
      <c r="R516" s="920"/>
      <c r="S516" s="534"/>
      <c r="T516" s="920"/>
      <c r="U516" s="920"/>
      <c r="V516" s="920"/>
      <c r="W516" s="535"/>
      <c r="X516" s="687"/>
      <c r="Y516" s="687"/>
      <c r="Z516" s="687"/>
      <c r="AA516" s="678"/>
      <c r="AB516" s="543"/>
      <c r="AC516" s="3"/>
      <c r="AD516" s="533"/>
      <c r="AE516" s="3"/>
      <c r="AF516" s="4"/>
      <c r="AG516" s="4"/>
      <c r="AH516" s="4"/>
      <c r="AI516" s="4"/>
      <c r="AJ516" s="4"/>
      <c r="AK516" s="4"/>
      <c r="AL516" s="4"/>
      <c r="AM516" s="4"/>
      <c r="AN516" s="4"/>
      <c r="AO516" s="4"/>
      <c r="AP516" s="4"/>
      <c r="AQ516" s="4"/>
      <c r="AR516" s="4"/>
      <c r="AS516" s="4"/>
      <c r="AT516" s="4"/>
      <c r="AU516" s="4"/>
      <c r="AV516" s="537"/>
      <c r="AW516" s="537"/>
      <c r="AX516" s="4"/>
      <c r="AY516" s="4"/>
      <c r="AZ516" s="4"/>
      <c r="BA516" s="4"/>
      <c r="BB516" s="4"/>
      <c r="BC516" s="4"/>
      <c r="BD516" s="4"/>
      <c r="BE516" s="4"/>
      <c r="BF516" s="4"/>
      <c r="BG516" s="4"/>
      <c r="BH516" s="4"/>
      <c r="BI516" s="4"/>
      <c r="BJ516" s="4"/>
      <c r="BK516" s="4"/>
      <c r="BL516" s="4"/>
      <c r="BM516" s="4"/>
      <c r="BN516" s="4"/>
      <c r="BO516" s="4"/>
      <c r="BP516" s="4"/>
      <c r="BQ516" s="4"/>
      <c r="BR516" s="4"/>
    </row>
    <row r="517" spans="1:70" ht="27" customHeight="1" x14ac:dyDescent="0.2">
      <c r="A517" s="532"/>
      <c r="B517" s="917"/>
      <c r="C517" s="4"/>
      <c r="D517" s="917"/>
      <c r="E517" s="4"/>
      <c r="F517" s="917"/>
      <c r="G517" s="4"/>
      <c r="H517" s="920"/>
      <c r="I517" s="3"/>
      <c r="J517" s="920"/>
      <c r="K517" s="3"/>
      <c r="L517" s="920"/>
      <c r="M517" s="3"/>
      <c r="N517" s="920"/>
      <c r="O517" s="3"/>
      <c r="P517" s="3"/>
      <c r="Q517" s="533"/>
      <c r="R517" s="920"/>
      <c r="S517" s="534"/>
      <c r="T517" s="920"/>
      <c r="U517" s="920"/>
      <c r="V517" s="920"/>
      <c r="W517" s="535"/>
      <c r="X517" s="687"/>
      <c r="Y517" s="687"/>
      <c r="Z517" s="687"/>
      <c r="AA517" s="678"/>
      <c r="AB517" s="543"/>
      <c r="AC517" s="3"/>
      <c r="AD517" s="533"/>
      <c r="AE517" s="3"/>
      <c r="AF517" s="4"/>
      <c r="AG517" s="4"/>
      <c r="AH517" s="4"/>
      <c r="AI517" s="4"/>
      <c r="AJ517" s="4"/>
      <c r="AK517" s="4"/>
      <c r="AL517" s="4"/>
      <c r="AM517" s="4"/>
      <c r="AN517" s="4"/>
      <c r="AO517" s="4"/>
      <c r="AP517" s="4"/>
      <c r="AQ517" s="4"/>
      <c r="AR517" s="4"/>
      <c r="AS517" s="4"/>
      <c r="AT517" s="4"/>
      <c r="AU517" s="4"/>
      <c r="AV517" s="537"/>
      <c r="AW517" s="537"/>
      <c r="AX517" s="4"/>
      <c r="AY517" s="4"/>
      <c r="AZ517" s="4"/>
      <c r="BA517" s="4"/>
      <c r="BB517" s="4"/>
      <c r="BC517" s="4"/>
      <c r="BD517" s="4"/>
      <c r="BE517" s="4"/>
      <c r="BF517" s="4"/>
      <c r="BG517" s="4"/>
      <c r="BH517" s="4"/>
      <c r="BI517" s="4"/>
      <c r="BJ517" s="4"/>
      <c r="BK517" s="4"/>
      <c r="BL517" s="4"/>
      <c r="BM517" s="4"/>
      <c r="BN517" s="4"/>
      <c r="BO517" s="4"/>
      <c r="BP517" s="4"/>
      <c r="BQ517" s="4"/>
      <c r="BR517" s="4"/>
    </row>
    <row r="518" spans="1:70" ht="27" customHeight="1" x14ac:dyDescent="0.2">
      <c r="A518" s="532"/>
      <c r="B518" s="917"/>
      <c r="C518" s="4"/>
      <c r="D518" s="917"/>
      <c r="E518" s="4"/>
      <c r="F518" s="917"/>
      <c r="G518" s="4"/>
      <c r="H518" s="920"/>
      <c r="I518" s="3"/>
      <c r="J518" s="920"/>
      <c r="K518" s="3"/>
      <c r="L518" s="920"/>
      <c r="M518" s="3"/>
      <c r="N518" s="920"/>
      <c r="O518" s="3"/>
      <c r="P518" s="3"/>
      <c r="Q518" s="533"/>
      <c r="R518" s="920"/>
      <c r="S518" s="534"/>
      <c r="T518" s="920"/>
      <c r="U518" s="920"/>
      <c r="V518" s="920"/>
      <c r="W518" s="535"/>
      <c r="X518" s="687"/>
      <c r="Y518" s="687"/>
      <c r="Z518" s="687"/>
      <c r="AA518" s="678"/>
      <c r="AB518" s="543"/>
      <c r="AC518" s="3"/>
      <c r="AD518" s="533"/>
      <c r="AE518" s="3"/>
      <c r="AF518" s="4"/>
      <c r="AG518" s="4"/>
      <c r="AH518" s="4"/>
      <c r="AI518" s="4"/>
      <c r="AJ518" s="4"/>
      <c r="AK518" s="4"/>
      <c r="AL518" s="4"/>
      <c r="AM518" s="4"/>
      <c r="AN518" s="4"/>
      <c r="AO518" s="4"/>
      <c r="AP518" s="4"/>
      <c r="AQ518" s="4"/>
      <c r="AR518" s="4"/>
      <c r="AS518" s="4"/>
      <c r="AT518" s="4"/>
      <c r="AU518" s="4"/>
      <c r="AV518" s="537"/>
      <c r="AW518" s="537"/>
      <c r="AX518" s="4"/>
      <c r="AY518" s="4"/>
      <c r="AZ518" s="4"/>
      <c r="BA518" s="4"/>
      <c r="BB518" s="4"/>
      <c r="BC518" s="4"/>
      <c r="BD518" s="4"/>
      <c r="BE518" s="4"/>
      <c r="BF518" s="4"/>
      <c r="BG518" s="4"/>
      <c r="BH518" s="4"/>
      <c r="BI518" s="4"/>
      <c r="BJ518" s="4"/>
      <c r="BK518" s="4"/>
      <c r="BL518" s="4"/>
      <c r="BM518" s="4"/>
      <c r="BN518" s="4"/>
      <c r="BO518" s="4"/>
      <c r="BP518" s="4"/>
      <c r="BQ518" s="4"/>
      <c r="BR518" s="4"/>
    </row>
    <row r="519" spans="1:70" ht="27" customHeight="1" x14ac:dyDescent="0.2">
      <c r="A519" s="532"/>
      <c r="B519" s="917"/>
      <c r="C519" s="4"/>
      <c r="D519" s="917"/>
      <c r="E519" s="4"/>
      <c r="F519" s="917"/>
      <c r="G519" s="4"/>
      <c r="H519" s="920"/>
      <c r="I519" s="3"/>
      <c r="J519" s="920"/>
      <c r="K519" s="3"/>
      <c r="L519" s="920"/>
      <c r="M519" s="3"/>
      <c r="N519" s="920"/>
      <c r="O519" s="3"/>
      <c r="P519" s="3"/>
      <c r="Q519" s="533"/>
      <c r="R519" s="920"/>
      <c r="S519" s="534"/>
      <c r="T519" s="920"/>
      <c r="U519" s="920"/>
      <c r="V519" s="920"/>
      <c r="W519" s="535"/>
      <c r="X519" s="687"/>
      <c r="Y519" s="687"/>
      <c r="Z519" s="687"/>
      <c r="AA519" s="678"/>
      <c r="AB519" s="543"/>
      <c r="AC519" s="3"/>
      <c r="AD519" s="533"/>
      <c r="AE519" s="3"/>
      <c r="AF519" s="4"/>
      <c r="AG519" s="4"/>
      <c r="AH519" s="4"/>
      <c r="AI519" s="4"/>
      <c r="AJ519" s="4"/>
      <c r="AK519" s="4"/>
      <c r="AL519" s="4"/>
      <c r="AM519" s="4"/>
      <c r="AN519" s="4"/>
      <c r="AO519" s="4"/>
      <c r="AP519" s="4"/>
      <c r="AQ519" s="4"/>
      <c r="AR519" s="4"/>
      <c r="AS519" s="4"/>
      <c r="AT519" s="4"/>
      <c r="AU519" s="4"/>
      <c r="AV519" s="537"/>
      <c r="AW519" s="537"/>
      <c r="AX519" s="4"/>
      <c r="AY519" s="4"/>
      <c r="AZ519" s="4"/>
      <c r="BA519" s="4"/>
      <c r="BB519" s="4"/>
      <c r="BC519" s="4"/>
      <c r="BD519" s="4"/>
      <c r="BE519" s="4"/>
      <c r="BF519" s="4"/>
      <c r="BG519" s="4"/>
      <c r="BH519" s="4"/>
      <c r="BI519" s="4"/>
      <c r="BJ519" s="4"/>
      <c r="BK519" s="4"/>
      <c r="BL519" s="4"/>
      <c r="BM519" s="4"/>
      <c r="BN519" s="4"/>
      <c r="BO519" s="4"/>
      <c r="BP519" s="4"/>
      <c r="BQ519" s="4"/>
      <c r="BR519" s="4"/>
    </row>
    <row r="520" spans="1:70" ht="27" customHeight="1" x14ac:dyDescent="0.2">
      <c r="A520" s="532"/>
      <c r="B520" s="917"/>
      <c r="C520" s="4"/>
      <c r="D520" s="917"/>
      <c r="E520" s="4"/>
      <c r="F520" s="917"/>
      <c r="G520" s="4"/>
      <c r="H520" s="920"/>
      <c r="I520" s="3"/>
      <c r="J520" s="920"/>
      <c r="K520" s="3"/>
      <c r="L520" s="920"/>
      <c r="M520" s="3"/>
      <c r="N520" s="920"/>
      <c r="O520" s="3"/>
      <c r="P520" s="3"/>
      <c r="Q520" s="533"/>
      <c r="R520" s="920"/>
      <c r="S520" s="534"/>
      <c r="T520" s="920"/>
      <c r="U520" s="920"/>
      <c r="V520" s="920"/>
      <c r="W520" s="535"/>
      <c r="X520" s="687"/>
      <c r="Y520" s="687"/>
      <c r="Z520" s="687"/>
      <c r="AA520" s="678"/>
      <c r="AB520" s="543"/>
      <c r="AC520" s="3"/>
      <c r="AD520" s="533"/>
      <c r="AE520" s="3"/>
      <c r="AF520" s="4"/>
      <c r="AG520" s="4"/>
      <c r="AH520" s="4"/>
      <c r="AI520" s="4"/>
      <c r="AJ520" s="4"/>
      <c r="AK520" s="4"/>
      <c r="AL520" s="4"/>
      <c r="AM520" s="4"/>
      <c r="AN520" s="4"/>
      <c r="AO520" s="4"/>
      <c r="AP520" s="4"/>
      <c r="AQ520" s="4"/>
      <c r="AR520" s="4"/>
      <c r="AS520" s="4"/>
      <c r="AT520" s="4"/>
      <c r="AU520" s="4"/>
      <c r="AV520" s="537"/>
      <c r="AW520" s="537"/>
      <c r="AX520" s="4"/>
      <c r="AY520" s="4"/>
      <c r="AZ520" s="4"/>
      <c r="BA520" s="4"/>
      <c r="BB520" s="4"/>
      <c r="BC520" s="4"/>
      <c r="BD520" s="4"/>
      <c r="BE520" s="4"/>
      <c r="BF520" s="4"/>
      <c r="BG520" s="4"/>
      <c r="BH520" s="4"/>
      <c r="BI520" s="4"/>
      <c r="BJ520" s="4"/>
      <c r="BK520" s="4"/>
      <c r="BL520" s="4"/>
      <c r="BM520" s="4"/>
      <c r="BN520" s="4"/>
      <c r="BO520" s="4"/>
      <c r="BP520" s="4"/>
      <c r="BQ520" s="4"/>
      <c r="BR520" s="4"/>
    </row>
    <row r="521" spans="1:70" ht="27" customHeight="1" x14ac:dyDescent="0.2">
      <c r="A521" s="532"/>
      <c r="B521" s="917"/>
      <c r="C521" s="4"/>
      <c r="D521" s="917"/>
      <c r="E521" s="4"/>
      <c r="F521" s="917"/>
      <c r="G521" s="4"/>
      <c r="H521" s="920"/>
      <c r="I521" s="3"/>
      <c r="J521" s="920"/>
      <c r="K521" s="3"/>
      <c r="L521" s="920"/>
      <c r="M521" s="3"/>
      <c r="N521" s="920"/>
      <c r="O521" s="3"/>
      <c r="P521" s="3"/>
      <c r="Q521" s="533"/>
      <c r="R521" s="920"/>
      <c r="S521" s="534"/>
      <c r="T521" s="920"/>
      <c r="U521" s="920"/>
      <c r="V521" s="920"/>
      <c r="W521" s="535"/>
      <c r="X521" s="687"/>
      <c r="Y521" s="687"/>
      <c r="Z521" s="687"/>
      <c r="AA521" s="678"/>
      <c r="AB521" s="543"/>
      <c r="AC521" s="3"/>
      <c r="AD521" s="533"/>
      <c r="AE521" s="3"/>
      <c r="AF521" s="4"/>
      <c r="AG521" s="4"/>
      <c r="AH521" s="4"/>
      <c r="AI521" s="4"/>
      <c r="AJ521" s="4"/>
      <c r="AK521" s="4"/>
      <c r="AL521" s="4"/>
      <c r="AM521" s="4"/>
      <c r="AN521" s="4"/>
      <c r="AO521" s="4"/>
      <c r="AP521" s="4"/>
      <c r="AQ521" s="4"/>
      <c r="AR521" s="4"/>
      <c r="AS521" s="4"/>
      <c r="AT521" s="4"/>
      <c r="AU521" s="4"/>
      <c r="AV521" s="537"/>
      <c r="AW521" s="537"/>
      <c r="AX521" s="4"/>
      <c r="AY521" s="4"/>
      <c r="AZ521" s="4"/>
      <c r="BA521" s="4"/>
      <c r="BB521" s="4"/>
      <c r="BC521" s="4"/>
      <c r="BD521" s="4"/>
      <c r="BE521" s="4"/>
      <c r="BF521" s="4"/>
      <c r="BG521" s="4"/>
      <c r="BH521" s="4"/>
      <c r="BI521" s="4"/>
      <c r="BJ521" s="4"/>
      <c r="BK521" s="4"/>
      <c r="BL521" s="4"/>
      <c r="BM521" s="4"/>
      <c r="BN521" s="4"/>
      <c r="BO521" s="4"/>
      <c r="BP521" s="4"/>
      <c r="BQ521" s="4"/>
      <c r="BR521" s="4"/>
    </row>
    <row r="522" spans="1:70" ht="27" customHeight="1" x14ac:dyDescent="0.2">
      <c r="A522" s="532"/>
      <c r="B522" s="917"/>
      <c r="C522" s="4"/>
      <c r="D522" s="917"/>
      <c r="E522" s="4"/>
      <c r="F522" s="917"/>
      <c r="G522" s="4"/>
      <c r="H522" s="920"/>
      <c r="I522" s="3"/>
      <c r="J522" s="920"/>
      <c r="K522" s="3"/>
      <c r="L522" s="920"/>
      <c r="M522" s="3"/>
      <c r="N522" s="920"/>
      <c r="O522" s="3"/>
      <c r="P522" s="3"/>
      <c r="Q522" s="533"/>
      <c r="R522" s="920"/>
      <c r="S522" s="534"/>
      <c r="T522" s="920"/>
      <c r="U522" s="920"/>
      <c r="V522" s="920"/>
      <c r="W522" s="535"/>
      <c r="X522" s="687"/>
      <c r="Y522" s="687"/>
      <c r="Z522" s="687"/>
      <c r="AA522" s="678"/>
      <c r="AB522" s="543"/>
      <c r="AC522" s="3"/>
      <c r="AD522" s="533"/>
      <c r="AE522" s="3"/>
      <c r="AF522" s="4"/>
      <c r="AG522" s="4"/>
      <c r="AH522" s="4"/>
      <c r="AI522" s="4"/>
      <c r="AJ522" s="4"/>
      <c r="AK522" s="4"/>
      <c r="AL522" s="4"/>
      <c r="AM522" s="4"/>
      <c r="AN522" s="4"/>
      <c r="AO522" s="4"/>
      <c r="AP522" s="4"/>
      <c r="AQ522" s="4"/>
      <c r="AR522" s="4"/>
      <c r="AS522" s="4"/>
      <c r="AT522" s="4"/>
      <c r="AU522" s="4"/>
      <c r="AV522" s="537"/>
      <c r="AW522" s="537"/>
      <c r="AX522" s="4"/>
      <c r="AY522" s="4"/>
      <c r="AZ522" s="4"/>
      <c r="BA522" s="4"/>
      <c r="BB522" s="4"/>
      <c r="BC522" s="4"/>
      <c r="BD522" s="4"/>
      <c r="BE522" s="4"/>
      <c r="BF522" s="4"/>
      <c r="BG522" s="4"/>
      <c r="BH522" s="4"/>
      <c r="BI522" s="4"/>
      <c r="BJ522" s="4"/>
      <c r="BK522" s="4"/>
      <c r="BL522" s="4"/>
      <c r="BM522" s="4"/>
      <c r="BN522" s="4"/>
      <c r="BO522" s="4"/>
      <c r="BP522" s="4"/>
      <c r="BQ522" s="4"/>
      <c r="BR522" s="4"/>
    </row>
    <row r="523" spans="1:70" ht="27" customHeight="1" x14ac:dyDescent="0.2">
      <c r="A523" s="532"/>
      <c r="B523" s="917"/>
      <c r="C523" s="4"/>
      <c r="D523" s="917"/>
      <c r="E523" s="4"/>
      <c r="F523" s="917"/>
      <c r="G523" s="4"/>
      <c r="H523" s="920"/>
      <c r="I523" s="3"/>
      <c r="J523" s="920"/>
      <c r="K523" s="3"/>
      <c r="L523" s="920"/>
      <c r="M523" s="3"/>
      <c r="N523" s="920"/>
      <c r="O523" s="3"/>
      <c r="P523" s="3"/>
      <c r="Q523" s="533"/>
      <c r="R523" s="920"/>
      <c r="S523" s="534"/>
      <c r="T523" s="920"/>
      <c r="U523" s="920"/>
      <c r="V523" s="920"/>
      <c r="W523" s="535"/>
      <c r="X523" s="687"/>
      <c r="Y523" s="687"/>
      <c r="Z523" s="687"/>
      <c r="AA523" s="678"/>
      <c r="AB523" s="543"/>
      <c r="AC523" s="3"/>
      <c r="AD523" s="533"/>
      <c r="AE523" s="3"/>
      <c r="AF523" s="4"/>
      <c r="AG523" s="4"/>
      <c r="AH523" s="4"/>
      <c r="AI523" s="4"/>
      <c r="AJ523" s="4"/>
      <c r="AK523" s="4"/>
      <c r="AL523" s="4"/>
      <c r="AM523" s="4"/>
      <c r="AN523" s="4"/>
      <c r="AO523" s="4"/>
      <c r="AP523" s="4"/>
      <c r="AQ523" s="4"/>
      <c r="AR523" s="4"/>
      <c r="AS523" s="4"/>
      <c r="AT523" s="4"/>
      <c r="AU523" s="4"/>
      <c r="AV523" s="537"/>
      <c r="AW523" s="537"/>
      <c r="AX523" s="4"/>
      <c r="AY523" s="4"/>
      <c r="AZ523" s="4"/>
      <c r="BA523" s="4"/>
      <c r="BB523" s="4"/>
      <c r="BC523" s="4"/>
      <c r="BD523" s="4"/>
      <c r="BE523" s="4"/>
      <c r="BF523" s="4"/>
      <c r="BG523" s="4"/>
      <c r="BH523" s="4"/>
      <c r="BI523" s="4"/>
      <c r="BJ523" s="4"/>
      <c r="BK523" s="4"/>
      <c r="BL523" s="4"/>
      <c r="BM523" s="4"/>
      <c r="BN523" s="4"/>
      <c r="BO523" s="4"/>
      <c r="BP523" s="4"/>
      <c r="BQ523" s="4"/>
      <c r="BR523" s="4"/>
    </row>
    <row r="524" spans="1:70" ht="27" customHeight="1" x14ac:dyDescent="0.2">
      <c r="A524" s="532"/>
      <c r="B524" s="917"/>
      <c r="C524" s="4"/>
      <c r="D524" s="917"/>
      <c r="E524" s="4"/>
      <c r="F524" s="917"/>
      <c r="G524" s="4"/>
      <c r="H524" s="920"/>
      <c r="I524" s="3"/>
      <c r="J524" s="920"/>
      <c r="K524" s="3"/>
      <c r="L524" s="920"/>
      <c r="M524" s="3"/>
      <c r="N524" s="920"/>
      <c r="O524" s="3"/>
      <c r="P524" s="3"/>
      <c r="Q524" s="533"/>
      <c r="R524" s="920"/>
      <c r="S524" s="534"/>
      <c r="T524" s="920"/>
      <c r="U524" s="920"/>
      <c r="V524" s="920"/>
      <c r="W524" s="535"/>
      <c r="X524" s="687"/>
      <c r="Y524" s="687"/>
      <c r="Z524" s="687"/>
      <c r="AA524" s="678"/>
      <c r="AB524" s="543"/>
      <c r="AC524" s="3"/>
      <c r="AD524" s="533"/>
      <c r="AE524" s="3"/>
      <c r="AF524" s="4"/>
      <c r="AG524" s="4"/>
      <c r="AH524" s="4"/>
      <c r="AI524" s="4"/>
      <c r="AJ524" s="4"/>
      <c r="AK524" s="4"/>
      <c r="AL524" s="4"/>
      <c r="AM524" s="4"/>
      <c r="AN524" s="4"/>
      <c r="AO524" s="4"/>
      <c r="AP524" s="4"/>
      <c r="AQ524" s="4"/>
      <c r="AR524" s="4"/>
      <c r="AS524" s="4"/>
      <c r="AT524" s="4"/>
      <c r="AU524" s="4"/>
      <c r="AV524" s="537"/>
      <c r="AW524" s="537"/>
      <c r="AX524" s="4"/>
      <c r="AY524" s="4"/>
      <c r="AZ524" s="4"/>
      <c r="BA524" s="4"/>
      <c r="BB524" s="4"/>
      <c r="BC524" s="4"/>
      <c r="BD524" s="4"/>
      <c r="BE524" s="4"/>
      <c r="BF524" s="4"/>
      <c r="BG524" s="4"/>
      <c r="BH524" s="4"/>
      <c r="BI524" s="4"/>
      <c r="BJ524" s="4"/>
      <c r="BK524" s="4"/>
      <c r="BL524" s="4"/>
      <c r="BM524" s="4"/>
      <c r="BN524" s="4"/>
      <c r="BO524" s="4"/>
      <c r="BP524" s="4"/>
      <c r="BQ524" s="4"/>
      <c r="BR524" s="4"/>
    </row>
    <row r="525" spans="1:70" ht="27" customHeight="1" x14ac:dyDescent="0.2">
      <c r="A525" s="532"/>
      <c r="B525" s="917"/>
      <c r="C525" s="4"/>
      <c r="D525" s="917"/>
      <c r="E525" s="4"/>
      <c r="F525" s="917"/>
      <c r="G525" s="4"/>
      <c r="H525" s="920"/>
      <c r="I525" s="3"/>
      <c r="J525" s="920"/>
      <c r="K525" s="3"/>
      <c r="L525" s="920"/>
      <c r="M525" s="3"/>
      <c r="N525" s="920"/>
      <c r="O525" s="3"/>
      <c r="P525" s="3"/>
      <c r="Q525" s="533"/>
      <c r="R525" s="920"/>
      <c r="S525" s="534"/>
      <c r="T525" s="920"/>
      <c r="U525" s="920"/>
      <c r="V525" s="920"/>
      <c r="W525" s="535"/>
      <c r="X525" s="687"/>
      <c r="Y525" s="687"/>
      <c r="Z525" s="687"/>
      <c r="AA525" s="678"/>
      <c r="AB525" s="543"/>
      <c r="AC525" s="3"/>
      <c r="AD525" s="533"/>
      <c r="AE525" s="3"/>
      <c r="AF525" s="4"/>
      <c r="AG525" s="4"/>
      <c r="AH525" s="4"/>
      <c r="AI525" s="4"/>
      <c r="AJ525" s="4"/>
      <c r="AK525" s="4"/>
      <c r="AL525" s="4"/>
      <c r="AM525" s="4"/>
      <c r="AN525" s="4"/>
      <c r="AO525" s="4"/>
      <c r="AP525" s="4"/>
      <c r="AQ525" s="4"/>
      <c r="AR525" s="4"/>
      <c r="AS525" s="4"/>
      <c r="AT525" s="4"/>
      <c r="AU525" s="4"/>
      <c r="AV525" s="537"/>
      <c r="AW525" s="537"/>
      <c r="AX525" s="4"/>
      <c r="AY525" s="4"/>
      <c r="AZ525" s="4"/>
      <c r="BA525" s="4"/>
      <c r="BB525" s="4"/>
      <c r="BC525" s="4"/>
      <c r="BD525" s="4"/>
      <c r="BE525" s="4"/>
      <c r="BF525" s="4"/>
      <c r="BG525" s="4"/>
      <c r="BH525" s="4"/>
      <c r="BI525" s="4"/>
      <c r="BJ525" s="4"/>
      <c r="BK525" s="4"/>
      <c r="BL525" s="4"/>
      <c r="BM525" s="4"/>
      <c r="BN525" s="4"/>
      <c r="BO525" s="4"/>
      <c r="BP525" s="4"/>
      <c r="BQ525" s="4"/>
      <c r="BR525" s="4"/>
    </row>
    <row r="526" spans="1:70" ht="27" customHeight="1" x14ac:dyDescent="0.2">
      <c r="A526" s="532"/>
      <c r="B526" s="917"/>
      <c r="C526" s="4"/>
      <c r="D526" s="917"/>
      <c r="E526" s="4"/>
      <c r="F526" s="917"/>
      <c r="G526" s="4"/>
      <c r="H526" s="920"/>
      <c r="I526" s="3"/>
      <c r="J526" s="920"/>
      <c r="K526" s="3"/>
      <c r="L526" s="920"/>
      <c r="M526" s="3"/>
      <c r="N526" s="920"/>
      <c r="O526" s="3"/>
      <c r="P526" s="3"/>
      <c r="Q526" s="533"/>
      <c r="R526" s="920"/>
      <c r="S526" s="534"/>
      <c r="T526" s="920"/>
      <c r="U526" s="920"/>
      <c r="V526" s="920"/>
      <c r="W526" s="535"/>
      <c r="X526" s="687"/>
      <c r="Y526" s="687"/>
      <c r="Z526" s="687"/>
      <c r="AA526" s="678"/>
      <c r="AB526" s="543"/>
      <c r="AC526" s="3"/>
      <c r="AD526" s="533"/>
      <c r="AE526" s="3"/>
      <c r="AF526" s="4"/>
      <c r="AG526" s="4"/>
      <c r="AH526" s="4"/>
      <c r="AI526" s="4"/>
      <c r="AJ526" s="4"/>
      <c r="AK526" s="4"/>
      <c r="AL526" s="4"/>
      <c r="AM526" s="4"/>
      <c r="AN526" s="4"/>
      <c r="AO526" s="4"/>
      <c r="AP526" s="4"/>
      <c r="AQ526" s="4"/>
      <c r="AR526" s="4"/>
      <c r="AS526" s="4"/>
      <c r="AT526" s="4"/>
      <c r="AU526" s="4"/>
      <c r="AV526" s="537"/>
      <c r="AW526" s="537"/>
      <c r="AX526" s="4"/>
      <c r="AY526" s="4"/>
      <c r="AZ526" s="4"/>
      <c r="BA526" s="4"/>
      <c r="BB526" s="4"/>
      <c r="BC526" s="4"/>
      <c r="BD526" s="4"/>
      <c r="BE526" s="4"/>
      <c r="BF526" s="4"/>
      <c r="BG526" s="4"/>
      <c r="BH526" s="4"/>
      <c r="BI526" s="4"/>
      <c r="BJ526" s="4"/>
      <c r="BK526" s="4"/>
      <c r="BL526" s="4"/>
      <c r="BM526" s="4"/>
      <c r="BN526" s="4"/>
      <c r="BO526" s="4"/>
      <c r="BP526" s="4"/>
      <c r="BQ526" s="4"/>
      <c r="BR526" s="4"/>
    </row>
    <row r="527" spans="1:70" ht="27" customHeight="1" x14ac:dyDescent="0.2">
      <c r="A527" s="532"/>
      <c r="B527" s="917"/>
      <c r="C527" s="4"/>
      <c r="D527" s="917"/>
      <c r="E527" s="4"/>
      <c r="F527" s="917"/>
      <c r="G527" s="4"/>
      <c r="H527" s="920"/>
      <c r="I527" s="3"/>
      <c r="J527" s="920"/>
      <c r="K527" s="3"/>
      <c r="L527" s="920"/>
      <c r="M527" s="3"/>
      <c r="N527" s="920"/>
      <c r="O527" s="3"/>
      <c r="P527" s="3"/>
      <c r="Q527" s="533"/>
      <c r="R527" s="920"/>
      <c r="S527" s="534"/>
      <c r="T527" s="920"/>
      <c r="U527" s="920"/>
      <c r="V527" s="920"/>
      <c r="W527" s="535"/>
      <c r="X527" s="687"/>
      <c r="Y527" s="687"/>
      <c r="Z527" s="687"/>
      <c r="AA527" s="678"/>
      <c r="AB527" s="543"/>
      <c r="AC527" s="3"/>
      <c r="AD527" s="533"/>
      <c r="AE527" s="3"/>
      <c r="AF527" s="4"/>
      <c r="AG527" s="4"/>
      <c r="AH527" s="4"/>
      <c r="AI527" s="4"/>
      <c r="AJ527" s="4"/>
      <c r="AK527" s="4"/>
      <c r="AL527" s="4"/>
      <c r="AM527" s="4"/>
      <c r="AN527" s="4"/>
      <c r="AO527" s="4"/>
      <c r="AP527" s="4"/>
      <c r="AQ527" s="4"/>
      <c r="AR527" s="4"/>
      <c r="AS527" s="4"/>
      <c r="AT527" s="4"/>
      <c r="AU527" s="4"/>
      <c r="AV527" s="537"/>
      <c r="AW527" s="537"/>
      <c r="AX527" s="4"/>
      <c r="AY527" s="4"/>
      <c r="AZ527" s="4"/>
      <c r="BA527" s="4"/>
      <c r="BB527" s="4"/>
      <c r="BC527" s="4"/>
      <c r="BD527" s="4"/>
      <c r="BE527" s="4"/>
      <c r="BF527" s="4"/>
      <c r="BG527" s="4"/>
      <c r="BH527" s="4"/>
      <c r="BI527" s="4"/>
      <c r="BJ527" s="4"/>
      <c r="BK527" s="4"/>
      <c r="BL527" s="4"/>
      <c r="BM527" s="4"/>
      <c r="BN527" s="4"/>
      <c r="BO527" s="4"/>
      <c r="BP527" s="4"/>
      <c r="BQ527" s="4"/>
      <c r="BR527" s="4"/>
    </row>
    <row r="528" spans="1:70" ht="27" customHeight="1" x14ac:dyDescent="0.2">
      <c r="A528" s="532"/>
      <c r="B528" s="917"/>
      <c r="C528" s="4"/>
      <c r="D528" s="917"/>
      <c r="E528" s="4"/>
      <c r="F528" s="917"/>
      <c r="G528" s="4"/>
      <c r="H528" s="920"/>
      <c r="I528" s="3"/>
      <c r="J528" s="920"/>
      <c r="K528" s="3"/>
      <c r="L528" s="920"/>
      <c r="M528" s="3"/>
      <c r="N528" s="920"/>
      <c r="O528" s="3"/>
      <c r="P528" s="3"/>
      <c r="Q528" s="533"/>
      <c r="R528" s="920"/>
      <c r="S528" s="534"/>
      <c r="T528" s="920"/>
      <c r="U528" s="920"/>
      <c r="V528" s="920"/>
      <c r="W528" s="535"/>
      <c r="X528" s="687"/>
      <c r="Y528" s="687"/>
      <c r="Z528" s="687"/>
      <c r="AA528" s="678"/>
      <c r="AB528" s="543"/>
      <c r="AC528" s="3"/>
      <c r="AD528" s="533"/>
      <c r="AE528" s="3"/>
      <c r="AF528" s="4"/>
      <c r="AG528" s="4"/>
      <c r="AH528" s="4"/>
      <c r="AI528" s="4"/>
      <c r="AJ528" s="4"/>
      <c r="AK528" s="4"/>
      <c r="AL528" s="4"/>
      <c r="AM528" s="4"/>
      <c r="AN528" s="4"/>
      <c r="AO528" s="4"/>
      <c r="AP528" s="4"/>
      <c r="AQ528" s="4"/>
      <c r="AR528" s="4"/>
      <c r="AS528" s="4"/>
      <c r="AT528" s="4"/>
      <c r="AU528" s="4"/>
      <c r="AV528" s="537"/>
      <c r="AW528" s="537"/>
      <c r="AX528" s="4"/>
      <c r="AY528" s="4"/>
      <c r="AZ528" s="4"/>
      <c r="BA528" s="4"/>
      <c r="BB528" s="4"/>
      <c r="BC528" s="4"/>
      <c r="BD528" s="4"/>
      <c r="BE528" s="4"/>
      <c r="BF528" s="4"/>
      <c r="BG528" s="4"/>
      <c r="BH528" s="4"/>
      <c r="BI528" s="4"/>
      <c r="BJ528" s="4"/>
      <c r="BK528" s="4"/>
      <c r="BL528" s="4"/>
      <c r="BM528" s="4"/>
      <c r="BN528" s="4"/>
      <c r="BO528" s="4"/>
      <c r="BP528" s="4"/>
      <c r="BQ528" s="4"/>
      <c r="BR528" s="4"/>
    </row>
    <row r="529" spans="1:70" ht="27" customHeight="1" x14ac:dyDescent="0.2">
      <c r="A529" s="532"/>
      <c r="B529" s="917"/>
      <c r="C529" s="4"/>
      <c r="D529" s="917"/>
      <c r="E529" s="4"/>
      <c r="F529" s="917"/>
      <c r="G529" s="4"/>
      <c r="H529" s="920"/>
      <c r="I529" s="3"/>
      <c r="J529" s="920"/>
      <c r="K529" s="3"/>
      <c r="L529" s="920"/>
      <c r="M529" s="3"/>
      <c r="N529" s="920"/>
      <c r="O529" s="3"/>
      <c r="P529" s="3"/>
      <c r="Q529" s="533"/>
      <c r="R529" s="920"/>
      <c r="S529" s="534"/>
      <c r="T529" s="920"/>
      <c r="U529" s="920"/>
      <c r="V529" s="920"/>
      <c r="W529" s="535"/>
      <c r="X529" s="687"/>
      <c r="Y529" s="687"/>
      <c r="Z529" s="687"/>
      <c r="AA529" s="678"/>
      <c r="AB529" s="543"/>
      <c r="AC529" s="3"/>
      <c r="AD529" s="533"/>
      <c r="AE529" s="3"/>
      <c r="AF529" s="4"/>
      <c r="AG529" s="4"/>
      <c r="AH529" s="4"/>
      <c r="AI529" s="4"/>
      <c r="AJ529" s="4"/>
      <c r="AK529" s="4"/>
      <c r="AL529" s="4"/>
      <c r="AM529" s="4"/>
      <c r="AN529" s="4"/>
      <c r="AO529" s="4"/>
      <c r="AP529" s="4"/>
      <c r="AQ529" s="4"/>
      <c r="AR529" s="4"/>
      <c r="AS529" s="4"/>
      <c r="AT529" s="4"/>
      <c r="AU529" s="4"/>
      <c r="AV529" s="537"/>
      <c r="AW529" s="537"/>
      <c r="AX529" s="4"/>
      <c r="AY529" s="4"/>
      <c r="AZ529" s="4"/>
      <c r="BA529" s="4"/>
      <c r="BB529" s="4"/>
      <c r="BC529" s="4"/>
      <c r="BD529" s="4"/>
      <c r="BE529" s="4"/>
      <c r="BF529" s="4"/>
      <c r="BG529" s="4"/>
      <c r="BH529" s="4"/>
      <c r="BI529" s="4"/>
      <c r="BJ529" s="4"/>
      <c r="BK529" s="4"/>
      <c r="BL529" s="4"/>
      <c r="BM529" s="4"/>
      <c r="BN529" s="4"/>
      <c r="BO529" s="4"/>
      <c r="BP529" s="4"/>
      <c r="BQ529" s="4"/>
      <c r="BR529" s="4"/>
    </row>
    <row r="530" spans="1:70" ht="27" customHeight="1" x14ac:dyDescent="0.2">
      <c r="A530" s="532"/>
      <c r="B530" s="917"/>
      <c r="C530" s="4"/>
      <c r="D530" s="917"/>
      <c r="E530" s="4"/>
      <c r="F530" s="917"/>
      <c r="G530" s="4"/>
      <c r="H530" s="920"/>
      <c r="I530" s="3"/>
      <c r="J530" s="920"/>
      <c r="K530" s="3"/>
      <c r="L530" s="920"/>
      <c r="M530" s="3"/>
      <c r="N530" s="920"/>
      <c r="O530" s="3"/>
      <c r="P530" s="3"/>
      <c r="Q530" s="533"/>
      <c r="R530" s="920"/>
      <c r="S530" s="534"/>
      <c r="T530" s="920"/>
      <c r="U530" s="920"/>
      <c r="V530" s="920"/>
      <c r="W530" s="535"/>
      <c r="X530" s="687"/>
      <c r="Y530" s="687"/>
      <c r="Z530" s="687"/>
      <c r="AA530" s="678"/>
      <c r="AB530" s="543"/>
      <c r="AC530" s="3"/>
      <c r="AD530" s="533"/>
      <c r="AE530" s="3"/>
      <c r="AF530" s="4"/>
      <c r="AG530" s="4"/>
      <c r="AH530" s="4"/>
      <c r="AI530" s="4"/>
      <c r="AJ530" s="4"/>
      <c r="AK530" s="4"/>
      <c r="AL530" s="4"/>
      <c r="AM530" s="4"/>
      <c r="AN530" s="4"/>
      <c r="AO530" s="4"/>
      <c r="AP530" s="4"/>
      <c r="AQ530" s="4"/>
      <c r="AR530" s="4"/>
      <c r="AS530" s="4"/>
      <c r="AT530" s="4"/>
      <c r="AU530" s="4"/>
      <c r="AV530" s="537"/>
      <c r="AW530" s="537"/>
      <c r="AX530" s="4"/>
      <c r="AY530" s="4"/>
      <c r="AZ530" s="4"/>
      <c r="BA530" s="4"/>
      <c r="BB530" s="4"/>
      <c r="BC530" s="4"/>
      <c r="BD530" s="4"/>
      <c r="BE530" s="4"/>
      <c r="BF530" s="4"/>
      <c r="BG530" s="4"/>
      <c r="BH530" s="4"/>
      <c r="BI530" s="4"/>
      <c r="BJ530" s="4"/>
      <c r="BK530" s="4"/>
      <c r="BL530" s="4"/>
      <c r="BM530" s="4"/>
      <c r="BN530" s="4"/>
      <c r="BO530" s="4"/>
      <c r="BP530" s="4"/>
      <c r="BQ530" s="4"/>
      <c r="BR530" s="4"/>
    </row>
    <row r="531" spans="1:70" ht="27" customHeight="1" x14ac:dyDescent="0.2">
      <c r="A531" s="532"/>
      <c r="B531" s="917"/>
      <c r="C531" s="4"/>
      <c r="D531" s="917"/>
      <c r="E531" s="4"/>
      <c r="F531" s="917"/>
      <c r="G531" s="4"/>
      <c r="H531" s="920"/>
      <c r="I531" s="3"/>
      <c r="J531" s="920"/>
      <c r="K531" s="3"/>
      <c r="L531" s="920"/>
      <c r="M531" s="3"/>
      <c r="N531" s="920"/>
      <c r="O531" s="3"/>
      <c r="P531" s="3"/>
      <c r="Q531" s="533"/>
      <c r="R531" s="920"/>
      <c r="S531" s="534"/>
      <c r="T531" s="920"/>
      <c r="U531" s="920"/>
      <c r="V531" s="920"/>
      <c r="W531" s="535"/>
      <c r="X531" s="687"/>
      <c r="Y531" s="687"/>
      <c r="Z531" s="687"/>
      <c r="AA531" s="678"/>
      <c r="AB531" s="543"/>
      <c r="AC531" s="3"/>
      <c r="AD531" s="533"/>
      <c r="AE531" s="3"/>
      <c r="AF531" s="4"/>
      <c r="AG531" s="4"/>
      <c r="AH531" s="4"/>
      <c r="AI531" s="4"/>
      <c r="AJ531" s="4"/>
      <c r="AK531" s="4"/>
      <c r="AL531" s="4"/>
      <c r="AM531" s="4"/>
      <c r="AN531" s="4"/>
      <c r="AO531" s="4"/>
      <c r="AP531" s="4"/>
      <c r="AQ531" s="4"/>
      <c r="AR531" s="4"/>
      <c r="AS531" s="4"/>
      <c r="AT531" s="4"/>
      <c r="AU531" s="4"/>
      <c r="AV531" s="537"/>
      <c r="AW531" s="537"/>
      <c r="AX531" s="4"/>
      <c r="AY531" s="4"/>
      <c r="AZ531" s="4"/>
      <c r="BA531" s="4"/>
      <c r="BB531" s="4"/>
      <c r="BC531" s="4"/>
      <c r="BD531" s="4"/>
      <c r="BE531" s="4"/>
      <c r="BF531" s="4"/>
      <c r="BG531" s="4"/>
      <c r="BH531" s="4"/>
      <c r="BI531" s="4"/>
      <c r="BJ531" s="4"/>
      <c r="BK531" s="4"/>
      <c r="BL531" s="4"/>
      <c r="BM531" s="4"/>
      <c r="BN531" s="4"/>
      <c r="BO531" s="4"/>
      <c r="BP531" s="4"/>
      <c r="BQ531" s="4"/>
      <c r="BR531" s="4"/>
    </row>
    <row r="532" spans="1:70" ht="27" customHeight="1" x14ac:dyDescent="0.2">
      <c r="A532" s="532"/>
      <c r="B532" s="917"/>
      <c r="C532" s="4"/>
      <c r="D532" s="917"/>
      <c r="E532" s="4"/>
      <c r="F532" s="917"/>
      <c r="G532" s="4"/>
      <c r="H532" s="920"/>
      <c r="I532" s="3"/>
      <c r="J532" s="920"/>
      <c r="K532" s="3"/>
      <c r="L532" s="920"/>
      <c r="M532" s="3"/>
      <c r="N532" s="920"/>
      <c r="O532" s="3"/>
      <c r="P532" s="3"/>
      <c r="Q532" s="533"/>
      <c r="R532" s="920"/>
      <c r="S532" s="534"/>
      <c r="T532" s="920"/>
      <c r="U532" s="920"/>
      <c r="V532" s="920"/>
      <c r="W532" s="535"/>
      <c r="X532" s="687"/>
      <c r="Y532" s="687"/>
      <c r="Z532" s="687"/>
      <c r="AA532" s="678"/>
      <c r="AB532" s="543"/>
      <c r="AC532" s="3"/>
      <c r="AD532" s="533"/>
      <c r="AE532" s="3"/>
      <c r="AF532" s="4"/>
      <c r="AG532" s="4"/>
      <c r="AH532" s="4"/>
      <c r="AI532" s="4"/>
      <c r="AJ532" s="4"/>
      <c r="AK532" s="4"/>
      <c r="AL532" s="4"/>
      <c r="AM532" s="4"/>
      <c r="AN532" s="4"/>
      <c r="AO532" s="4"/>
      <c r="AP532" s="4"/>
      <c r="AQ532" s="4"/>
      <c r="AR532" s="4"/>
      <c r="AS532" s="4"/>
      <c r="AT532" s="4"/>
      <c r="AU532" s="4"/>
      <c r="AV532" s="537"/>
      <c r="AW532" s="537"/>
      <c r="AX532" s="4"/>
      <c r="AY532" s="4"/>
      <c r="AZ532" s="4"/>
      <c r="BA532" s="4"/>
      <c r="BB532" s="4"/>
      <c r="BC532" s="4"/>
      <c r="BD532" s="4"/>
      <c r="BE532" s="4"/>
      <c r="BF532" s="4"/>
      <c r="BG532" s="4"/>
      <c r="BH532" s="4"/>
      <c r="BI532" s="4"/>
      <c r="BJ532" s="4"/>
      <c r="BK532" s="4"/>
      <c r="BL532" s="4"/>
      <c r="BM532" s="4"/>
      <c r="BN532" s="4"/>
      <c r="BO532" s="4"/>
      <c r="BP532" s="4"/>
      <c r="BQ532" s="4"/>
      <c r="BR532" s="4"/>
    </row>
    <row r="533" spans="1:70" ht="27" customHeight="1" x14ac:dyDescent="0.2">
      <c r="A533" s="532"/>
      <c r="B533" s="917"/>
      <c r="C533" s="4"/>
      <c r="D533" s="917"/>
      <c r="E533" s="4"/>
      <c r="F533" s="917"/>
      <c r="G533" s="4"/>
      <c r="H533" s="920"/>
      <c r="I533" s="3"/>
      <c r="J533" s="920"/>
      <c r="K533" s="3"/>
      <c r="L533" s="920"/>
      <c r="M533" s="3"/>
      <c r="N533" s="920"/>
      <c r="O533" s="3"/>
      <c r="P533" s="3"/>
      <c r="Q533" s="533"/>
      <c r="R533" s="920"/>
      <c r="S533" s="534"/>
      <c r="T533" s="920"/>
      <c r="U533" s="920"/>
      <c r="V533" s="920"/>
      <c r="W533" s="535"/>
      <c r="X533" s="687"/>
      <c r="Y533" s="687"/>
      <c r="Z533" s="687"/>
      <c r="AA533" s="678"/>
      <c r="AB533" s="543"/>
      <c r="AC533" s="3"/>
      <c r="AD533" s="533"/>
      <c r="AE533" s="3"/>
      <c r="AF533" s="4"/>
      <c r="AG533" s="4"/>
      <c r="AH533" s="4"/>
      <c r="AI533" s="4"/>
      <c r="AJ533" s="4"/>
      <c r="AK533" s="4"/>
      <c r="AL533" s="4"/>
      <c r="AM533" s="4"/>
      <c r="AN533" s="4"/>
      <c r="AO533" s="4"/>
      <c r="AP533" s="4"/>
      <c r="AQ533" s="4"/>
      <c r="AR533" s="4"/>
      <c r="AS533" s="4"/>
      <c r="AT533" s="4"/>
      <c r="AU533" s="4"/>
      <c r="AV533" s="537"/>
      <c r="AW533" s="537"/>
      <c r="AX533" s="4"/>
      <c r="AY533" s="4"/>
      <c r="AZ533" s="4"/>
      <c r="BA533" s="4"/>
      <c r="BB533" s="4"/>
      <c r="BC533" s="4"/>
      <c r="BD533" s="4"/>
      <c r="BE533" s="4"/>
      <c r="BF533" s="4"/>
      <c r="BG533" s="4"/>
      <c r="BH533" s="4"/>
      <c r="BI533" s="4"/>
      <c r="BJ533" s="4"/>
      <c r="BK533" s="4"/>
      <c r="BL533" s="4"/>
      <c r="BM533" s="4"/>
      <c r="BN533" s="4"/>
      <c r="BO533" s="4"/>
      <c r="BP533" s="4"/>
      <c r="BQ533" s="4"/>
      <c r="BR533" s="4"/>
    </row>
    <row r="534" spans="1:70" ht="27" customHeight="1" x14ac:dyDescent="0.2">
      <c r="A534" s="532"/>
      <c r="B534" s="917"/>
      <c r="C534" s="4"/>
      <c r="D534" s="917"/>
      <c r="E534" s="4"/>
      <c r="F534" s="917"/>
      <c r="G534" s="4"/>
      <c r="H534" s="920"/>
      <c r="I534" s="3"/>
      <c r="J534" s="920"/>
      <c r="K534" s="3"/>
      <c r="L534" s="920"/>
      <c r="M534" s="3"/>
      <c r="N534" s="920"/>
      <c r="O534" s="3"/>
      <c r="P534" s="3"/>
      <c r="Q534" s="533"/>
      <c r="R534" s="920"/>
      <c r="S534" s="534"/>
      <c r="T534" s="920"/>
      <c r="U534" s="920"/>
      <c r="V534" s="920"/>
      <c r="W534" s="535"/>
      <c r="X534" s="687"/>
      <c r="Y534" s="687"/>
      <c r="Z534" s="687"/>
      <c r="AA534" s="678"/>
      <c r="AB534" s="543"/>
      <c r="AC534" s="3"/>
      <c r="AD534" s="533"/>
      <c r="AE534" s="3"/>
      <c r="AF534" s="4"/>
      <c r="AG534" s="4"/>
      <c r="AH534" s="4"/>
      <c r="AI534" s="4"/>
      <c r="AJ534" s="4"/>
      <c r="AK534" s="4"/>
      <c r="AL534" s="4"/>
      <c r="AM534" s="4"/>
      <c r="AN534" s="4"/>
      <c r="AO534" s="4"/>
      <c r="AP534" s="4"/>
      <c r="AQ534" s="4"/>
      <c r="AR534" s="4"/>
      <c r="AS534" s="4"/>
      <c r="AT534" s="4"/>
      <c r="AU534" s="4"/>
      <c r="AV534" s="537"/>
      <c r="AW534" s="537"/>
      <c r="AX534" s="4"/>
      <c r="AY534" s="4"/>
      <c r="AZ534" s="4"/>
      <c r="BA534" s="4"/>
      <c r="BB534" s="4"/>
      <c r="BC534" s="4"/>
      <c r="BD534" s="4"/>
      <c r="BE534" s="4"/>
      <c r="BF534" s="4"/>
      <c r="BG534" s="4"/>
      <c r="BH534" s="4"/>
      <c r="BI534" s="4"/>
      <c r="BJ534" s="4"/>
      <c r="BK534" s="4"/>
      <c r="BL534" s="4"/>
      <c r="BM534" s="4"/>
      <c r="BN534" s="4"/>
      <c r="BO534" s="4"/>
      <c r="BP534" s="4"/>
      <c r="BQ534" s="4"/>
      <c r="BR534" s="4"/>
    </row>
    <row r="535" spans="1:70" ht="27" customHeight="1" x14ac:dyDescent="0.2">
      <c r="A535" s="532"/>
      <c r="B535" s="917"/>
      <c r="C535" s="4"/>
      <c r="D535" s="917"/>
      <c r="E535" s="4"/>
      <c r="F535" s="917"/>
      <c r="G535" s="4"/>
      <c r="H535" s="920"/>
      <c r="I535" s="3"/>
      <c r="J535" s="920"/>
      <c r="K535" s="3"/>
      <c r="L535" s="920"/>
      <c r="M535" s="3"/>
      <c r="N535" s="920"/>
      <c r="O535" s="3"/>
      <c r="P535" s="3"/>
      <c r="Q535" s="533"/>
      <c r="R535" s="920"/>
      <c r="S535" s="534"/>
      <c r="T535" s="920"/>
      <c r="U535" s="920"/>
      <c r="V535" s="920"/>
      <c r="W535" s="535"/>
      <c r="X535" s="687"/>
      <c r="Y535" s="687"/>
      <c r="Z535" s="687"/>
      <c r="AA535" s="678"/>
      <c r="AB535" s="543"/>
      <c r="AC535" s="3"/>
      <c r="AD535" s="533"/>
      <c r="AE535" s="3"/>
      <c r="AF535" s="4"/>
      <c r="AG535" s="4"/>
      <c r="AH535" s="4"/>
      <c r="AI535" s="4"/>
      <c r="AJ535" s="4"/>
      <c r="AK535" s="4"/>
      <c r="AL535" s="4"/>
      <c r="AM535" s="4"/>
      <c r="AN535" s="4"/>
      <c r="AO535" s="4"/>
      <c r="AP535" s="4"/>
      <c r="AQ535" s="4"/>
      <c r="AR535" s="4"/>
      <c r="AS535" s="4"/>
      <c r="AT535" s="4"/>
      <c r="AU535" s="4"/>
      <c r="AV535" s="537"/>
      <c r="AW535" s="537"/>
      <c r="AX535" s="4"/>
      <c r="AY535" s="4"/>
      <c r="AZ535" s="4"/>
      <c r="BA535" s="4"/>
      <c r="BB535" s="4"/>
      <c r="BC535" s="4"/>
      <c r="BD535" s="4"/>
      <c r="BE535" s="4"/>
      <c r="BF535" s="4"/>
      <c r="BG535" s="4"/>
      <c r="BH535" s="4"/>
      <c r="BI535" s="4"/>
      <c r="BJ535" s="4"/>
      <c r="BK535" s="4"/>
      <c r="BL535" s="4"/>
      <c r="BM535" s="4"/>
      <c r="BN535" s="4"/>
      <c r="BO535" s="4"/>
      <c r="BP535" s="4"/>
      <c r="BQ535" s="4"/>
      <c r="BR535" s="4"/>
    </row>
    <row r="536" spans="1:70" ht="27" customHeight="1" x14ac:dyDescent="0.2">
      <c r="A536" s="532"/>
      <c r="B536" s="917"/>
      <c r="C536" s="4"/>
      <c r="D536" s="917"/>
      <c r="E536" s="4"/>
      <c r="F536" s="917"/>
      <c r="G536" s="4"/>
      <c r="H536" s="920"/>
      <c r="I536" s="3"/>
      <c r="J536" s="920"/>
      <c r="K536" s="3"/>
      <c r="L536" s="920"/>
      <c r="M536" s="3"/>
      <c r="N536" s="920"/>
      <c r="O536" s="3"/>
      <c r="P536" s="3"/>
      <c r="Q536" s="533"/>
      <c r="R536" s="920"/>
      <c r="S536" s="534"/>
      <c r="T536" s="920"/>
      <c r="U536" s="920"/>
      <c r="V536" s="920"/>
      <c r="W536" s="535"/>
      <c r="X536" s="687"/>
      <c r="Y536" s="687"/>
      <c r="Z536" s="687"/>
      <c r="AA536" s="678"/>
      <c r="AB536" s="543"/>
      <c r="AC536" s="3"/>
      <c r="AD536" s="533"/>
      <c r="AE536" s="3"/>
      <c r="AF536" s="4"/>
      <c r="AG536" s="4"/>
      <c r="AH536" s="4"/>
      <c r="AI536" s="4"/>
      <c r="AJ536" s="4"/>
      <c r="AK536" s="4"/>
      <c r="AL536" s="4"/>
      <c r="AM536" s="4"/>
      <c r="AN536" s="4"/>
      <c r="AO536" s="4"/>
      <c r="AP536" s="4"/>
      <c r="AQ536" s="4"/>
      <c r="AR536" s="4"/>
      <c r="AS536" s="4"/>
      <c r="AT536" s="4"/>
      <c r="AU536" s="4"/>
      <c r="AV536" s="537"/>
      <c r="AW536" s="537"/>
      <c r="AX536" s="4"/>
      <c r="AY536" s="4"/>
      <c r="AZ536" s="4"/>
      <c r="BA536" s="4"/>
      <c r="BB536" s="4"/>
      <c r="BC536" s="4"/>
      <c r="BD536" s="4"/>
      <c r="BE536" s="4"/>
      <c r="BF536" s="4"/>
      <c r="BG536" s="4"/>
      <c r="BH536" s="4"/>
      <c r="BI536" s="4"/>
      <c r="BJ536" s="4"/>
      <c r="BK536" s="4"/>
      <c r="BL536" s="4"/>
      <c r="BM536" s="4"/>
      <c r="BN536" s="4"/>
      <c r="BO536" s="4"/>
      <c r="BP536" s="4"/>
      <c r="BQ536" s="4"/>
      <c r="BR536" s="4"/>
    </row>
    <row r="537" spans="1:70" ht="27" customHeight="1" x14ac:dyDescent="0.2">
      <c r="A537" s="532"/>
      <c r="B537" s="917"/>
      <c r="C537" s="4"/>
      <c r="D537" s="917"/>
      <c r="E537" s="4"/>
      <c r="F537" s="917"/>
      <c r="G537" s="4"/>
      <c r="H537" s="920"/>
      <c r="I537" s="3"/>
      <c r="J537" s="920"/>
      <c r="K537" s="3"/>
      <c r="L537" s="920"/>
      <c r="M537" s="3"/>
      <c r="N537" s="920"/>
      <c r="O537" s="3"/>
      <c r="P537" s="3"/>
      <c r="Q537" s="533"/>
      <c r="R537" s="920"/>
      <c r="S537" s="534"/>
      <c r="T537" s="920"/>
      <c r="U537" s="920"/>
      <c r="V537" s="920"/>
      <c r="W537" s="535"/>
      <c r="X537" s="687"/>
      <c r="Y537" s="687"/>
      <c r="Z537" s="687"/>
      <c r="AA537" s="678"/>
      <c r="AB537" s="543"/>
      <c r="AC537" s="3"/>
      <c r="AD537" s="533"/>
      <c r="AE537" s="3"/>
      <c r="AF537" s="4"/>
      <c r="AG537" s="4"/>
      <c r="AH537" s="4"/>
      <c r="AI537" s="4"/>
      <c r="AJ537" s="4"/>
      <c r="AK537" s="4"/>
      <c r="AL537" s="4"/>
      <c r="AM537" s="4"/>
      <c r="AN537" s="4"/>
      <c r="AO537" s="4"/>
      <c r="AP537" s="4"/>
      <c r="AQ537" s="4"/>
      <c r="AR537" s="4"/>
      <c r="AS537" s="4"/>
      <c r="AT537" s="4"/>
      <c r="AU537" s="4"/>
      <c r="AV537" s="537"/>
      <c r="AW537" s="537"/>
      <c r="AX537" s="4"/>
      <c r="AY537" s="4"/>
      <c r="AZ537" s="4"/>
      <c r="BA537" s="4"/>
      <c r="BB537" s="4"/>
      <c r="BC537" s="4"/>
      <c r="BD537" s="4"/>
      <c r="BE537" s="4"/>
      <c r="BF537" s="4"/>
      <c r="BG537" s="4"/>
      <c r="BH537" s="4"/>
      <c r="BI537" s="4"/>
      <c r="BJ537" s="4"/>
      <c r="BK537" s="4"/>
      <c r="BL537" s="4"/>
      <c r="BM537" s="4"/>
      <c r="BN537" s="4"/>
      <c r="BO537" s="4"/>
      <c r="BP537" s="4"/>
      <c r="BQ537" s="4"/>
      <c r="BR537" s="4"/>
    </row>
    <row r="538" spans="1:70" ht="27" customHeight="1" x14ac:dyDescent="0.2">
      <c r="A538" s="532"/>
      <c r="B538" s="917"/>
      <c r="C538" s="4"/>
      <c r="D538" s="917"/>
      <c r="E538" s="4"/>
      <c r="F538" s="917"/>
      <c r="G538" s="4"/>
      <c r="H538" s="920"/>
      <c r="I538" s="3"/>
      <c r="J538" s="920"/>
      <c r="K538" s="3"/>
      <c r="L538" s="920"/>
      <c r="M538" s="3"/>
      <c r="N538" s="920"/>
      <c r="O538" s="3"/>
      <c r="P538" s="3"/>
      <c r="Q538" s="533"/>
      <c r="R538" s="920"/>
      <c r="S538" s="534"/>
      <c r="T538" s="920"/>
      <c r="U538" s="920"/>
      <c r="V538" s="920"/>
      <c r="W538" s="535"/>
      <c r="X538" s="687"/>
      <c r="Y538" s="687"/>
      <c r="Z538" s="687"/>
      <c r="AA538" s="678"/>
      <c r="AB538" s="543"/>
      <c r="AC538" s="3"/>
      <c r="AD538" s="533"/>
      <c r="AE538" s="3"/>
      <c r="AF538" s="4"/>
      <c r="AG538" s="4"/>
      <c r="AH538" s="4"/>
      <c r="AI538" s="4"/>
      <c r="AJ538" s="4"/>
      <c r="AK538" s="4"/>
      <c r="AL538" s="4"/>
      <c r="AM538" s="4"/>
      <c r="AN538" s="4"/>
      <c r="AO538" s="4"/>
      <c r="AP538" s="4"/>
      <c r="AQ538" s="4"/>
      <c r="AR538" s="4"/>
      <c r="AS538" s="4"/>
      <c r="AT538" s="4"/>
      <c r="AU538" s="4"/>
      <c r="AV538" s="537"/>
      <c r="AW538" s="537"/>
      <c r="AX538" s="4"/>
      <c r="AY538" s="4"/>
      <c r="AZ538" s="4"/>
      <c r="BA538" s="4"/>
      <c r="BB538" s="4"/>
      <c r="BC538" s="4"/>
      <c r="BD538" s="4"/>
      <c r="BE538" s="4"/>
      <c r="BF538" s="4"/>
      <c r="BG538" s="4"/>
      <c r="BH538" s="4"/>
      <c r="BI538" s="4"/>
      <c r="BJ538" s="4"/>
      <c r="BK538" s="4"/>
      <c r="BL538" s="4"/>
      <c r="BM538" s="4"/>
      <c r="BN538" s="4"/>
      <c r="BO538" s="4"/>
      <c r="BP538" s="4"/>
      <c r="BQ538" s="4"/>
      <c r="BR538" s="4"/>
    </row>
    <row r="539" spans="1:70" ht="27" customHeight="1" x14ac:dyDescent="0.2">
      <c r="A539" s="532"/>
      <c r="B539" s="917"/>
      <c r="C539" s="4"/>
      <c r="D539" s="917"/>
      <c r="E539" s="4"/>
      <c r="F539" s="917"/>
      <c r="G539" s="4"/>
      <c r="H539" s="920"/>
      <c r="I539" s="3"/>
      <c r="J539" s="920"/>
      <c r="K539" s="3"/>
      <c r="L539" s="920"/>
      <c r="M539" s="3"/>
      <c r="N539" s="920"/>
      <c r="O539" s="3"/>
      <c r="P539" s="3"/>
      <c r="Q539" s="533"/>
      <c r="R539" s="920"/>
      <c r="S539" s="534"/>
      <c r="T539" s="920"/>
      <c r="U539" s="920"/>
      <c r="V539" s="920"/>
      <c r="W539" s="535"/>
      <c r="X539" s="687"/>
      <c r="Y539" s="687"/>
      <c r="Z539" s="687"/>
      <c r="AA539" s="678"/>
      <c r="AB539" s="543"/>
      <c r="AC539" s="3"/>
      <c r="AD539" s="533"/>
      <c r="AE539" s="3"/>
      <c r="AF539" s="4"/>
      <c r="AG539" s="4"/>
      <c r="AH539" s="4"/>
      <c r="AI539" s="4"/>
      <c r="AJ539" s="4"/>
      <c r="AK539" s="4"/>
      <c r="AL539" s="4"/>
      <c r="AM539" s="4"/>
      <c r="AN539" s="4"/>
      <c r="AO539" s="4"/>
      <c r="AP539" s="4"/>
      <c r="AQ539" s="4"/>
      <c r="AR539" s="4"/>
      <c r="AS539" s="4"/>
      <c r="AT539" s="4"/>
      <c r="AU539" s="4"/>
      <c r="AV539" s="537"/>
      <c r="AW539" s="537"/>
      <c r="AX539" s="4"/>
      <c r="AY539" s="4"/>
      <c r="AZ539" s="4"/>
      <c r="BA539" s="4"/>
      <c r="BB539" s="4"/>
      <c r="BC539" s="4"/>
      <c r="BD539" s="4"/>
      <c r="BE539" s="4"/>
      <c r="BF539" s="4"/>
      <c r="BG539" s="4"/>
      <c r="BH539" s="4"/>
      <c r="BI539" s="4"/>
      <c r="BJ539" s="4"/>
      <c r="BK539" s="4"/>
      <c r="BL539" s="4"/>
      <c r="BM539" s="4"/>
      <c r="BN539" s="4"/>
      <c r="BO539" s="4"/>
      <c r="BP539" s="4"/>
      <c r="BQ539" s="4"/>
      <c r="BR539" s="4"/>
    </row>
    <row r="540" spans="1:70" ht="27" customHeight="1" x14ac:dyDescent="0.2">
      <c r="A540" s="532"/>
      <c r="B540" s="917"/>
      <c r="C540" s="4"/>
      <c r="D540" s="917"/>
      <c r="E540" s="4"/>
      <c r="F540" s="917"/>
      <c r="G540" s="4"/>
      <c r="H540" s="920"/>
      <c r="I540" s="3"/>
      <c r="J540" s="920"/>
      <c r="K540" s="3"/>
      <c r="L540" s="920"/>
      <c r="M540" s="3"/>
      <c r="N540" s="920"/>
      <c r="O540" s="3"/>
      <c r="P540" s="3"/>
      <c r="Q540" s="533"/>
      <c r="R540" s="920"/>
      <c r="S540" s="534"/>
      <c r="T540" s="920"/>
      <c r="U540" s="920"/>
      <c r="V540" s="920"/>
      <c r="W540" s="535"/>
      <c r="X540" s="687"/>
      <c r="Y540" s="687"/>
      <c r="Z540" s="687"/>
      <c r="AA540" s="678"/>
      <c r="AB540" s="543"/>
      <c r="AC540" s="3"/>
      <c r="AD540" s="533"/>
      <c r="AE540" s="3"/>
      <c r="AF540" s="4"/>
      <c r="AG540" s="4"/>
      <c r="AH540" s="4"/>
      <c r="AI540" s="4"/>
      <c r="AJ540" s="4"/>
      <c r="AK540" s="4"/>
      <c r="AL540" s="4"/>
      <c r="AM540" s="4"/>
      <c r="AN540" s="4"/>
      <c r="AO540" s="4"/>
      <c r="AP540" s="4"/>
      <c r="AQ540" s="4"/>
      <c r="AR540" s="4"/>
      <c r="AS540" s="4"/>
      <c r="AT540" s="4"/>
      <c r="AU540" s="4"/>
      <c r="AV540" s="537"/>
      <c r="AW540" s="537"/>
      <c r="AX540" s="4"/>
      <c r="AY540" s="4"/>
      <c r="AZ540" s="4"/>
      <c r="BA540" s="4"/>
      <c r="BB540" s="4"/>
      <c r="BC540" s="4"/>
      <c r="BD540" s="4"/>
      <c r="BE540" s="4"/>
      <c r="BF540" s="4"/>
      <c r="BG540" s="4"/>
      <c r="BH540" s="4"/>
      <c r="BI540" s="4"/>
      <c r="BJ540" s="4"/>
      <c r="BK540" s="4"/>
      <c r="BL540" s="4"/>
      <c r="BM540" s="4"/>
      <c r="BN540" s="4"/>
      <c r="BO540" s="4"/>
      <c r="BP540" s="4"/>
      <c r="BQ540" s="4"/>
      <c r="BR540" s="4"/>
    </row>
    <row r="541" spans="1:70" ht="27" customHeight="1" x14ac:dyDescent="0.2">
      <c r="A541" s="532"/>
      <c r="B541" s="917"/>
      <c r="C541" s="4"/>
      <c r="D541" s="917"/>
      <c r="E541" s="4"/>
      <c r="F541" s="917"/>
      <c r="G541" s="4"/>
      <c r="H541" s="920"/>
      <c r="I541" s="3"/>
      <c r="J541" s="920"/>
      <c r="K541" s="3"/>
      <c r="L541" s="920"/>
      <c r="M541" s="3"/>
      <c r="N541" s="920"/>
      <c r="O541" s="3"/>
      <c r="P541" s="3"/>
      <c r="Q541" s="533"/>
      <c r="R541" s="920"/>
      <c r="S541" s="534"/>
      <c r="T541" s="920"/>
      <c r="U541" s="920"/>
      <c r="V541" s="920"/>
      <c r="W541" s="535"/>
      <c r="X541" s="687"/>
      <c r="Y541" s="687"/>
      <c r="Z541" s="687"/>
      <c r="AA541" s="678"/>
      <c r="AB541" s="543"/>
      <c r="AC541" s="3"/>
      <c r="AD541" s="533"/>
      <c r="AE541" s="3"/>
      <c r="AF541" s="4"/>
      <c r="AG541" s="4"/>
      <c r="AH541" s="4"/>
      <c r="AI541" s="4"/>
      <c r="AJ541" s="4"/>
      <c r="AK541" s="4"/>
      <c r="AL541" s="4"/>
      <c r="AM541" s="4"/>
      <c r="AN541" s="4"/>
      <c r="AO541" s="4"/>
      <c r="AP541" s="4"/>
      <c r="AQ541" s="4"/>
      <c r="AR541" s="4"/>
      <c r="AS541" s="4"/>
      <c r="AT541" s="4"/>
      <c r="AU541" s="4"/>
      <c r="AV541" s="537"/>
      <c r="AW541" s="537"/>
      <c r="AX541" s="4"/>
      <c r="AY541" s="4"/>
      <c r="AZ541" s="4"/>
      <c r="BA541" s="4"/>
      <c r="BB541" s="4"/>
      <c r="BC541" s="4"/>
      <c r="BD541" s="4"/>
      <c r="BE541" s="4"/>
      <c r="BF541" s="4"/>
      <c r="BG541" s="4"/>
      <c r="BH541" s="4"/>
      <c r="BI541" s="4"/>
      <c r="BJ541" s="4"/>
      <c r="BK541" s="4"/>
      <c r="BL541" s="4"/>
      <c r="BM541" s="4"/>
      <c r="BN541" s="4"/>
      <c r="BO541" s="4"/>
      <c r="BP541" s="4"/>
      <c r="BQ541" s="4"/>
      <c r="BR541" s="4"/>
    </row>
    <row r="542" spans="1:70" ht="27" customHeight="1" x14ac:dyDescent="0.2">
      <c r="A542" s="532"/>
      <c r="B542" s="917"/>
      <c r="C542" s="4"/>
      <c r="D542" s="917"/>
      <c r="E542" s="4"/>
      <c r="F542" s="917"/>
      <c r="G542" s="4"/>
      <c r="H542" s="920"/>
      <c r="I542" s="3"/>
      <c r="J542" s="920"/>
      <c r="K542" s="3"/>
      <c r="L542" s="920"/>
      <c r="M542" s="3"/>
      <c r="N542" s="920"/>
      <c r="O542" s="3"/>
      <c r="P542" s="3"/>
      <c r="Q542" s="533"/>
      <c r="R542" s="920"/>
      <c r="S542" s="534"/>
      <c r="T542" s="920"/>
      <c r="U542" s="920"/>
      <c r="V542" s="920"/>
      <c r="W542" s="535"/>
      <c r="X542" s="687"/>
      <c r="Y542" s="687"/>
      <c r="Z542" s="687"/>
      <c r="AA542" s="678"/>
      <c r="AB542" s="543"/>
      <c r="AC542" s="3"/>
      <c r="AD542" s="533"/>
      <c r="AE542" s="3"/>
      <c r="AF542" s="4"/>
      <c r="AG542" s="4"/>
      <c r="AH542" s="4"/>
      <c r="AI542" s="4"/>
      <c r="AJ542" s="4"/>
      <c r="AK542" s="4"/>
      <c r="AL542" s="4"/>
      <c r="AM542" s="4"/>
      <c r="AN542" s="4"/>
      <c r="AO542" s="4"/>
      <c r="AP542" s="4"/>
      <c r="AQ542" s="4"/>
      <c r="AR542" s="4"/>
      <c r="AS542" s="4"/>
      <c r="AT542" s="4"/>
      <c r="AU542" s="4"/>
      <c r="AV542" s="537"/>
      <c r="AW542" s="537"/>
      <c r="AX542" s="4"/>
      <c r="AY542" s="4"/>
      <c r="AZ542" s="4"/>
      <c r="BA542" s="4"/>
      <c r="BB542" s="4"/>
      <c r="BC542" s="4"/>
      <c r="BD542" s="4"/>
      <c r="BE542" s="4"/>
      <c r="BF542" s="4"/>
      <c r="BG542" s="4"/>
      <c r="BH542" s="4"/>
      <c r="BI542" s="4"/>
      <c r="BJ542" s="4"/>
      <c r="BK542" s="4"/>
      <c r="BL542" s="4"/>
      <c r="BM542" s="4"/>
      <c r="BN542" s="4"/>
      <c r="BO542" s="4"/>
      <c r="BP542" s="4"/>
      <c r="BQ542" s="4"/>
      <c r="BR542" s="4"/>
    </row>
    <row r="543" spans="1:70" ht="27" customHeight="1" x14ac:dyDescent="0.2">
      <c r="A543" s="532"/>
      <c r="B543" s="917"/>
      <c r="C543" s="4"/>
      <c r="D543" s="917"/>
      <c r="E543" s="4"/>
      <c r="F543" s="917"/>
      <c r="G543" s="4"/>
      <c r="H543" s="920"/>
      <c r="I543" s="3"/>
      <c r="J543" s="920"/>
      <c r="K543" s="3"/>
      <c r="L543" s="920"/>
      <c r="M543" s="3"/>
      <c r="N543" s="920"/>
      <c r="O543" s="3"/>
      <c r="P543" s="3"/>
      <c r="Q543" s="533"/>
      <c r="R543" s="920"/>
      <c r="S543" s="534"/>
      <c r="T543" s="920"/>
      <c r="U543" s="920"/>
      <c r="V543" s="920"/>
      <c r="W543" s="535"/>
      <c r="X543" s="687"/>
      <c r="Y543" s="687"/>
      <c r="Z543" s="687"/>
      <c r="AA543" s="678"/>
      <c r="AB543" s="543"/>
      <c r="AC543" s="3"/>
      <c r="AD543" s="533"/>
      <c r="AE543" s="3"/>
      <c r="AF543" s="4"/>
      <c r="AG543" s="4"/>
      <c r="AH543" s="4"/>
      <c r="AI543" s="4"/>
      <c r="AJ543" s="4"/>
      <c r="AK543" s="4"/>
      <c r="AL543" s="4"/>
      <c r="AM543" s="4"/>
      <c r="AN543" s="4"/>
      <c r="AO543" s="4"/>
      <c r="AP543" s="4"/>
      <c r="AQ543" s="4"/>
      <c r="AR543" s="4"/>
      <c r="AS543" s="4"/>
      <c r="AT543" s="4"/>
      <c r="AU543" s="4"/>
      <c r="AV543" s="537"/>
      <c r="AW543" s="537"/>
      <c r="AX543" s="4"/>
      <c r="AY543" s="4"/>
      <c r="AZ543" s="4"/>
      <c r="BA543" s="4"/>
      <c r="BB543" s="4"/>
      <c r="BC543" s="4"/>
      <c r="BD543" s="4"/>
      <c r="BE543" s="4"/>
      <c r="BF543" s="4"/>
      <c r="BG543" s="4"/>
      <c r="BH543" s="4"/>
      <c r="BI543" s="4"/>
      <c r="BJ543" s="4"/>
      <c r="BK543" s="4"/>
      <c r="BL543" s="4"/>
      <c r="BM543" s="4"/>
      <c r="BN543" s="4"/>
      <c r="BO543" s="4"/>
      <c r="BP543" s="4"/>
      <c r="BQ543" s="4"/>
      <c r="BR543" s="4"/>
    </row>
    <row r="544" spans="1:70" ht="27" customHeight="1" x14ac:dyDescent="0.2">
      <c r="A544" s="532"/>
      <c r="B544" s="917"/>
      <c r="C544" s="4"/>
      <c r="D544" s="917"/>
      <c r="E544" s="4"/>
      <c r="F544" s="917"/>
      <c r="G544" s="4"/>
      <c r="H544" s="920"/>
      <c r="I544" s="3"/>
      <c r="J544" s="920"/>
      <c r="K544" s="3"/>
      <c r="L544" s="920"/>
      <c r="M544" s="3"/>
      <c r="N544" s="920"/>
      <c r="O544" s="3"/>
      <c r="P544" s="3"/>
      <c r="Q544" s="533"/>
      <c r="R544" s="920"/>
      <c r="S544" s="534"/>
      <c r="T544" s="920"/>
      <c r="U544" s="920"/>
      <c r="V544" s="920"/>
      <c r="W544" s="535"/>
      <c r="X544" s="687"/>
      <c r="Y544" s="687"/>
      <c r="Z544" s="687"/>
      <c r="AA544" s="678"/>
      <c r="AB544" s="543"/>
      <c r="AC544" s="3"/>
      <c r="AD544" s="533"/>
      <c r="AE544" s="3"/>
      <c r="AF544" s="4"/>
      <c r="AG544" s="4"/>
      <c r="AH544" s="4"/>
      <c r="AI544" s="4"/>
      <c r="AJ544" s="4"/>
      <c r="AK544" s="4"/>
      <c r="AL544" s="4"/>
      <c r="AM544" s="4"/>
      <c r="AN544" s="4"/>
      <c r="AO544" s="4"/>
      <c r="AP544" s="4"/>
      <c r="AQ544" s="4"/>
      <c r="AR544" s="4"/>
      <c r="AS544" s="4"/>
      <c r="AT544" s="4"/>
      <c r="AU544" s="4"/>
      <c r="AV544" s="537"/>
      <c r="AW544" s="537"/>
      <c r="AX544" s="4"/>
      <c r="AY544" s="4"/>
      <c r="AZ544" s="4"/>
      <c r="BA544" s="4"/>
      <c r="BB544" s="4"/>
      <c r="BC544" s="4"/>
      <c r="BD544" s="4"/>
      <c r="BE544" s="4"/>
      <c r="BF544" s="4"/>
      <c r="BG544" s="4"/>
      <c r="BH544" s="4"/>
      <c r="BI544" s="4"/>
      <c r="BJ544" s="4"/>
      <c r="BK544" s="4"/>
      <c r="BL544" s="4"/>
      <c r="BM544" s="4"/>
      <c r="BN544" s="4"/>
      <c r="BO544" s="4"/>
      <c r="BP544" s="4"/>
      <c r="BQ544" s="4"/>
      <c r="BR544" s="4"/>
    </row>
    <row r="545" spans="1:70" ht="27" customHeight="1" x14ac:dyDescent="0.2">
      <c r="A545" s="532"/>
      <c r="B545" s="917"/>
      <c r="C545" s="4"/>
      <c r="D545" s="917"/>
      <c r="E545" s="4"/>
      <c r="F545" s="917"/>
      <c r="G545" s="4"/>
      <c r="H545" s="920"/>
      <c r="I545" s="3"/>
      <c r="J545" s="920"/>
      <c r="K545" s="3"/>
      <c r="L545" s="920"/>
      <c r="M545" s="3"/>
      <c r="N545" s="920"/>
      <c r="O545" s="3"/>
      <c r="P545" s="3"/>
      <c r="Q545" s="533"/>
      <c r="R545" s="920"/>
      <c r="S545" s="534"/>
      <c r="T545" s="920"/>
      <c r="U545" s="920"/>
      <c r="V545" s="920"/>
      <c r="W545" s="535"/>
      <c r="X545" s="687"/>
      <c r="Y545" s="687"/>
      <c r="Z545" s="687"/>
      <c r="AA545" s="678"/>
      <c r="AB545" s="543"/>
      <c r="AC545" s="3"/>
      <c r="AD545" s="533"/>
      <c r="AE545" s="3"/>
      <c r="AF545" s="4"/>
      <c r="AG545" s="4"/>
      <c r="AH545" s="4"/>
      <c r="AI545" s="4"/>
      <c r="AJ545" s="4"/>
      <c r="AK545" s="4"/>
      <c r="AL545" s="4"/>
      <c r="AM545" s="4"/>
      <c r="AN545" s="4"/>
      <c r="AO545" s="4"/>
      <c r="AP545" s="4"/>
      <c r="AQ545" s="4"/>
      <c r="AR545" s="4"/>
      <c r="AS545" s="4"/>
      <c r="AT545" s="4"/>
      <c r="AU545" s="4"/>
      <c r="AV545" s="537"/>
      <c r="AW545" s="537"/>
      <c r="AX545" s="4"/>
      <c r="AY545" s="4"/>
      <c r="AZ545" s="4"/>
      <c r="BA545" s="4"/>
      <c r="BB545" s="4"/>
      <c r="BC545" s="4"/>
      <c r="BD545" s="4"/>
      <c r="BE545" s="4"/>
      <c r="BF545" s="4"/>
      <c r="BG545" s="4"/>
      <c r="BH545" s="4"/>
      <c r="BI545" s="4"/>
      <c r="BJ545" s="4"/>
      <c r="BK545" s="4"/>
      <c r="BL545" s="4"/>
      <c r="BM545" s="4"/>
      <c r="BN545" s="4"/>
      <c r="BO545" s="4"/>
      <c r="BP545" s="4"/>
      <c r="BQ545" s="4"/>
      <c r="BR545" s="4"/>
    </row>
    <row r="546" spans="1:70" ht="27" customHeight="1" x14ac:dyDescent="0.2">
      <c r="A546" s="532"/>
      <c r="B546" s="917"/>
      <c r="C546" s="4"/>
      <c r="D546" s="917"/>
      <c r="E546" s="4"/>
      <c r="F546" s="917"/>
      <c r="G546" s="4"/>
      <c r="H546" s="920"/>
      <c r="I546" s="3"/>
      <c r="J546" s="920"/>
      <c r="K546" s="3"/>
      <c r="L546" s="920"/>
      <c r="M546" s="3"/>
      <c r="N546" s="920"/>
      <c r="O546" s="3"/>
      <c r="P546" s="3"/>
      <c r="Q546" s="533"/>
      <c r="R546" s="920"/>
      <c r="S546" s="534"/>
      <c r="T546" s="920"/>
      <c r="U546" s="920"/>
      <c r="V546" s="920"/>
      <c r="W546" s="535"/>
      <c r="X546" s="687"/>
      <c r="Y546" s="687"/>
      <c r="Z546" s="687"/>
      <c r="AA546" s="678"/>
      <c r="AB546" s="543"/>
      <c r="AC546" s="3"/>
      <c r="AD546" s="533"/>
      <c r="AE546" s="3"/>
      <c r="AF546" s="4"/>
      <c r="AG546" s="4"/>
      <c r="AH546" s="4"/>
      <c r="AI546" s="4"/>
      <c r="AJ546" s="4"/>
      <c r="AK546" s="4"/>
      <c r="AL546" s="4"/>
      <c r="AM546" s="4"/>
      <c r="AN546" s="4"/>
      <c r="AO546" s="4"/>
      <c r="AP546" s="4"/>
      <c r="AQ546" s="4"/>
      <c r="AR546" s="4"/>
      <c r="AS546" s="4"/>
      <c r="AT546" s="4"/>
      <c r="AU546" s="4"/>
      <c r="AV546" s="537"/>
      <c r="AW546" s="537"/>
      <c r="AX546" s="4"/>
      <c r="AY546" s="4"/>
      <c r="AZ546" s="4"/>
      <c r="BA546" s="4"/>
      <c r="BB546" s="4"/>
      <c r="BC546" s="4"/>
      <c r="BD546" s="4"/>
      <c r="BE546" s="4"/>
      <c r="BF546" s="4"/>
      <c r="BG546" s="4"/>
      <c r="BH546" s="4"/>
      <c r="BI546" s="4"/>
      <c r="BJ546" s="4"/>
      <c r="BK546" s="4"/>
      <c r="BL546" s="4"/>
      <c r="BM546" s="4"/>
      <c r="BN546" s="4"/>
      <c r="BO546" s="4"/>
      <c r="BP546" s="4"/>
      <c r="BQ546" s="4"/>
      <c r="BR546" s="4"/>
    </row>
    <row r="547" spans="1:70" ht="27" customHeight="1" x14ac:dyDescent="0.2">
      <c r="A547" s="532"/>
      <c r="B547" s="917"/>
      <c r="C547" s="4"/>
      <c r="D547" s="917"/>
      <c r="E547" s="4"/>
      <c r="F547" s="917"/>
      <c r="G547" s="4"/>
      <c r="H547" s="920"/>
      <c r="I547" s="3"/>
      <c r="J547" s="920"/>
      <c r="K547" s="3"/>
      <c r="L547" s="920"/>
      <c r="M547" s="3"/>
      <c r="N547" s="920"/>
      <c r="O547" s="3"/>
      <c r="P547" s="3"/>
      <c r="Q547" s="533"/>
      <c r="R547" s="920"/>
      <c r="S547" s="534"/>
      <c r="T547" s="920"/>
      <c r="U547" s="920"/>
      <c r="V547" s="920"/>
      <c r="W547" s="535"/>
      <c r="X547" s="687"/>
      <c r="Y547" s="687"/>
      <c r="Z547" s="687"/>
      <c r="AA547" s="678"/>
      <c r="AB547" s="543"/>
      <c r="AC547" s="3"/>
      <c r="AD547" s="533"/>
      <c r="AE547" s="3"/>
      <c r="AF547" s="4"/>
      <c r="AG547" s="4"/>
      <c r="AH547" s="4"/>
      <c r="AI547" s="4"/>
      <c r="AJ547" s="4"/>
      <c r="AK547" s="4"/>
      <c r="AL547" s="4"/>
      <c r="AM547" s="4"/>
      <c r="AN547" s="4"/>
      <c r="AO547" s="4"/>
      <c r="AP547" s="4"/>
      <c r="AQ547" s="4"/>
      <c r="AR547" s="4"/>
      <c r="AS547" s="4"/>
      <c r="AT547" s="4"/>
      <c r="AU547" s="4"/>
      <c r="AV547" s="537"/>
      <c r="AW547" s="537"/>
      <c r="AX547" s="4"/>
      <c r="AY547" s="4"/>
      <c r="AZ547" s="4"/>
      <c r="BA547" s="4"/>
      <c r="BB547" s="4"/>
      <c r="BC547" s="4"/>
      <c r="BD547" s="4"/>
      <c r="BE547" s="4"/>
      <c r="BF547" s="4"/>
      <c r="BG547" s="4"/>
      <c r="BH547" s="4"/>
      <c r="BI547" s="4"/>
      <c r="BJ547" s="4"/>
      <c r="BK547" s="4"/>
      <c r="BL547" s="4"/>
      <c r="BM547" s="4"/>
      <c r="BN547" s="4"/>
      <c r="BO547" s="4"/>
      <c r="BP547" s="4"/>
      <c r="BQ547" s="4"/>
      <c r="BR547" s="4"/>
    </row>
    <row r="548" spans="1:70" ht="27" customHeight="1" x14ac:dyDescent="0.2">
      <c r="A548" s="532"/>
      <c r="B548" s="917"/>
      <c r="C548" s="4"/>
      <c r="D548" s="917"/>
      <c r="E548" s="4"/>
      <c r="F548" s="917"/>
      <c r="G548" s="4"/>
      <c r="H548" s="920"/>
      <c r="I548" s="3"/>
      <c r="J548" s="920"/>
      <c r="K548" s="3"/>
      <c r="L548" s="920"/>
      <c r="M548" s="3"/>
      <c r="N548" s="920"/>
      <c r="O548" s="3"/>
      <c r="P548" s="3"/>
      <c r="Q548" s="533"/>
      <c r="R548" s="920"/>
      <c r="S548" s="534"/>
      <c r="T548" s="920"/>
      <c r="U548" s="920"/>
      <c r="V548" s="920"/>
      <c r="W548" s="535"/>
      <c r="X548" s="687"/>
      <c r="Y548" s="687"/>
      <c r="Z548" s="687"/>
      <c r="AA548" s="678"/>
      <c r="AB548" s="543"/>
      <c r="AC548" s="3"/>
      <c r="AD548" s="533"/>
      <c r="AE548" s="3"/>
      <c r="AF548" s="4"/>
      <c r="AG548" s="4"/>
      <c r="AH548" s="4"/>
      <c r="AI548" s="4"/>
      <c r="AJ548" s="4"/>
      <c r="AK548" s="4"/>
      <c r="AL548" s="4"/>
      <c r="AM548" s="4"/>
      <c r="AN548" s="4"/>
      <c r="AO548" s="4"/>
      <c r="AP548" s="4"/>
      <c r="AQ548" s="4"/>
      <c r="AR548" s="4"/>
      <c r="AS548" s="4"/>
      <c r="AT548" s="4"/>
      <c r="AU548" s="4"/>
      <c r="AV548" s="537"/>
      <c r="AW548" s="537"/>
      <c r="AX548" s="4"/>
      <c r="AY548" s="4"/>
      <c r="AZ548" s="4"/>
      <c r="BA548" s="4"/>
      <c r="BB548" s="4"/>
      <c r="BC548" s="4"/>
      <c r="BD548" s="4"/>
      <c r="BE548" s="4"/>
      <c r="BF548" s="4"/>
      <c r="BG548" s="4"/>
      <c r="BH548" s="4"/>
      <c r="BI548" s="4"/>
      <c r="BJ548" s="4"/>
      <c r="BK548" s="4"/>
      <c r="BL548" s="4"/>
      <c r="BM548" s="4"/>
      <c r="BN548" s="4"/>
      <c r="BO548" s="4"/>
      <c r="BP548" s="4"/>
      <c r="BQ548" s="4"/>
      <c r="BR548" s="4"/>
    </row>
    <row r="549" spans="1:70" ht="27" customHeight="1" x14ac:dyDescent="0.2">
      <c r="A549" s="532"/>
      <c r="B549" s="917"/>
      <c r="C549" s="4"/>
      <c r="D549" s="917"/>
      <c r="E549" s="4"/>
      <c r="F549" s="917"/>
      <c r="G549" s="4"/>
      <c r="H549" s="920"/>
      <c r="I549" s="3"/>
      <c r="J549" s="920"/>
      <c r="K549" s="3"/>
      <c r="L549" s="920"/>
      <c r="M549" s="3"/>
      <c r="N549" s="920"/>
      <c r="O549" s="3"/>
      <c r="P549" s="3"/>
      <c r="Q549" s="533"/>
      <c r="R549" s="920"/>
      <c r="S549" s="534"/>
      <c r="T549" s="920"/>
      <c r="U549" s="920"/>
      <c r="V549" s="920"/>
      <c r="W549" s="535"/>
      <c r="X549" s="687"/>
      <c r="Y549" s="687"/>
      <c r="Z549" s="687"/>
      <c r="AA549" s="678"/>
      <c r="AB549" s="543"/>
      <c r="AC549" s="3"/>
      <c r="AD549" s="533"/>
      <c r="AE549" s="3"/>
      <c r="AF549" s="4"/>
      <c r="AG549" s="4"/>
      <c r="AH549" s="4"/>
      <c r="AI549" s="4"/>
      <c r="AJ549" s="4"/>
      <c r="AK549" s="4"/>
      <c r="AL549" s="4"/>
      <c r="AM549" s="4"/>
      <c r="AN549" s="4"/>
      <c r="AO549" s="4"/>
      <c r="AP549" s="4"/>
      <c r="AQ549" s="4"/>
      <c r="AR549" s="4"/>
      <c r="AS549" s="4"/>
      <c r="AT549" s="4"/>
      <c r="AU549" s="4"/>
      <c r="AV549" s="537"/>
      <c r="AW549" s="537"/>
      <c r="AX549" s="4"/>
      <c r="AY549" s="4"/>
      <c r="AZ549" s="4"/>
      <c r="BA549" s="4"/>
      <c r="BB549" s="4"/>
      <c r="BC549" s="4"/>
      <c r="BD549" s="4"/>
      <c r="BE549" s="4"/>
      <c r="BF549" s="4"/>
      <c r="BG549" s="4"/>
      <c r="BH549" s="4"/>
      <c r="BI549" s="4"/>
      <c r="BJ549" s="4"/>
      <c r="BK549" s="4"/>
      <c r="BL549" s="4"/>
      <c r="BM549" s="4"/>
      <c r="BN549" s="4"/>
      <c r="BO549" s="4"/>
      <c r="BP549" s="4"/>
      <c r="BQ549" s="4"/>
      <c r="BR549" s="4"/>
    </row>
    <row r="550" spans="1:70" ht="27" customHeight="1" x14ac:dyDescent="0.2">
      <c r="A550" s="532"/>
      <c r="B550" s="917"/>
      <c r="C550" s="4"/>
      <c r="D550" s="917"/>
      <c r="E550" s="4"/>
      <c r="F550" s="917"/>
      <c r="G550" s="4"/>
      <c r="H550" s="920"/>
      <c r="I550" s="3"/>
      <c r="J550" s="920"/>
      <c r="K550" s="3"/>
      <c r="L550" s="920"/>
      <c r="M550" s="3"/>
      <c r="N550" s="920"/>
      <c r="O550" s="3"/>
      <c r="P550" s="3"/>
      <c r="Q550" s="533"/>
      <c r="R550" s="920"/>
      <c r="S550" s="534"/>
      <c r="T550" s="920"/>
      <c r="U550" s="920"/>
      <c r="V550" s="920"/>
      <c r="W550" s="535"/>
      <c r="X550" s="687"/>
      <c r="Y550" s="687"/>
      <c r="Z550" s="687"/>
      <c r="AA550" s="678"/>
      <c r="AB550" s="543"/>
      <c r="AC550" s="3"/>
      <c r="AD550" s="533"/>
      <c r="AE550" s="3"/>
      <c r="AF550" s="4"/>
      <c r="AG550" s="4"/>
      <c r="AH550" s="4"/>
      <c r="AI550" s="4"/>
      <c r="AJ550" s="4"/>
      <c r="AK550" s="4"/>
      <c r="AL550" s="4"/>
      <c r="AM550" s="4"/>
      <c r="AN550" s="4"/>
      <c r="AO550" s="4"/>
      <c r="AP550" s="4"/>
      <c r="AQ550" s="4"/>
      <c r="AR550" s="4"/>
      <c r="AS550" s="4"/>
      <c r="AT550" s="4"/>
      <c r="AU550" s="4"/>
      <c r="AV550" s="537"/>
      <c r="AW550" s="537"/>
      <c r="AX550" s="4"/>
      <c r="AY550" s="4"/>
      <c r="AZ550" s="4"/>
      <c r="BA550" s="4"/>
      <c r="BB550" s="4"/>
      <c r="BC550" s="4"/>
      <c r="BD550" s="4"/>
      <c r="BE550" s="4"/>
      <c r="BF550" s="4"/>
      <c r="BG550" s="4"/>
      <c r="BH550" s="4"/>
      <c r="BI550" s="4"/>
      <c r="BJ550" s="4"/>
      <c r="BK550" s="4"/>
      <c r="BL550" s="4"/>
      <c r="BM550" s="4"/>
      <c r="BN550" s="4"/>
      <c r="BO550" s="4"/>
      <c r="BP550" s="4"/>
      <c r="BQ550" s="4"/>
      <c r="BR550" s="4"/>
    </row>
    <row r="551" spans="1:70" ht="27" customHeight="1" x14ac:dyDescent="0.2">
      <c r="A551" s="532"/>
      <c r="B551" s="917"/>
      <c r="C551" s="4"/>
      <c r="D551" s="917"/>
      <c r="E551" s="4"/>
      <c r="F551" s="917"/>
      <c r="G551" s="4"/>
      <c r="H551" s="920"/>
      <c r="I551" s="3"/>
      <c r="J551" s="920"/>
      <c r="K551" s="3"/>
      <c r="L551" s="920"/>
      <c r="M551" s="3"/>
      <c r="N551" s="920"/>
      <c r="O551" s="3"/>
      <c r="P551" s="3"/>
      <c r="Q551" s="533"/>
      <c r="R551" s="920"/>
      <c r="S551" s="534"/>
      <c r="T551" s="920"/>
      <c r="U551" s="920"/>
      <c r="V551" s="920"/>
      <c r="W551" s="535"/>
      <c r="X551" s="687"/>
      <c r="Y551" s="687"/>
      <c r="Z551" s="687"/>
      <c r="AA551" s="678"/>
      <c r="AB551" s="543"/>
      <c r="AC551" s="3"/>
      <c r="AD551" s="533"/>
      <c r="AE551" s="3"/>
      <c r="AF551" s="4"/>
      <c r="AG551" s="4"/>
      <c r="AH551" s="4"/>
      <c r="AI551" s="4"/>
      <c r="AJ551" s="4"/>
      <c r="AK551" s="4"/>
      <c r="AL551" s="4"/>
      <c r="AM551" s="4"/>
      <c r="AN551" s="4"/>
      <c r="AO551" s="4"/>
      <c r="AP551" s="4"/>
      <c r="AQ551" s="4"/>
      <c r="AR551" s="4"/>
      <c r="AS551" s="4"/>
      <c r="AT551" s="4"/>
      <c r="AU551" s="4"/>
      <c r="AV551" s="537"/>
      <c r="AW551" s="537"/>
      <c r="AX551" s="4"/>
      <c r="AY551" s="4"/>
      <c r="AZ551" s="4"/>
      <c r="BA551" s="4"/>
      <c r="BB551" s="4"/>
      <c r="BC551" s="4"/>
      <c r="BD551" s="4"/>
      <c r="BE551" s="4"/>
      <c r="BF551" s="4"/>
      <c r="BG551" s="4"/>
      <c r="BH551" s="4"/>
      <c r="BI551" s="4"/>
      <c r="BJ551" s="4"/>
      <c r="BK551" s="4"/>
      <c r="BL551" s="4"/>
      <c r="BM551" s="4"/>
      <c r="BN551" s="4"/>
      <c r="BO551" s="4"/>
      <c r="BP551" s="4"/>
      <c r="BQ551" s="4"/>
      <c r="BR551" s="4"/>
    </row>
    <row r="552" spans="1:70" ht="27" customHeight="1" x14ac:dyDescent="0.2">
      <c r="A552" s="532"/>
      <c r="B552" s="917"/>
      <c r="C552" s="4"/>
      <c r="D552" s="917"/>
      <c r="E552" s="4"/>
      <c r="F552" s="917"/>
      <c r="G552" s="4"/>
      <c r="H552" s="920"/>
      <c r="I552" s="3"/>
      <c r="J552" s="920"/>
      <c r="K552" s="3"/>
      <c r="L552" s="920"/>
      <c r="M552" s="3"/>
      <c r="N552" s="920"/>
      <c r="O552" s="3"/>
      <c r="P552" s="3"/>
      <c r="Q552" s="533"/>
      <c r="R552" s="920"/>
      <c r="S552" s="534"/>
      <c r="T552" s="920"/>
      <c r="U552" s="920"/>
      <c r="V552" s="920"/>
      <c r="W552" s="535"/>
      <c r="X552" s="687"/>
      <c r="Y552" s="687"/>
      <c r="Z552" s="687"/>
      <c r="AA552" s="678"/>
      <c r="AB552" s="543"/>
      <c r="AC552" s="3"/>
      <c r="AD552" s="533"/>
      <c r="AE552" s="3"/>
      <c r="AF552" s="4"/>
      <c r="AG552" s="4"/>
      <c r="AH552" s="4"/>
      <c r="AI552" s="4"/>
      <c r="AJ552" s="4"/>
      <c r="AK552" s="4"/>
      <c r="AL552" s="4"/>
      <c r="AM552" s="4"/>
      <c r="AN552" s="4"/>
      <c r="AO552" s="4"/>
      <c r="AP552" s="4"/>
      <c r="AQ552" s="4"/>
      <c r="AR552" s="4"/>
      <c r="AS552" s="4"/>
      <c r="AT552" s="4"/>
      <c r="AU552" s="4"/>
      <c r="AV552" s="537"/>
      <c r="AW552" s="537"/>
      <c r="AX552" s="4"/>
      <c r="AY552" s="4"/>
      <c r="AZ552" s="4"/>
      <c r="BA552" s="4"/>
      <c r="BB552" s="4"/>
      <c r="BC552" s="4"/>
      <c r="BD552" s="4"/>
      <c r="BE552" s="4"/>
      <c r="BF552" s="4"/>
      <c r="BG552" s="4"/>
      <c r="BH552" s="4"/>
      <c r="BI552" s="4"/>
      <c r="BJ552" s="4"/>
      <c r="BK552" s="4"/>
      <c r="BL552" s="4"/>
      <c r="BM552" s="4"/>
      <c r="BN552" s="4"/>
      <c r="BO552" s="4"/>
      <c r="BP552" s="4"/>
      <c r="BQ552" s="4"/>
      <c r="BR552" s="4"/>
    </row>
    <row r="553" spans="1:70" ht="27" customHeight="1" x14ac:dyDescent="0.2">
      <c r="A553" s="532"/>
      <c r="B553" s="917"/>
      <c r="C553" s="4"/>
      <c r="D553" s="917"/>
      <c r="E553" s="4"/>
      <c r="F553" s="917"/>
      <c r="G553" s="4"/>
      <c r="H553" s="920"/>
      <c r="I553" s="3"/>
      <c r="J553" s="920"/>
      <c r="K553" s="3"/>
      <c r="L553" s="920"/>
      <c r="M553" s="3"/>
      <c r="N553" s="920"/>
      <c r="O553" s="3"/>
      <c r="P553" s="3"/>
      <c r="Q553" s="533"/>
      <c r="R553" s="920"/>
      <c r="S553" s="534"/>
      <c r="T553" s="920"/>
      <c r="U553" s="920"/>
      <c r="V553" s="920"/>
      <c r="W553" s="535"/>
      <c r="X553" s="687"/>
      <c r="Y553" s="687"/>
      <c r="Z553" s="687"/>
      <c r="AA553" s="678"/>
      <c r="AB553" s="543"/>
      <c r="AC553" s="3"/>
      <c r="AD553" s="533"/>
      <c r="AE553" s="3"/>
      <c r="AF553" s="4"/>
      <c r="AG553" s="4"/>
      <c r="AH553" s="4"/>
      <c r="AI553" s="4"/>
      <c r="AJ553" s="4"/>
      <c r="AK553" s="4"/>
      <c r="AL553" s="4"/>
      <c r="AM553" s="4"/>
      <c r="AN553" s="4"/>
      <c r="AO553" s="4"/>
      <c r="AP553" s="4"/>
      <c r="AQ553" s="4"/>
      <c r="AR553" s="4"/>
      <c r="AS553" s="4"/>
      <c r="AT553" s="4"/>
      <c r="AU553" s="4"/>
      <c r="AV553" s="537"/>
      <c r="AW553" s="537"/>
      <c r="AX553" s="4"/>
      <c r="AY553" s="4"/>
      <c r="AZ553" s="4"/>
      <c r="BA553" s="4"/>
      <c r="BB553" s="4"/>
      <c r="BC553" s="4"/>
      <c r="BD553" s="4"/>
      <c r="BE553" s="4"/>
      <c r="BF553" s="4"/>
      <c r="BG553" s="4"/>
      <c r="BH553" s="4"/>
      <c r="BI553" s="4"/>
      <c r="BJ553" s="4"/>
      <c r="BK553" s="4"/>
      <c r="BL553" s="4"/>
      <c r="BM553" s="4"/>
      <c r="BN553" s="4"/>
      <c r="BO553" s="4"/>
      <c r="BP553" s="4"/>
      <c r="BQ553" s="4"/>
      <c r="BR553" s="4"/>
    </row>
    <row r="554" spans="1:70" ht="27" customHeight="1" x14ac:dyDescent="0.2">
      <c r="A554" s="532"/>
      <c r="B554" s="917"/>
      <c r="C554" s="4"/>
      <c r="D554" s="917"/>
      <c r="E554" s="4"/>
      <c r="F554" s="917"/>
      <c r="G554" s="4"/>
      <c r="H554" s="920"/>
      <c r="I554" s="3"/>
      <c r="J554" s="920"/>
      <c r="K554" s="3"/>
      <c r="L554" s="920"/>
      <c r="M554" s="3"/>
      <c r="N554" s="920"/>
      <c r="O554" s="3"/>
      <c r="P554" s="3"/>
      <c r="Q554" s="533"/>
      <c r="R554" s="920"/>
      <c r="S554" s="534"/>
      <c r="T554" s="920"/>
      <c r="U554" s="920"/>
      <c r="V554" s="920"/>
      <c r="W554" s="535"/>
      <c r="X554" s="687"/>
      <c r="Y554" s="687"/>
      <c r="Z554" s="687"/>
      <c r="AA554" s="678"/>
      <c r="AB554" s="543"/>
      <c r="AC554" s="3"/>
      <c r="AD554" s="533"/>
      <c r="AE554" s="3"/>
      <c r="AF554" s="4"/>
      <c r="AG554" s="4"/>
      <c r="AH554" s="4"/>
      <c r="AI554" s="4"/>
      <c r="AJ554" s="4"/>
      <c r="AK554" s="4"/>
      <c r="AL554" s="4"/>
      <c r="AM554" s="4"/>
      <c r="AN554" s="4"/>
      <c r="AO554" s="4"/>
      <c r="AP554" s="4"/>
      <c r="AQ554" s="4"/>
      <c r="AR554" s="4"/>
      <c r="AS554" s="4"/>
      <c r="AT554" s="4"/>
      <c r="AU554" s="4"/>
      <c r="AV554" s="537"/>
      <c r="AW554" s="537"/>
      <c r="AX554" s="4"/>
      <c r="AY554" s="4"/>
      <c r="AZ554" s="4"/>
      <c r="BA554" s="4"/>
      <c r="BB554" s="4"/>
      <c r="BC554" s="4"/>
      <c r="BD554" s="4"/>
      <c r="BE554" s="4"/>
      <c r="BF554" s="4"/>
      <c r="BG554" s="4"/>
      <c r="BH554" s="4"/>
      <c r="BI554" s="4"/>
      <c r="BJ554" s="4"/>
      <c r="BK554" s="4"/>
      <c r="BL554" s="4"/>
      <c r="BM554" s="4"/>
      <c r="BN554" s="4"/>
      <c r="BO554" s="4"/>
      <c r="BP554" s="4"/>
      <c r="BQ554" s="4"/>
      <c r="BR554" s="4"/>
    </row>
    <row r="555" spans="1:70" ht="27" customHeight="1" x14ac:dyDescent="0.2">
      <c r="A555" s="532"/>
      <c r="B555" s="917"/>
      <c r="C555" s="4"/>
      <c r="D555" s="917"/>
      <c r="E555" s="4"/>
      <c r="F555" s="917"/>
      <c r="G555" s="4"/>
      <c r="H555" s="920"/>
      <c r="I555" s="3"/>
      <c r="J555" s="920"/>
      <c r="K555" s="3"/>
      <c r="L555" s="920"/>
      <c r="M555" s="3"/>
      <c r="N555" s="920"/>
      <c r="O555" s="3"/>
      <c r="P555" s="3"/>
      <c r="Q555" s="533"/>
      <c r="R555" s="920"/>
      <c r="S555" s="534"/>
      <c r="T555" s="920"/>
      <c r="U555" s="920"/>
      <c r="V555" s="920"/>
      <c r="W555" s="535"/>
      <c r="X555" s="687"/>
      <c r="Y555" s="687"/>
      <c r="Z555" s="687"/>
      <c r="AA555" s="678"/>
      <c r="AB555" s="543"/>
      <c r="AC555" s="3"/>
      <c r="AD555" s="533"/>
      <c r="AE555" s="3"/>
      <c r="AF555" s="4"/>
      <c r="AG555" s="4"/>
      <c r="AH555" s="4"/>
      <c r="AI555" s="4"/>
      <c r="AJ555" s="4"/>
      <c r="AK555" s="4"/>
      <c r="AL555" s="4"/>
      <c r="AM555" s="4"/>
      <c r="AN555" s="4"/>
      <c r="AO555" s="4"/>
      <c r="AP555" s="4"/>
      <c r="AQ555" s="4"/>
      <c r="AR555" s="4"/>
      <c r="AS555" s="4"/>
      <c r="AT555" s="4"/>
      <c r="AU555" s="4"/>
      <c r="AV555" s="537"/>
      <c r="AW555" s="537"/>
      <c r="AX555" s="4"/>
      <c r="AY555" s="4"/>
      <c r="AZ555" s="4"/>
      <c r="BA555" s="4"/>
      <c r="BB555" s="4"/>
      <c r="BC555" s="4"/>
      <c r="BD555" s="4"/>
      <c r="BE555" s="4"/>
      <c r="BF555" s="4"/>
      <c r="BG555" s="4"/>
      <c r="BH555" s="4"/>
      <c r="BI555" s="4"/>
      <c r="BJ555" s="4"/>
      <c r="BK555" s="4"/>
      <c r="BL555" s="4"/>
      <c r="BM555" s="4"/>
      <c r="BN555" s="4"/>
      <c r="BO555" s="4"/>
      <c r="BP555" s="4"/>
      <c r="BQ555" s="4"/>
      <c r="BR555" s="4"/>
    </row>
    <row r="556" spans="1:70" ht="27" customHeight="1" x14ac:dyDescent="0.2">
      <c r="A556" s="532"/>
      <c r="B556" s="917"/>
      <c r="C556" s="4"/>
      <c r="D556" s="917"/>
      <c r="E556" s="4"/>
      <c r="F556" s="917"/>
      <c r="G556" s="4"/>
      <c r="H556" s="920"/>
      <c r="I556" s="3"/>
      <c r="J556" s="920"/>
      <c r="K556" s="3"/>
      <c r="L556" s="920"/>
      <c r="M556" s="3"/>
      <c r="N556" s="920"/>
      <c r="O556" s="3"/>
      <c r="P556" s="3"/>
      <c r="Q556" s="533"/>
      <c r="R556" s="920"/>
      <c r="S556" s="534"/>
      <c r="T556" s="920"/>
      <c r="U556" s="920"/>
      <c r="V556" s="920"/>
      <c r="W556" s="535"/>
      <c r="X556" s="687"/>
      <c r="Y556" s="687"/>
      <c r="Z556" s="687"/>
      <c r="AA556" s="678"/>
      <c r="AB556" s="543"/>
      <c r="AC556" s="3"/>
      <c r="AD556" s="533"/>
      <c r="AE556" s="3"/>
      <c r="AF556" s="4"/>
      <c r="AG556" s="4"/>
      <c r="AH556" s="4"/>
      <c r="AI556" s="4"/>
      <c r="AJ556" s="4"/>
      <c r="AK556" s="4"/>
      <c r="AL556" s="4"/>
      <c r="AM556" s="4"/>
      <c r="AN556" s="4"/>
      <c r="AO556" s="4"/>
      <c r="AP556" s="4"/>
      <c r="AQ556" s="4"/>
      <c r="AR556" s="4"/>
      <c r="AS556" s="4"/>
      <c r="AT556" s="4"/>
      <c r="AU556" s="4"/>
      <c r="AV556" s="537"/>
      <c r="AW556" s="537"/>
      <c r="AX556" s="4"/>
      <c r="AY556" s="4"/>
      <c r="AZ556" s="4"/>
      <c r="BA556" s="4"/>
      <c r="BB556" s="4"/>
      <c r="BC556" s="4"/>
      <c r="BD556" s="4"/>
      <c r="BE556" s="4"/>
      <c r="BF556" s="4"/>
      <c r="BG556" s="4"/>
      <c r="BH556" s="4"/>
      <c r="BI556" s="4"/>
      <c r="BJ556" s="4"/>
      <c r="BK556" s="4"/>
      <c r="BL556" s="4"/>
      <c r="BM556" s="4"/>
      <c r="BN556" s="4"/>
      <c r="BO556" s="4"/>
      <c r="BP556" s="4"/>
      <c r="BQ556" s="4"/>
      <c r="BR556" s="4"/>
    </row>
    <row r="557" spans="1:70" ht="27" customHeight="1" x14ac:dyDescent="0.2">
      <c r="A557" s="532"/>
      <c r="B557" s="917"/>
      <c r="C557" s="4"/>
      <c r="D557" s="917"/>
      <c r="E557" s="4"/>
      <c r="F557" s="917"/>
      <c r="G557" s="4"/>
      <c r="H557" s="920"/>
      <c r="I557" s="3"/>
      <c r="J557" s="920"/>
      <c r="K557" s="3"/>
      <c r="L557" s="920"/>
      <c r="M557" s="3"/>
      <c r="N557" s="920"/>
      <c r="O557" s="3"/>
      <c r="P557" s="3"/>
      <c r="Q557" s="533"/>
      <c r="R557" s="920"/>
      <c r="S557" s="534"/>
      <c r="T557" s="920"/>
      <c r="U557" s="920"/>
      <c r="V557" s="920"/>
      <c r="W557" s="535"/>
      <c r="X557" s="687"/>
      <c r="Y557" s="687"/>
      <c r="Z557" s="687"/>
      <c r="AA557" s="678"/>
      <c r="AB557" s="543"/>
      <c r="AC557" s="3"/>
      <c r="AD557" s="533"/>
      <c r="AE557" s="3"/>
      <c r="AF557" s="4"/>
      <c r="AG557" s="4"/>
      <c r="AH557" s="4"/>
      <c r="AI557" s="4"/>
      <c r="AJ557" s="4"/>
      <c r="AK557" s="4"/>
      <c r="AL557" s="4"/>
      <c r="AM557" s="4"/>
      <c r="AN557" s="4"/>
      <c r="AO557" s="4"/>
      <c r="AP557" s="4"/>
      <c r="AQ557" s="4"/>
      <c r="AR557" s="4"/>
      <c r="AS557" s="4"/>
      <c r="AT557" s="4"/>
      <c r="AU557" s="4"/>
      <c r="AV557" s="537"/>
      <c r="AW557" s="537"/>
      <c r="AX557" s="4"/>
      <c r="AY557" s="4"/>
      <c r="AZ557" s="4"/>
      <c r="BA557" s="4"/>
      <c r="BB557" s="4"/>
      <c r="BC557" s="4"/>
      <c r="BD557" s="4"/>
      <c r="BE557" s="4"/>
      <c r="BF557" s="4"/>
      <c r="BG557" s="4"/>
      <c r="BH557" s="4"/>
      <c r="BI557" s="4"/>
      <c r="BJ557" s="4"/>
      <c r="BK557" s="4"/>
      <c r="BL557" s="4"/>
      <c r="BM557" s="4"/>
      <c r="BN557" s="4"/>
      <c r="BO557" s="4"/>
      <c r="BP557" s="4"/>
      <c r="BQ557" s="4"/>
      <c r="BR557" s="4"/>
    </row>
    <row r="558" spans="1:70" ht="27" customHeight="1" x14ac:dyDescent="0.2">
      <c r="A558" s="532"/>
      <c r="B558" s="917"/>
      <c r="C558" s="4"/>
      <c r="D558" s="917"/>
      <c r="E558" s="4"/>
      <c r="F558" s="917"/>
      <c r="G558" s="4"/>
      <c r="H558" s="920"/>
      <c r="I558" s="3"/>
      <c r="J558" s="920"/>
      <c r="K558" s="3"/>
      <c r="L558" s="920"/>
      <c r="M558" s="3"/>
      <c r="N558" s="920"/>
      <c r="O558" s="3"/>
      <c r="P558" s="3"/>
      <c r="Q558" s="533"/>
      <c r="R558" s="920"/>
      <c r="S558" s="534"/>
      <c r="T558" s="920"/>
      <c r="U558" s="920"/>
      <c r="V558" s="920"/>
      <c r="W558" s="535"/>
      <c r="X558" s="687"/>
      <c r="Y558" s="687"/>
      <c r="Z558" s="687"/>
      <c r="AA558" s="678"/>
      <c r="AB558" s="543"/>
      <c r="AC558" s="3"/>
      <c r="AD558" s="533"/>
      <c r="AE558" s="3"/>
      <c r="AF558" s="4"/>
      <c r="AG558" s="4"/>
      <c r="AH558" s="4"/>
      <c r="AI558" s="4"/>
      <c r="AJ558" s="4"/>
      <c r="AK558" s="4"/>
      <c r="AL558" s="4"/>
      <c r="AM558" s="4"/>
      <c r="AN558" s="4"/>
      <c r="AO558" s="4"/>
      <c r="AP558" s="4"/>
      <c r="AQ558" s="4"/>
      <c r="AR558" s="4"/>
      <c r="AS558" s="4"/>
      <c r="AT558" s="4"/>
      <c r="AU558" s="4"/>
      <c r="AV558" s="537"/>
      <c r="AW558" s="537"/>
      <c r="AX558" s="4"/>
      <c r="AY558" s="4"/>
      <c r="AZ558" s="4"/>
      <c r="BA558" s="4"/>
      <c r="BB558" s="4"/>
      <c r="BC558" s="4"/>
      <c r="BD558" s="4"/>
      <c r="BE558" s="4"/>
      <c r="BF558" s="4"/>
      <c r="BG558" s="4"/>
      <c r="BH558" s="4"/>
      <c r="BI558" s="4"/>
      <c r="BJ558" s="4"/>
      <c r="BK558" s="4"/>
      <c r="BL558" s="4"/>
      <c r="BM558" s="4"/>
      <c r="BN558" s="4"/>
      <c r="BO558" s="4"/>
      <c r="BP558" s="4"/>
      <c r="BQ558" s="4"/>
      <c r="BR558" s="4"/>
    </row>
    <row r="559" spans="1:70" ht="27" customHeight="1" x14ac:dyDescent="0.2">
      <c r="A559" s="532"/>
      <c r="B559" s="917"/>
      <c r="C559" s="4"/>
      <c r="D559" s="917"/>
      <c r="E559" s="4"/>
      <c r="F559" s="917"/>
      <c r="G559" s="4"/>
      <c r="H559" s="920"/>
      <c r="I559" s="3"/>
      <c r="J559" s="920"/>
      <c r="K559" s="3"/>
      <c r="L559" s="920"/>
      <c r="M559" s="3"/>
      <c r="N559" s="920"/>
      <c r="O559" s="3"/>
      <c r="P559" s="3"/>
      <c r="Q559" s="533"/>
      <c r="R559" s="920"/>
      <c r="S559" s="534"/>
      <c r="T559" s="920"/>
      <c r="U559" s="920"/>
      <c r="V559" s="920"/>
      <c r="W559" s="535"/>
      <c r="X559" s="687"/>
      <c r="Y559" s="687"/>
      <c r="Z559" s="687"/>
      <c r="AA559" s="678"/>
      <c r="AB559" s="543"/>
      <c r="AC559" s="3"/>
      <c r="AD559" s="533"/>
      <c r="AE559" s="3"/>
      <c r="AF559" s="4"/>
      <c r="AG559" s="4"/>
      <c r="AH559" s="4"/>
      <c r="AI559" s="4"/>
      <c r="AJ559" s="4"/>
      <c r="AK559" s="4"/>
      <c r="AL559" s="4"/>
      <c r="AM559" s="4"/>
      <c r="AN559" s="4"/>
      <c r="AO559" s="4"/>
      <c r="AP559" s="4"/>
      <c r="AQ559" s="4"/>
      <c r="AR559" s="4"/>
      <c r="AS559" s="4"/>
      <c r="AT559" s="4"/>
      <c r="AU559" s="4"/>
      <c r="AV559" s="537"/>
      <c r="AW559" s="537"/>
      <c r="AX559" s="4"/>
      <c r="AY559" s="4"/>
      <c r="AZ559" s="4"/>
      <c r="BA559" s="4"/>
      <c r="BB559" s="4"/>
      <c r="BC559" s="4"/>
      <c r="BD559" s="4"/>
      <c r="BE559" s="4"/>
      <c r="BF559" s="4"/>
      <c r="BG559" s="4"/>
      <c r="BH559" s="4"/>
      <c r="BI559" s="4"/>
      <c r="BJ559" s="4"/>
      <c r="BK559" s="4"/>
      <c r="BL559" s="4"/>
      <c r="BM559" s="4"/>
      <c r="BN559" s="4"/>
      <c r="BO559" s="4"/>
      <c r="BP559" s="4"/>
      <c r="BQ559" s="4"/>
      <c r="BR559" s="4"/>
    </row>
    <row r="560" spans="1:70" ht="27" customHeight="1" x14ac:dyDescent="0.2">
      <c r="A560" s="532"/>
      <c r="B560" s="917"/>
      <c r="C560" s="4"/>
      <c r="D560" s="917"/>
      <c r="E560" s="4"/>
      <c r="F560" s="917"/>
      <c r="G560" s="4"/>
      <c r="H560" s="920"/>
      <c r="I560" s="3"/>
      <c r="J560" s="920"/>
      <c r="K560" s="3"/>
      <c r="L560" s="920"/>
      <c r="M560" s="3"/>
      <c r="N560" s="920"/>
      <c r="O560" s="3"/>
      <c r="P560" s="3"/>
      <c r="Q560" s="533"/>
      <c r="R560" s="920"/>
      <c r="S560" s="534"/>
      <c r="T560" s="920"/>
      <c r="U560" s="920"/>
      <c r="V560" s="920"/>
      <c r="W560" s="535"/>
      <c r="X560" s="687"/>
      <c r="Y560" s="687"/>
      <c r="Z560" s="687"/>
      <c r="AA560" s="678"/>
      <c r="AB560" s="543"/>
      <c r="AC560" s="3"/>
      <c r="AD560" s="533"/>
      <c r="AE560" s="3"/>
      <c r="AF560" s="4"/>
      <c r="AG560" s="4"/>
      <c r="AH560" s="4"/>
      <c r="AI560" s="4"/>
      <c r="AJ560" s="4"/>
      <c r="AK560" s="4"/>
      <c r="AL560" s="4"/>
      <c r="AM560" s="4"/>
      <c r="AN560" s="4"/>
      <c r="AO560" s="4"/>
      <c r="AP560" s="4"/>
      <c r="AQ560" s="4"/>
      <c r="AR560" s="4"/>
      <c r="AS560" s="4"/>
      <c r="AT560" s="4"/>
      <c r="AU560" s="4"/>
      <c r="AV560" s="537"/>
      <c r="AW560" s="537"/>
      <c r="AX560" s="4"/>
      <c r="AY560" s="4"/>
      <c r="AZ560" s="4"/>
      <c r="BA560" s="4"/>
      <c r="BB560" s="4"/>
      <c r="BC560" s="4"/>
      <c r="BD560" s="4"/>
      <c r="BE560" s="4"/>
      <c r="BF560" s="4"/>
      <c r="BG560" s="4"/>
      <c r="BH560" s="4"/>
      <c r="BI560" s="4"/>
      <c r="BJ560" s="4"/>
      <c r="BK560" s="4"/>
      <c r="BL560" s="4"/>
      <c r="BM560" s="4"/>
      <c r="BN560" s="4"/>
      <c r="BO560" s="4"/>
      <c r="BP560" s="4"/>
      <c r="BQ560" s="4"/>
      <c r="BR560" s="4"/>
    </row>
    <row r="561" spans="1:70" ht="27" customHeight="1" x14ac:dyDescent="0.2">
      <c r="A561" s="532"/>
      <c r="B561" s="917"/>
      <c r="C561" s="4"/>
      <c r="D561" s="917"/>
      <c r="E561" s="4"/>
      <c r="F561" s="917"/>
      <c r="G561" s="4"/>
      <c r="H561" s="920"/>
      <c r="I561" s="3"/>
      <c r="J561" s="920"/>
      <c r="K561" s="3"/>
      <c r="L561" s="920"/>
      <c r="M561" s="3"/>
      <c r="N561" s="920"/>
      <c r="O561" s="3"/>
      <c r="P561" s="3"/>
      <c r="Q561" s="533"/>
      <c r="R561" s="920"/>
      <c r="S561" s="534"/>
      <c r="T561" s="920"/>
      <c r="U561" s="920"/>
      <c r="V561" s="920"/>
      <c r="W561" s="535"/>
      <c r="X561" s="687"/>
      <c r="Y561" s="687"/>
      <c r="Z561" s="687"/>
      <c r="AA561" s="678"/>
      <c r="AB561" s="543"/>
      <c r="AC561" s="3"/>
      <c r="AD561" s="533"/>
      <c r="AE561" s="3"/>
      <c r="AF561" s="4"/>
      <c r="AG561" s="4"/>
      <c r="AH561" s="4"/>
      <c r="AI561" s="4"/>
      <c r="AJ561" s="4"/>
      <c r="AK561" s="4"/>
      <c r="AL561" s="4"/>
      <c r="AM561" s="4"/>
      <c r="AN561" s="4"/>
      <c r="AO561" s="4"/>
      <c r="AP561" s="4"/>
      <c r="AQ561" s="4"/>
      <c r="AR561" s="4"/>
      <c r="AS561" s="4"/>
      <c r="AT561" s="4"/>
      <c r="AU561" s="4"/>
      <c r="AV561" s="537"/>
      <c r="AW561" s="537"/>
      <c r="AX561" s="4"/>
      <c r="AY561" s="4"/>
      <c r="AZ561" s="4"/>
      <c r="BA561" s="4"/>
      <c r="BB561" s="4"/>
      <c r="BC561" s="4"/>
      <c r="BD561" s="4"/>
      <c r="BE561" s="4"/>
      <c r="BF561" s="4"/>
      <c r="BG561" s="4"/>
      <c r="BH561" s="4"/>
      <c r="BI561" s="4"/>
      <c r="BJ561" s="4"/>
      <c r="BK561" s="4"/>
      <c r="BL561" s="4"/>
      <c r="BM561" s="4"/>
      <c r="BN561" s="4"/>
      <c r="BO561" s="4"/>
      <c r="BP561" s="4"/>
      <c r="BQ561" s="4"/>
      <c r="BR561" s="4"/>
    </row>
    <row r="562" spans="1:70" ht="27" customHeight="1" x14ac:dyDescent="0.2">
      <c r="A562" s="532"/>
      <c r="B562" s="917"/>
      <c r="C562" s="4"/>
      <c r="D562" s="917"/>
      <c r="E562" s="4"/>
      <c r="F562" s="917"/>
      <c r="G562" s="4"/>
      <c r="H562" s="920"/>
      <c r="I562" s="3"/>
      <c r="J562" s="920"/>
      <c r="K562" s="3"/>
      <c r="L562" s="920"/>
      <c r="M562" s="3"/>
      <c r="N562" s="920"/>
      <c r="O562" s="3"/>
      <c r="P562" s="3"/>
      <c r="Q562" s="533"/>
      <c r="R562" s="920"/>
      <c r="S562" s="534"/>
      <c r="T562" s="920"/>
      <c r="U562" s="920"/>
      <c r="V562" s="920"/>
      <c r="W562" s="535"/>
      <c r="X562" s="687"/>
      <c r="Y562" s="687"/>
      <c r="Z562" s="687"/>
      <c r="AA562" s="678"/>
      <c r="AB562" s="543"/>
      <c r="AC562" s="3"/>
      <c r="AD562" s="533"/>
      <c r="AE562" s="3"/>
      <c r="AF562" s="4"/>
      <c r="AG562" s="4"/>
      <c r="AH562" s="4"/>
      <c r="AI562" s="4"/>
      <c r="AJ562" s="4"/>
      <c r="AK562" s="4"/>
      <c r="AL562" s="4"/>
      <c r="AM562" s="4"/>
      <c r="AN562" s="4"/>
      <c r="AO562" s="4"/>
      <c r="AP562" s="4"/>
      <c r="AQ562" s="4"/>
      <c r="AR562" s="4"/>
      <c r="AS562" s="4"/>
      <c r="AT562" s="4"/>
      <c r="AU562" s="4"/>
      <c r="AV562" s="537"/>
      <c r="AW562" s="537"/>
      <c r="AX562" s="4"/>
      <c r="AY562" s="4"/>
      <c r="AZ562" s="4"/>
      <c r="BA562" s="4"/>
      <c r="BB562" s="4"/>
      <c r="BC562" s="4"/>
      <c r="BD562" s="4"/>
      <c r="BE562" s="4"/>
      <c r="BF562" s="4"/>
      <c r="BG562" s="4"/>
      <c r="BH562" s="4"/>
      <c r="BI562" s="4"/>
      <c r="BJ562" s="4"/>
      <c r="BK562" s="4"/>
      <c r="BL562" s="4"/>
      <c r="BM562" s="4"/>
      <c r="BN562" s="4"/>
      <c r="BO562" s="4"/>
      <c r="BP562" s="4"/>
      <c r="BQ562" s="4"/>
      <c r="BR562" s="4"/>
    </row>
    <row r="563" spans="1:70" ht="27" customHeight="1" x14ac:dyDescent="0.2">
      <c r="A563" s="532"/>
      <c r="B563" s="917"/>
      <c r="C563" s="4"/>
      <c r="D563" s="917"/>
      <c r="E563" s="4"/>
      <c r="F563" s="917"/>
      <c r="G563" s="4"/>
      <c r="H563" s="920"/>
      <c r="I563" s="3"/>
      <c r="J563" s="920"/>
      <c r="K563" s="3"/>
      <c r="L563" s="920"/>
      <c r="M563" s="3"/>
      <c r="N563" s="920"/>
      <c r="O563" s="3"/>
      <c r="P563" s="3"/>
      <c r="Q563" s="533"/>
      <c r="R563" s="920"/>
      <c r="S563" s="534"/>
      <c r="T563" s="920"/>
      <c r="U563" s="920"/>
      <c r="V563" s="920"/>
      <c r="W563" s="535"/>
      <c r="X563" s="687"/>
      <c r="Y563" s="687"/>
      <c r="Z563" s="687"/>
      <c r="AA563" s="678"/>
      <c r="AB563" s="543"/>
      <c r="AC563" s="3"/>
      <c r="AD563" s="533"/>
      <c r="AE563" s="3"/>
      <c r="AF563" s="4"/>
      <c r="AG563" s="4"/>
      <c r="AH563" s="4"/>
      <c r="AI563" s="4"/>
      <c r="AJ563" s="4"/>
      <c r="AK563" s="4"/>
      <c r="AL563" s="4"/>
      <c r="AM563" s="4"/>
      <c r="AN563" s="4"/>
      <c r="AO563" s="4"/>
      <c r="AP563" s="4"/>
      <c r="AQ563" s="4"/>
      <c r="AR563" s="4"/>
      <c r="AS563" s="4"/>
      <c r="AT563" s="4"/>
      <c r="AU563" s="4"/>
      <c r="AV563" s="537"/>
      <c r="AW563" s="537"/>
      <c r="AX563" s="4"/>
      <c r="AY563" s="4"/>
      <c r="AZ563" s="4"/>
      <c r="BA563" s="4"/>
      <c r="BB563" s="4"/>
      <c r="BC563" s="4"/>
      <c r="BD563" s="4"/>
      <c r="BE563" s="4"/>
      <c r="BF563" s="4"/>
      <c r="BG563" s="4"/>
      <c r="BH563" s="4"/>
      <c r="BI563" s="4"/>
      <c r="BJ563" s="4"/>
      <c r="BK563" s="4"/>
      <c r="BL563" s="4"/>
      <c r="BM563" s="4"/>
      <c r="BN563" s="4"/>
      <c r="BO563" s="4"/>
      <c r="BP563" s="4"/>
      <c r="BQ563" s="4"/>
      <c r="BR563" s="4"/>
    </row>
    <row r="564" spans="1:70" ht="27" customHeight="1" x14ac:dyDescent="0.2">
      <c r="A564" s="532"/>
      <c r="B564" s="917"/>
      <c r="C564" s="4"/>
      <c r="D564" s="917"/>
      <c r="E564" s="4"/>
      <c r="F564" s="917"/>
      <c r="G564" s="4"/>
      <c r="H564" s="920"/>
      <c r="I564" s="3"/>
      <c r="J564" s="920"/>
      <c r="K564" s="3"/>
      <c r="L564" s="920"/>
      <c r="M564" s="3"/>
      <c r="N564" s="920"/>
      <c r="O564" s="3"/>
      <c r="P564" s="3"/>
      <c r="Q564" s="533"/>
      <c r="R564" s="920"/>
      <c r="S564" s="534"/>
      <c r="T564" s="920"/>
      <c r="U564" s="920"/>
      <c r="V564" s="920"/>
      <c r="W564" s="535"/>
      <c r="X564" s="687"/>
      <c r="Y564" s="687"/>
      <c r="Z564" s="687"/>
      <c r="AA564" s="678"/>
      <c r="AB564" s="543"/>
      <c r="AC564" s="3"/>
      <c r="AD564" s="533"/>
      <c r="AE564" s="3"/>
      <c r="AF564" s="4"/>
      <c r="AG564" s="4"/>
      <c r="AH564" s="4"/>
      <c r="AI564" s="4"/>
      <c r="AJ564" s="4"/>
      <c r="AK564" s="4"/>
      <c r="AL564" s="4"/>
      <c r="AM564" s="4"/>
      <c r="AN564" s="4"/>
      <c r="AO564" s="4"/>
      <c r="AP564" s="4"/>
      <c r="AQ564" s="4"/>
      <c r="AR564" s="4"/>
      <c r="AS564" s="4"/>
      <c r="AT564" s="4"/>
      <c r="AU564" s="4"/>
      <c r="AV564" s="537"/>
      <c r="AW564" s="537"/>
      <c r="AX564" s="4"/>
      <c r="AY564" s="4"/>
      <c r="AZ564" s="4"/>
      <c r="BA564" s="4"/>
      <c r="BB564" s="4"/>
      <c r="BC564" s="4"/>
      <c r="BD564" s="4"/>
      <c r="BE564" s="4"/>
      <c r="BF564" s="4"/>
      <c r="BG564" s="4"/>
      <c r="BH564" s="4"/>
      <c r="BI564" s="4"/>
      <c r="BJ564" s="4"/>
      <c r="BK564" s="4"/>
      <c r="BL564" s="4"/>
      <c r="BM564" s="4"/>
      <c r="BN564" s="4"/>
      <c r="BO564" s="4"/>
      <c r="BP564" s="4"/>
      <c r="BQ564" s="4"/>
      <c r="BR564" s="4"/>
    </row>
    <row r="565" spans="1:70" ht="27" customHeight="1" x14ac:dyDescent="0.2">
      <c r="A565" s="532"/>
      <c r="B565" s="917"/>
      <c r="C565" s="4"/>
      <c r="D565" s="917"/>
      <c r="E565" s="4"/>
      <c r="F565" s="917"/>
      <c r="G565" s="4"/>
      <c r="H565" s="920"/>
      <c r="I565" s="3"/>
      <c r="J565" s="920"/>
      <c r="K565" s="3"/>
      <c r="L565" s="920"/>
      <c r="M565" s="3"/>
      <c r="N565" s="920"/>
      <c r="O565" s="3"/>
      <c r="P565" s="3"/>
      <c r="Q565" s="533"/>
      <c r="R565" s="920"/>
      <c r="S565" s="534"/>
      <c r="T565" s="920"/>
      <c r="U565" s="920"/>
      <c r="V565" s="920"/>
      <c r="W565" s="535"/>
      <c r="X565" s="687"/>
      <c r="Y565" s="687"/>
      <c r="Z565" s="687"/>
      <c r="AA565" s="678"/>
      <c r="AB565" s="543"/>
      <c r="AC565" s="3"/>
      <c r="AD565" s="533"/>
      <c r="AE565" s="3"/>
      <c r="AF565" s="4"/>
      <c r="AG565" s="4"/>
      <c r="AH565" s="4"/>
      <c r="AI565" s="4"/>
      <c r="AJ565" s="4"/>
      <c r="AK565" s="4"/>
      <c r="AL565" s="4"/>
      <c r="AM565" s="4"/>
      <c r="AN565" s="4"/>
      <c r="AO565" s="4"/>
      <c r="AP565" s="4"/>
      <c r="AQ565" s="4"/>
      <c r="AR565" s="4"/>
      <c r="AS565" s="4"/>
      <c r="AT565" s="4"/>
      <c r="AU565" s="4"/>
      <c r="AV565" s="537"/>
      <c r="AW565" s="537"/>
      <c r="AX565" s="4"/>
      <c r="AY565" s="4"/>
      <c r="AZ565" s="4"/>
      <c r="BA565" s="4"/>
      <c r="BB565" s="4"/>
      <c r="BC565" s="4"/>
      <c r="BD565" s="4"/>
      <c r="BE565" s="4"/>
      <c r="BF565" s="4"/>
      <c r="BG565" s="4"/>
      <c r="BH565" s="4"/>
      <c r="BI565" s="4"/>
      <c r="BJ565" s="4"/>
      <c r="BK565" s="4"/>
      <c r="BL565" s="4"/>
      <c r="BM565" s="4"/>
      <c r="BN565" s="4"/>
      <c r="BO565" s="4"/>
      <c r="BP565" s="4"/>
      <c r="BQ565" s="4"/>
      <c r="BR565" s="4"/>
    </row>
    <row r="566" spans="1:70" ht="27" customHeight="1" x14ac:dyDescent="0.2">
      <c r="A566" s="532"/>
      <c r="B566" s="917"/>
      <c r="C566" s="4"/>
      <c r="D566" s="917"/>
      <c r="E566" s="4"/>
      <c r="F566" s="917"/>
      <c r="G566" s="4"/>
      <c r="H566" s="920"/>
      <c r="I566" s="3"/>
      <c r="J566" s="920"/>
      <c r="K566" s="3"/>
      <c r="L566" s="920"/>
      <c r="M566" s="3"/>
      <c r="N566" s="920"/>
      <c r="O566" s="3"/>
      <c r="P566" s="3"/>
      <c r="Q566" s="533"/>
      <c r="R566" s="920"/>
      <c r="S566" s="534"/>
      <c r="T566" s="920"/>
      <c r="U566" s="920"/>
      <c r="V566" s="920"/>
      <c r="W566" s="535"/>
      <c r="X566" s="687"/>
      <c r="Y566" s="687"/>
      <c r="Z566" s="687"/>
      <c r="AA566" s="678"/>
      <c r="AB566" s="543"/>
      <c r="AC566" s="3"/>
      <c r="AD566" s="533"/>
      <c r="AE566" s="3"/>
      <c r="AF566" s="4"/>
      <c r="AG566" s="4"/>
      <c r="AH566" s="4"/>
      <c r="AI566" s="4"/>
      <c r="AJ566" s="4"/>
      <c r="AK566" s="4"/>
      <c r="AL566" s="4"/>
      <c r="AM566" s="4"/>
      <c r="AN566" s="4"/>
      <c r="AO566" s="4"/>
      <c r="AP566" s="4"/>
      <c r="AQ566" s="4"/>
      <c r="AR566" s="4"/>
      <c r="AS566" s="4"/>
      <c r="AT566" s="4"/>
      <c r="AU566" s="4"/>
      <c r="AV566" s="537"/>
      <c r="AW566" s="537"/>
      <c r="AX566" s="4"/>
      <c r="AY566" s="4"/>
      <c r="AZ566" s="4"/>
      <c r="BA566" s="4"/>
      <c r="BB566" s="4"/>
      <c r="BC566" s="4"/>
      <c r="BD566" s="4"/>
      <c r="BE566" s="4"/>
      <c r="BF566" s="4"/>
      <c r="BG566" s="4"/>
      <c r="BH566" s="4"/>
      <c r="BI566" s="4"/>
      <c r="BJ566" s="4"/>
      <c r="BK566" s="4"/>
      <c r="BL566" s="4"/>
      <c r="BM566" s="4"/>
      <c r="BN566" s="4"/>
      <c r="BO566" s="4"/>
      <c r="BP566" s="4"/>
      <c r="BQ566" s="4"/>
      <c r="BR566" s="4"/>
    </row>
    <row r="567" spans="1:70" ht="27" customHeight="1" x14ac:dyDescent="0.2">
      <c r="A567" s="532"/>
      <c r="B567" s="917"/>
      <c r="C567" s="4"/>
      <c r="D567" s="917"/>
      <c r="E567" s="4"/>
      <c r="F567" s="917"/>
      <c r="G567" s="4"/>
      <c r="H567" s="920"/>
      <c r="I567" s="3"/>
      <c r="J567" s="920"/>
      <c r="K567" s="3"/>
      <c r="L567" s="920"/>
      <c r="M567" s="3"/>
      <c r="N567" s="920"/>
      <c r="O567" s="3"/>
      <c r="P567" s="3"/>
      <c r="Q567" s="533"/>
      <c r="R567" s="920"/>
      <c r="S567" s="534"/>
      <c r="T567" s="920"/>
      <c r="U567" s="920"/>
      <c r="V567" s="920"/>
      <c r="W567" s="535"/>
      <c r="X567" s="687"/>
      <c r="Y567" s="687"/>
      <c r="Z567" s="687"/>
      <c r="AA567" s="678"/>
      <c r="AB567" s="543"/>
      <c r="AC567" s="3"/>
      <c r="AD567" s="533"/>
      <c r="AE567" s="3"/>
      <c r="AF567" s="4"/>
      <c r="AG567" s="4"/>
      <c r="AH567" s="4"/>
      <c r="AI567" s="4"/>
      <c r="AJ567" s="4"/>
      <c r="AK567" s="4"/>
      <c r="AL567" s="4"/>
      <c r="AM567" s="4"/>
      <c r="AN567" s="4"/>
      <c r="AO567" s="4"/>
      <c r="AP567" s="4"/>
      <c r="AQ567" s="4"/>
      <c r="AR567" s="4"/>
      <c r="AS567" s="4"/>
      <c r="AT567" s="4"/>
      <c r="AU567" s="4"/>
      <c r="AV567" s="537"/>
      <c r="AW567" s="537"/>
      <c r="AX567" s="4"/>
      <c r="AY567" s="4"/>
      <c r="AZ567" s="4"/>
      <c r="BA567" s="4"/>
      <c r="BB567" s="4"/>
      <c r="BC567" s="4"/>
      <c r="BD567" s="4"/>
      <c r="BE567" s="4"/>
      <c r="BF567" s="4"/>
      <c r="BG567" s="4"/>
      <c r="BH567" s="4"/>
      <c r="BI567" s="4"/>
      <c r="BJ567" s="4"/>
      <c r="BK567" s="4"/>
      <c r="BL567" s="4"/>
      <c r="BM567" s="4"/>
      <c r="BN567" s="4"/>
      <c r="BO567" s="4"/>
      <c r="BP567" s="4"/>
      <c r="BQ567" s="4"/>
      <c r="BR567" s="4"/>
    </row>
    <row r="568" spans="1:70" ht="27" customHeight="1" x14ac:dyDescent="0.2">
      <c r="A568" s="532"/>
      <c r="B568" s="917"/>
      <c r="C568" s="4"/>
      <c r="D568" s="917"/>
      <c r="E568" s="4"/>
      <c r="F568" s="917"/>
      <c r="G568" s="4"/>
      <c r="H568" s="920"/>
      <c r="I568" s="3"/>
      <c r="J568" s="920"/>
      <c r="K568" s="3"/>
      <c r="L568" s="920"/>
      <c r="M568" s="3"/>
      <c r="N568" s="920"/>
      <c r="O568" s="3"/>
      <c r="P568" s="3"/>
      <c r="Q568" s="533"/>
      <c r="R568" s="920"/>
      <c r="S568" s="534"/>
      <c r="T568" s="920"/>
      <c r="U568" s="920"/>
      <c r="V568" s="920"/>
      <c r="W568" s="535"/>
      <c r="X568" s="687"/>
      <c r="Y568" s="687"/>
      <c r="Z568" s="687"/>
      <c r="AA568" s="678"/>
      <c r="AB568" s="543"/>
      <c r="AC568" s="3"/>
      <c r="AD568" s="533"/>
      <c r="AE568" s="3"/>
      <c r="AF568" s="4"/>
      <c r="AG568" s="4"/>
      <c r="AH568" s="4"/>
      <c r="AI568" s="4"/>
      <c r="AJ568" s="4"/>
      <c r="AK568" s="4"/>
      <c r="AL568" s="4"/>
      <c r="AM568" s="4"/>
      <c r="AN568" s="4"/>
      <c r="AO568" s="4"/>
      <c r="AP568" s="4"/>
      <c r="AQ568" s="4"/>
      <c r="AR568" s="4"/>
      <c r="AS568" s="4"/>
      <c r="AT568" s="4"/>
      <c r="AU568" s="4"/>
      <c r="AV568" s="537"/>
      <c r="AW568" s="537"/>
      <c r="AX568" s="4"/>
      <c r="AY568" s="4"/>
      <c r="AZ568" s="4"/>
      <c r="BA568" s="4"/>
      <c r="BB568" s="4"/>
      <c r="BC568" s="4"/>
      <c r="BD568" s="4"/>
      <c r="BE568" s="4"/>
      <c r="BF568" s="4"/>
      <c r="BG568" s="4"/>
      <c r="BH568" s="4"/>
      <c r="BI568" s="4"/>
      <c r="BJ568" s="4"/>
      <c r="BK568" s="4"/>
      <c r="BL568" s="4"/>
      <c r="BM568" s="4"/>
      <c r="BN568" s="4"/>
      <c r="BO568" s="4"/>
      <c r="BP568" s="4"/>
      <c r="BQ568" s="4"/>
      <c r="BR568" s="4"/>
    </row>
    <row r="569" spans="1:70" ht="27" customHeight="1" x14ac:dyDescent="0.2">
      <c r="A569" s="532"/>
      <c r="B569" s="917"/>
      <c r="C569" s="4"/>
      <c r="D569" s="917"/>
      <c r="E569" s="4"/>
      <c r="F569" s="917"/>
      <c r="G569" s="4"/>
      <c r="H569" s="920"/>
      <c r="I569" s="3"/>
      <c r="J569" s="920"/>
      <c r="K569" s="3"/>
      <c r="L569" s="920"/>
      <c r="M569" s="3"/>
      <c r="N569" s="920"/>
      <c r="O569" s="3"/>
      <c r="P569" s="3"/>
      <c r="Q569" s="533"/>
      <c r="R569" s="920"/>
      <c r="S569" s="534"/>
      <c r="T569" s="920"/>
      <c r="U569" s="920"/>
      <c r="V569" s="920"/>
      <c r="W569" s="535"/>
      <c r="X569" s="687"/>
      <c r="Y569" s="687"/>
      <c r="Z569" s="687"/>
      <c r="AA569" s="678"/>
      <c r="AB569" s="543"/>
      <c r="AC569" s="3"/>
      <c r="AD569" s="533"/>
      <c r="AE569" s="3"/>
      <c r="AF569" s="4"/>
      <c r="AG569" s="4"/>
      <c r="AH569" s="4"/>
      <c r="AI569" s="4"/>
      <c r="AJ569" s="4"/>
      <c r="AK569" s="4"/>
      <c r="AL569" s="4"/>
      <c r="AM569" s="4"/>
      <c r="AN569" s="4"/>
      <c r="AO569" s="4"/>
      <c r="AP569" s="4"/>
      <c r="AQ569" s="4"/>
      <c r="AR569" s="4"/>
      <c r="AS569" s="4"/>
      <c r="AT569" s="4"/>
      <c r="AU569" s="4"/>
      <c r="AV569" s="537"/>
      <c r="AW569" s="537"/>
      <c r="AX569" s="4"/>
      <c r="AY569" s="4"/>
      <c r="AZ569" s="4"/>
      <c r="BA569" s="4"/>
      <c r="BB569" s="4"/>
      <c r="BC569" s="4"/>
      <c r="BD569" s="4"/>
      <c r="BE569" s="4"/>
      <c r="BF569" s="4"/>
      <c r="BG569" s="4"/>
      <c r="BH569" s="4"/>
      <c r="BI569" s="4"/>
      <c r="BJ569" s="4"/>
      <c r="BK569" s="4"/>
      <c r="BL569" s="4"/>
      <c r="BM569" s="4"/>
      <c r="BN569" s="4"/>
      <c r="BO569" s="4"/>
      <c r="BP569" s="4"/>
      <c r="BQ569" s="4"/>
      <c r="BR569" s="4"/>
    </row>
    <row r="570" spans="1:70" ht="27" customHeight="1" x14ac:dyDescent="0.2">
      <c r="A570" s="532"/>
      <c r="B570" s="917"/>
      <c r="C570" s="4"/>
      <c r="D570" s="917"/>
      <c r="E570" s="4"/>
      <c r="F570" s="917"/>
      <c r="G570" s="4"/>
      <c r="H570" s="920"/>
      <c r="I570" s="3"/>
      <c r="J570" s="920"/>
      <c r="K570" s="3"/>
      <c r="L570" s="920"/>
      <c r="M570" s="3"/>
      <c r="N570" s="920"/>
      <c r="O570" s="3"/>
      <c r="P570" s="3"/>
      <c r="Q570" s="533"/>
      <c r="R570" s="920"/>
      <c r="S570" s="534"/>
      <c r="T570" s="920"/>
      <c r="U570" s="920"/>
      <c r="V570" s="920"/>
      <c r="W570" s="535"/>
      <c r="X570" s="687"/>
      <c r="Y570" s="687"/>
      <c r="Z570" s="687"/>
      <c r="AA570" s="678"/>
      <c r="AB570" s="543"/>
      <c r="AC570" s="3"/>
      <c r="AD570" s="533"/>
      <c r="AE570" s="3"/>
      <c r="AF570" s="4"/>
      <c r="AG570" s="4"/>
      <c r="AH570" s="4"/>
      <c r="AI570" s="4"/>
      <c r="AJ570" s="4"/>
      <c r="AK570" s="4"/>
      <c r="AL570" s="4"/>
      <c r="AM570" s="4"/>
      <c r="AN570" s="4"/>
      <c r="AO570" s="4"/>
      <c r="AP570" s="4"/>
      <c r="AQ570" s="4"/>
      <c r="AR570" s="4"/>
      <c r="AS570" s="4"/>
      <c r="AT570" s="4"/>
      <c r="AU570" s="4"/>
      <c r="AV570" s="537"/>
      <c r="AW570" s="537"/>
      <c r="AX570" s="4"/>
      <c r="AY570" s="4"/>
      <c r="AZ570" s="4"/>
      <c r="BA570" s="4"/>
      <c r="BB570" s="4"/>
      <c r="BC570" s="4"/>
      <c r="BD570" s="4"/>
      <c r="BE570" s="4"/>
      <c r="BF570" s="4"/>
      <c r="BG570" s="4"/>
      <c r="BH570" s="4"/>
      <c r="BI570" s="4"/>
      <c r="BJ570" s="4"/>
      <c r="BK570" s="4"/>
      <c r="BL570" s="4"/>
      <c r="BM570" s="4"/>
      <c r="BN570" s="4"/>
      <c r="BO570" s="4"/>
      <c r="BP570" s="4"/>
      <c r="BQ570" s="4"/>
      <c r="BR570" s="4"/>
    </row>
    <row r="571" spans="1:70" ht="27" customHeight="1" x14ac:dyDescent="0.2">
      <c r="A571" s="532"/>
      <c r="B571" s="917"/>
      <c r="C571" s="4"/>
      <c r="D571" s="917"/>
      <c r="E571" s="4"/>
      <c r="F571" s="917"/>
      <c r="G571" s="4"/>
      <c r="H571" s="920"/>
      <c r="I571" s="3"/>
      <c r="J571" s="920"/>
      <c r="K571" s="3"/>
      <c r="L571" s="920"/>
      <c r="M571" s="3"/>
      <c r="N571" s="920"/>
      <c r="O571" s="3"/>
      <c r="P571" s="3"/>
      <c r="Q571" s="533"/>
      <c r="R571" s="920"/>
      <c r="S571" s="534"/>
      <c r="T571" s="920"/>
      <c r="U571" s="920"/>
      <c r="V571" s="920"/>
      <c r="W571" s="535"/>
      <c r="X571" s="687"/>
      <c r="Y571" s="687"/>
      <c r="Z571" s="687"/>
      <c r="AA571" s="678"/>
      <c r="AB571" s="543"/>
      <c r="AC571" s="3"/>
      <c r="AD571" s="533"/>
      <c r="AE571" s="3"/>
      <c r="AF571" s="4"/>
      <c r="AG571" s="4"/>
      <c r="AH571" s="4"/>
      <c r="AI571" s="4"/>
      <c r="AJ571" s="4"/>
      <c r="AK571" s="4"/>
      <c r="AL571" s="4"/>
      <c r="AM571" s="4"/>
      <c r="AN571" s="4"/>
      <c r="AO571" s="4"/>
      <c r="AP571" s="4"/>
      <c r="AQ571" s="4"/>
      <c r="AR571" s="4"/>
      <c r="AS571" s="4"/>
      <c r="AT571" s="4"/>
      <c r="AU571" s="4"/>
      <c r="AV571" s="537"/>
      <c r="AW571" s="537"/>
      <c r="AX571" s="4"/>
      <c r="AY571" s="4"/>
      <c r="AZ571" s="4"/>
      <c r="BA571" s="4"/>
      <c r="BB571" s="4"/>
      <c r="BC571" s="4"/>
      <c r="BD571" s="4"/>
      <c r="BE571" s="4"/>
      <c r="BF571" s="4"/>
      <c r="BG571" s="4"/>
      <c r="BH571" s="4"/>
      <c r="BI571" s="4"/>
      <c r="BJ571" s="4"/>
      <c r="BK571" s="4"/>
      <c r="BL571" s="4"/>
      <c r="BM571" s="4"/>
      <c r="BN571" s="4"/>
      <c r="BO571" s="4"/>
      <c r="BP571" s="4"/>
      <c r="BQ571" s="4"/>
      <c r="BR571" s="4"/>
    </row>
    <row r="572" spans="1:70" ht="27" customHeight="1" x14ac:dyDescent="0.2">
      <c r="A572" s="532"/>
      <c r="B572" s="917"/>
      <c r="C572" s="4"/>
      <c r="D572" s="917"/>
      <c r="E572" s="4"/>
      <c r="F572" s="917"/>
      <c r="G572" s="4"/>
      <c r="H572" s="920"/>
      <c r="I572" s="3"/>
      <c r="J572" s="920"/>
      <c r="K572" s="3"/>
      <c r="L572" s="920"/>
      <c r="M572" s="3"/>
      <c r="N572" s="920"/>
      <c r="O572" s="3"/>
      <c r="P572" s="3"/>
      <c r="Q572" s="533"/>
      <c r="R572" s="920"/>
      <c r="S572" s="534"/>
      <c r="T572" s="920"/>
      <c r="U572" s="920"/>
      <c r="V572" s="920"/>
      <c r="W572" s="535"/>
      <c r="X572" s="687"/>
      <c r="Y572" s="687"/>
      <c r="Z572" s="687"/>
      <c r="AA572" s="678"/>
      <c r="AB572" s="543"/>
      <c r="AC572" s="3"/>
      <c r="AD572" s="533"/>
      <c r="AE572" s="3"/>
      <c r="AF572" s="4"/>
      <c r="AG572" s="4"/>
      <c r="AH572" s="4"/>
      <c r="AI572" s="4"/>
      <c r="AJ572" s="4"/>
      <c r="AK572" s="4"/>
      <c r="AL572" s="4"/>
      <c r="AM572" s="4"/>
      <c r="AN572" s="4"/>
      <c r="AO572" s="4"/>
      <c r="AP572" s="4"/>
      <c r="AQ572" s="4"/>
      <c r="AR572" s="4"/>
      <c r="AS572" s="4"/>
      <c r="AT572" s="4"/>
      <c r="AU572" s="4"/>
      <c r="AV572" s="537"/>
      <c r="AW572" s="537"/>
      <c r="AX572" s="4"/>
      <c r="AY572" s="4"/>
      <c r="AZ572" s="4"/>
      <c r="BA572" s="4"/>
      <c r="BB572" s="4"/>
      <c r="BC572" s="4"/>
      <c r="BD572" s="4"/>
      <c r="BE572" s="4"/>
      <c r="BF572" s="4"/>
      <c r="BG572" s="4"/>
      <c r="BH572" s="4"/>
      <c r="BI572" s="4"/>
      <c r="BJ572" s="4"/>
      <c r="BK572" s="4"/>
      <c r="BL572" s="4"/>
      <c r="BM572" s="4"/>
      <c r="BN572" s="4"/>
      <c r="BO572" s="4"/>
      <c r="BP572" s="4"/>
      <c r="BQ572" s="4"/>
      <c r="BR572" s="4"/>
    </row>
    <row r="573" spans="1:70" ht="27" customHeight="1" x14ac:dyDescent="0.2">
      <c r="A573" s="532"/>
      <c r="B573" s="917"/>
      <c r="C573" s="4"/>
      <c r="D573" s="917"/>
      <c r="E573" s="4"/>
      <c r="F573" s="917"/>
      <c r="G573" s="4"/>
      <c r="H573" s="920"/>
      <c r="I573" s="3"/>
      <c r="J573" s="920"/>
      <c r="K573" s="3"/>
      <c r="L573" s="920"/>
      <c r="M573" s="3"/>
      <c r="N573" s="920"/>
      <c r="O573" s="3"/>
      <c r="P573" s="3"/>
      <c r="Q573" s="533"/>
      <c r="R573" s="920"/>
      <c r="S573" s="534"/>
      <c r="T573" s="920"/>
      <c r="U573" s="920"/>
      <c r="V573" s="920"/>
      <c r="W573" s="535"/>
      <c r="X573" s="687"/>
      <c r="Y573" s="687"/>
      <c r="Z573" s="687"/>
      <c r="AA573" s="678"/>
      <c r="AB573" s="543"/>
      <c r="AC573" s="3"/>
      <c r="AD573" s="533"/>
      <c r="AE573" s="3"/>
      <c r="AF573" s="4"/>
      <c r="AG573" s="4"/>
      <c r="AH573" s="4"/>
      <c r="AI573" s="4"/>
      <c r="AJ573" s="4"/>
      <c r="AK573" s="4"/>
      <c r="AL573" s="4"/>
      <c r="AM573" s="4"/>
      <c r="AN573" s="4"/>
      <c r="AO573" s="4"/>
      <c r="AP573" s="4"/>
      <c r="AQ573" s="4"/>
      <c r="AR573" s="4"/>
      <c r="AS573" s="4"/>
      <c r="AT573" s="4"/>
      <c r="AU573" s="4"/>
      <c r="AV573" s="537"/>
      <c r="AW573" s="537"/>
      <c r="AX573" s="4"/>
      <c r="AY573" s="4"/>
      <c r="AZ573" s="4"/>
      <c r="BA573" s="4"/>
      <c r="BB573" s="4"/>
      <c r="BC573" s="4"/>
      <c r="BD573" s="4"/>
      <c r="BE573" s="4"/>
      <c r="BF573" s="4"/>
      <c r="BG573" s="4"/>
      <c r="BH573" s="4"/>
      <c r="BI573" s="4"/>
      <c r="BJ573" s="4"/>
      <c r="BK573" s="4"/>
      <c r="BL573" s="4"/>
      <c r="BM573" s="4"/>
      <c r="BN573" s="4"/>
      <c r="BO573" s="4"/>
      <c r="BP573" s="4"/>
      <c r="BQ573" s="4"/>
      <c r="BR573" s="4"/>
    </row>
    <row r="574" spans="1:70" ht="27" customHeight="1" x14ac:dyDescent="0.2">
      <c r="A574" s="532"/>
      <c r="B574" s="917"/>
      <c r="C574" s="4"/>
      <c r="D574" s="917"/>
      <c r="E574" s="4"/>
      <c r="F574" s="917"/>
      <c r="G574" s="4"/>
      <c r="H574" s="920"/>
      <c r="I574" s="3"/>
      <c r="J574" s="920"/>
      <c r="K574" s="3"/>
      <c r="L574" s="920"/>
      <c r="M574" s="3"/>
      <c r="N574" s="920"/>
      <c r="O574" s="3"/>
      <c r="P574" s="3"/>
      <c r="Q574" s="533"/>
      <c r="R574" s="920"/>
      <c r="S574" s="534"/>
      <c r="T574" s="920"/>
      <c r="U574" s="920"/>
      <c r="V574" s="920"/>
      <c r="W574" s="535"/>
      <c r="X574" s="687"/>
      <c r="Y574" s="687"/>
      <c r="Z574" s="687"/>
      <c r="AA574" s="678"/>
      <c r="AB574" s="543"/>
      <c r="AC574" s="3"/>
      <c r="AD574" s="533"/>
      <c r="AE574" s="3"/>
      <c r="AF574" s="4"/>
      <c r="AG574" s="4"/>
      <c r="AH574" s="4"/>
      <c r="AI574" s="4"/>
      <c r="AJ574" s="4"/>
      <c r="AK574" s="4"/>
      <c r="AL574" s="4"/>
      <c r="AM574" s="4"/>
      <c r="AN574" s="4"/>
      <c r="AO574" s="4"/>
      <c r="AP574" s="4"/>
      <c r="AQ574" s="4"/>
      <c r="AR574" s="4"/>
      <c r="AS574" s="4"/>
      <c r="AT574" s="4"/>
      <c r="AU574" s="4"/>
      <c r="AV574" s="537"/>
      <c r="AW574" s="537"/>
      <c r="AX574" s="4"/>
      <c r="AY574" s="4"/>
      <c r="AZ574" s="4"/>
      <c r="BA574" s="4"/>
      <c r="BB574" s="4"/>
      <c r="BC574" s="4"/>
      <c r="BD574" s="4"/>
      <c r="BE574" s="4"/>
      <c r="BF574" s="4"/>
      <c r="BG574" s="4"/>
      <c r="BH574" s="4"/>
      <c r="BI574" s="4"/>
      <c r="BJ574" s="4"/>
      <c r="BK574" s="4"/>
      <c r="BL574" s="4"/>
      <c r="BM574" s="4"/>
      <c r="BN574" s="4"/>
      <c r="BO574" s="4"/>
      <c r="BP574" s="4"/>
      <c r="BQ574" s="4"/>
      <c r="BR574" s="4"/>
    </row>
    <row r="575" spans="1:70" ht="27" customHeight="1" x14ac:dyDescent="0.2">
      <c r="A575" s="532"/>
      <c r="B575" s="917"/>
      <c r="C575" s="4"/>
      <c r="D575" s="917"/>
      <c r="E575" s="4"/>
      <c r="F575" s="917"/>
      <c r="G575" s="4"/>
      <c r="H575" s="920"/>
      <c r="I575" s="3"/>
      <c r="J575" s="920"/>
      <c r="K575" s="3"/>
      <c r="L575" s="920"/>
      <c r="M575" s="3"/>
      <c r="N575" s="920"/>
      <c r="O575" s="3"/>
      <c r="P575" s="3"/>
      <c r="Q575" s="533"/>
      <c r="R575" s="920"/>
      <c r="S575" s="534"/>
      <c r="T575" s="920"/>
      <c r="U575" s="920"/>
      <c r="V575" s="920"/>
      <c r="W575" s="535"/>
      <c r="X575" s="687"/>
      <c r="Y575" s="687"/>
      <c r="Z575" s="687"/>
      <c r="AA575" s="678"/>
      <c r="AB575" s="543"/>
      <c r="AC575" s="3"/>
      <c r="AD575" s="533"/>
      <c r="AE575" s="3"/>
      <c r="AF575" s="4"/>
      <c r="AG575" s="4"/>
      <c r="AH575" s="4"/>
      <c r="AI575" s="4"/>
      <c r="AJ575" s="4"/>
      <c r="AK575" s="4"/>
      <c r="AL575" s="4"/>
      <c r="AM575" s="4"/>
      <c r="AN575" s="4"/>
      <c r="AO575" s="4"/>
      <c r="AP575" s="4"/>
      <c r="AQ575" s="4"/>
      <c r="AR575" s="4"/>
      <c r="AS575" s="4"/>
      <c r="AT575" s="4"/>
      <c r="AU575" s="4"/>
      <c r="AV575" s="537"/>
      <c r="AW575" s="537"/>
      <c r="AX575" s="4"/>
      <c r="AY575" s="4"/>
      <c r="AZ575" s="4"/>
      <c r="BA575" s="4"/>
      <c r="BB575" s="4"/>
      <c r="BC575" s="4"/>
      <c r="BD575" s="4"/>
      <c r="BE575" s="4"/>
      <c r="BF575" s="4"/>
      <c r="BG575" s="4"/>
      <c r="BH575" s="4"/>
      <c r="BI575" s="4"/>
      <c r="BJ575" s="4"/>
      <c r="BK575" s="4"/>
      <c r="BL575" s="4"/>
      <c r="BM575" s="4"/>
      <c r="BN575" s="4"/>
      <c r="BO575" s="4"/>
      <c r="BP575" s="4"/>
      <c r="BQ575" s="4"/>
      <c r="BR575" s="4"/>
    </row>
    <row r="576" spans="1:70" ht="27" customHeight="1" x14ac:dyDescent="0.2">
      <c r="A576" s="532"/>
      <c r="B576" s="917"/>
      <c r="C576" s="4"/>
      <c r="D576" s="917"/>
      <c r="E576" s="4"/>
      <c r="F576" s="917"/>
      <c r="G576" s="4"/>
      <c r="H576" s="920"/>
      <c r="I576" s="3"/>
      <c r="J576" s="920"/>
      <c r="K576" s="3"/>
      <c r="L576" s="920"/>
      <c r="M576" s="3"/>
      <c r="N576" s="920"/>
      <c r="O576" s="3"/>
      <c r="P576" s="3"/>
      <c r="Q576" s="533"/>
      <c r="R576" s="920"/>
      <c r="S576" s="534"/>
      <c r="T576" s="920"/>
      <c r="U576" s="920"/>
      <c r="V576" s="920"/>
      <c r="W576" s="535"/>
      <c r="X576" s="687"/>
      <c r="Y576" s="687"/>
      <c r="Z576" s="687"/>
      <c r="AA576" s="678"/>
      <c r="AB576" s="543"/>
      <c r="AC576" s="3"/>
      <c r="AD576" s="533"/>
      <c r="AE576" s="3"/>
      <c r="AF576" s="4"/>
      <c r="AG576" s="4"/>
      <c r="AH576" s="4"/>
      <c r="AI576" s="4"/>
      <c r="AJ576" s="4"/>
      <c r="AK576" s="4"/>
      <c r="AL576" s="4"/>
      <c r="AM576" s="4"/>
      <c r="AN576" s="4"/>
      <c r="AO576" s="4"/>
      <c r="AP576" s="4"/>
      <c r="AQ576" s="4"/>
      <c r="AR576" s="4"/>
      <c r="AS576" s="4"/>
      <c r="AT576" s="4"/>
      <c r="AU576" s="4"/>
      <c r="AV576" s="537"/>
      <c r="AW576" s="537"/>
      <c r="AX576" s="4"/>
      <c r="AY576" s="4"/>
      <c r="AZ576" s="4"/>
      <c r="BA576" s="4"/>
      <c r="BB576" s="4"/>
      <c r="BC576" s="4"/>
      <c r="BD576" s="4"/>
      <c r="BE576" s="4"/>
      <c r="BF576" s="4"/>
      <c r="BG576" s="4"/>
      <c r="BH576" s="4"/>
      <c r="BI576" s="4"/>
      <c r="BJ576" s="4"/>
      <c r="BK576" s="4"/>
      <c r="BL576" s="4"/>
      <c r="BM576" s="4"/>
      <c r="BN576" s="4"/>
      <c r="BO576" s="4"/>
      <c r="BP576" s="4"/>
      <c r="BQ576" s="4"/>
      <c r="BR576" s="4"/>
    </row>
    <row r="577" spans="1:70" ht="27" customHeight="1" x14ac:dyDescent="0.2">
      <c r="A577" s="532"/>
      <c r="B577" s="917"/>
      <c r="C577" s="4"/>
      <c r="D577" s="917"/>
      <c r="E577" s="4"/>
      <c r="F577" s="917"/>
      <c r="G577" s="4"/>
      <c r="H577" s="920"/>
      <c r="I577" s="3"/>
      <c r="J577" s="920"/>
      <c r="K577" s="3"/>
      <c r="L577" s="920"/>
      <c r="M577" s="3"/>
      <c r="N577" s="920"/>
      <c r="O577" s="3"/>
      <c r="P577" s="3"/>
      <c r="Q577" s="533"/>
      <c r="R577" s="920"/>
      <c r="S577" s="534"/>
      <c r="T577" s="920"/>
      <c r="U577" s="920"/>
      <c r="V577" s="920"/>
      <c r="W577" s="535"/>
      <c r="X577" s="687"/>
      <c r="Y577" s="687"/>
      <c r="Z577" s="687"/>
      <c r="AA577" s="678"/>
      <c r="AB577" s="543"/>
      <c r="AC577" s="3"/>
      <c r="AD577" s="533"/>
      <c r="AE577" s="3"/>
      <c r="AF577" s="4"/>
      <c r="AG577" s="4"/>
      <c r="AH577" s="4"/>
      <c r="AI577" s="4"/>
      <c r="AJ577" s="4"/>
      <c r="AK577" s="4"/>
      <c r="AL577" s="4"/>
      <c r="AM577" s="4"/>
      <c r="AN577" s="4"/>
      <c r="AO577" s="4"/>
      <c r="AP577" s="4"/>
      <c r="AQ577" s="4"/>
      <c r="AR577" s="4"/>
      <c r="AS577" s="4"/>
      <c r="AT577" s="4"/>
      <c r="AU577" s="4"/>
      <c r="AV577" s="537"/>
      <c r="AW577" s="537"/>
      <c r="AX577" s="4"/>
      <c r="AY577" s="4"/>
      <c r="AZ577" s="4"/>
      <c r="BA577" s="4"/>
      <c r="BB577" s="4"/>
      <c r="BC577" s="4"/>
      <c r="BD577" s="4"/>
      <c r="BE577" s="4"/>
      <c r="BF577" s="4"/>
      <c r="BG577" s="4"/>
      <c r="BH577" s="4"/>
      <c r="BI577" s="4"/>
      <c r="BJ577" s="4"/>
      <c r="BK577" s="4"/>
      <c r="BL577" s="4"/>
      <c r="BM577" s="4"/>
      <c r="BN577" s="4"/>
      <c r="BO577" s="4"/>
      <c r="BP577" s="4"/>
      <c r="BQ577" s="4"/>
      <c r="BR577" s="4"/>
    </row>
    <row r="578" spans="1:70" ht="27" customHeight="1" x14ac:dyDescent="0.2">
      <c r="A578" s="532"/>
      <c r="B578" s="917"/>
      <c r="C578" s="4"/>
      <c r="D578" s="917"/>
      <c r="E578" s="4"/>
      <c r="F578" s="917"/>
      <c r="G578" s="4"/>
      <c r="H578" s="920"/>
      <c r="I578" s="3"/>
      <c r="J578" s="920"/>
      <c r="K578" s="3"/>
      <c r="L578" s="920"/>
      <c r="M578" s="3"/>
      <c r="N578" s="920"/>
      <c r="O578" s="3"/>
      <c r="P578" s="3"/>
      <c r="Q578" s="533"/>
      <c r="R578" s="920"/>
      <c r="S578" s="534"/>
      <c r="T578" s="920"/>
      <c r="U578" s="920"/>
      <c r="V578" s="920"/>
      <c r="W578" s="535"/>
      <c r="X578" s="687"/>
      <c r="Y578" s="687"/>
      <c r="Z578" s="687"/>
      <c r="AA578" s="678"/>
      <c r="AB578" s="543"/>
      <c r="AC578" s="3"/>
      <c r="AD578" s="533"/>
      <c r="AE578" s="3"/>
      <c r="AF578" s="4"/>
      <c r="AG578" s="4"/>
      <c r="AH578" s="4"/>
      <c r="AI578" s="4"/>
      <c r="AJ578" s="4"/>
      <c r="AK578" s="4"/>
      <c r="AL578" s="4"/>
      <c r="AM578" s="4"/>
      <c r="AN578" s="4"/>
      <c r="AO578" s="4"/>
      <c r="AP578" s="4"/>
      <c r="AQ578" s="4"/>
      <c r="AR578" s="4"/>
      <c r="AS578" s="4"/>
      <c r="AT578" s="4"/>
      <c r="AU578" s="4"/>
      <c r="AV578" s="537"/>
      <c r="AW578" s="537"/>
      <c r="AX578" s="4"/>
      <c r="AY578" s="4"/>
      <c r="AZ578" s="4"/>
      <c r="BA578" s="4"/>
      <c r="BB578" s="4"/>
      <c r="BC578" s="4"/>
      <c r="BD578" s="4"/>
      <c r="BE578" s="4"/>
      <c r="BF578" s="4"/>
      <c r="BG578" s="4"/>
      <c r="BH578" s="4"/>
      <c r="BI578" s="4"/>
      <c r="BJ578" s="4"/>
      <c r="BK578" s="4"/>
      <c r="BL578" s="4"/>
      <c r="BM578" s="4"/>
      <c r="BN578" s="4"/>
      <c r="BO578" s="4"/>
      <c r="BP578" s="4"/>
      <c r="BQ578" s="4"/>
      <c r="BR578" s="4"/>
    </row>
    <row r="579" spans="1:70" ht="27" customHeight="1" x14ac:dyDescent="0.2">
      <c r="A579" s="532"/>
      <c r="B579" s="917"/>
      <c r="C579" s="4"/>
      <c r="D579" s="917"/>
      <c r="E579" s="4"/>
      <c r="F579" s="917"/>
      <c r="G579" s="4"/>
      <c r="H579" s="920"/>
      <c r="I579" s="3"/>
      <c r="J579" s="920"/>
      <c r="K579" s="3"/>
      <c r="L579" s="920"/>
      <c r="M579" s="3"/>
      <c r="N579" s="920"/>
      <c r="O579" s="3"/>
      <c r="P579" s="3"/>
      <c r="Q579" s="533"/>
      <c r="R579" s="920"/>
      <c r="S579" s="534"/>
      <c r="T579" s="920"/>
      <c r="U579" s="920"/>
      <c r="V579" s="920"/>
      <c r="W579" s="535"/>
      <c r="X579" s="687"/>
      <c r="Y579" s="687"/>
      <c r="Z579" s="687"/>
      <c r="AA579" s="678"/>
      <c r="AB579" s="543"/>
      <c r="AC579" s="3"/>
      <c r="AD579" s="533"/>
      <c r="AE579" s="3"/>
      <c r="AF579" s="4"/>
      <c r="AG579" s="4"/>
      <c r="AH579" s="4"/>
      <c r="AI579" s="4"/>
      <c r="AJ579" s="4"/>
      <c r="AK579" s="4"/>
      <c r="AL579" s="4"/>
      <c r="AM579" s="4"/>
      <c r="AN579" s="4"/>
      <c r="AO579" s="4"/>
      <c r="AP579" s="4"/>
      <c r="AQ579" s="4"/>
      <c r="AR579" s="4"/>
      <c r="AS579" s="4"/>
      <c r="AT579" s="4"/>
      <c r="AU579" s="4"/>
      <c r="AV579" s="537"/>
      <c r="AW579" s="537"/>
      <c r="AX579" s="4"/>
      <c r="AY579" s="4"/>
      <c r="AZ579" s="4"/>
      <c r="BA579" s="4"/>
      <c r="BB579" s="4"/>
      <c r="BC579" s="4"/>
      <c r="BD579" s="4"/>
      <c r="BE579" s="4"/>
      <c r="BF579" s="4"/>
      <c r="BG579" s="4"/>
      <c r="BH579" s="4"/>
      <c r="BI579" s="4"/>
      <c r="BJ579" s="4"/>
      <c r="BK579" s="4"/>
      <c r="BL579" s="4"/>
      <c r="BM579" s="4"/>
      <c r="BN579" s="4"/>
      <c r="BO579" s="4"/>
      <c r="BP579" s="4"/>
      <c r="BQ579" s="4"/>
      <c r="BR579" s="4"/>
    </row>
    <row r="580" spans="1:70" ht="27" customHeight="1" x14ac:dyDescent="0.2">
      <c r="A580" s="532"/>
      <c r="B580" s="917"/>
      <c r="C580" s="4"/>
      <c r="D580" s="917"/>
      <c r="E580" s="4"/>
      <c r="F580" s="917"/>
      <c r="G580" s="4"/>
      <c r="H580" s="920"/>
      <c r="I580" s="3"/>
      <c r="J580" s="920"/>
      <c r="K580" s="3"/>
      <c r="L580" s="920"/>
      <c r="M580" s="3"/>
      <c r="N580" s="920"/>
      <c r="O580" s="3"/>
      <c r="P580" s="3"/>
      <c r="Q580" s="533"/>
      <c r="R580" s="920"/>
      <c r="S580" s="534"/>
      <c r="T580" s="920"/>
      <c r="U580" s="920"/>
      <c r="V580" s="920"/>
      <c r="W580" s="535"/>
      <c r="X580" s="687"/>
      <c r="Y580" s="687"/>
      <c r="Z580" s="687"/>
      <c r="AA580" s="678"/>
      <c r="AB580" s="543"/>
      <c r="AC580" s="3"/>
      <c r="AD580" s="533"/>
      <c r="AE580" s="3"/>
      <c r="AF580" s="4"/>
      <c r="AG580" s="4"/>
      <c r="AH580" s="4"/>
      <c r="AI580" s="4"/>
      <c r="AJ580" s="4"/>
      <c r="AK580" s="4"/>
      <c r="AL580" s="4"/>
      <c r="AM580" s="4"/>
      <c r="AN580" s="4"/>
      <c r="AO580" s="4"/>
      <c r="AP580" s="4"/>
      <c r="AQ580" s="4"/>
      <c r="AR580" s="4"/>
      <c r="AS580" s="4"/>
      <c r="AT580" s="4"/>
      <c r="AU580" s="4"/>
      <c r="AV580" s="537"/>
      <c r="AW580" s="537"/>
      <c r="AX580" s="4"/>
      <c r="AY580" s="4"/>
      <c r="AZ580" s="4"/>
      <c r="BA580" s="4"/>
      <c r="BB580" s="4"/>
      <c r="BC580" s="4"/>
      <c r="BD580" s="4"/>
      <c r="BE580" s="4"/>
      <c r="BF580" s="4"/>
      <c r="BG580" s="4"/>
      <c r="BH580" s="4"/>
      <c r="BI580" s="4"/>
      <c r="BJ580" s="4"/>
      <c r="BK580" s="4"/>
      <c r="BL580" s="4"/>
      <c r="BM580" s="4"/>
      <c r="BN580" s="4"/>
      <c r="BO580" s="4"/>
      <c r="BP580" s="4"/>
      <c r="BQ580" s="4"/>
      <c r="BR580" s="4"/>
    </row>
    <row r="581" spans="1:70" ht="27" customHeight="1" x14ac:dyDescent="0.2">
      <c r="A581" s="532"/>
      <c r="B581" s="917"/>
      <c r="C581" s="4"/>
      <c r="D581" s="917"/>
      <c r="E581" s="4"/>
      <c r="F581" s="917"/>
      <c r="G581" s="4"/>
      <c r="H581" s="920"/>
      <c r="I581" s="3"/>
      <c r="J581" s="920"/>
      <c r="K581" s="3"/>
      <c r="L581" s="920"/>
      <c r="M581" s="3"/>
      <c r="N581" s="920"/>
      <c r="O581" s="3"/>
      <c r="P581" s="3"/>
      <c r="Q581" s="533"/>
      <c r="R581" s="920"/>
      <c r="S581" s="534"/>
      <c r="T581" s="920"/>
      <c r="U581" s="920"/>
      <c r="V581" s="920"/>
      <c r="W581" s="535"/>
      <c r="X581" s="687"/>
      <c r="Y581" s="687"/>
      <c r="Z581" s="687"/>
      <c r="AA581" s="678"/>
      <c r="AB581" s="543"/>
      <c r="AC581" s="3"/>
      <c r="AD581" s="533"/>
      <c r="AE581" s="3"/>
      <c r="AF581" s="4"/>
      <c r="AG581" s="4"/>
      <c r="AH581" s="4"/>
      <c r="AI581" s="4"/>
      <c r="AJ581" s="4"/>
      <c r="AK581" s="4"/>
      <c r="AL581" s="4"/>
      <c r="AM581" s="4"/>
      <c r="AN581" s="4"/>
      <c r="AO581" s="4"/>
      <c r="AP581" s="4"/>
      <c r="AQ581" s="4"/>
      <c r="AR581" s="4"/>
      <c r="AS581" s="4"/>
      <c r="AT581" s="4"/>
      <c r="AU581" s="4"/>
      <c r="AV581" s="537"/>
      <c r="AW581" s="537"/>
      <c r="AX581" s="4"/>
      <c r="AY581" s="4"/>
      <c r="AZ581" s="4"/>
      <c r="BA581" s="4"/>
      <c r="BB581" s="4"/>
      <c r="BC581" s="4"/>
      <c r="BD581" s="4"/>
      <c r="BE581" s="4"/>
      <c r="BF581" s="4"/>
      <c r="BG581" s="4"/>
      <c r="BH581" s="4"/>
      <c r="BI581" s="4"/>
      <c r="BJ581" s="4"/>
      <c r="BK581" s="4"/>
      <c r="BL581" s="4"/>
      <c r="BM581" s="4"/>
      <c r="BN581" s="4"/>
      <c r="BO581" s="4"/>
      <c r="BP581" s="4"/>
      <c r="BQ581" s="4"/>
      <c r="BR581" s="4"/>
    </row>
    <row r="582" spans="1:70" ht="27" customHeight="1" x14ac:dyDescent="0.2">
      <c r="A582" s="532"/>
      <c r="B582" s="917"/>
      <c r="C582" s="4"/>
      <c r="D582" s="917"/>
      <c r="E582" s="4"/>
      <c r="F582" s="917"/>
      <c r="G582" s="4"/>
      <c r="H582" s="920"/>
      <c r="I582" s="3"/>
      <c r="J582" s="920"/>
      <c r="K582" s="3"/>
      <c r="L582" s="920"/>
      <c r="M582" s="3"/>
      <c r="N582" s="920"/>
      <c r="O582" s="3"/>
      <c r="P582" s="3"/>
      <c r="Q582" s="533"/>
      <c r="R582" s="920"/>
      <c r="S582" s="534"/>
      <c r="T582" s="920"/>
      <c r="U582" s="920"/>
      <c r="V582" s="920"/>
      <c r="W582" s="535"/>
      <c r="X582" s="687"/>
      <c r="Y582" s="687"/>
      <c r="Z582" s="687"/>
      <c r="AA582" s="678"/>
      <c r="AB582" s="543"/>
      <c r="AC582" s="3"/>
      <c r="AD582" s="533"/>
      <c r="AE582" s="3"/>
      <c r="AF582" s="4"/>
      <c r="AG582" s="4"/>
      <c r="AH582" s="4"/>
      <c r="AI582" s="4"/>
      <c r="AJ582" s="4"/>
      <c r="AK582" s="4"/>
      <c r="AL582" s="4"/>
      <c r="AM582" s="4"/>
      <c r="AN582" s="4"/>
      <c r="AO582" s="4"/>
      <c r="AP582" s="4"/>
      <c r="AQ582" s="4"/>
      <c r="AR582" s="4"/>
      <c r="AS582" s="4"/>
      <c r="AT582" s="4"/>
      <c r="AU582" s="4"/>
      <c r="AV582" s="537"/>
      <c r="AW582" s="537"/>
      <c r="AX582" s="4"/>
      <c r="AY582" s="4"/>
      <c r="AZ582" s="4"/>
      <c r="BA582" s="4"/>
      <c r="BB582" s="4"/>
      <c r="BC582" s="4"/>
      <c r="BD582" s="4"/>
      <c r="BE582" s="4"/>
      <c r="BF582" s="4"/>
      <c r="BG582" s="4"/>
      <c r="BH582" s="4"/>
      <c r="BI582" s="4"/>
      <c r="BJ582" s="4"/>
      <c r="BK582" s="4"/>
      <c r="BL582" s="4"/>
      <c r="BM582" s="4"/>
      <c r="BN582" s="4"/>
      <c r="BO582" s="4"/>
      <c r="BP582" s="4"/>
      <c r="BQ582" s="4"/>
      <c r="BR582" s="4"/>
    </row>
    <row r="583" spans="1:70" ht="27" customHeight="1" x14ac:dyDescent="0.2">
      <c r="A583" s="532"/>
      <c r="B583" s="917"/>
      <c r="C583" s="4"/>
      <c r="D583" s="917"/>
      <c r="E583" s="4"/>
      <c r="F583" s="917"/>
      <c r="G583" s="4"/>
      <c r="H583" s="920"/>
      <c r="I583" s="3"/>
      <c r="J583" s="920"/>
      <c r="K583" s="3"/>
      <c r="L583" s="920"/>
      <c r="M583" s="3"/>
      <c r="N583" s="920"/>
      <c r="O583" s="3"/>
      <c r="P583" s="3"/>
      <c r="Q583" s="533"/>
      <c r="R583" s="920"/>
      <c r="S583" s="534"/>
      <c r="T583" s="920"/>
      <c r="U583" s="920"/>
      <c r="V583" s="920"/>
      <c r="W583" s="535"/>
      <c r="X583" s="687"/>
      <c r="Y583" s="687"/>
      <c r="Z583" s="687"/>
      <c r="AA583" s="678"/>
      <c r="AB583" s="543"/>
      <c r="AC583" s="3"/>
      <c r="AD583" s="533"/>
      <c r="AE583" s="3"/>
      <c r="AF583" s="4"/>
      <c r="AG583" s="4"/>
      <c r="AH583" s="4"/>
      <c r="AI583" s="4"/>
      <c r="AJ583" s="4"/>
      <c r="AK583" s="4"/>
      <c r="AL583" s="4"/>
      <c r="AM583" s="4"/>
      <c r="AN583" s="4"/>
      <c r="AO583" s="4"/>
      <c r="AP583" s="4"/>
      <c r="AQ583" s="4"/>
      <c r="AR583" s="4"/>
      <c r="AS583" s="4"/>
      <c r="AT583" s="4"/>
      <c r="AU583" s="4"/>
      <c r="AV583" s="537"/>
      <c r="AW583" s="537"/>
      <c r="AX583" s="4"/>
      <c r="AY583" s="4"/>
      <c r="AZ583" s="4"/>
      <c r="BA583" s="4"/>
      <c r="BB583" s="4"/>
      <c r="BC583" s="4"/>
      <c r="BD583" s="4"/>
      <c r="BE583" s="4"/>
      <c r="BF583" s="4"/>
      <c r="BG583" s="4"/>
      <c r="BH583" s="4"/>
      <c r="BI583" s="4"/>
      <c r="BJ583" s="4"/>
      <c r="BK583" s="4"/>
      <c r="BL583" s="4"/>
      <c r="BM583" s="4"/>
      <c r="BN583" s="4"/>
      <c r="BO583" s="4"/>
      <c r="BP583" s="4"/>
      <c r="BQ583" s="4"/>
      <c r="BR583" s="4"/>
    </row>
    <row r="584" spans="1:70" ht="27" customHeight="1" x14ac:dyDescent="0.2">
      <c r="A584" s="532"/>
      <c r="B584" s="917"/>
      <c r="C584" s="4"/>
      <c r="D584" s="917"/>
      <c r="E584" s="4"/>
      <c r="F584" s="917"/>
      <c r="G584" s="4"/>
      <c r="H584" s="920"/>
      <c r="I584" s="3"/>
      <c r="J584" s="920"/>
      <c r="K584" s="3"/>
      <c r="L584" s="920"/>
      <c r="M584" s="3"/>
      <c r="N584" s="920"/>
      <c r="O584" s="3"/>
      <c r="P584" s="3"/>
      <c r="Q584" s="533"/>
      <c r="R584" s="920"/>
      <c r="S584" s="534"/>
      <c r="T584" s="920"/>
      <c r="U584" s="920"/>
      <c r="V584" s="920"/>
      <c r="W584" s="535"/>
      <c r="X584" s="687"/>
      <c r="Y584" s="687"/>
      <c r="Z584" s="687"/>
      <c r="AA584" s="678"/>
      <c r="AB584" s="543"/>
      <c r="AC584" s="3"/>
      <c r="AD584" s="533"/>
      <c r="AE584" s="3"/>
      <c r="AF584" s="4"/>
      <c r="AG584" s="4"/>
      <c r="AH584" s="4"/>
      <c r="AI584" s="4"/>
      <c r="AJ584" s="4"/>
      <c r="AK584" s="4"/>
      <c r="AL584" s="4"/>
      <c r="AM584" s="4"/>
      <c r="AN584" s="4"/>
      <c r="AO584" s="4"/>
      <c r="AP584" s="4"/>
      <c r="AQ584" s="4"/>
      <c r="AR584" s="4"/>
      <c r="AS584" s="4"/>
      <c r="AT584" s="4"/>
      <c r="AU584" s="4"/>
      <c r="AV584" s="537"/>
      <c r="AW584" s="537"/>
      <c r="AX584" s="4"/>
      <c r="AY584" s="4"/>
      <c r="AZ584" s="4"/>
      <c r="BA584" s="4"/>
      <c r="BB584" s="4"/>
      <c r="BC584" s="4"/>
      <c r="BD584" s="4"/>
      <c r="BE584" s="4"/>
      <c r="BF584" s="4"/>
      <c r="BG584" s="4"/>
      <c r="BH584" s="4"/>
      <c r="BI584" s="4"/>
      <c r="BJ584" s="4"/>
      <c r="BK584" s="4"/>
      <c r="BL584" s="4"/>
      <c r="BM584" s="4"/>
      <c r="BN584" s="4"/>
      <c r="BO584" s="4"/>
      <c r="BP584" s="4"/>
      <c r="BQ584" s="4"/>
      <c r="BR584" s="4"/>
    </row>
    <row r="585" spans="1:70" ht="27" customHeight="1" x14ac:dyDescent="0.2">
      <c r="A585" s="532"/>
      <c r="B585" s="917"/>
      <c r="C585" s="4"/>
      <c r="D585" s="917"/>
      <c r="E585" s="4"/>
      <c r="F585" s="917"/>
      <c r="G585" s="4"/>
      <c r="H585" s="920"/>
      <c r="I585" s="3"/>
      <c r="J585" s="920"/>
      <c r="K585" s="3"/>
      <c r="L585" s="920"/>
      <c r="M585" s="3"/>
      <c r="N585" s="920"/>
      <c r="O585" s="3"/>
      <c r="P585" s="3"/>
      <c r="Q585" s="533"/>
      <c r="R585" s="920"/>
      <c r="S585" s="534"/>
      <c r="T585" s="920"/>
      <c r="U585" s="920"/>
      <c r="V585" s="920"/>
      <c r="W585" s="535"/>
      <c r="X585" s="687"/>
      <c r="Y585" s="687"/>
      <c r="Z585" s="687"/>
      <c r="AA585" s="678"/>
      <c r="AB585" s="543"/>
      <c r="AC585" s="3"/>
      <c r="AD585" s="533"/>
      <c r="AE585" s="3"/>
      <c r="AF585" s="4"/>
      <c r="AG585" s="4"/>
      <c r="AH585" s="4"/>
      <c r="AI585" s="4"/>
      <c r="AJ585" s="4"/>
      <c r="AK585" s="4"/>
      <c r="AL585" s="4"/>
      <c r="AM585" s="4"/>
      <c r="AN585" s="4"/>
      <c r="AO585" s="4"/>
      <c r="AP585" s="4"/>
      <c r="AQ585" s="4"/>
      <c r="AR585" s="4"/>
      <c r="AS585" s="4"/>
      <c r="AT585" s="4"/>
      <c r="AU585" s="4"/>
      <c r="AV585" s="537"/>
      <c r="AW585" s="537"/>
      <c r="AX585" s="4"/>
      <c r="AY585" s="4"/>
      <c r="AZ585" s="4"/>
      <c r="BA585" s="4"/>
      <c r="BB585" s="4"/>
      <c r="BC585" s="4"/>
      <c r="BD585" s="4"/>
      <c r="BE585" s="4"/>
      <c r="BF585" s="4"/>
      <c r="BG585" s="4"/>
      <c r="BH585" s="4"/>
      <c r="BI585" s="4"/>
      <c r="BJ585" s="4"/>
      <c r="BK585" s="4"/>
      <c r="BL585" s="4"/>
      <c r="BM585" s="4"/>
      <c r="BN585" s="4"/>
      <c r="BO585" s="4"/>
      <c r="BP585" s="4"/>
      <c r="BQ585" s="4"/>
      <c r="BR585" s="4"/>
    </row>
    <row r="586" spans="1:70" ht="27" customHeight="1" x14ac:dyDescent="0.2">
      <c r="A586" s="532"/>
      <c r="B586" s="917"/>
      <c r="C586" s="4"/>
      <c r="D586" s="917"/>
      <c r="E586" s="4"/>
      <c r="F586" s="917"/>
      <c r="G586" s="4"/>
      <c r="H586" s="920"/>
      <c r="I586" s="3"/>
      <c r="J586" s="920"/>
      <c r="K586" s="3"/>
      <c r="L586" s="920"/>
      <c r="M586" s="3"/>
      <c r="N586" s="920"/>
      <c r="O586" s="3"/>
      <c r="P586" s="3"/>
      <c r="Q586" s="533"/>
      <c r="R586" s="920"/>
      <c r="S586" s="534"/>
      <c r="T586" s="920"/>
      <c r="U586" s="920"/>
      <c r="V586" s="920"/>
      <c r="W586" s="535"/>
      <c r="X586" s="687"/>
      <c r="Y586" s="687"/>
      <c r="Z586" s="687"/>
      <c r="AA586" s="678"/>
      <c r="AB586" s="543"/>
      <c r="AC586" s="3"/>
      <c r="AD586" s="533"/>
      <c r="AE586" s="3"/>
      <c r="AF586" s="4"/>
      <c r="AG586" s="4"/>
      <c r="AH586" s="4"/>
      <c r="AI586" s="4"/>
      <c r="AJ586" s="4"/>
      <c r="AK586" s="4"/>
      <c r="AL586" s="4"/>
      <c r="AM586" s="4"/>
      <c r="AN586" s="4"/>
      <c r="AO586" s="4"/>
      <c r="AP586" s="4"/>
      <c r="AQ586" s="4"/>
      <c r="AR586" s="4"/>
      <c r="AS586" s="4"/>
      <c r="AT586" s="4"/>
      <c r="AU586" s="4"/>
      <c r="AV586" s="537"/>
      <c r="AW586" s="537"/>
      <c r="AX586" s="4"/>
      <c r="AY586" s="4"/>
      <c r="AZ586" s="4"/>
      <c r="BA586" s="4"/>
      <c r="BB586" s="4"/>
      <c r="BC586" s="4"/>
      <c r="BD586" s="4"/>
      <c r="BE586" s="4"/>
      <c r="BF586" s="4"/>
      <c r="BG586" s="4"/>
      <c r="BH586" s="4"/>
      <c r="BI586" s="4"/>
      <c r="BJ586" s="4"/>
      <c r="BK586" s="4"/>
      <c r="BL586" s="4"/>
      <c r="BM586" s="4"/>
      <c r="BN586" s="4"/>
      <c r="BO586" s="4"/>
      <c r="BP586" s="4"/>
      <c r="BQ586" s="4"/>
      <c r="BR586" s="4"/>
    </row>
    <row r="587" spans="1:70" ht="27" customHeight="1" x14ac:dyDescent="0.2">
      <c r="A587" s="532"/>
      <c r="B587" s="917"/>
      <c r="C587" s="4"/>
      <c r="D587" s="917"/>
      <c r="E587" s="4"/>
      <c r="F587" s="917"/>
      <c r="G587" s="4"/>
      <c r="H587" s="920"/>
      <c r="I587" s="3"/>
      <c r="J587" s="920"/>
      <c r="K587" s="3"/>
      <c r="L587" s="920"/>
      <c r="M587" s="3"/>
      <c r="N587" s="920"/>
      <c r="O587" s="3"/>
      <c r="P587" s="3"/>
      <c r="Q587" s="533"/>
      <c r="R587" s="920"/>
      <c r="S587" s="534"/>
      <c r="T587" s="920"/>
      <c r="U587" s="920"/>
      <c r="V587" s="920"/>
      <c r="W587" s="535"/>
      <c r="X587" s="687"/>
      <c r="Y587" s="687"/>
      <c r="Z587" s="687"/>
      <c r="AA587" s="678"/>
      <c r="AB587" s="543"/>
      <c r="AC587" s="3"/>
      <c r="AD587" s="533"/>
      <c r="AE587" s="3"/>
      <c r="AF587" s="4"/>
      <c r="AG587" s="4"/>
      <c r="AH587" s="4"/>
      <c r="AI587" s="4"/>
      <c r="AJ587" s="4"/>
      <c r="AK587" s="4"/>
      <c r="AL587" s="4"/>
      <c r="AM587" s="4"/>
      <c r="AN587" s="4"/>
      <c r="AO587" s="4"/>
      <c r="AP587" s="4"/>
      <c r="AQ587" s="4"/>
      <c r="AR587" s="4"/>
      <c r="AS587" s="4"/>
      <c r="AT587" s="4"/>
      <c r="AU587" s="4"/>
      <c r="AV587" s="537"/>
      <c r="AW587" s="537"/>
      <c r="AX587" s="4"/>
      <c r="AY587" s="4"/>
      <c r="AZ587" s="4"/>
      <c r="BA587" s="4"/>
      <c r="BB587" s="4"/>
      <c r="BC587" s="4"/>
      <c r="BD587" s="4"/>
      <c r="BE587" s="4"/>
      <c r="BF587" s="4"/>
      <c r="BG587" s="4"/>
      <c r="BH587" s="4"/>
      <c r="BI587" s="4"/>
      <c r="BJ587" s="4"/>
      <c r="BK587" s="4"/>
      <c r="BL587" s="4"/>
      <c r="BM587" s="4"/>
      <c r="BN587" s="4"/>
      <c r="BO587" s="4"/>
      <c r="BP587" s="4"/>
      <c r="BQ587" s="4"/>
      <c r="BR587" s="4"/>
    </row>
    <row r="588" spans="1:70" ht="27" customHeight="1" x14ac:dyDescent="0.2">
      <c r="A588" s="532"/>
      <c r="B588" s="917"/>
      <c r="C588" s="4"/>
      <c r="D588" s="917"/>
      <c r="E588" s="4"/>
      <c r="F588" s="917"/>
      <c r="G588" s="4"/>
      <c r="H588" s="920"/>
      <c r="I588" s="3"/>
      <c r="J588" s="920"/>
      <c r="K588" s="3"/>
      <c r="L588" s="920"/>
      <c r="M588" s="3"/>
      <c r="N588" s="920"/>
      <c r="O588" s="3"/>
      <c r="P588" s="3"/>
      <c r="Q588" s="533"/>
      <c r="R588" s="920"/>
      <c r="S588" s="534"/>
      <c r="T588" s="920"/>
      <c r="U588" s="920"/>
      <c r="V588" s="920"/>
      <c r="W588" s="535"/>
      <c r="X588" s="687"/>
      <c r="Y588" s="687"/>
      <c r="Z588" s="687"/>
      <c r="AA588" s="678"/>
      <c r="AB588" s="543"/>
      <c r="AC588" s="3"/>
      <c r="AD588" s="533"/>
      <c r="AE588" s="3"/>
      <c r="AF588" s="4"/>
      <c r="AG588" s="4"/>
      <c r="AH588" s="4"/>
      <c r="AI588" s="4"/>
      <c r="AJ588" s="4"/>
      <c r="AK588" s="4"/>
      <c r="AL588" s="4"/>
      <c r="AM588" s="4"/>
      <c r="AN588" s="4"/>
      <c r="AO588" s="4"/>
      <c r="AP588" s="4"/>
      <c r="AQ588" s="4"/>
      <c r="AR588" s="4"/>
      <c r="AS588" s="4"/>
      <c r="AT588" s="4"/>
      <c r="AU588" s="4"/>
      <c r="AV588" s="537"/>
      <c r="AW588" s="537"/>
      <c r="AX588" s="4"/>
      <c r="AY588" s="4"/>
      <c r="AZ588" s="4"/>
      <c r="BA588" s="4"/>
      <c r="BB588" s="4"/>
      <c r="BC588" s="4"/>
      <c r="BD588" s="4"/>
      <c r="BE588" s="4"/>
      <c r="BF588" s="4"/>
      <c r="BG588" s="4"/>
      <c r="BH588" s="4"/>
      <c r="BI588" s="4"/>
      <c r="BJ588" s="4"/>
      <c r="BK588" s="4"/>
      <c r="BL588" s="4"/>
      <c r="BM588" s="4"/>
      <c r="BN588" s="4"/>
      <c r="BO588" s="4"/>
      <c r="BP588" s="4"/>
      <c r="BQ588" s="4"/>
      <c r="BR588" s="4"/>
    </row>
    <row r="589" spans="1:70" ht="27" customHeight="1" x14ac:dyDescent="0.2">
      <c r="A589" s="532"/>
      <c r="B589" s="917"/>
      <c r="C589" s="4"/>
      <c r="D589" s="917"/>
      <c r="E589" s="4"/>
      <c r="F589" s="917"/>
      <c r="G589" s="4"/>
      <c r="H589" s="920"/>
      <c r="I589" s="3"/>
      <c r="J589" s="920"/>
      <c r="K589" s="3"/>
      <c r="L589" s="920"/>
      <c r="M589" s="3"/>
      <c r="N589" s="920"/>
      <c r="O589" s="3"/>
      <c r="P589" s="3"/>
      <c r="Q589" s="533"/>
      <c r="R589" s="920"/>
      <c r="S589" s="534"/>
      <c r="T589" s="920"/>
      <c r="U589" s="920"/>
      <c r="V589" s="920"/>
      <c r="W589" s="535"/>
      <c r="X589" s="687"/>
      <c r="Y589" s="687"/>
      <c r="Z589" s="687"/>
      <c r="AA589" s="678"/>
      <c r="AB589" s="543"/>
      <c r="AC589" s="3"/>
      <c r="AD589" s="533"/>
      <c r="AE589" s="3"/>
      <c r="AF589" s="4"/>
      <c r="AG589" s="4"/>
      <c r="AH589" s="4"/>
      <c r="AI589" s="4"/>
      <c r="AJ589" s="4"/>
      <c r="AK589" s="4"/>
      <c r="AL589" s="4"/>
      <c r="AM589" s="4"/>
      <c r="AN589" s="4"/>
      <c r="AO589" s="4"/>
      <c r="AP589" s="4"/>
      <c r="AQ589" s="4"/>
      <c r="AR589" s="4"/>
      <c r="AS589" s="4"/>
      <c r="AT589" s="4"/>
      <c r="AU589" s="4"/>
      <c r="AV589" s="537"/>
      <c r="AW589" s="537"/>
      <c r="AX589" s="4"/>
      <c r="AY589" s="4"/>
      <c r="AZ589" s="4"/>
      <c r="BA589" s="4"/>
      <c r="BB589" s="4"/>
      <c r="BC589" s="4"/>
      <c r="BD589" s="4"/>
      <c r="BE589" s="4"/>
      <c r="BF589" s="4"/>
      <c r="BG589" s="4"/>
      <c r="BH589" s="4"/>
      <c r="BI589" s="4"/>
      <c r="BJ589" s="4"/>
      <c r="BK589" s="4"/>
      <c r="BL589" s="4"/>
      <c r="BM589" s="4"/>
      <c r="BN589" s="4"/>
      <c r="BO589" s="4"/>
      <c r="BP589" s="4"/>
      <c r="BQ589" s="4"/>
      <c r="BR589" s="4"/>
    </row>
    <row r="590" spans="1:70" ht="27" customHeight="1" x14ac:dyDescent="0.2">
      <c r="A590" s="532"/>
      <c r="B590" s="917"/>
      <c r="C590" s="4"/>
      <c r="D590" s="917"/>
      <c r="E590" s="4"/>
      <c r="F590" s="917"/>
      <c r="G590" s="4"/>
      <c r="H590" s="920"/>
      <c r="I590" s="3"/>
      <c r="J590" s="920"/>
      <c r="K590" s="3"/>
      <c r="L590" s="920"/>
      <c r="M590" s="3"/>
      <c r="N590" s="920"/>
      <c r="O590" s="3"/>
      <c r="P590" s="3"/>
      <c r="Q590" s="533"/>
      <c r="R590" s="920"/>
      <c r="S590" s="534"/>
      <c r="T590" s="920"/>
      <c r="U590" s="920"/>
      <c r="V590" s="920"/>
      <c r="W590" s="535"/>
      <c r="X590" s="687"/>
      <c r="Y590" s="687"/>
      <c r="Z590" s="687"/>
      <c r="AA590" s="678"/>
      <c r="AB590" s="543"/>
      <c r="AC590" s="3"/>
      <c r="AD590" s="533"/>
      <c r="AE590" s="3"/>
      <c r="AF590" s="4"/>
      <c r="AG590" s="4"/>
      <c r="AH590" s="4"/>
      <c r="AI590" s="4"/>
      <c r="AJ590" s="4"/>
      <c r="AK590" s="4"/>
      <c r="AL590" s="4"/>
      <c r="AM590" s="4"/>
      <c r="AN590" s="4"/>
      <c r="AO590" s="4"/>
      <c r="AP590" s="4"/>
      <c r="AQ590" s="4"/>
      <c r="AR590" s="4"/>
      <c r="AS590" s="4"/>
      <c r="AT590" s="4"/>
      <c r="AU590" s="4"/>
      <c r="AV590" s="537"/>
      <c r="AW590" s="537"/>
      <c r="AX590" s="4"/>
      <c r="AY590" s="4"/>
      <c r="AZ590" s="4"/>
      <c r="BA590" s="4"/>
      <c r="BB590" s="4"/>
      <c r="BC590" s="4"/>
      <c r="BD590" s="4"/>
      <c r="BE590" s="4"/>
      <c r="BF590" s="4"/>
      <c r="BG590" s="4"/>
      <c r="BH590" s="4"/>
      <c r="BI590" s="4"/>
      <c r="BJ590" s="4"/>
      <c r="BK590" s="4"/>
      <c r="BL590" s="4"/>
      <c r="BM590" s="4"/>
      <c r="BN590" s="4"/>
      <c r="BO590" s="4"/>
      <c r="BP590" s="4"/>
      <c r="BQ590" s="4"/>
      <c r="BR590" s="4"/>
    </row>
    <row r="591" spans="1:70" ht="27" customHeight="1" x14ac:dyDescent="0.2">
      <c r="A591" s="532"/>
      <c r="B591" s="917"/>
      <c r="C591" s="4"/>
      <c r="D591" s="917"/>
      <c r="E591" s="4"/>
      <c r="F591" s="917"/>
      <c r="G591" s="4"/>
      <c r="H591" s="920"/>
      <c r="I591" s="3"/>
      <c r="J591" s="920"/>
      <c r="K591" s="3"/>
      <c r="L591" s="920"/>
      <c r="M591" s="3"/>
      <c r="N591" s="920"/>
      <c r="O591" s="3"/>
      <c r="P591" s="3"/>
      <c r="Q591" s="533"/>
      <c r="R591" s="920"/>
      <c r="S591" s="534"/>
      <c r="T591" s="920"/>
      <c r="U591" s="920"/>
      <c r="V591" s="920"/>
      <c r="W591" s="535"/>
      <c r="X591" s="687"/>
      <c r="Y591" s="687"/>
      <c r="Z591" s="687"/>
      <c r="AA591" s="678"/>
      <c r="AB591" s="543"/>
      <c r="AC591" s="3"/>
      <c r="AD591" s="533"/>
      <c r="AE591" s="3"/>
      <c r="AF591" s="4"/>
      <c r="AG591" s="4"/>
      <c r="AH591" s="4"/>
      <c r="AI591" s="4"/>
      <c r="AJ591" s="4"/>
      <c r="AK591" s="4"/>
      <c r="AL591" s="4"/>
      <c r="AM591" s="4"/>
      <c r="AN591" s="4"/>
      <c r="AO591" s="4"/>
      <c r="AP591" s="4"/>
      <c r="AQ591" s="4"/>
      <c r="AR591" s="4"/>
      <c r="AS591" s="4"/>
      <c r="AT591" s="4"/>
      <c r="AU591" s="4"/>
      <c r="AV591" s="537"/>
      <c r="AW591" s="537"/>
      <c r="AX591" s="4"/>
      <c r="AY591" s="4"/>
      <c r="AZ591" s="4"/>
      <c r="BA591" s="4"/>
      <c r="BB591" s="4"/>
      <c r="BC591" s="4"/>
      <c r="BD591" s="4"/>
      <c r="BE591" s="4"/>
      <c r="BF591" s="4"/>
      <c r="BG591" s="4"/>
      <c r="BH591" s="4"/>
      <c r="BI591" s="4"/>
      <c r="BJ591" s="4"/>
      <c r="BK591" s="4"/>
      <c r="BL591" s="4"/>
      <c r="BM591" s="4"/>
      <c r="BN591" s="4"/>
      <c r="BO591" s="4"/>
      <c r="BP591" s="4"/>
      <c r="BQ591" s="4"/>
      <c r="BR591" s="4"/>
    </row>
    <row r="592" spans="1:70" ht="27" customHeight="1" x14ac:dyDescent="0.2">
      <c r="A592" s="532"/>
      <c r="B592" s="917"/>
      <c r="C592" s="4"/>
      <c r="D592" s="917"/>
      <c r="E592" s="4"/>
      <c r="F592" s="917"/>
      <c r="G592" s="4"/>
      <c r="H592" s="920"/>
      <c r="I592" s="3"/>
      <c r="J592" s="920"/>
      <c r="K592" s="3"/>
      <c r="L592" s="920"/>
      <c r="M592" s="3"/>
      <c r="N592" s="920"/>
      <c r="O592" s="3"/>
      <c r="P592" s="3"/>
      <c r="Q592" s="533"/>
      <c r="R592" s="920"/>
      <c r="S592" s="534"/>
      <c r="T592" s="920"/>
      <c r="U592" s="920"/>
      <c r="V592" s="920"/>
      <c r="W592" s="535"/>
      <c r="X592" s="687"/>
      <c r="Y592" s="687"/>
      <c r="Z592" s="687"/>
      <c r="AA592" s="678"/>
      <c r="AB592" s="543"/>
      <c r="AC592" s="3"/>
      <c r="AD592" s="533"/>
      <c r="AE592" s="3"/>
      <c r="AF592" s="4"/>
      <c r="AG592" s="4"/>
      <c r="AH592" s="4"/>
      <c r="AI592" s="4"/>
      <c r="AJ592" s="4"/>
      <c r="AK592" s="4"/>
      <c r="AL592" s="4"/>
      <c r="AM592" s="4"/>
      <c r="AN592" s="4"/>
      <c r="AO592" s="4"/>
      <c r="AP592" s="4"/>
      <c r="AQ592" s="4"/>
      <c r="AR592" s="4"/>
      <c r="AS592" s="4"/>
      <c r="AT592" s="4"/>
      <c r="AU592" s="4"/>
      <c r="AV592" s="537"/>
      <c r="AW592" s="537"/>
      <c r="AX592" s="4"/>
      <c r="AY592" s="4"/>
      <c r="AZ592" s="4"/>
      <c r="BA592" s="4"/>
      <c r="BB592" s="4"/>
      <c r="BC592" s="4"/>
      <c r="BD592" s="4"/>
      <c r="BE592" s="4"/>
      <c r="BF592" s="4"/>
      <c r="BG592" s="4"/>
      <c r="BH592" s="4"/>
      <c r="BI592" s="4"/>
      <c r="BJ592" s="4"/>
      <c r="BK592" s="4"/>
      <c r="BL592" s="4"/>
      <c r="BM592" s="4"/>
      <c r="BN592" s="4"/>
      <c r="BO592" s="4"/>
      <c r="BP592" s="4"/>
      <c r="BQ592" s="4"/>
      <c r="BR592" s="4"/>
    </row>
    <row r="593" spans="1:70" ht="27" customHeight="1" x14ac:dyDescent="0.2">
      <c r="A593" s="532"/>
      <c r="B593" s="917"/>
      <c r="C593" s="4"/>
      <c r="D593" s="917"/>
      <c r="E593" s="4"/>
      <c r="F593" s="917"/>
      <c r="G593" s="4"/>
      <c r="H593" s="920"/>
      <c r="I593" s="3"/>
      <c r="J593" s="920"/>
      <c r="K593" s="3"/>
      <c r="L593" s="920"/>
      <c r="M593" s="3"/>
      <c r="N593" s="920"/>
      <c r="O593" s="3"/>
      <c r="P593" s="3"/>
      <c r="Q593" s="533"/>
      <c r="R593" s="920"/>
      <c r="S593" s="534"/>
      <c r="T593" s="920"/>
      <c r="U593" s="920"/>
      <c r="V593" s="920"/>
      <c r="W593" s="535"/>
      <c r="X593" s="687"/>
      <c r="Y593" s="687"/>
      <c r="Z593" s="687"/>
      <c r="AA593" s="678"/>
      <c r="AB593" s="543"/>
      <c r="AC593" s="3"/>
      <c r="AD593" s="533"/>
      <c r="AE593" s="3"/>
      <c r="AF593" s="4"/>
      <c r="AG593" s="4"/>
      <c r="AH593" s="4"/>
      <c r="AI593" s="4"/>
      <c r="AJ593" s="4"/>
      <c r="AK593" s="4"/>
      <c r="AL593" s="4"/>
      <c r="AM593" s="4"/>
      <c r="AN593" s="4"/>
      <c r="AO593" s="4"/>
      <c r="AP593" s="4"/>
      <c r="AQ593" s="4"/>
      <c r="AR593" s="4"/>
      <c r="AS593" s="4"/>
      <c r="AT593" s="4"/>
      <c r="AU593" s="4"/>
      <c r="AV593" s="537"/>
      <c r="AW593" s="537"/>
      <c r="AX593" s="4"/>
      <c r="AY593" s="4"/>
      <c r="AZ593" s="4"/>
      <c r="BA593" s="4"/>
      <c r="BB593" s="4"/>
      <c r="BC593" s="4"/>
      <c r="BD593" s="4"/>
      <c r="BE593" s="4"/>
      <c r="BF593" s="4"/>
      <c r="BG593" s="4"/>
      <c r="BH593" s="4"/>
      <c r="BI593" s="4"/>
      <c r="BJ593" s="4"/>
      <c r="BK593" s="4"/>
      <c r="BL593" s="4"/>
      <c r="BM593" s="4"/>
      <c r="BN593" s="4"/>
      <c r="BO593" s="4"/>
      <c r="BP593" s="4"/>
      <c r="BQ593" s="4"/>
      <c r="BR593" s="4"/>
    </row>
    <row r="594" spans="1:70" ht="27" customHeight="1" x14ac:dyDescent="0.2">
      <c r="A594" s="532"/>
      <c r="B594" s="917"/>
      <c r="C594" s="4"/>
      <c r="D594" s="917"/>
      <c r="E594" s="4"/>
      <c r="F594" s="917"/>
      <c r="G594" s="4"/>
      <c r="H594" s="920"/>
      <c r="I594" s="3"/>
      <c r="J594" s="920"/>
      <c r="K594" s="3"/>
      <c r="L594" s="920"/>
      <c r="M594" s="3"/>
      <c r="N594" s="920"/>
      <c r="O594" s="3"/>
      <c r="P594" s="3"/>
      <c r="Q594" s="533"/>
      <c r="R594" s="920"/>
      <c r="S594" s="534"/>
      <c r="T594" s="920"/>
      <c r="U594" s="920"/>
      <c r="V594" s="920"/>
      <c r="W594" s="535"/>
      <c r="X594" s="687"/>
      <c r="Y594" s="687"/>
      <c r="Z594" s="687"/>
      <c r="AA594" s="678"/>
      <c r="AB594" s="543"/>
      <c r="AC594" s="3"/>
      <c r="AD594" s="533"/>
      <c r="AE594" s="3"/>
      <c r="AF594" s="4"/>
      <c r="AG594" s="4"/>
      <c r="AH594" s="4"/>
      <c r="AI594" s="4"/>
      <c r="AJ594" s="4"/>
      <c r="AK594" s="4"/>
      <c r="AL594" s="4"/>
      <c r="AM594" s="4"/>
      <c r="AN594" s="4"/>
      <c r="AO594" s="4"/>
      <c r="AP594" s="4"/>
      <c r="AQ594" s="4"/>
      <c r="AR594" s="4"/>
      <c r="AS594" s="4"/>
      <c r="AT594" s="4"/>
      <c r="AU594" s="4"/>
      <c r="AV594" s="537"/>
      <c r="AW594" s="537"/>
      <c r="AX594" s="4"/>
      <c r="AY594" s="4"/>
      <c r="AZ594" s="4"/>
      <c r="BA594" s="4"/>
      <c r="BB594" s="4"/>
      <c r="BC594" s="4"/>
      <c r="BD594" s="4"/>
      <c r="BE594" s="4"/>
      <c r="BF594" s="4"/>
      <c r="BG594" s="4"/>
      <c r="BH594" s="4"/>
      <c r="BI594" s="4"/>
      <c r="BJ594" s="4"/>
      <c r="BK594" s="4"/>
      <c r="BL594" s="4"/>
      <c r="BM594" s="4"/>
      <c r="BN594" s="4"/>
      <c r="BO594" s="4"/>
      <c r="BP594" s="4"/>
      <c r="BQ594" s="4"/>
      <c r="BR594" s="4"/>
    </row>
    <row r="595" spans="1:70" ht="27" customHeight="1" x14ac:dyDescent="0.2">
      <c r="A595" s="532"/>
      <c r="B595" s="917"/>
      <c r="C595" s="4"/>
      <c r="D595" s="917"/>
      <c r="E595" s="4"/>
      <c r="F595" s="917"/>
      <c r="G595" s="4"/>
      <c r="H595" s="920"/>
      <c r="I595" s="3"/>
      <c r="J595" s="920"/>
      <c r="K595" s="3"/>
      <c r="L595" s="920"/>
      <c r="M595" s="3"/>
      <c r="N595" s="920"/>
      <c r="O595" s="3"/>
      <c r="P595" s="3"/>
      <c r="Q595" s="533"/>
      <c r="R595" s="920"/>
      <c r="S595" s="534"/>
      <c r="T595" s="920"/>
      <c r="U595" s="920"/>
      <c r="V595" s="920"/>
      <c r="W595" s="535"/>
      <c r="X595" s="687"/>
      <c r="Y595" s="687"/>
      <c r="Z595" s="687"/>
      <c r="AA595" s="678"/>
      <c r="AB595" s="543"/>
      <c r="AC595" s="3"/>
      <c r="AD595" s="533"/>
      <c r="AE595" s="3"/>
      <c r="AF595" s="4"/>
      <c r="AG595" s="4"/>
      <c r="AH595" s="4"/>
      <c r="AI595" s="4"/>
      <c r="AJ595" s="4"/>
      <c r="AK595" s="4"/>
      <c r="AL595" s="4"/>
      <c r="AM595" s="4"/>
      <c r="AN595" s="4"/>
      <c r="AO595" s="4"/>
      <c r="AP595" s="4"/>
      <c r="AQ595" s="4"/>
      <c r="AR595" s="4"/>
      <c r="AS595" s="4"/>
      <c r="AT595" s="4"/>
      <c r="AU595" s="4"/>
      <c r="AV595" s="537"/>
      <c r="AW595" s="537"/>
      <c r="AX595" s="4"/>
      <c r="AY595" s="4"/>
      <c r="AZ595" s="4"/>
      <c r="BA595" s="4"/>
      <c r="BB595" s="4"/>
      <c r="BC595" s="4"/>
      <c r="BD595" s="4"/>
      <c r="BE595" s="4"/>
      <c r="BF595" s="4"/>
      <c r="BG595" s="4"/>
      <c r="BH595" s="4"/>
      <c r="BI595" s="4"/>
      <c r="BJ595" s="4"/>
      <c r="BK595" s="4"/>
      <c r="BL595" s="4"/>
      <c r="BM595" s="4"/>
      <c r="BN595" s="4"/>
      <c r="BO595" s="4"/>
      <c r="BP595" s="4"/>
      <c r="BQ595" s="4"/>
      <c r="BR595" s="4"/>
    </row>
    <row r="596" spans="1:70" ht="27" customHeight="1" x14ac:dyDescent="0.2">
      <c r="A596" s="532"/>
      <c r="B596" s="917"/>
      <c r="C596" s="4"/>
      <c r="D596" s="917"/>
      <c r="E596" s="4"/>
      <c r="F596" s="917"/>
      <c r="G596" s="4"/>
      <c r="H596" s="920"/>
      <c r="I596" s="3"/>
      <c r="J596" s="920"/>
      <c r="K596" s="3"/>
      <c r="L596" s="920"/>
      <c r="M596" s="3"/>
      <c r="N596" s="920"/>
      <c r="O596" s="3"/>
      <c r="P596" s="3"/>
      <c r="Q596" s="533"/>
      <c r="R596" s="920"/>
      <c r="S596" s="534"/>
      <c r="T596" s="920"/>
      <c r="U596" s="920"/>
      <c r="V596" s="920"/>
      <c r="W596" s="535"/>
      <c r="X596" s="687"/>
      <c r="Y596" s="687"/>
      <c r="Z596" s="687"/>
      <c r="AA596" s="678"/>
      <c r="AB596" s="543"/>
      <c r="AC596" s="3"/>
      <c r="AD596" s="533"/>
      <c r="AE596" s="3"/>
      <c r="AF596" s="4"/>
      <c r="AG596" s="4"/>
      <c r="AH596" s="4"/>
      <c r="AI596" s="4"/>
      <c r="AJ596" s="4"/>
      <c r="AK596" s="4"/>
      <c r="AL596" s="4"/>
      <c r="AM596" s="4"/>
      <c r="AN596" s="4"/>
      <c r="AO596" s="4"/>
      <c r="AP596" s="4"/>
      <c r="AQ596" s="4"/>
      <c r="AR596" s="4"/>
      <c r="AS596" s="4"/>
      <c r="AT596" s="4"/>
      <c r="AU596" s="4"/>
      <c r="AV596" s="537"/>
      <c r="AW596" s="537"/>
      <c r="AX596" s="4"/>
      <c r="AY596" s="4"/>
      <c r="AZ596" s="4"/>
      <c r="BA596" s="4"/>
      <c r="BB596" s="4"/>
      <c r="BC596" s="4"/>
      <c r="BD596" s="4"/>
      <c r="BE596" s="4"/>
      <c r="BF596" s="4"/>
      <c r="BG596" s="4"/>
      <c r="BH596" s="4"/>
      <c r="BI596" s="4"/>
      <c r="BJ596" s="4"/>
      <c r="BK596" s="4"/>
      <c r="BL596" s="4"/>
      <c r="BM596" s="4"/>
      <c r="BN596" s="4"/>
      <c r="BO596" s="4"/>
      <c r="BP596" s="4"/>
      <c r="BQ596" s="4"/>
      <c r="BR596" s="4"/>
    </row>
    <row r="597" spans="1:70" ht="27" customHeight="1" x14ac:dyDescent="0.2">
      <c r="A597" s="532"/>
      <c r="B597" s="917"/>
      <c r="C597" s="4"/>
      <c r="D597" s="917"/>
      <c r="E597" s="4"/>
      <c r="F597" s="917"/>
      <c r="G597" s="4"/>
      <c r="H597" s="920"/>
      <c r="I597" s="3"/>
      <c r="J597" s="920"/>
      <c r="K597" s="3"/>
      <c r="L597" s="920"/>
      <c r="M597" s="3"/>
      <c r="N597" s="920"/>
      <c r="O597" s="3"/>
      <c r="P597" s="3"/>
      <c r="Q597" s="533"/>
      <c r="R597" s="920"/>
      <c r="S597" s="534"/>
      <c r="T597" s="920"/>
      <c r="U597" s="920"/>
      <c r="V597" s="920"/>
      <c r="W597" s="535"/>
      <c r="X597" s="687"/>
      <c r="Y597" s="687"/>
      <c r="Z597" s="687"/>
      <c r="AA597" s="678"/>
      <c r="AB597" s="543"/>
      <c r="AC597" s="3"/>
      <c r="AD597" s="533"/>
      <c r="AE597" s="3"/>
      <c r="AF597" s="4"/>
      <c r="AG597" s="4"/>
      <c r="AH597" s="4"/>
      <c r="AI597" s="4"/>
      <c r="AJ597" s="4"/>
      <c r="AK597" s="4"/>
      <c r="AL597" s="4"/>
      <c r="AM597" s="4"/>
      <c r="AN597" s="4"/>
      <c r="AO597" s="4"/>
      <c r="AP597" s="4"/>
      <c r="AQ597" s="4"/>
      <c r="AR597" s="4"/>
      <c r="AS597" s="4"/>
      <c r="AT597" s="4"/>
      <c r="AU597" s="4"/>
      <c r="AV597" s="537"/>
      <c r="AW597" s="537"/>
      <c r="AX597" s="4"/>
      <c r="AY597" s="4"/>
      <c r="AZ597" s="4"/>
      <c r="BA597" s="4"/>
      <c r="BB597" s="4"/>
      <c r="BC597" s="4"/>
      <c r="BD597" s="4"/>
      <c r="BE597" s="4"/>
      <c r="BF597" s="4"/>
      <c r="BG597" s="4"/>
      <c r="BH597" s="4"/>
      <c r="BI597" s="4"/>
      <c r="BJ597" s="4"/>
      <c r="BK597" s="4"/>
      <c r="BL597" s="4"/>
      <c r="BM597" s="4"/>
      <c r="BN597" s="4"/>
      <c r="BO597" s="4"/>
      <c r="BP597" s="4"/>
      <c r="BQ597" s="4"/>
      <c r="BR597" s="4"/>
    </row>
    <row r="598" spans="1:70" ht="27" customHeight="1" x14ac:dyDescent="0.2">
      <c r="A598" s="532"/>
      <c r="B598" s="917"/>
      <c r="C598" s="4"/>
      <c r="D598" s="917"/>
      <c r="E598" s="4"/>
      <c r="F598" s="917"/>
      <c r="G598" s="4"/>
      <c r="H598" s="920"/>
      <c r="I598" s="3"/>
      <c r="J598" s="920"/>
      <c r="K598" s="3"/>
      <c r="L598" s="920"/>
      <c r="M598" s="3"/>
      <c r="N598" s="920"/>
      <c r="O598" s="3"/>
      <c r="P598" s="3"/>
      <c r="Q598" s="533"/>
      <c r="R598" s="920"/>
      <c r="S598" s="534"/>
      <c r="T598" s="920"/>
      <c r="U598" s="920"/>
      <c r="V598" s="920"/>
      <c r="W598" s="535"/>
      <c r="X598" s="687"/>
      <c r="Y598" s="687"/>
      <c r="Z598" s="687"/>
      <c r="AA598" s="678"/>
      <c r="AB598" s="543"/>
      <c r="AC598" s="3"/>
      <c r="AD598" s="533"/>
      <c r="AE598" s="3"/>
      <c r="AF598" s="4"/>
      <c r="AG598" s="4"/>
      <c r="AH598" s="4"/>
      <c r="AI598" s="4"/>
      <c r="AJ598" s="4"/>
      <c r="AK598" s="4"/>
      <c r="AL598" s="4"/>
      <c r="AM598" s="4"/>
      <c r="AN598" s="4"/>
      <c r="AO598" s="4"/>
      <c r="AP598" s="4"/>
      <c r="AQ598" s="4"/>
      <c r="AR598" s="4"/>
      <c r="AS598" s="4"/>
      <c r="AT598" s="4"/>
      <c r="AU598" s="4"/>
      <c r="AV598" s="537"/>
      <c r="AW598" s="537"/>
      <c r="AX598" s="4"/>
      <c r="AY598" s="4"/>
      <c r="AZ598" s="4"/>
      <c r="BA598" s="4"/>
      <c r="BB598" s="4"/>
      <c r="BC598" s="4"/>
      <c r="BD598" s="4"/>
      <c r="BE598" s="4"/>
      <c r="BF598" s="4"/>
      <c r="BG598" s="4"/>
      <c r="BH598" s="4"/>
      <c r="BI598" s="4"/>
      <c r="BJ598" s="4"/>
      <c r="BK598" s="4"/>
      <c r="BL598" s="4"/>
      <c r="BM598" s="4"/>
      <c r="BN598" s="4"/>
      <c r="BO598" s="4"/>
      <c r="BP598" s="4"/>
      <c r="BQ598" s="4"/>
      <c r="BR598" s="4"/>
    </row>
    <row r="599" spans="1:70" ht="27" customHeight="1" x14ac:dyDescent="0.2">
      <c r="A599" s="532"/>
      <c r="B599" s="917"/>
      <c r="C599" s="4"/>
      <c r="D599" s="917"/>
      <c r="E599" s="4"/>
      <c r="F599" s="917"/>
      <c r="G599" s="4"/>
      <c r="H599" s="920"/>
      <c r="I599" s="3"/>
      <c r="J599" s="920"/>
      <c r="K599" s="3"/>
      <c r="L599" s="920"/>
      <c r="M599" s="3"/>
      <c r="N599" s="920"/>
      <c r="O599" s="3"/>
      <c r="P599" s="3"/>
      <c r="Q599" s="533"/>
      <c r="R599" s="920"/>
      <c r="S599" s="534"/>
      <c r="T599" s="920"/>
      <c r="U599" s="920"/>
      <c r="V599" s="920"/>
      <c r="W599" s="535"/>
      <c r="X599" s="687"/>
      <c r="Y599" s="687"/>
      <c r="Z599" s="687"/>
      <c r="AA599" s="678"/>
      <c r="AB599" s="543"/>
      <c r="AC599" s="3"/>
      <c r="AD599" s="533"/>
      <c r="AE599" s="3"/>
      <c r="AF599" s="4"/>
      <c r="AG599" s="4"/>
      <c r="AH599" s="4"/>
      <c r="AI599" s="4"/>
      <c r="AJ599" s="4"/>
      <c r="AK599" s="4"/>
      <c r="AL599" s="4"/>
      <c r="AM599" s="4"/>
      <c r="AN599" s="4"/>
      <c r="AO599" s="4"/>
      <c r="AP599" s="4"/>
      <c r="AQ599" s="4"/>
      <c r="AR599" s="4"/>
      <c r="AS599" s="4"/>
      <c r="AT599" s="4"/>
      <c r="AU599" s="4"/>
      <c r="AV599" s="537"/>
      <c r="AW599" s="537"/>
      <c r="AX599" s="4"/>
      <c r="AY599" s="4"/>
      <c r="AZ599" s="4"/>
      <c r="BA599" s="4"/>
      <c r="BB599" s="4"/>
      <c r="BC599" s="4"/>
      <c r="BD599" s="4"/>
      <c r="BE599" s="4"/>
      <c r="BF599" s="4"/>
      <c r="BG599" s="4"/>
      <c r="BH599" s="4"/>
      <c r="BI599" s="4"/>
      <c r="BJ599" s="4"/>
      <c r="BK599" s="4"/>
      <c r="BL599" s="4"/>
      <c r="BM599" s="4"/>
      <c r="BN599" s="4"/>
      <c r="BO599" s="4"/>
      <c r="BP599" s="4"/>
      <c r="BQ599" s="4"/>
      <c r="BR599" s="4"/>
    </row>
    <row r="600" spans="1:70" ht="27" customHeight="1" x14ac:dyDescent="0.2">
      <c r="A600" s="532"/>
      <c r="B600" s="917"/>
      <c r="C600" s="4"/>
      <c r="D600" s="917"/>
      <c r="E600" s="4"/>
      <c r="F600" s="917"/>
      <c r="G600" s="4"/>
      <c r="H600" s="920"/>
      <c r="I600" s="3"/>
      <c r="J600" s="920"/>
      <c r="K600" s="3"/>
      <c r="L600" s="920"/>
      <c r="M600" s="3"/>
      <c r="N600" s="920"/>
      <c r="O600" s="3"/>
      <c r="P600" s="3"/>
      <c r="Q600" s="533"/>
      <c r="R600" s="920"/>
      <c r="S600" s="534"/>
      <c r="T600" s="920"/>
      <c r="U600" s="920"/>
      <c r="V600" s="920"/>
      <c r="W600" s="535"/>
      <c r="X600" s="687"/>
      <c r="Y600" s="687"/>
      <c r="Z600" s="687"/>
      <c r="AA600" s="678"/>
      <c r="AB600" s="543"/>
      <c r="AC600" s="3"/>
      <c r="AD600" s="533"/>
      <c r="AE600" s="3"/>
      <c r="AF600" s="4"/>
      <c r="AG600" s="4"/>
      <c r="AH600" s="4"/>
      <c r="AI600" s="4"/>
      <c r="AJ600" s="4"/>
      <c r="AK600" s="4"/>
      <c r="AL600" s="4"/>
      <c r="AM600" s="4"/>
      <c r="AN600" s="4"/>
      <c r="AO600" s="4"/>
      <c r="AP600" s="4"/>
      <c r="AQ600" s="4"/>
      <c r="AR600" s="4"/>
      <c r="AS600" s="4"/>
      <c r="AT600" s="4"/>
      <c r="AU600" s="4"/>
      <c r="AV600" s="537"/>
      <c r="AW600" s="537"/>
      <c r="AX600" s="4"/>
      <c r="AY600" s="4"/>
      <c r="AZ600" s="4"/>
      <c r="BA600" s="4"/>
      <c r="BB600" s="4"/>
      <c r="BC600" s="4"/>
      <c r="BD600" s="4"/>
      <c r="BE600" s="4"/>
      <c r="BF600" s="4"/>
      <c r="BG600" s="4"/>
      <c r="BH600" s="4"/>
      <c r="BI600" s="4"/>
      <c r="BJ600" s="4"/>
      <c r="BK600" s="4"/>
      <c r="BL600" s="4"/>
      <c r="BM600" s="4"/>
      <c r="BN600" s="4"/>
      <c r="BO600" s="4"/>
      <c r="BP600" s="4"/>
      <c r="BQ600" s="4"/>
      <c r="BR600" s="4"/>
    </row>
    <row r="601" spans="1:70" ht="27" customHeight="1" x14ac:dyDescent="0.2">
      <c r="A601" s="532"/>
      <c r="B601" s="917"/>
      <c r="C601" s="4"/>
      <c r="D601" s="917"/>
      <c r="E601" s="4"/>
      <c r="F601" s="917"/>
      <c r="G601" s="4"/>
      <c r="H601" s="920"/>
      <c r="I601" s="3"/>
      <c r="J601" s="920"/>
      <c r="K601" s="3"/>
      <c r="L601" s="920"/>
      <c r="M601" s="3"/>
      <c r="N601" s="920"/>
      <c r="O601" s="3"/>
      <c r="P601" s="3"/>
      <c r="Q601" s="533"/>
      <c r="R601" s="920"/>
      <c r="S601" s="534"/>
      <c r="T601" s="920"/>
      <c r="U601" s="920"/>
      <c r="V601" s="920"/>
      <c r="W601" s="535"/>
      <c r="X601" s="687"/>
      <c r="Y601" s="687"/>
      <c r="Z601" s="687"/>
      <c r="AA601" s="678"/>
      <c r="AB601" s="543"/>
      <c r="AC601" s="3"/>
      <c r="AD601" s="533"/>
      <c r="AE601" s="3"/>
      <c r="AF601" s="4"/>
      <c r="AG601" s="4"/>
      <c r="AH601" s="4"/>
      <c r="AI601" s="4"/>
      <c r="AJ601" s="4"/>
      <c r="AK601" s="4"/>
      <c r="AL601" s="4"/>
      <c r="AM601" s="4"/>
      <c r="AN601" s="4"/>
      <c r="AO601" s="4"/>
      <c r="AP601" s="4"/>
      <c r="AQ601" s="4"/>
      <c r="AR601" s="4"/>
      <c r="AS601" s="4"/>
      <c r="AT601" s="4"/>
      <c r="AU601" s="4"/>
      <c r="AV601" s="537"/>
      <c r="AW601" s="537"/>
      <c r="AX601" s="4"/>
      <c r="AY601" s="4"/>
      <c r="AZ601" s="4"/>
      <c r="BA601" s="4"/>
      <c r="BB601" s="4"/>
      <c r="BC601" s="4"/>
      <c r="BD601" s="4"/>
      <c r="BE601" s="4"/>
      <c r="BF601" s="4"/>
      <c r="BG601" s="4"/>
      <c r="BH601" s="4"/>
      <c r="BI601" s="4"/>
      <c r="BJ601" s="4"/>
      <c r="BK601" s="4"/>
      <c r="BL601" s="4"/>
      <c r="BM601" s="4"/>
      <c r="BN601" s="4"/>
      <c r="BO601" s="4"/>
      <c r="BP601" s="4"/>
      <c r="BQ601" s="4"/>
      <c r="BR601" s="4"/>
    </row>
    <row r="602" spans="1:70" ht="27" customHeight="1" x14ac:dyDescent="0.2">
      <c r="A602" s="532"/>
      <c r="B602" s="917"/>
      <c r="C602" s="4"/>
      <c r="D602" s="917"/>
      <c r="E602" s="4"/>
      <c r="F602" s="917"/>
      <c r="G602" s="4"/>
      <c r="H602" s="920"/>
      <c r="I602" s="3"/>
      <c r="J602" s="920"/>
      <c r="K602" s="3"/>
      <c r="L602" s="920"/>
      <c r="M602" s="3"/>
      <c r="N602" s="920"/>
      <c r="O602" s="3"/>
      <c r="P602" s="3"/>
      <c r="Q602" s="533"/>
      <c r="R602" s="920"/>
      <c r="S602" s="534"/>
      <c r="T602" s="920"/>
      <c r="U602" s="920"/>
      <c r="V602" s="920"/>
      <c r="W602" s="535"/>
      <c r="X602" s="687"/>
      <c r="Y602" s="687"/>
      <c r="Z602" s="687"/>
      <c r="AA602" s="678"/>
      <c r="AB602" s="543"/>
      <c r="AC602" s="3"/>
      <c r="AD602" s="533"/>
      <c r="AE602" s="3"/>
      <c r="AF602" s="4"/>
      <c r="AG602" s="4"/>
      <c r="AH602" s="4"/>
      <c r="AI602" s="4"/>
      <c r="AJ602" s="4"/>
      <c r="AK602" s="4"/>
      <c r="AL602" s="4"/>
      <c r="AM602" s="4"/>
      <c r="AN602" s="4"/>
      <c r="AO602" s="4"/>
      <c r="AP602" s="4"/>
      <c r="AQ602" s="4"/>
      <c r="AR602" s="4"/>
      <c r="AS602" s="4"/>
      <c r="AT602" s="4"/>
      <c r="AU602" s="4"/>
      <c r="AV602" s="537"/>
      <c r="AW602" s="537"/>
      <c r="AX602" s="4"/>
      <c r="AY602" s="4"/>
      <c r="AZ602" s="4"/>
      <c r="BA602" s="4"/>
      <c r="BB602" s="4"/>
      <c r="BC602" s="4"/>
      <c r="BD602" s="4"/>
      <c r="BE602" s="4"/>
      <c r="BF602" s="4"/>
      <c r="BG602" s="4"/>
      <c r="BH602" s="4"/>
      <c r="BI602" s="4"/>
      <c r="BJ602" s="4"/>
      <c r="BK602" s="4"/>
      <c r="BL602" s="4"/>
      <c r="BM602" s="4"/>
      <c r="BN602" s="4"/>
      <c r="BO602" s="4"/>
      <c r="BP602" s="4"/>
      <c r="BQ602" s="4"/>
      <c r="BR602" s="4"/>
    </row>
    <row r="603" spans="1:70" ht="27" customHeight="1" x14ac:dyDescent="0.2">
      <c r="A603" s="532"/>
      <c r="B603" s="917"/>
      <c r="C603" s="4"/>
      <c r="D603" s="917"/>
      <c r="E603" s="4"/>
      <c r="F603" s="917"/>
      <c r="G603" s="4"/>
      <c r="H603" s="920"/>
      <c r="I603" s="3"/>
      <c r="J603" s="920"/>
      <c r="K603" s="3"/>
      <c r="L603" s="920"/>
      <c r="M603" s="3"/>
      <c r="N603" s="920"/>
      <c r="O603" s="3"/>
      <c r="P603" s="3"/>
      <c r="Q603" s="533"/>
      <c r="R603" s="920"/>
      <c r="S603" s="534"/>
      <c r="T603" s="920"/>
      <c r="U603" s="920"/>
      <c r="V603" s="920"/>
      <c r="W603" s="535"/>
      <c r="X603" s="687"/>
      <c r="Y603" s="687"/>
      <c r="Z603" s="687"/>
      <c r="AA603" s="678"/>
      <c r="AB603" s="543"/>
      <c r="AC603" s="3"/>
      <c r="AD603" s="533"/>
      <c r="AE603" s="3"/>
      <c r="AF603" s="4"/>
      <c r="AG603" s="4"/>
      <c r="AH603" s="4"/>
      <c r="AI603" s="4"/>
      <c r="AJ603" s="4"/>
      <c r="AK603" s="4"/>
      <c r="AL603" s="4"/>
      <c r="AM603" s="4"/>
      <c r="AN603" s="4"/>
      <c r="AO603" s="4"/>
      <c r="AP603" s="4"/>
      <c r="AQ603" s="4"/>
      <c r="AR603" s="4"/>
      <c r="AS603" s="4"/>
      <c r="AT603" s="4"/>
      <c r="AU603" s="4"/>
      <c r="AV603" s="537"/>
      <c r="AW603" s="537"/>
      <c r="AX603" s="4"/>
      <c r="AY603" s="4"/>
      <c r="AZ603" s="4"/>
      <c r="BA603" s="4"/>
      <c r="BB603" s="4"/>
      <c r="BC603" s="4"/>
      <c r="BD603" s="4"/>
      <c r="BE603" s="4"/>
      <c r="BF603" s="4"/>
      <c r="BG603" s="4"/>
      <c r="BH603" s="4"/>
      <c r="BI603" s="4"/>
      <c r="BJ603" s="4"/>
      <c r="BK603" s="4"/>
      <c r="BL603" s="4"/>
      <c r="BM603" s="4"/>
      <c r="BN603" s="4"/>
      <c r="BO603" s="4"/>
      <c r="BP603" s="4"/>
      <c r="BQ603" s="4"/>
      <c r="BR603" s="4"/>
    </row>
    <row r="604" spans="1:70" ht="27" customHeight="1" x14ac:dyDescent="0.2">
      <c r="A604" s="532"/>
      <c r="B604" s="917"/>
      <c r="C604" s="4"/>
      <c r="D604" s="917"/>
      <c r="E604" s="4"/>
      <c r="F604" s="917"/>
      <c r="G604" s="4"/>
      <c r="H604" s="920"/>
      <c r="I604" s="3"/>
      <c r="J604" s="920"/>
      <c r="K604" s="3"/>
      <c r="L604" s="920"/>
      <c r="M604" s="3"/>
      <c r="N604" s="920"/>
      <c r="O604" s="3"/>
      <c r="P604" s="3"/>
      <c r="Q604" s="533"/>
      <c r="R604" s="920"/>
      <c r="S604" s="534"/>
      <c r="T604" s="920"/>
      <c r="U604" s="920"/>
      <c r="V604" s="920"/>
      <c r="W604" s="535"/>
      <c r="X604" s="687"/>
      <c r="Y604" s="687"/>
      <c r="Z604" s="687"/>
      <c r="AA604" s="678"/>
      <c r="AB604" s="543"/>
      <c r="AC604" s="3"/>
      <c r="AD604" s="533"/>
      <c r="AE604" s="3"/>
      <c r="AF604" s="4"/>
      <c r="AG604" s="4"/>
      <c r="AH604" s="4"/>
      <c r="AI604" s="4"/>
      <c r="AJ604" s="4"/>
      <c r="AK604" s="4"/>
      <c r="AL604" s="4"/>
      <c r="AM604" s="4"/>
      <c r="AN604" s="4"/>
      <c r="AO604" s="4"/>
      <c r="AP604" s="4"/>
      <c r="AQ604" s="4"/>
      <c r="AR604" s="4"/>
      <c r="AS604" s="4"/>
      <c r="AT604" s="4"/>
      <c r="AU604" s="4"/>
      <c r="AV604" s="537"/>
      <c r="AW604" s="537"/>
      <c r="AX604" s="4"/>
      <c r="AY604" s="4"/>
      <c r="AZ604" s="4"/>
      <c r="BA604" s="4"/>
      <c r="BB604" s="4"/>
      <c r="BC604" s="4"/>
      <c r="BD604" s="4"/>
      <c r="BE604" s="4"/>
      <c r="BF604" s="4"/>
      <c r="BG604" s="4"/>
      <c r="BH604" s="4"/>
      <c r="BI604" s="4"/>
      <c r="BJ604" s="4"/>
      <c r="BK604" s="4"/>
      <c r="BL604" s="4"/>
      <c r="BM604" s="4"/>
      <c r="BN604" s="4"/>
      <c r="BO604" s="4"/>
      <c r="BP604" s="4"/>
      <c r="BQ604" s="4"/>
      <c r="BR604" s="4"/>
    </row>
    <row r="605" spans="1:70" ht="27" customHeight="1" x14ac:dyDescent="0.2">
      <c r="A605" s="532"/>
      <c r="B605" s="917"/>
      <c r="C605" s="4"/>
      <c r="D605" s="917"/>
      <c r="E605" s="4"/>
      <c r="F605" s="917"/>
      <c r="G605" s="4"/>
      <c r="H605" s="920"/>
      <c r="I605" s="3"/>
      <c r="J605" s="920"/>
      <c r="K605" s="3"/>
      <c r="L605" s="920"/>
      <c r="M605" s="3"/>
      <c r="N605" s="920"/>
      <c r="O605" s="3"/>
      <c r="P605" s="3"/>
      <c r="Q605" s="533"/>
      <c r="R605" s="920"/>
      <c r="S605" s="534"/>
      <c r="T605" s="920"/>
      <c r="U605" s="920"/>
      <c r="V605" s="920"/>
      <c r="W605" s="535"/>
      <c r="X605" s="687"/>
      <c r="Y605" s="687"/>
      <c r="Z605" s="687"/>
      <c r="AA605" s="678"/>
      <c r="AB605" s="543"/>
      <c r="AC605" s="3"/>
      <c r="AD605" s="533"/>
      <c r="AE605" s="3"/>
      <c r="AF605" s="4"/>
      <c r="AG605" s="4"/>
      <c r="AH605" s="4"/>
      <c r="AI605" s="4"/>
      <c r="AJ605" s="4"/>
      <c r="AK605" s="4"/>
      <c r="AL605" s="4"/>
      <c r="AM605" s="4"/>
      <c r="AN605" s="4"/>
      <c r="AO605" s="4"/>
      <c r="AP605" s="4"/>
      <c r="AQ605" s="4"/>
      <c r="AR605" s="4"/>
      <c r="AS605" s="4"/>
      <c r="AT605" s="4"/>
      <c r="AU605" s="4"/>
      <c r="AV605" s="537"/>
      <c r="AW605" s="537"/>
      <c r="AX605" s="4"/>
      <c r="AY605" s="4"/>
      <c r="AZ605" s="4"/>
      <c r="BA605" s="4"/>
      <c r="BB605" s="4"/>
      <c r="BC605" s="4"/>
      <c r="BD605" s="4"/>
      <c r="BE605" s="4"/>
      <c r="BF605" s="4"/>
      <c r="BG605" s="4"/>
      <c r="BH605" s="4"/>
      <c r="BI605" s="4"/>
      <c r="BJ605" s="4"/>
      <c r="BK605" s="4"/>
      <c r="BL605" s="4"/>
      <c r="BM605" s="4"/>
      <c r="BN605" s="4"/>
      <c r="BO605" s="4"/>
      <c r="BP605" s="4"/>
      <c r="BQ605" s="4"/>
      <c r="BR605" s="4"/>
    </row>
    <row r="606" spans="1:70" ht="27" customHeight="1" x14ac:dyDescent="0.2">
      <c r="A606" s="532"/>
      <c r="B606" s="917"/>
      <c r="C606" s="4"/>
      <c r="D606" s="917"/>
      <c r="E606" s="4"/>
      <c r="F606" s="917"/>
      <c r="G606" s="4"/>
      <c r="H606" s="920"/>
      <c r="I606" s="3"/>
      <c r="J606" s="920"/>
      <c r="K606" s="3"/>
      <c r="L606" s="920"/>
      <c r="M606" s="3"/>
      <c r="N606" s="920"/>
      <c r="O606" s="3"/>
      <c r="P606" s="3"/>
      <c r="Q606" s="533"/>
      <c r="R606" s="920"/>
      <c r="S606" s="534"/>
      <c r="T606" s="920"/>
      <c r="U606" s="920"/>
      <c r="V606" s="920"/>
      <c r="W606" s="535"/>
      <c r="X606" s="687"/>
      <c r="Y606" s="687"/>
      <c r="Z606" s="687"/>
      <c r="AA606" s="678"/>
      <c r="AB606" s="543"/>
      <c r="AC606" s="3"/>
      <c r="AD606" s="533"/>
      <c r="AE606" s="3"/>
      <c r="AF606" s="4"/>
      <c r="AG606" s="4"/>
      <c r="AH606" s="4"/>
      <c r="AI606" s="4"/>
      <c r="AJ606" s="4"/>
      <c r="AK606" s="4"/>
      <c r="AL606" s="4"/>
      <c r="AM606" s="4"/>
      <c r="AN606" s="4"/>
      <c r="AO606" s="4"/>
      <c r="AP606" s="4"/>
      <c r="AQ606" s="4"/>
      <c r="AR606" s="4"/>
      <c r="AS606" s="4"/>
      <c r="AT606" s="4"/>
      <c r="AU606" s="4"/>
      <c r="AV606" s="537"/>
      <c r="AW606" s="537"/>
      <c r="AX606" s="4"/>
      <c r="AY606" s="4"/>
      <c r="AZ606" s="4"/>
      <c r="BA606" s="4"/>
      <c r="BB606" s="4"/>
      <c r="BC606" s="4"/>
      <c r="BD606" s="4"/>
      <c r="BE606" s="4"/>
      <c r="BF606" s="4"/>
      <c r="BG606" s="4"/>
      <c r="BH606" s="4"/>
      <c r="BI606" s="4"/>
      <c r="BJ606" s="4"/>
      <c r="BK606" s="4"/>
      <c r="BL606" s="4"/>
      <c r="BM606" s="4"/>
      <c r="BN606" s="4"/>
      <c r="BO606" s="4"/>
      <c r="BP606" s="4"/>
      <c r="BQ606" s="4"/>
      <c r="BR606" s="4"/>
    </row>
    <row r="607" spans="1:70" ht="27" customHeight="1" x14ac:dyDescent="0.2">
      <c r="A607" s="532"/>
      <c r="B607" s="917"/>
      <c r="C607" s="4"/>
      <c r="D607" s="917"/>
      <c r="E607" s="4"/>
      <c r="F607" s="917"/>
      <c r="G607" s="4"/>
      <c r="H607" s="920"/>
      <c r="I607" s="3"/>
      <c r="J607" s="920"/>
      <c r="K607" s="3"/>
      <c r="L607" s="920"/>
      <c r="M607" s="3"/>
      <c r="N607" s="920"/>
      <c r="O607" s="3"/>
      <c r="P607" s="3"/>
      <c r="Q607" s="533"/>
      <c r="R607" s="920"/>
      <c r="S607" s="534"/>
      <c r="T607" s="920"/>
      <c r="U607" s="920"/>
      <c r="V607" s="920"/>
      <c r="W607" s="535"/>
      <c r="X607" s="687"/>
      <c r="Y607" s="687"/>
      <c r="Z607" s="687"/>
      <c r="AA607" s="678"/>
      <c r="AB607" s="543"/>
      <c r="AC607" s="3"/>
      <c r="AD607" s="533"/>
      <c r="AE607" s="3"/>
      <c r="AF607" s="4"/>
      <c r="AG607" s="4"/>
      <c r="AH607" s="4"/>
      <c r="AI607" s="4"/>
      <c r="AJ607" s="4"/>
      <c r="AK607" s="4"/>
      <c r="AL607" s="4"/>
      <c r="AM607" s="4"/>
      <c r="AN607" s="4"/>
      <c r="AO607" s="4"/>
      <c r="AP607" s="4"/>
      <c r="AQ607" s="4"/>
      <c r="AR607" s="4"/>
      <c r="AS607" s="4"/>
      <c r="AT607" s="4"/>
      <c r="AU607" s="4"/>
      <c r="AV607" s="537"/>
      <c r="AW607" s="537"/>
      <c r="AX607" s="4"/>
      <c r="AY607" s="4"/>
      <c r="AZ607" s="4"/>
      <c r="BA607" s="4"/>
      <c r="BB607" s="4"/>
      <c r="BC607" s="4"/>
      <c r="BD607" s="4"/>
      <c r="BE607" s="4"/>
      <c r="BF607" s="4"/>
      <c r="BG607" s="4"/>
      <c r="BH607" s="4"/>
      <c r="BI607" s="4"/>
      <c r="BJ607" s="4"/>
      <c r="BK607" s="4"/>
      <c r="BL607" s="4"/>
      <c r="BM607" s="4"/>
      <c r="BN607" s="4"/>
      <c r="BO607" s="4"/>
      <c r="BP607" s="4"/>
      <c r="BQ607" s="4"/>
      <c r="BR607" s="4"/>
    </row>
    <row r="608" spans="1:70" ht="27" customHeight="1" x14ac:dyDescent="0.2">
      <c r="A608" s="532"/>
      <c r="B608" s="917"/>
      <c r="C608" s="4"/>
      <c r="D608" s="917"/>
      <c r="E608" s="4"/>
      <c r="F608" s="917"/>
      <c r="G608" s="4"/>
      <c r="H608" s="920"/>
      <c r="I608" s="3"/>
      <c r="J608" s="920"/>
      <c r="K608" s="3"/>
      <c r="L608" s="920"/>
      <c r="M608" s="3"/>
      <c r="N608" s="920"/>
      <c r="O608" s="3"/>
      <c r="P608" s="3"/>
      <c r="Q608" s="533"/>
      <c r="R608" s="920"/>
      <c r="S608" s="534"/>
      <c r="T608" s="920"/>
      <c r="U608" s="920"/>
      <c r="V608" s="920"/>
      <c r="W608" s="535"/>
      <c r="X608" s="687"/>
      <c r="Y608" s="687"/>
      <c r="Z608" s="687"/>
      <c r="AA608" s="678"/>
      <c r="AB608" s="543"/>
      <c r="AC608" s="3"/>
      <c r="AD608" s="533"/>
      <c r="AE608" s="3"/>
      <c r="AF608" s="4"/>
      <c r="AG608" s="4"/>
      <c r="AH608" s="4"/>
      <c r="AI608" s="4"/>
      <c r="AJ608" s="4"/>
      <c r="AK608" s="4"/>
      <c r="AL608" s="4"/>
      <c r="AM608" s="4"/>
      <c r="AN608" s="4"/>
      <c r="AO608" s="4"/>
      <c r="AP608" s="4"/>
      <c r="AQ608" s="4"/>
      <c r="AR608" s="4"/>
      <c r="AS608" s="4"/>
      <c r="AT608" s="4"/>
      <c r="AU608" s="4"/>
      <c r="AV608" s="537"/>
      <c r="AW608" s="537"/>
      <c r="AX608" s="4"/>
      <c r="AY608" s="4"/>
      <c r="AZ608" s="4"/>
      <c r="BA608" s="4"/>
      <c r="BB608" s="4"/>
      <c r="BC608" s="4"/>
      <c r="BD608" s="4"/>
      <c r="BE608" s="4"/>
      <c r="BF608" s="4"/>
      <c r="BG608" s="4"/>
      <c r="BH608" s="4"/>
      <c r="BI608" s="4"/>
      <c r="BJ608" s="4"/>
      <c r="BK608" s="4"/>
      <c r="BL608" s="4"/>
      <c r="BM608" s="4"/>
      <c r="BN608" s="4"/>
      <c r="BO608" s="4"/>
      <c r="BP608" s="4"/>
      <c r="BQ608" s="4"/>
      <c r="BR608" s="4"/>
    </row>
    <row r="609" spans="1:70" ht="27" customHeight="1" x14ac:dyDescent="0.2">
      <c r="A609" s="532"/>
      <c r="B609" s="917"/>
      <c r="C609" s="4"/>
      <c r="D609" s="917"/>
      <c r="E609" s="4"/>
      <c r="F609" s="917"/>
      <c r="G609" s="4"/>
      <c r="H609" s="920"/>
      <c r="I609" s="3"/>
      <c r="J609" s="920"/>
      <c r="K609" s="3"/>
      <c r="L609" s="920"/>
      <c r="M609" s="3"/>
      <c r="N609" s="920"/>
      <c r="O609" s="3"/>
      <c r="P609" s="3"/>
      <c r="Q609" s="533"/>
      <c r="R609" s="920"/>
      <c r="S609" s="534"/>
      <c r="T609" s="920"/>
      <c r="U609" s="920"/>
      <c r="V609" s="920"/>
      <c r="W609" s="535"/>
      <c r="X609" s="687"/>
      <c r="Y609" s="687"/>
      <c r="Z609" s="687"/>
      <c r="AA609" s="678"/>
      <c r="AB609" s="543"/>
      <c r="AC609" s="3"/>
      <c r="AD609" s="533"/>
      <c r="AE609" s="3"/>
      <c r="AF609" s="4"/>
      <c r="AG609" s="4"/>
      <c r="AH609" s="4"/>
      <c r="AI609" s="4"/>
      <c r="AJ609" s="4"/>
      <c r="AK609" s="4"/>
      <c r="AL609" s="4"/>
      <c r="AM609" s="4"/>
      <c r="AN609" s="4"/>
      <c r="AO609" s="4"/>
      <c r="AP609" s="4"/>
      <c r="AQ609" s="4"/>
      <c r="AR609" s="4"/>
      <c r="AS609" s="4"/>
      <c r="AT609" s="4"/>
      <c r="AU609" s="4"/>
      <c r="AV609" s="537"/>
      <c r="AW609" s="537"/>
      <c r="AX609" s="4"/>
      <c r="AY609" s="4"/>
      <c r="AZ609" s="4"/>
      <c r="BA609" s="4"/>
      <c r="BB609" s="4"/>
      <c r="BC609" s="4"/>
      <c r="BD609" s="4"/>
      <c r="BE609" s="4"/>
      <c r="BF609" s="4"/>
      <c r="BG609" s="4"/>
      <c r="BH609" s="4"/>
      <c r="BI609" s="4"/>
      <c r="BJ609" s="4"/>
      <c r="BK609" s="4"/>
      <c r="BL609" s="4"/>
      <c r="BM609" s="4"/>
      <c r="BN609" s="4"/>
      <c r="BO609" s="4"/>
      <c r="BP609" s="4"/>
      <c r="BQ609" s="4"/>
      <c r="BR609" s="4"/>
    </row>
    <row r="610" spans="1:70" ht="27" customHeight="1" x14ac:dyDescent="0.2">
      <c r="A610" s="532"/>
      <c r="B610" s="917"/>
      <c r="C610" s="4"/>
      <c r="D610" s="917"/>
      <c r="E610" s="4"/>
      <c r="F610" s="917"/>
      <c r="G610" s="4"/>
      <c r="H610" s="920"/>
      <c r="I610" s="3"/>
      <c r="J610" s="920"/>
      <c r="K610" s="3"/>
      <c r="L610" s="920"/>
      <c r="M610" s="3"/>
      <c r="N610" s="920"/>
      <c r="O610" s="3"/>
      <c r="P610" s="3"/>
      <c r="Q610" s="533"/>
      <c r="R610" s="920"/>
      <c r="S610" s="534"/>
      <c r="T610" s="920"/>
      <c r="U610" s="920"/>
      <c r="V610" s="920"/>
      <c r="W610" s="535"/>
      <c r="X610" s="687"/>
      <c r="Y610" s="687"/>
      <c r="Z610" s="687"/>
      <c r="AA610" s="678"/>
      <c r="AB610" s="543"/>
      <c r="AC610" s="3"/>
      <c r="AD610" s="533"/>
      <c r="AE610" s="3"/>
      <c r="AF610" s="4"/>
      <c r="AG610" s="4"/>
      <c r="AH610" s="4"/>
      <c r="AI610" s="4"/>
      <c r="AJ610" s="4"/>
      <c r="AK610" s="4"/>
      <c r="AL610" s="4"/>
      <c r="AM610" s="4"/>
      <c r="AN610" s="4"/>
      <c r="AO610" s="4"/>
      <c r="AP610" s="4"/>
      <c r="AQ610" s="4"/>
      <c r="AR610" s="4"/>
      <c r="AS610" s="4"/>
      <c r="AT610" s="4"/>
      <c r="AU610" s="4"/>
      <c r="AV610" s="537"/>
      <c r="AW610" s="537"/>
      <c r="AX610" s="4"/>
      <c r="AY610" s="4"/>
      <c r="AZ610" s="4"/>
      <c r="BA610" s="4"/>
      <c r="BB610" s="4"/>
      <c r="BC610" s="4"/>
      <c r="BD610" s="4"/>
      <c r="BE610" s="4"/>
      <c r="BF610" s="4"/>
      <c r="BG610" s="4"/>
      <c r="BH610" s="4"/>
      <c r="BI610" s="4"/>
      <c r="BJ610" s="4"/>
      <c r="BK610" s="4"/>
      <c r="BL610" s="4"/>
      <c r="BM610" s="4"/>
      <c r="BN610" s="4"/>
      <c r="BO610" s="4"/>
      <c r="BP610" s="4"/>
      <c r="BQ610" s="4"/>
      <c r="BR610" s="4"/>
    </row>
    <row r="611" spans="1:70" ht="27" customHeight="1" x14ac:dyDescent="0.2">
      <c r="A611" s="532"/>
      <c r="B611" s="917"/>
      <c r="C611" s="4"/>
      <c r="D611" s="917"/>
      <c r="E611" s="4"/>
      <c r="F611" s="917"/>
      <c r="G611" s="4"/>
      <c r="H611" s="920"/>
      <c r="I611" s="3"/>
      <c r="J611" s="920"/>
      <c r="K611" s="3"/>
      <c r="L611" s="920"/>
      <c r="M611" s="3"/>
      <c r="N611" s="920"/>
      <c r="O611" s="3"/>
      <c r="P611" s="3"/>
      <c r="Q611" s="533"/>
      <c r="R611" s="920"/>
      <c r="S611" s="534"/>
      <c r="T611" s="920"/>
      <c r="U611" s="920"/>
      <c r="V611" s="920"/>
      <c r="W611" s="535"/>
      <c r="X611" s="687"/>
      <c r="Y611" s="687"/>
      <c r="Z611" s="687"/>
      <c r="AA611" s="678"/>
      <c r="AB611" s="543"/>
      <c r="AC611" s="3"/>
      <c r="AD611" s="533"/>
      <c r="AE611" s="3"/>
      <c r="AF611" s="4"/>
      <c r="AG611" s="4"/>
      <c r="AH611" s="4"/>
      <c r="AI611" s="4"/>
      <c r="AJ611" s="4"/>
      <c r="AK611" s="4"/>
      <c r="AL611" s="4"/>
      <c r="AM611" s="4"/>
      <c r="AN611" s="4"/>
      <c r="AO611" s="4"/>
      <c r="AP611" s="4"/>
      <c r="AQ611" s="4"/>
      <c r="AR611" s="4"/>
      <c r="AS611" s="4"/>
      <c r="AT611" s="4"/>
      <c r="AU611" s="4"/>
      <c r="AV611" s="537"/>
      <c r="AW611" s="537"/>
      <c r="AX611" s="4"/>
      <c r="AY611" s="4"/>
      <c r="AZ611" s="4"/>
      <c r="BA611" s="4"/>
      <c r="BB611" s="4"/>
      <c r="BC611" s="4"/>
      <c r="BD611" s="4"/>
      <c r="BE611" s="4"/>
      <c r="BF611" s="4"/>
      <c r="BG611" s="4"/>
      <c r="BH611" s="4"/>
      <c r="BI611" s="4"/>
      <c r="BJ611" s="4"/>
      <c r="BK611" s="4"/>
      <c r="BL611" s="4"/>
      <c r="BM611" s="4"/>
      <c r="BN611" s="4"/>
      <c r="BO611" s="4"/>
      <c r="BP611" s="4"/>
      <c r="BQ611" s="4"/>
      <c r="BR611" s="4"/>
    </row>
    <row r="612" spans="1:70" ht="27" customHeight="1" x14ac:dyDescent="0.2">
      <c r="A612" s="532"/>
      <c r="B612" s="917"/>
      <c r="C612" s="4"/>
      <c r="D612" s="917"/>
      <c r="E612" s="4"/>
      <c r="F612" s="917"/>
      <c r="G612" s="4"/>
      <c r="H612" s="920"/>
      <c r="I612" s="3"/>
      <c r="J612" s="920"/>
      <c r="K612" s="3"/>
      <c r="L612" s="920"/>
      <c r="M612" s="3"/>
      <c r="N612" s="920"/>
      <c r="O612" s="3"/>
      <c r="P612" s="3"/>
      <c r="Q612" s="533"/>
      <c r="R612" s="920"/>
      <c r="S612" s="534"/>
      <c r="T612" s="920"/>
      <c r="U612" s="920"/>
      <c r="V612" s="920"/>
      <c r="W612" s="535"/>
      <c r="X612" s="687"/>
      <c r="Y612" s="687"/>
      <c r="Z612" s="687"/>
      <c r="AA612" s="678"/>
      <c r="AB612" s="543"/>
      <c r="AC612" s="3"/>
      <c r="AD612" s="533"/>
      <c r="AE612" s="3"/>
      <c r="AF612" s="4"/>
      <c r="AG612" s="4"/>
      <c r="AH612" s="4"/>
      <c r="AI612" s="4"/>
      <c r="AJ612" s="4"/>
      <c r="AK612" s="4"/>
      <c r="AL612" s="4"/>
      <c r="AM612" s="4"/>
      <c r="AN612" s="4"/>
      <c r="AO612" s="4"/>
      <c r="AP612" s="4"/>
      <c r="AQ612" s="4"/>
      <c r="AR612" s="4"/>
      <c r="AS612" s="4"/>
      <c r="AT612" s="4"/>
      <c r="AU612" s="4"/>
      <c r="AV612" s="537"/>
      <c r="AW612" s="537"/>
      <c r="AX612" s="4"/>
      <c r="AY612" s="4"/>
      <c r="AZ612" s="4"/>
      <c r="BA612" s="4"/>
      <c r="BB612" s="4"/>
      <c r="BC612" s="4"/>
      <c r="BD612" s="4"/>
      <c r="BE612" s="4"/>
      <c r="BF612" s="4"/>
      <c r="BG612" s="4"/>
      <c r="BH612" s="4"/>
      <c r="BI612" s="4"/>
      <c r="BJ612" s="4"/>
      <c r="BK612" s="4"/>
      <c r="BL612" s="4"/>
      <c r="BM612" s="4"/>
      <c r="BN612" s="4"/>
      <c r="BO612" s="4"/>
      <c r="BP612" s="4"/>
      <c r="BQ612" s="4"/>
      <c r="BR612" s="4"/>
    </row>
    <row r="613" spans="1:70" ht="27" customHeight="1" x14ac:dyDescent="0.2">
      <c r="A613" s="532"/>
      <c r="B613" s="917"/>
      <c r="C613" s="4"/>
      <c r="D613" s="917"/>
      <c r="E613" s="4"/>
      <c r="F613" s="917"/>
      <c r="G613" s="4"/>
      <c r="H613" s="920"/>
      <c r="I613" s="3"/>
      <c r="J613" s="920"/>
      <c r="K613" s="3"/>
      <c r="L613" s="920"/>
      <c r="M613" s="3"/>
      <c r="N613" s="920"/>
      <c r="O613" s="3"/>
      <c r="P613" s="3"/>
      <c r="Q613" s="533"/>
      <c r="R613" s="920"/>
      <c r="S613" s="534"/>
      <c r="T613" s="920"/>
      <c r="U613" s="920"/>
      <c r="V613" s="920"/>
      <c r="W613" s="535"/>
      <c r="X613" s="687"/>
      <c r="Y613" s="687"/>
      <c r="Z613" s="687"/>
      <c r="AA613" s="678"/>
      <c r="AB613" s="543"/>
      <c r="AC613" s="3"/>
      <c r="AD613" s="533"/>
      <c r="AE613" s="3"/>
      <c r="AF613" s="4"/>
      <c r="AG613" s="4"/>
      <c r="AH613" s="4"/>
      <c r="AI613" s="4"/>
      <c r="AJ613" s="4"/>
      <c r="AK613" s="4"/>
      <c r="AL613" s="4"/>
      <c r="AM613" s="4"/>
      <c r="AN613" s="4"/>
      <c r="AO613" s="4"/>
      <c r="AP613" s="4"/>
      <c r="AQ613" s="4"/>
      <c r="AR613" s="4"/>
      <c r="AS613" s="4"/>
      <c r="AT613" s="4"/>
      <c r="AU613" s="4"/>
      <c r="AV613" s="537"/>
      <c r="AW613" s="537"/>
      <c r="AX613" s="4"/>
      <c r="AY613" s="4"/>
      <c r="AZ613" s="4"/>
      <c r="BA613" s="4"/>
      <c r="BB613" s="4"/>
      <c r="BC613" s="4"/>
      <c r="BD613" s="4"/>
      <c r="BE613" s="4"/>
      <c r="BF613" s="4"/>
      <c r="BG613" s="4"/>
      <c r="BH613" s="4"/>
      <c r="BI613" s="4"/>
      <c r="BJ613" s="4"/>
      <c r="BK613" s="4"/>
      <c r="BL613" s="4"/>
      <c r="BM613" s="4"/>
      <c r="BN613" s="4"/>
      <c r="BO613" s="4"/>
      <c r="BP613" s="4"/>
      <c r="BQ613" s="4"/>
      <c r="BR613" s="4"/>
    </row>
    <row r="614" spans="1:70" ht="27" customHeight="1" x14ac:dyDescent="0.2">
      <c r="A614" s="532"/>
      <c r="B614" s="917"/>
      <c r="C614" s="4"/>
      <c r="D614" s="917"/>
      <c r="E614" s="4"/>
      <c r="F614" s="917"/>
      <c r="G614" s="4"/>
      <c r="H614" s="920"/>
      <c r="I614" s="3"/>
      <c r="J614" s="920"/>
      <c r="K614" s="3"/>
      <c r="L614" s="920"/>
      <c r="M614" s="3"/>
      <c r="N614" s="920"/>
      <c r="O614" s="3"/>
      <c r="P614" s="3"/>
      <c r="Q614" s="533"/>
      <c r="R614" s="920"/>
      <c r="S614" s="534"/>
      <c r="T614" s="920"/>
      <c r="U614" s="920"/>
      <c r="V614" s="920"/>
      <c r="W614" s="535"/>
      <c r="X614" s="687"/>
      <c r="Y614" s="687"/>
      <c r="Z614" s="687"/>
      <c r="AA614" s="678"/>
      <c r="AB614" s="543"/>
      <c r="AC614" s="3"/>
      <c r="AD614" s="533"/>
      <c r="AE614" s="3"/>
      <c r="AF614" s="4"/>
      <c r="AG614" s="4"/>
      <c r="AH614" s="4"/>
      <c r="AI614" s="4"/>
      <c r="AJ614" s="4"/>
      <c r="AK614" s="4"/>
      <c r="AL614" s="4"/>
      <c r="AM614" s="4"/>
      <c r="AN614" s="4"/>
      <c r="AO614" s="4"/>
      <c r="AP614" s="4"/>
      <c r="AQ614" s="4"/>
      <c r="AR614" s="4"/>
      <c r="AS614" s="4"/>
      <c r="AT614" s="4"/>
      <c r="AU614" s="4"/>
      <c r="AV614" s="537"/>
      <c r="AW614" s="537"/>
      <c r="AX614" s="4"/>
      <c r="AY614" s="4"/>
      <c r="AZ614" s="4"/>
      <c r="BA614" s="4"/>
      <c r="BB614" s="4"/>
      <c r="BC614" s="4"/>
      <c r="BD614" s="4"/>
      <c r="BE614" s="4"/>
      <c r="BF614" s="4"/>
      <c r="BG614" s="4"/>
      <c r="BH614" s="4"/>
      <c r="BI614" s="4"/>
      <c r="BJ614" s="4"/>
      <c r="BK614" s="4"/>
      <c r="BL614" s="4"/>
      <c r="BM614" s="4"/>
      <c r="BN614" s="4"/>
      <c r="BO614" s="4"/>
      <c r="BP614" s="4"/>
      <c r="BQ614" s="4"/>
      <c r="BR614" s="4"/>
    </row>
    <row r="615" spans="1:70" ht="27" customHeight="1" x14ac:dyDescent="0.2">
      <c r="A615" s="532"/>
      <c r="B615" s="917"/>
      <c r="C615" s="4"/>
      <c r="D615" s="917"/>
      <c r="E615" s="4"/>
      <c r="F615" s="917"/>
      <c r="G615" s="4"/>
      <c r="H615" s="920"/>
      <c r="I615" s="3"/>
      <c r="J615" s="920"/>
      <c r="K615" s="3"/>
      <c r="L615" s="920"/>
      <c r="M615" s="3"/>
      <c r="N615" s="920"/>
      <c r="O615" s="3"/>
      <c r="P615" s="3"/>
      <c r="Q615" s="533"/>
      <c r="R615" s="920"/>
      <c r="S615" s="534"/>
      <c r="T615" s="920"/>
      <c r="U615" s="920"/>
      <c r="V615" s="920"/>
      <c r="W615" s="535"/>
      <c r="X615" s="687"/>
      <c r="Y615" s="687"/>
      <c r="Z615" s="687"/>
      <c r="AA615" s="678"/>
      <c r="AB615" s="543"/>
      <c r="AC615" s="3"/>
      <c r="AD615" s="533"/>
      <c r="AE615" s="3"/>
      <c r="AF615" s="4"/>
      <c r="AG615" s="4"/>
      <c r="AH615" s="4"/>
      <c r="AI615" s="4"/>
      <c r="AJ615" s="4"/>
      <c r="AK615" s="4"/>
      <c r="AL615" s="4"/>
      <c r="AM615" s="4"/>
      <c r="AN615" s="4"/>
      <c r="AO615" s="4"/>
      <c r="AP615" s="4"/>
      <c r="AQ615" s="4"/>
      <c r="AR615" s="4"/>
      <c r="AS615" s="4"/>
      <c r="AT615" s="4"/>
      <c r="AU615" s="4"/>
      <c r="AV615" s="537"/>
      <c r="AW615" s="537"/>
      <c r="AX615" s="4"/>
      <c r="AY615" s="4"/>
      <c r="AZ615" s="4"/>
      <c r="BA615" s="4"/>
      <c r="BB615" s="4"/>
      <c r="BC615" s="4"/>
      <c r="BD615" s="4"/>
      <c r="BE615" s="4"/>
      <c r="BF615" s="4"/>
      <c r="BG615" s="4"/>
      <c r="BH615" s="4"/>
      <c r="BI615" s="4"/>
      <c r="BJ615" s="4"/>
      <c r="BK615" s="4"/>
      <c r="BL615" s="4"/>
      <c r="BM615" s="4"/>
      <c r="BN615" s="4"/>
      <c r="BO615" s="4"/>
      <c r="BP615" s="4"/>
      <c r="BQ615" s="4"/>
      <c r="BR615" s="4"/>
    </row>
    <row r="616" spans="1:70" ht="27" customHeight="1" x14ac:dyDescent="0.2">
      <c r="A616" s="532"/>
      <c r="B616" s="917"/>
      <c r="C616" s="4"/>
      <c r="D616" s="917"/>
      <c r="E616" s="4"/>
      <c r="F616" s="917"/>
      <c r="G616" s="4"/>
      <c r="H616" s="920"/>
      <c r="I616" s="3"/>
      <c r="J616" s="920"/>
      <c r="K616" s="3"/>
      <c r="L616" s="920"/>
      <c r="M616" s="3"/>
      <c r="N616" s="920"/>
      <c r="O616" s="3"/>
      <c r="P616" s="3"/>
      <c r="Q616" s="533"/>
      <c r="R616" s="920"/>
      <c r="S616" s="534"/>
      <c r="T616" s="920"/>
      <c r="U616" s="920"/>
      <c r="V616" s="920"/>
      <c r="W616" s="535"/>
      <c r="X616" s="687"/>
      <c r="Y616" s="687"/>
      <c r="Z616" s="687"/>
      <c r="AA616" s="678"/>
      <c r="AB616" s="543"/>
      <c r="AC616" s="3"/>
      <c r="AD616" s="533"/>
      <c r="AE616" s="3"/>
      <c r="AF616" s="4"/>
      <c r="AG616" s="4"/>
      <c r="AH616" s="4"/>
      <c r="AI616" s="4"/>
      <c r="AJ616" s="4"/>
      <c r="AK616" s="4"/>
      <c r="AL616" s="4"/>
      <c r="AM616" s="4"/>
      <c r="AN616" s="4"/>
      <c r="AO616" s="4"/>
      <c r="AP616" s="4"/>
      <c r="AQ616" s="4"/>
      <c r="AR616" s="4"/>
      <c r="AS616" s="4"/>
      <c r="AT616" s="4"/>
      <c r="AU616" s="4"/>
      <c r="AV616" s="537"/>
      <c r="AW616" s="537"/>
      <c r="AX616" s="4"/>
      <c r="AY616" s="4"/>
      <c r="AZ616" s="4"/>
      <c r="BA616" s="4"/>
      <c r="BB616" s="4"/>
      <c r="BC616" s="4"/>
      <c r="BD616" s="4"/>
      <c r="BE616" s="4"/>
      <c r="BF616" s="4"/>
      <c r="BG616" s="4"/>
      <c r="BH616" s="4"/>
      <c r="BI616" s="4"/>
      <c r="BJ616" s="4"/>
      <c r="BK616" s="4"/>
      <c r="BL616" s="4"/>
      <c r="BM616" s="4"/>
      <c r="BN616" s="4"/>
      <c r="BO616" s="4"/>
      <c r="BP616" s="4"/>
      <c r="BQ616" s="4"/>
      <c r="BR616" s="4"/>
    </row>
    <row r="617" spans="1:70" ht="27" customHeight="1" x14ac:dyDescent="0.2">
      <c r="A617" s="532"/>
      <c r="B617" s="917"/>
      <c r="C617" s="4"/>
      <c r="D617" s="917"/>
      <c r="E617" s="4"/>
      <c r="F617" s="917"/>
      <c r="G617" s="4"/>
      <c r="H617" s="920"/>
      <c r="I617" s="3"/>
      <c r="J617" s="920"/>
      <c r="K617" s="3"/>
      <c r="L617" s="920"/>
      <c r="M617" s="3"/>
      <c r="N617" s="920"/>
      <c r="O617" s="3"/>
      <c r="P617" s="3"/>
      <c r="Q617" s="533"/>
      <c r="R617" s="920"/>
      <c r="S617" s="534"/>
      <c r="T617" s="920"/>
      <c r="U617" s="920"/>
      <c r="V617" s="920"/>
      <c r="W617" s="535"/>
      <c r="X617" s="687"/>
      <c r="Y617" s="687"/>
      <c r="Z617" s="687"/>
      <c r="AA617" s="678"/>
      <c r="AB617" s="543"/>
      <c r="AC617" s="3"/>
      <c r="AD617" s="533"/>
      <c r="AE617" s="3"/>
      <c r="AF617" s="4"/>
      <c r="AG617" s="4"/>
      <c r="AH617" s="4"/>
      <c r="AI617" s="4"/>
      <c r="AJ617" s="4"/>
      <c r="AK617" s="4"/>
      <c r="AL617" s="4"/>
      <c r="AM617" s="4"/>
      <c r="AN617" s="4"/>
      <c r="AO617" s="4"/>
      <c r="AP617" s="4"/>
      <c r="AQ617" s="4"/>
      <c r="AR617" s="4"/>
      <c r="AS617" s="4"/>
      <c r="AT617" s="4"/>
      <c r="AU617" s="4"/>
      <c r="AV617" s="537"/>
      <c r="AW617" s="537"/>
      <c r="AX617" s="4"/>
      <c r="AY617" s="4"/>
      <c r="AZ617" s="4"/>
      <c r="BA617" s="4"/>
      <c r="BB617" s="4"/>
      <c r="BC617" s="4"/>
      <c r="BD617" s="4"/>
      <c r="BE617" s="4"/>
      <c r="BF617" s="4"/>
      <c r="BG617" s="4"/>
      <c r="BH617" s="4"/>
      <c r="BI617" s="4"/>
      <c r="BJ617" s="4"/>
      <c r="BK617" s="4"/>
      <c r="BL617" s="4"/>
      <c r="BM617" s="4"/>
      <c r="BN617" s="4"/>
      <c r="BO617" s="4"/>
      <c r="BP617" s="4"/>
      <c r="BQ617" s="4"/>
      <c r="BR617" s="4"/>
    </row>
    <row r="618" spans="1:70" ht="27" customHeight="1" x14ac:dyDescent="0.2">
      <c r="A618" s="532"/>
      <c r="B618" s="917"/>
      <c r="C618" s="4"/>
      <c r="D618" s="917"/>
      <c r="E618" s="4"/>
      <c r="F618" s="917"/>
      <c r="G618" s="4"/>
      <c r="H618" s="920"/>
      <c r="I618" s="3"/>
      <c r="J618" s="920"/>
      <c r="K618" s="3"/>
      <c r="L618" s="920"/>
      <c r="M618" s="3"/>
      <c r="N618" s="920"/>
      <c r="O618" s="3"/>
      <c r="P618" s="3"/>
      <c r="Q618" s="533"/>
      <c r="R618" s="920"/>
      <c r="S618" s="534"/>
      <c r="T618" s="920"/>
      <c r="U618" s="920"/>
      <c r="V618" s="920"/>
      <c r="W618" s="535"/>
      <c r="X618" s="687"/>
      <c r="Y618" s="687"/>
      <c r="Z618" s="687"/>
      <c r="AA618" s="678"/>
      <c r="AB618" s="543"/>
      <c r="AC618" s="3"/>
      <c r="AD618" s="533"/>
      <c r="AE618" s="3"/>
      <c r="AF618" s="4"/>
      <c r="AG618" s="4"/>
      <c r="AH618" s="4"/>
      <c r="AI618" s="4"/>
      <c r="AJ618" s="4"/>
      <c r="AK618" s="4"/>
      <c r="AL618" s="4"/>
      <c r="AM618" s="4"/>
      <c r="AN618" s="4"/>
      <c r="AO618" s="4"/>
      <c r="AP618" s="4"/>
      <c r="AQ618" s="4"/>
      <c r="AR618" s="4"/>
      <c r="AS618" s="4"/>
      <c r="AT618" s="4"/>
      <c r="AU618" s="4"/>
      <c r="AV618" s="537"/>
      <c r="AW618" s="537"/>
      <c r="AX618" s="4"/>
      <c r="AY618" s="4"/>
      <c r="AZ618" s="4"/>
      <c r="BA618" s="4"/>
      <c r="BB618" s="4"/>
      <c r="BC618" s="4"/>
      <c r="BD618" s="4"/>
      <c r="BE618" s="4"/>
      <c r="BF618" s="4"/>
      <c r="BG618" s="4"/>
      <c r="BH618" s="4"/>
      <c r="BI618" s="4"/>
      <c r="BJ618" s="4"/>
      <c r="BK618" s="4"/>
      <c r="BL618" s="4"/>
      <c r="BM618" s="4"/>
      <c r="BN618" s="4"/>
      <c r="BO618" s="4"/>
      <c r="BP618" s="4"/>
      <c r="BQ618" s="4"/>
      <c r="BR618" s="4"/>
    </row>
    <row r="619" spans="1:70" ht="27" customHeight="1" x14ac:dyDescent="0.2">
      <c r="A619" s="532"/>
      <c r="B619" s="917"/>
      <c r="C619" s="4"/>
      <c r="D619" s="917"/>
      <c r="E619" s="4"/>
      <c r="F619" s="917"/>
      <c r="G619" s="4"/>
      <c r="H619" s="920"/>
      <c r="I619" s="3"/>
      <c r="J619" s="920"/>
      <c r="K619" s="3"/>
      <c r="L619" s="920"/>
      <c r="M619" s="3"/>
      <c r="N619" s="920"/>
      <c r="O619" s="3"/>
      <c r="P619" s="3"/>
      <c r="Q619" s="533"/>
      <c r="R619" s="920"/>
      <c r="S619" s="534"/>
      <c r="T619" s="920"/>
      <c r="U619" s="920"/>
      <c r="V619" s="920"/>
      <c r="W619" s="535"/>
      <c r="X619" s="687"/>
      <c r="Y619" s="687"/>
      <c r="Z619" s="687"/>
      <c r="AA619" s="678"/>
      <c r="AB619" s="543"/>
      <c r="AC619" s="3"/>
      <c r="AD619" s="533"/>
      <c r="AE619" s="3"/>
      <c r="AF619" s="4"/>
      <c r="AG619" s="4"/>
      <c r="AH619" s="4"/>
      <c r="AI619" s="4"/>
      <c r="AJ619" s="4"/>
      <c r="AK619" s="4"/>
      <c r="AL619" s="4"/>
      <c r="AM619" s="4"/>
      <c r="AN619" s="4"/>
      <c r="AO619" s="4"/>
      <c r="AP619" s="4"/>
      <c r="AQ619" s="4"/>
      <c r="AR619" s="4"/>
      <c r="AS619" s="4"/>
      <c r="AT619" s="4"/>
      <c r="AU619" s="4"/>
      <c r="AV619" s="537"/>
      <c r="AW619" s="537"/>
      <c r="AX619" s="4"/>
      <c r="AY619" s="4"/>
      <c r="AZ619" s="4"/>
      <c r="BA619" s="4"/>
      <c r="BB619" s="4"/>
      <c r="BC619" s="4"/>
      <c r="BD619" s="4"/>
      <c r="BE619" s="4"/>
      <c r="BF619" s="4"/>
      <c r="BG619" s="4"/>
      <c r="BH619" s="4"/>
      <c r="BI619" s="4"/>
      <c r="BJ619" s="4"/>
      <c r="BK619" s="4"/>
      <c r="BL619" s="4"/>
      <c r="BM619" s="4"/>
      <c r="BN619" s="4"/>
      <c r="BO619" s="4"/>
      <c r="BP619" s="4"/>
      <c r="BQ619" s="4"/>
      <c r="BR619" s="4"/>
    </row>
    <row r="620" spans="1:70" ht="27" customHeight="1" x14ac:dyDescent="0.2">
      <c r="A620" s="532"/>
      <c r="B620" s="917"/>
      <c r="C620" s="4"/>
      <c r="D620" s="917"/>
      <c r="E620" s="4"/>
      <c r="F620" s="917"/>
      <c r="G620" s="4"/>
      <c r="H620" s="920"/>
      <c r="I620" s="3"/>
      <c r="J620" s="920"/>
      <c r="K620" s="3"/>
      <c r="L620" s="920"/>
      <c r="M620" s="3"/>
      <c r="N620" s="920"/>
      <c r="O620" s="3"/>
      <c r="P620" s="3"/>
      <c r="Q620" s="533"/>
      <c r="R620" s="920"/>
      <c r="S620" s="534"/>
      <c r="T620" s="920"/>
      <c r="U620" s="920"/>
      <c r="V620" s="920"/>
      <c r="W620" s="535"/>
      <c r="X620" s="687"/>
      <c r="Y620" s="687"/>
      <c r="Z620" s="687"/>
      <c r="AA620" s="678"/>
      <c r="AB620" s="543"/>
      <c r="AC620" s="3"/>
      <c r="AD620" s="533"/>
      <c r="AE620" s="3"/>
      <c r="AF620" s="4"/>
      <c r="AG620" s="4"/>
      <c r="AH620" s="4"/>
      <c r="AI620" s="4"/>
      <c r="AJ620" s="4"/>
      <c r="AK620" s="4"/>
      <c r="AL620" s="4"/>
      <c r="AM620" s="4"/>
      <c r="AN620" s="4"/>
      <c r="AO620" s="4"/>
      <c r="AP620" s="4"/>
      <c r="AQ620" s="4"/>
      <c r="AR620" s="4"/>
      <c r="AS620" s="4"/>
      <c r="AT620" s="4"/>
      <c r="AU620" s="4"/>
      <c r="AV620" s="537"/>
      <c r="AW620" s="537"/>
      <c r="AX620" s="4"/>
      <c r="AY620" s="4"/>
      <c r="AZ620" s="4"/>
      <c r="BA620" s="4"/>
      <c r="BB620" s="4"/>
      <c r="BC620" s="4"/>
      <c r="BD620" s="4"/>
      <c r="BE620" s="4"/>
      <c r="BF620" s="4"/>
      <c r="BG620" s="4"/>
      <c r="BH620" s="4"/>
      <c r="BI620" s="4"/>
      <c r="BJ620" s="4"/>
      <c r="BK620" s="4"/>
      <c r="BL620" s="4"/>
      <c r="BM620" s="4"/>
      <c r="BN620" s="4"/>
      <c r="BO620" s="4"/>
      <c r="BP620" s="4"/>
      <c r="BQ620" s="4"/>
      <c r="BR620" s="4"/>
    </row>
    <row r="621" spans="1:70" ht="27" customHeight="1" x14ac:dyDescent="0.2">
      <c r="A621" s="532"/>
      <c r="B621" s="917"/>
      <c r="C621" s="4"/>
      <c r="D621" s="917"/>
      <c r="E621" s="4"/>
      <c r="F621" s="917"/>
      <c r="G621" s="4"/>
      <c r="H621" s="920"/>
      <c r="I621" s="3"/>
      <c r="J621" s="920"/>
      <c r="K621" s="3"/>
      <c r="L621" s="920"/>
      <c r="M621" s="3"/>
      <c r="N621" s="920"/>
      <c r="O621" s="3"/>
      <c r="P621" s="3"/>
      <c r="Q621" s="533"/>
      <c r="R621" s="920"/>
      <c r="S621" s="534"/>
      <c r="T621" s="920"/>
      <c r="U621" s="920"/>
      <c r="V621" s="920"/>
      <c r="W621" s="535"/>
      <c r="X621" s="687"/>
      <c r="Y621" s="687"/>
      <c r="Z621" s="687"/>
      <c r="AA621" s="678"/>
      <c r="AB621" s="543"/>
      <c r="AC621" s="3"/>
      <c r="AD621" s="533"/>
      <c r="AE621" s="3"/>
      <c r="AF621" s="4"/>
      <c r="AG621" s="4"/>
      <c r="AH621" s="4"/>
      <c r="AI621" s="4"/>
      <c r="AJ621" s="4"/>
      <c r="AK621" s="4"/>
      <c r="AL621" s="4"/>
      <c r="AM621" s="4"/>
      <c r="AN621" s="4"/>
      <c r="AO621" s="4"/>
      <c r="AP621" s="4"/>
      <c r="AQ621" s="4"/>
      <c r="AR621" s="4"/>
      <c r="AS621" s="4"/>
      <c r="AT621" s="4"/>
      <c r="AU621" s="4"/>
      <c r="AV621" s="537"/>
      <c r="AW621" s="537"/>
      <c r="AX621" s="4"/>
      <c r="AY621" s="4"/>
      <c r="AZ621" s="4"/>
      <c r="BA621" s="4"/>
      <c r="BB621" s="4"/>
      <c r="BC621" s="4"/>
      <c r="BD621" s="4"/>
      <c r="BE621" s="4"/>
      <c r="BF621" s="4"/>
      <c r="BG621" s="4"/>
      <c r="BH621" s="4"/>
      <c r="BI621" s="4"/>
      <c r="BJ621" s="4"/>
      <c r="BK621" s="4"/>
      <c r="BL621" s="4"/>
      <c r="BM621" s="4"/>
      <c r="BN621" s="4"/>
      <c r="BO621" s="4"/>
      <c r="BP621" s="4"/>
      <c r="BQ621" s="4"/>
      <c r="BR621" s="4"/>
    </row>
    <row r="622" spans="1:70" ht="27" customHeight="1" x14ac:dyDescent="0.2">
      <c r="A622" s="532"/>
      <c r="B622" s="917"/>
      <c r="C622" s="4"/>
      <c r="D622" s="917"/>
      <c r="E622" s="4"/>
      <c r="F622" s="917"/>
      <c r="G622" s="4"/>
      <c r="H622" s="920"/>
      <c r="I622" s="3"/>
      <c r="J622" s="920"/>
      <c r="K622" s="3"/>
      <c r="L622" s="920"/>
      <c r="M622" s="3"/>
      <c r="N622" s="920"/>
      <c r="O622" s="3"/>
      <c r="P622" s="3"/>
      <c r="Q622" s="533"/>
      <c r="R622" s="920"/>
      <c r="S622" s="534"/>
      <c r="T622" s="920"/>
      <c r="U622" s="920"/>
      <c r="V622" s="920"/>
      <c r="W622" s="535"/>
      <c r="X622" s="687"/>
      <c r="Y622" s="687"/>
      <c r="Z622" s="687"/>
      <c r="AA622" s="678"/>
      <c r="AB622" s="543"/>
      <c r="AC622" s="3"/>
      <c r="AD622" s="533"/>
      <c r="AE622" s="3"/>
      <c r="AF622" s="4"/>
      <c r="AG622" s="4"/>
      <c r="AH622" s="4"/>
      <c r="AI622" s="4"/>
      <c r="AJ622" s="4"/>
      <c r="AK622" s="4"/>
      <c r="AL622" s="4"/>
      <c r="AM622" s="4"/>
      <c r="AN622" s="4"/>
      <c r="AO622" s="4"/>
      <c r="AP622" s="4"/>
      <c r="AQ622" s="4"/>
      <c r="AR622" s="4"/>
      <c r="AS622" s="4"/>
      <c r="AT622" s="4"/>
      <c r="AU622" s="4"/>
      <c r="AV622" s="537"/>
      <c r="AW622" s="537"/>
      <c r="AX622" s="4"/>
      <c r="AY622" s="4"/>
      <c r="AZ622" s="4"/>
      <c r="BA622" s="4"/>
      <c r="BB622" s="4"/>
      <c r="BC622" s="4"/>
      <c r="BD622" s="4"/>
      <c r="BE622" s="4"/>
      <c r="BF622" s="4"/>
      <c r="BG622" s="4"/>
      <c r="BH622" s="4"/>
      <c r="BI622" s="4"/>
      <c r="BJ622" s="4"/>
      <c r="BK622" s="4"/>
      <c r="BL622" s="4"/>
      <c r="BM622" s="4"/>
      <c r="BN622" s="4"/>
      <c r="BO622" s="4"/>
      <c r="BP622" s="4"/>
      <c r="BQ622" s="4"/>
      <c r="BR622" s="4"/>
    </row>
    <row r="623" spans="1:70" ht="27" customHeight="1" x14ac:dyDescent="0.2">
      <c r="A623" s="532"/>
      <c r="B623" s="917"/>
      <c r="C623" s="4"/>
      <c r="D623" s="917"/>
      <c r="E623" s="4"/>
      <c r="F623" s="917"/>
      <c r="G623" s="4"/>
      <c r="H623" s="920"/>
      <c r="I623" s="3"/>
      <c r="J623" s="920"/>
      <c r="K623" s="3"/>
      <c r="L623" s="920"/>
      <c r="M623" s="3"/>
      <c r="N623" s="920"/>
      <c r="O623" s="3"/>
      <c r="P623" s="3"/>
      <c r="Q623" s="533"/>
      <c r="R623" s="920"/>
      <c r="S623" s="534"/>
      <c r="T623" s="920"/>
      <c r="U623" s="920"/>
      <c r="V623" s="920"/>
      <c r="W623" s="535"/>
      <c r="X623" s="687"/>
      <c r="Y623" s="687"/>
      <c r="Z623" s="687"/>
      <c r="AA623" s="678"/>
      <c r="AB623" s="543"/>
      <c r="AC623" s="3"/>
      <c r="AD623" s="533"/>
      <c r="AE623" s="3"/>
      <c r="AF623" s="4"/>
      <c r="AG623" s="4"/>
      <c r="AH623" s="4"/>
      <c r="AI623" s="4"/>
      <c r="AJ623" s="4"/>
      <c r="AK623" s="4"/>
      <c r="AL623" s="4"/>
      <c r="AM623" s="4"/>
      <c r="AN623" s="4"/>
      <c r="AO623" s="4"/>
      <c r="AP623" s="4"/>
      <c r="AQ623" s="4"/>
      <c r="AR623" s="4"/>
      <c r="AS623" s="4"/>
      <c r="AT623" s="4"/>
      <c r="AU623" s="4"/>
      <c r="AV623" s="537"/>
      <c r="AW623" s="537"/>
      <c r="AX623" s="4"/>
      <c r="AY623" s="4"/>
      <c r="AZ623" s="4"/>
      <c r="BA623" s="4"/>
      <c r="BB623" s="4"/>
      <c r="BC623" s="4"/>
      <c r="BD623" s="4"/>
      <c r="BE623" s="4"/>
      <c r="BF623" s="4"/>
      <c r="BG623" s="4"/>
      <c r="BH623" s="4"/>
      <c r="BI623" s="4"/>
      <c r="BJ623" s="4"/>
      <c r="BK623" s="4"/>
      <c r="BL623" s="4"/>
      <c r="BM623" s="4"/>
      <c r="BN623" s="4"/>
      <c r="BO623" s="4"/>
      <c r="BP623" s="4"/>
      <c r="BQ623" s="4"/>
      <c r="BR623" s="4"/>
    </row>
    <row r="624" spans="1:70" ht="27" customHeight="1" x14ac:dyDescent="0.2">
      <c r="A624" s="532"/>
      <c r="B624" s="917"/>
      <c r="C624" s="4"/>
      <c r="D624" s="917"/>
      <c r="E624" s="4"/>
      <c r="F624" s="917"/>
      <c r="G624" s="4"/>
      <c r="H624" s="920"/>
      <c r="I624" s="3"/>
      <c r="J624" s="920"/>
      <c r="K624" s="3"/>
      <c r="L624" s="920"/>
      <c r="M624" s="3"/>
      <c r="N624" s="920"/>
      <c r="O624" s="3"/>
      <c r="P624" s="3"/>
      <c r="Q624" s="533"/>
      <c r="R624" s="920"/>
      <c r="S624" s="534"/>
      <c r="T624" s="920"/>
      <c r="U624" s="920"/>
      <c r="V624" s="920"/>
      <c r="W624" s="535"/>
      <c r="X624" s="687"/>
      <c r="Y624" s="687"/>
      <c r="Z624" s="687"/>
      <c r="AA624" s="678"/>
      <c r="AB624" s="543"/>
      <c r="AC624" s="3"/>
      <c r="AD624" s="533"/>
      <c r="AE624" s="3"/>
      <c r="AF624" s="4"/>
      <c r="AG624" s="4"/>
      <c r="AH624" s="4"/>
      <c r="AI624" s="4"/>
      <c r="AJ624" s="4"/>
      <c r="AK624" s="4"/>
      <c r="AL624" s="4"/>
      <c r="AM624" s="4"/>
      <c r="AN624" s="4"/>
      <c r="AO624" s="4"/>
      <c r="AP624" s="4"/>
      <c r="AQ624" s="4"/>
      <c r="AR624" s="4"/>
      <c r="AS624" s="4"/>
      <c r="AT624" s="4"/>
      <c r="AU624" s="4"/>
      <c r="AV624" s="537"/>
      <c r="AW624" s="537"/>
      <c r="AX624" s="4"/>
      <c r="AY624" s="4"/>
      <c r="AZ624" s="4"/>
      <c r="BA624" s="4"/>
      <c r="BB624" s="4"/>
      <c r="BC624" s="4"/>
      <c r="BD624" s="4"/>
      <c r="BE624" s="4"/>
      <c r="BF624" s="4"/>
      <c r="BG624" s="4"/>
      <c r="BH624" s="4"/>
      <c r="BI624" s="4"/>
      <c r="BJ624" s="4"/>
      <c r="BK624" s="4"/>
      <c r="BL624" s="4"/>
      <c r="BM624" s="4"/>
      <c r="BN624" s="4"/>
      <c r="BO624" s="4"/>
      <c r="BP624" s="4"/>
      <c r="BQ624" s="4"/>
      <c r="BR624" s="4"/>
    </row>
    <row r="625" spans="1:70" ht="27" customHeight="1" x14ac:dyDescent="0.2">
      <c r="A625" s="532"/>
      <c r="B625" s="917"/>
      <c r="C625" s="4"/>
      <c r="D625" s="917"/>
      <c r="E625" s="4"/>
      <c r="F625" s="917"/>
      <c r="G625" s="4"/>
      <c r="H625" s="920"/>
      <c r="I625" s="3"/>
      <c r="J625" s="920"/>
      <c r="K625" s="3"/>
      <c r="L625" s="920"/>
      <c r="M625" s="3"/>
      <c r="N625" s="920"/>
      <c r="O625" s="3"/>
      <c r="P625" s="3"/>
      <c r="Q625" s="533"/>
      <c r="R625" s="920"/>
      <c r="S625" s="534"/>
      <c r="T625" s="920"/>
      <c r="U625" s="920"/>
      <c r="V625" s="920"/>
      <c r="W625" s="535"/>
      <c r="X625" s="687"/>
      <c r="Y625" s="687"/>
      <c r="Z625" s="687"/>
      <c r="AA625" s="678"/>
      <c r="AB625" s="543"/>
      <c r="AC625" s="3"/>
      <c r="AD625" s="533"/>
      <c r="AE625" s="3"/>
      <c r="AF625" s="4"/>
      <c r="AG625" s="4"/>
      <c r="AH625" s="4"/>
      <c r="AI625" s="4"/>
      <c r="AJ625" s="4"/>
      <c r="AK625" s="4"/>
      <c r="AL625" s="4"/>
      <c r="AM625" s="4"/>
      <c r="AN625" s="4"/>
      <c r="AO625" s="4"/>
      <c r="AP625" s="4"/>
      <c r="AQ625" s="4"/>
      <c r="AR625" s="4"/>
      <c r="AS625" s="4"/>
      <c r="AT625" s="4"/>
      <c r="AU625" s="4"/>
      <c r="AV625" s="537"/>
      <c r="AW625" s="537"/>
      <c r="AX625" s="4"/>
      <c r="AY625" s="4"/>
      <c r="AZ625" s="4"/>
      <c r="BA625" s="4"/>
      <c r="BB625" s="4"/>
      <c r="BC625" s="4"/>
      <c r="BD625" s="4"/>
      <c r="BE625" s="4"/>
      <c r="BF625" s="4"/>
      <c r="BG625" s="4"/>
      <c r="BH625" s="4"/>
      <c r="BI625" s="4"/>
      <c r="BJ625" s="4"/>
      <c r="BK625" s="4"/>
      <c r="BL625" s="4"/>
      <c r="BM625" s="4"/>
      <c r="BN625" s="4"/>
      <c r="BO625" s="4"/>
      <c r="BP625" s="4"/>
      <c r="BQ625" s="4"/>
      <c r="BR625" s="4"/>
    </row>
    <row r="626" spans="1:70" ht="27" customHeight="1" x14ac:dyDescent="0.2">
      <c r="A626" s="532"/>
      <c r="B626" s="917"/>
      <c r="C626" s="4"/>
      <c r="D626" s="917"/>
      <c r="E626" s="4"/>
      <c r="F626" s="917"/>
      <c r="G626" s="4"/>
      <c r="H626" s="920"/>
      <c r="I626" s="3"/>
      <c r="J626" s="920"/>
      <c r="K626" s="3"/>
      <c r="L626" s="920"/>
      <c r="M626" s="3"/>
      <c r="N626" s="920"/>
      <c r="O626" s="3"/>
      <c r="P626" s="3"/>
      <c r="Q626" s="533"/>
      <c r="R626" s="920"/>
      <c r="S626" s="534"/>
      <c r="T626" s="920"/>
      <c r="U626" s="920"/>
      <c r="V626" s="920"/>
      <c r="W626" s="535"/>
      <c r="X626" s="687"/>
      <c r="Y626" s="687"/>
      <c r="Z626" s="687"/>
      <c r="AA626" s="678"/>
      <c r="AB626" s="543"/>
      <c r="AC626" s="3"/>
      <c r="AD626" s="533"/>
      <c r="AE626" s="3"/>
      <c r="AF626" s="4"/>
      <c r="AG626" s="4"/>
      <c r="AH626" s="4"/>
      <c r="AI626" s="4"/>
      <c r="AJ626" s="4"/>
      <c r="AK626" s="4"/>
      <c r="AL626" s="4"/>
      <c r="AM626" s="4"/>
      <c r="AN626" s="4"/>
      <c r="AO626" s="4"/>
      <c r="AP626" s="4"/>
      <c r="AQ626" s="4"/>
      <c r="AR626" s="4"/>
      <c r="AS626" s="4"/>
      <c r="AT626" s="4"/>
      <c r="AU626" s="4"/>
      <c r="AV626" s="537"/>
      <c r="AW626" s="537"/>
      <c r="AX626" s="4"/>
      <c r="AY626" s="4"/>
      <c r="AZ626" s="4"/>
      <c r="BA626" s="4"/>
      <c r="BB626" s="4"/>
      <c r="BC626" s="4"/>
      <c r="BD626" s="4"/>
      <c r="BE626" s="4"/>
      <c r="BF626" s="4"/>
      <c r="BG626" s="4"/>
      <c r="BH626" s="4"/>
      <c r="BI626" s="4"/>
      <c r="BJ626" s="4"/>
      <c r="BK626" s="4"/>
      <c r="BL626" s="4"/>
      <c r="BM626" s="4"/>
      <c r="BN626" s="4"/>
      <c r="BO626" s="4"/>
      <c r="BP626" s="4"/>
      <c r="BQ626" s="4"/>
      <c r="BR626" s="4"/>
    </row>
    <row r="627" spans="1:70" ht="27" customHeight="1" x14ac:dyDescent="0.2">
      <c r="A627" s="532"/>
      <c r="B627" s="917"/>
      <c r="C627" s="4"/>
      <c r="D627" s="917"/>
      <c r="E627" s="4"/>
      <c r="F627" s="917"/>
      <c r="G627" s="4"/>
      <c r="H627" s="920"/>
      <c r="I627" s="3"/>
      <c r="J627" s="920"/>
      <c r="K627" s="3"/>
      <c r="L627" s="920"/>
      <c r="M627" s="3"/>
      <c r="N627" s="920"/>
      <c r="O627" s="3"/>
      <c r="P627" s="3"/>
      <c r="Q627" s="533"/>
      <c r="R627" s="920"/>
      <c r="S627" s="534"/>
      <c r="T627" s="920"/>
      <c r="U627" s="920"/>
      <c r="V627" s="920"/>
      <c r="W627" s="535"/>
      <c r="X627" s="687"/>
      <c r="Y627" s="687"/>
      <c r="Z627" s="687"/>
      <c r="AA627" s="678"/>
      <c r="AB627" s="543"/>
      <c r="AC627" s="3"/>
      <c r="AD627" s="533"/>
      <c r="AE627" s="3"/>
      <c r="AF627" s="4"/>
      <c r="AG627" s="4"/>
      <c r="AH627" s="4"/>
      <c r="AI627" s="4"/>
      <c r="AJ627" s="4"/>
      <c r="AK627" s="4"/>
      <c r="AL627" s="4"/>
      <c r="AM627" s="4"/>
      <c r="AN627" s="4"/>
      <c r="AO627" s="4"/>
      <c r="AP627" s="4"/>
      <c r="AQ627" s="4"/>
      <c r="AR627" s="4"/>
      <c r="AS627" s="4"/>
      <c r="AT627" s="4"/>
      <c r="AU627" s="4"/>
      <c r="AV627" s="537"/>
      <c r="AW627" s="537"/>
      <c r="AX627" s="4"/>
      <c r="AY627" s="4"/>
      <c r="AZ627" s="4"/>
      <c r="BA627" s="4"/>
      <c r="BB627" s="4"/>
      <c r="BC627" s="4"/>
      <c r="BD627" s="4"/>
      <c r="BE627" s="4"/>
      <c r="BF627" s="4"/>
      <c r="BG627" s="4"/>
      <c r="BH627" s="4"/>
      <c r="BI627" s="4"/>
      <c r="BJ627" s="4"/>
      <c r="BK627" s="4"/>
      <c r="BL627" s="4"/>
      <c r="BM627" s="4"/>
      <c r="BN627" s="4"/>
      <c r="BO627" s="4"/>
      <c r="BP627" s="4"/>
      <c r="BQ627" s="4"/>
      <c r="BR627" s="4"/>
    </row>
    <row r="628" spans="1:70" ht="27" customHeight="1" x14ac:dyDescent="0.2">
      <c r="A628" s="532"/>
      <c r="B628" s="917"/>
      <c r="C628" s="4"/>
      <c r="D628" s="917"/>
      <c r="E628" s="4"/>
      <c r="F628" s="917"/>
      <c r="G628" s="4"/>
      <c r="H628" s="920"/>
      <c r="I628" s="3"/>
      <c r="J628" s="920"/>
      <c r="K628" s="3"/>
      <c r="L628" s="920"/>
      <c r="M628" s="3"/>
      <c r="N628" s="920"/>
      <c r="O628" s="3"/>
      <c r="P628" s="3"/>
      <c r="Q628" s="533"/>
      <c r="R628" s="920"/>
      <c r="S628" s="534"/>
      <c r="T628" s="920"/>
      <c r="U628" s="920"/>
      <c r="V628" s="920"/>
      <c r="W628" s="535"/>
      <c r="X628" s="687"/>
      <c r="Y628" s="687"/>
      <c r="Z628" s="687"/>
      <c r="AA628" s="678"/>
      <c r="AB628" s="543"/>
      <c r="AC628" s="3"/>
      <c r="AD628" s="533"/>
      <c r="AE628" s="3"/>
      <c r="AF628" s="4"/>
      <c r="AG628" s="4"/>
      <c r="AH628" s="4"/>
      <c r="AI628" s="4"/>
      <c r="AJ628" s="4"/>
      <c r="AK628" s="4"/>
      <c r="AL628" s="4"/>
      <c r="AM628" s="4"/>
      <c r="AN628" s="4"/>
      <c r="AO628" s="4"/>
      <c r="AP628" s="4"/>
      <c r="AQ628" s="4"/>
      <c r="AR628" s="4"/>
      <c r="AS628" s="4"/>
      <c r="AT628" s="4"/>
      <c r="AU628" s="4"/>
      <c r="AV628" s="537"/>
      <c r="AW628" s="537"/>
      <c r="AX628" s="4"/>
      <c r="AY628" s="4"/>
      <c r="AZ628" s="4"/>
      <c r="BA628" s="4"/>
      <c r="BB628" s="4"/>
      <c r="BC628" s="4"/>
      <c r="BD628" s="4"/>
      <c r="BE628" s="4"/>
      <c r="BF628" s="4"/>
      <c r="BG628" s="4"/>
      <c r="BH628" s="4"/>
      <c r="BI628" s="4"/>
      <c r="BJ628" s="4"/>
      <c r="BK628" s="4"/>
      <c r="BL628" s="4"/>
      <c r="BM628" s="4"/>
      <c r="BN628" s="4"/>
      <c r="BO628" s="4"/>
      <c r="BP628" s="4"/>
      <c r="BQ628" s="4"/>
      <c r="BR628" s="4"/>
    </row>
    <row r="629" spans="1:70" ht="27" customHeight="1" x14ac:dyDescent="0.2">
      <c r="A629" s="532"/>
      <c r="B629" s="917"/>
      <c r="C629" s="4"/>
      <c r="D629" s="917"/>
      <c r="E629" s="4"/>
      <c r="F629" s="917"/>
      <c r="G629" s="4"/>
      <c r="H629" s="920"/>
      <c r="I629" s="3"/>
      <c r="J629" s="920"/>
      <c r="K629" s="3"/>
      <c r="L629" s="920"/>
      <c r="M629" s="3"/>
      <c r="N629" s="920"/>
      <c r="O629" s="3"/>
      <c r="P629" s="3"/>
      <c r="Q629" s="533"/>
      <c r="R629" s="920"/>
      <c r="S629" s="534"/>
      <c r="T629" s="920"/>
      <c r="U629" s="920"/>
      <c r="V629" s="920"/>
      <c r="W629" s="535"/>
      <c r="X629" s="687"/>
      <c r="Y629" s="687"/>
      <c r="Z629" s="687"/>
      <c r="AA629" s="678"/>
      <c r="AB629" s="543"/>
      <c r="AC629" s="3"/>
      <c r="AD629" s="533"/>
      <c r="AE629" s="3"/>
      <c r="AF629" s="4"/>
      <c r="AG629" s="4"/>
      <c r="AH629" s="4"/>
      <c r="AI629" s="4"/>
      <c r="AJ629" s="4"/>
      <c r="AK629" s="4"/>
      <c r="AL629" s="4"/>
      <c r="AM629" s="4"/>
      <c r="AN629" s="4"/>
      <c r="AO629" s="4"/>
      <c r="AP629" s="4"/>
      <c r="AQ629" s="4"/>
      <c r="AR629" s="4"/>
      <c r="AS629" s="4"/>
      <c r="AT629" s="4"/>
      <c r="AU629" s="4"/>
      <c r="AV629" s="537"/>
      <c r="AW629" s="537"/>
      <c r="AX629" s="4"/>
      <c r="AY629" s="4"/>
      <c r="AZ629" s="4"/>
      <c r="BA629" s="4"/>
      <c r="BB629" s="4"/>
      <c r="BC629" s="4"/>
      <c r="BD629" s="4"/>
      <c r="BE629" s="4"/>
      <c r="BF629" s="4"/>
      <c r="BG629" s="4"/>
      <c r="BH629" s="4"/>
      <c r="BI629" s="4"/>
      <c r="BJ629" s="4"/>
      <c r="BK629" s="4"/>
      <c r="BL629" s="4"/>
      <c r="BM629" s="4"/>
      <c r="BN629" s="4"/>
      <c r="BO629" s="4"/>
      <c r="BP629" s="4"/>
      <c r="BQ629" s="4"/>
      <c r="BR629" s="4"/>
    </row>
    <row r="630" spans="1:70" ht="27" customHeight="1" x14ac:dyDescent="0.2">
      <c r="A630" s="532"/>
      <c r="B630" s="917"/>
      <c r="C630" s="4"/>
      <c r="D630" s="917"/>
      <c r="E630" s="4"/>
      <c r="F630" s="917"/>
      <c r="G630" s="4"/>
      <c r="H630" s="920"/>
      <c r="I630" s="3"/>
      <c r="J630" s="920"/>
      <c r="K630" s="3"/>
      <c r="L630" s="920"/>
      <c r="M630" s="3"/>
      <c r="N630" s="920"/>
      <c r="O630" s="3"/>
      <c r="P630" s="3"/>
      <c r="Q630" s="533"/>
      <c r="R630" s="920"/>
      <c r="S630" s="534"/>
      <c r="T630" s="920"/>
      <c r="U630" s="920"/>
      <c r="V630" s="920"/>
      <c r="W630" s="535"/>
      <c r="X630" s="687"/>
      <c r="Y630" s="687"/>
      <c r="Z630" s="687"/>
      <c r="AA630" s="678"/>
      <c r="AB630" s="543"/>
      <c r="AC630" s="3"/>
      <c r="AD630" s="533"/>
      <c r="AE630" s="3"/>
      <c r="AF630" s="4"/>
      <c r="AG630" s="4"/>
      <c r="AH630" s="4"/>
      <c r="AI630" s="4"/>
      <c r="AJ630" s="4"/>
      <c r="AK630" s="4"/>
      <c r="AL630" s="4"/>
      <c r="AM630" s="4"/>
      <c r="AN630" s="4"/>
      <c r="AO630" s="4"/>
      <c r="AP630" s="4"/>
      <c r="AQ630" s="4"/>
      <c r="AR630" s="4"/>
      <c r="AS630" s="4"/>
      <c r="AT630" s="4"/>
      <c r="AU630" s="4"/>
      <c r="AV630" s="537"/>
      <c r="AW630" s="537"/>
      <c r="AX630" s="4"/>
      <c r="AY630" s="4"/>
      <c r="AZ630" s="4"/>
      <c r="BA630" s="4"/>
      <c r="BB630" s="4"/>
      <c r="BC630" s="4"/>
      <c r="BD630" s="4"/>
      <c r="BE630" s="4"/>
      <c r="BF630" s="4"/>
      <c r="BG630" s="4"/>
      <c r="BH630" s="4"/>
      <c r="BI630" s="4"/>
      <c r="BJ630" s="4"/>
      <c r="BK630" s="4"/>
      <c r="BL630" s="4"/>
      <c r="BM630" s="4"/>
      <c r="BN630" s="4"/>
      <c r="BO630" s="4"/>
      <c r="BP630" s="4"/>
      <c r="BQ630" s="4"/>
      <c r="BR630" s="4"/>
    </row>
    <row r="631" spans="1:70" ht="27" customHeight="1" x14ac:dyDescent="0.2">
      <c r="A631" s="532"/>
      <c r="B631" s="917"/>
      <c r="C631" s="4"/>
      <c r="D631" s="917"/>
      <c r="E631" s="4"/>
      <c r="F631" s="917"/>
      <c r="G631" s="4"/>
      <c r="H631" s="920"/>
      <c r="I631" s="3"/>
      <c r="J631" s="920"/>
      <c r="K631" s="3"/>
      <c r="L631" s="920"/>
      <c r="M631" s="3"/>
      <c r="N631" s="920"/>
      <c r="O631" s="3"/>
      <c r="P631" s="3"/>
      <c r="Q631" s="533"/>
      <c r="R631" s="920"/>
      <c r="S631" s="534"/>
      <c r="T631" s="920"/>
      <c r="U631" s="920"/>
      <c r="V631" s="920"/>
      <c r="W631" s="535"/>
      <c r="X631" s="687"/>
      <c r="Y631" s="687"/>
      <c r="Z631" s="687"/>
      <c r="AA631" s="678"/>
      <c r="AB631" s="543"/>
      <c r="AC631" s="3"/>
      <c r="AD631" s="533"/>
      <c r="AE631" s="3"/>
      <c r="AF631" s="4"/>
      <c r="AG631" s="4"/>
      <c r="AH631" s="4"/>
      <c r="AI631" s="4"/>
      <c r="AJ631" s="4"/>
      <c r="AK631" s="4"/>
      <c r="AL631" s="4"/>
      <c r="AM631" s="4"/>
      <c r="AN631" s="4"/>
      <c r="AO631" s="4"/>
      <c r="AP631" s="4"/>
      <c r="AQ631" s="4"/>
      <c r="AR631" s="4"/>
      <c r="AS631" s="4"/>
      <c r="AT631" s="4"/>
      <c r="AU631" s="4"/>
      <c r="AV631" s="537"/>
      <c r="AW631" s="537"/>
      <c r="AX631" s="4"/>
      <c r="AY631" s="4"/>
      <c r="AZ631" s="4"/>
      <c r="BA631" s="4"/>
      <c r="BB631" s="4"/>
      <c r="BC631" s="4"/>
      <c r="BD631" s="4"/>
      <c r="BE631" s="4"/>
      <c r="BF631" s="4"/>
      <c r="BG631" s="4"/>
      <c r="BH631" s="4"/>
      <c r="BI631" s="4"/>
      <c r="BJ631" s="4"/>
      <c r="BK631" s="4"/>
      <c r="BL631" s="4"/>
      <c r="BM631" s="4"/>
      <c r="BN631" s="4"/>
      <c r="BO631" s="4"/>
      <c r="BP631" s="4"/>
      <c r="BQ631" s="4"/>
      <c r="BR631" s="4"/>
    </row>
    <row r="632" spans="1:70" ht="27" customHeight="1" x14ac:dyDescent="0.2">
      <c r="A632" s="532"/>
      <c r="B632" s="917"/>
      <c r="C632" s="4"/>
      <c r="D632" s="917"/>
      <c r="E632" s="4"/>
      <c r="F632" s="917"/>
      <c r="G632" s="4"/>
      <c r="H632" s="920"/>
      <c r="I632" s="3"/>
      <c r="J632" s="920"/>
      <c r="K632" s="3"/>
      <c r="L632" s="920"/>
      <c r="M632" s="3"/>
      <c r="N632" s="920"/>
      <c r="O632" s="3"/>
      <c r="P632" s="3"/>
      <c r="Q632" s="533"/>
      <c r="R632" s="920"/>
      <c r="S632" s="534"/>
      <c r="T632" s="920"/>
      <c r="U632" s="920"/>
      <c r="V632" s="920"/>
      <c r="W632" s="535"/>
      <c r="X632" s="687"/>
      <c r="Y632" s="687"/>
      <c r="Z632" s="687"/>
      <c r="AA632" s="678"/>
      <c r="AB632" s="543"/>
      <c r="AC632" s="3"/>
      <c r="AD632" s="533"/>
      <c r="AE632" s="3"/>
      <c r="AF632" s="4"/>
      <c r="AG632" s="4"/>
      <c r="AH632" s="4"/>
      <c r="AI632" s="4"/>
      <c r="AJ632" s="4"/>
      <c r="AK632" s="4"/>
      <c r="AL632" s="4"/>
      <c r="AM632" s="4"/>
      <c r="AN632" s="4"/>
      <c r="AO632" s="4"/>
      <c r="AP632" s="4"/>
      <c r="AQ632" s="4"/>
      <c r="AR632" s="4"/>
      <c r="AS632" s="4"/>
      <c r="AT632" s="4"/>
      <c r="AU632" s="4"/>
      <c r="AV632" s="537"/>
      <c r="AW632" s="537"/>
      <c r="AX632" s="4"/>
      <c r="AY632" s="4"/>
      <c r="AZ632" s="4"/>
      <c r="BA632" s="4"/>
      <c r="BB632" s="4"/>
      <c r="BC632" s="4"/>
      <c r="BD632" s="4"/>
      <c r="BE632" s="4"/>
      <c r="BF632" s="4"/>
      <c r="BG632" s="4"/>
      <c r="BH632" s="4"/>
      <c r="BI632" s="4"/>
      <c r="BJ632" s="4"/>
      <c r="BK632" s="4"/>
      <c r="BL632" s="4"/>
      <c r="BM632" s="4"/>
      <c r="BN632" s="4"/>
      <c r="BO632" s="4"/>
      <c r="BP632" s="4"/>
      <c r="BQ632" s="4"/>
      <c r="BR632" s="4"/>
    </row>
    <row r="633" spans="1:70" ht="27" customHeight="1" x14ac:dyDescent="0.2">
      <c r="A633" s="532"/>
      <c r="B633" s="917"/>
      <c r="C633" s="4"/>
      <c r="D633" s="917"/>
      <c r="E633" s="4"/>
      <c r="F633" s="917"/>
      <c r="G633" s="4"/>
      <c r="H633" s="920"/>
      <c r="I633" s="3"/>
      <c r="J633" s="920"/>
      <c r="K633" s="3"/>
      <c r="L633" s="920"/>
      <c r="M633" s="3"/>
      <c r="N633" s="920"/>
      <c r="O633" s="3"/>
      <c r="P633" s="3"/>
      <c r="Q633" s="533"/>
      <c r="R633" s="920"/>
      <c r="S633" s="534"/>
      <c r="T633" s="920"/>
      <c r="U633" s="920"/>
      <c r="V633" s="920"/>
      <c r="W633" s="535"/>
      <c r="X633" s="687"/>
      <c r="Y633" s="687"/>
      <c r="Z633" s="687"/>
      <c r="AA633" s="678"/>
      <c r="AB633" s="543"/>
      <c r="AC633" s="3"/>
      <c r="AD633" s="533"/>
      <c r="AE633" s="3"/>
      <c r="AF633" s="4"/>
      <c r="AG633" s="4"/>
      <c r="AH633" s="4"/>
      <c r="AI633" s="4"/>
      <c r="AJ633" s="4"/>
      <c r="AK633" s="4"/>
      <c r="AL633" s="4"/>
      <c r="AM633" s="4"/>
      <c r="AN633" s="4"/>
      <c r="AO633" s="4"/>
      <c r="AP633" s="4"/>
      <c r="AQ633" s="4"/>
      <c r="AR633" s="4"/>
      <c r="AS633" s="4"/>
      <c r="AT633" s="4"/>
      <c r="AU633" s="4"/>
      <c r="AV633" s="537"/>
      <c r="AW633" s="537"/>
      <c r="AX633" s="4"/>
      <c r="AY633" s="4"/>
      <c r="AZ633" s="4"/>
      <c r="BA633" s="4"/>
      <c r="BB633" s="4"/>
      <c r="BC633" s="4"/>
      <c r="BD633" s="4"/>
      <c r="BE633" s="4"/>
      <c r="BF633" s="4"/>
      <c r="BG633" s="4"/>
      <c r="BH633" s="4"/>
      <c r="BI633" s="4"/>
      <c r="BJ633" s="4"/>
      <c r="BK633" s="4"/>
      <c r="BL633" s="4"/>
      <c r="BM633" s="4"/>
      <c r="BN633" s="4"/>
      <c r="BO633" s="4"/>
      <c r="BP633" s="4"/>
      <c r="BQ633" s="4"/>
      <c r="BR633" s="4"/>
    </row>
    <row r="634" spans="1:70" ht="27" customHeight="1" x14ac:dyDescent="0.2">
      <c r="A634" s="532"/>
      <c r="B634" s="917"/>
      <c r="C634" s="4"/>
      <c r="D634" s="917"/>
      <c r="E634" s="4"/>
      <c r="F634" s="917"/>
      <c r="G634" s="4"/>
      <c r="H634" s="920"/>
      <c r="I634" s="3"/>
      <c r="J634" s="920"/>
      <c r="K634" s="3"/>
      <c r="L634" s="920"/>
      <c r="M634" s="3"/>
      <c r="N634" s="920"/>
      <c r="O634" s="3"/>
      <c r="P634" s="3"/>
      <c r="Q634" s="533"/>
      <c r="R634" s="920"/>
      <c r="S634" s="534"/>
      <c r="T634" s="920"/>
      <c r="U634" s="920"/>
      <c r="V634" s="920"/>
      <c r="W634" s="535"/>
      <c r="X634" s="687"/>
      <c r="Y634" s="687"/>
      <c r="Z634" s="687"/>
      <c r="AA634" s="678"/>
      <c r="AB634" s="543"/>
      <c r="AC634" s="3"/>
      <c r="AD634" s="533"/>
      <c r="AE634" s="3"/>
      <c r="AF634" s="4"/>
      <c r="AG634" s="4"/>
      <c r="AH634" s="4"/>
      <c r="AI634" s="4"/>
      <c r="AJ634" s="4"/>
      <c r="AK634" s="4"/>
      <c r="AL634" s="4"/>
      <c r="AM634" s="4"/>
      <c r="AN634" s="4"/>
      <c r="AO634" s="4"/>
      <c r="AP634" s="4"/>
      <c r="AQ634" s="4"/>
      <c r="AR634" s="4"/>
      <c r="AS634" s="4"/>
      <c r="AT634" s="4"/>
      <c r="AU634" s="4"/>
      <c r="AV634" s="537"/>
      <c r="AW634" s="537"/>
      <c r="AX634" s="4"/>
      <c r="AY634" s="4"/>
      <c r="AZ634" s="4"/>
      <c r="BA634" s="4"/>
      <c r="BB634" s="4"/>
      <c r="BC634" s="4"/>
      <c r="BD634" s="4"/>
      <c r="BE634" s="4"/>
      <c r="BF634" s="4"/>
      <c r="BG634" s="4"/>
      <c r="BH634" s="4"/>
      <c r="BI634" s="4"/>
      <c r="BJ634" s="4"/>
      <c r="BK634" s="4"/>
      <c r="BL634" s="4"/>
      <c r="BM634" s="4"/>
      <c r="BN634" s="4"/>
      <c r="BO634" s="4"/>
      <c r="BP634" s="4"/>
      <c r="BQ634" s="4"/>
      <c r="BR634" s="4"/>
    </row>
    <row r="635" spans="1:70" ht="27" customHeight="1" x14ac:dyDescent="0.2">
      <c r="A635" s="532"/>
      <c r="B635" s="917"/>
      <c r="C635" s="4"/>
      <c r="D635" s="917"/>
      <c r="E635" s="4"/>
      <c r="F635" s="917"/>
      <c r="G635" s="4"/>
      <c r="H635" s="920"/>
      <c r="I635" s="3"/>
      <c r="J635" s="920"/>
      <c r="K635" s="3"/>
      <c r="L635" s="920"/>
      <c r="M635" s="3"/>
      <c r="N635" s="920"/>
      <c r="O635" s="3"/>
      <c r="P635" s="3"/>
      <c r="Q635" s="533"/>
      <c r="R635" s="920"/>
      <c r="S635" s="534"/>
      <c r="T635" s="920"/>
      <c r="U635" s="920"/>
      <c r="V635" s="920"/>
      <c r="W635" s="535"/>
      <c r="X635" s="687"/>
      <c r="Y635" s="687"/>
      <c r="Z635" s="687"/>
      <c r="AA635" s="678"/>
      <c r="AB635" s="543"/>
      <c r="AC635" s="3"/>
      <c r="AD635" s="533"/>
      <c r="AE635" s="3"/>
      <c r="AF635" s="4"/>
      <c r="AG635" s="4"/>
      <c r="AH635" s="4"/>
      <c r="AI635" s="4"/>
      <c r="AJ635" s="4"/>
      <c r="AK635" s="4"/>
      <c r="AL635" s="4"/>
      <c r="AM635" s="4"/>
      <c r="AN635" s="4"/>
      <c r="AO635" s="4"/>
      <c r="AP635" s="4"/>
      <c r="AQ635" s="4"/>
      <c r="AR635" s="4"/>
      <c r="AS635" s="4"/>
      <c r="AT635" s="4"/>
      <c r="AU635" s="4"/>
      <c r="AV635" s="537"/>
      <c r="AW635" s="537"/>
      <c r="AX635" s="4"/>
      <c r="AY635" s="4"/>
      <c r="AZ635" s="4"/>
      <c r="BA635" s="4"/>
      <c r="BB635" s="4"/>
      <c r="BC635" s="4"/>
      <c r="BD635" s="4"/>
      <c r="BE635" s="4"/>
      <c r="BF635" s="4"/>
      <c r="BG635" s="4"/>
      <c r="BH635" s="4"/>
      <c r="BI635" s="4"/>
      <c r="BJ635" s="4"/>
      <c r="BK635" s="4"/>
      <c r="BL635" s="4"/>
      <c r="BM635" s="4"/>
      <c r="BN635" s="4"/>
      <c r="BO635" s="4"/>
      <c r="BP635" s="4"/>
      <c r="BQ635" s="4"/>
      <c r="BR635" s="4"/>
    </row>
    <row r="636" spans="1:70" ht="27" customHeight="1" x14ac:dyDescent="0.2">
      <c r="A636" s="532"/>
      <c r="B636" s="917"/>
      <c r="C636" s="4"/>
      <c r="D636" s="917"/>
      <c r="E636" s="4"/>
      <c r="F636" s="917"/>
      <c r="G636" s="4"/>
      <c r="H636" s="920"/>
      <c r="I636" s="3"/>
      <c r="J636" s="920"/>
      <c r="K636" s="3"/>
      <c r="L636" s="920"/>
      <c r="M636" s="3"/>
      <c r="N636" s="920"/>
      <c r="O636" s="3"/>
      <c r="P636" s="3"/>
      <c r="Q636" s="533"/>
      <c r="R636" s="920"/>
      <c r="S636" s="534"/>
      <c r="T636" s="920"/>
      <c r="U636" s="920"/>
      <c r="V636" s="920"/>
      <c r="W636" s="535"/>
      <c r="X636" s="687"/>
      <c r="Y636" s="687"/>
      <c r="Z636" s="687"/>
      <c r="AA636" s="678"/>
      <c r="AB636" s="543"/>
      <c r="AC636" s="3"/>
      <c r="AD636" s="533"/>
      <c r="AE636" s="3"/>
      <c r="AF636" s="4"/>
      <c r="AG636" s="4"/>
      <c r="AH636" s="4"/>
      <c r="AI636" s="4"/>
      <c r="AJ636" s="4"/>
      <c r="AK636" s="4"/>
      <c r="AL636" s="4"/>
      <c r="AM636" s="4"/>
      <c r="AN636" s="4"/>
      <c r="AO636" s="4"/>
      <c r="AP636" s="4"/>
      <c r="AQ636" s="4"/>
      <c r="AR636" s="4"/>
      <c r="AS636" s="4"/>
      <c r="AT636" s="4"/>
      <c r="AU636" s="4"/>
      <c r="AV636" s="537"/>
      <c r="AW636" s="537"/>
      <c r="AX636" s="4"/>
      <c r="AY636" s="4"/>
      <c r="AZ636" s="4"/>
      <c r="BA636" s="4"/>
      <c r="BB636" s="4"/>
      <c r="BC636" s="4"/>
      <c r="BD636" s="4"/>
      <c r="BE636" s="4"/>
      <c r="BF636" s="4"/>
      <c r="BG636" s="4"/>
      <c r="BH636" s="4"/>
      <c r="BI636" s="4"/>
      <c r="BJ636" s="4"/>
      <c r="BK636" s="4"/>
      <c r="BL636" s="4"/>
      <c r="BM636" s="4"/>
      <c r="BN636" s="4"/>
      <c r="BO636" s="4"/>
      <c r="BP636" s="4"/>
      <c r="BQ636" s="4"/>
      <c r="BR636" s="4"/>
    </row>
    <row r="637" spans="1:70" ht="27" customHeight="1" x14ac:dyDescent="0.2">
      <c r="A637" s="532"/>
      <c r="B637" s="917"/>
      <c r="C637" s="4"/>
      <c r="D637" s="917"/>
      <c r="E637" s="4"/>
      <c r="F637" s="917"/>
      <c r="G637" s="4"/>
      <c r="H637" s="920"/>
      <c r="I637" s="3"/>
      <c r="J637" s="920"/>
      <c r="K637" s="3"/>
      <c r="L637" s="920"/>
      <c r="M637" s="3"/>
      <c r="N637" s="920"/>
      <c r="O637" s="3"/>
      <c r="P637" s="3"/>
      <c r="Q637" s="533"/>
      <c r="R637" s="920"/>
      <c r="S637" s="534"/>
      <c r="T637" s="920"/>
      <c r="U637" s="920"/>
      <c r="V637" s="920"/>
      <c r="W637" s="535"/>
      <c r="X637" s="687"/>
      <c r="Y637" s="687"/>
      <c r="Z637" s="687"/>
      <c r="AA637" s="678"/>
      <c r="AB637" s="543"/>
      <c r="AC637" s="3"/>
      <c r="AD637" s="533"/>
      <c r="AE637" s="3"/>
      <c r="AF637" s="4"/>
      <c r="AG637" s="4"/>
      <c r="AH637" s="4"/>
      <c r="AI637" s="4"/>
      <c r="AJ637" s="4"/>
      <c r="AK637" s="4"/>
      <c r="AL637" s="4"/>
      <c r="AM637" s="4"/>
      <c r="AN637" s="4"/>
      <c r="AO637" s="4"/>
      <c r="AP637" s="4"/>
      <c r="AQ637" s="4"/>
      <c r="AR637" s="4"/>
      <c r="AS637" s="4"/>
      <c r="AT637" s="4"/>
      <c r="AU637" s="4"/>
      <c r="AV637" s="537"/>
      <c r="AW637" s="537"/>
      <c r="AX637" s="4"/>
      <c r="AY637" s="4"/>
      <c r="AZ637" s="4"/>
      <c r="BA637" s="4"/>
      <c r="BB637" s="4"/>
      <c r="BC637" s="4"/>
      <c r="BD637" s="4"/>
      <c r="BE637" s="4"/>
      <c r="BF637" s="4"/>
      <c r="BG637" s="4"/>
      <c r="BH637" s="4"/>
      <c r="BI637" s="4"/>
      <c r="BJ637" s="4"/>
      <c r="BK637" s="4"/>
      <c r="BL637" s="4"/>
      <c r="BM637" s="4"/>
      <c r="BN637" s="4"/>
      <c r="BO637" s="4"/>
      <c r="BP637" s="4"/>
      <c r="BQ637" s="4"/>
      <c r="BR637" s="4"/>
    </row>
    <row r="638" spans="1:70" ht="27" customHeight="1" x14ac:dyDescent="0.2">
      <c r="A638" s="532"/>
      <c r="B638" s="917"/>
      <c r="C638" s="4"/>
      <c r="D638" s="917"/>
      <c r="E638" s="4"/>
      <c r="F638" s="917"/>
      <c r="G638" s="4"/>
      <c r="H638" s="920"/>
      <c r="I638" s="3"/>
      <c r="J638" s="920"/>
      <c r="K638" s="3"/>
      <c r="L638" s="920"/>
      <c r="M638" s="3"/>
      <c r="N638" s="920"/>
      <c r="O638" s="3"/>
      <c r="P638" s="3"/>
      <c r="Q638" s="533"/>
      <c r="R638" s="920"/>
      <c r="S638" s="534"/>
      <c r="T638" s="920"/>
      <c r="U638" s="920"/>
      <c r="V638" s="920"/>
      <c r="W638" s="535"/>
      <c r="X638" s="687"/>
      <c r="Y638" s="687"/>
      <c r="Z638" s="687"/>
      <c r="AA638" s="678"/>
      <c r="AB638" s="543"/>
      <c r="AC638" s="3"/>
      <c r="AD638" s="533"/>
      <c r="AE638" s="3"/>
      <c r="AF638" s="4"/>
      <c r="AG638" s="4"/>
      <c r="AH638" s="4"/>
      <c r="AI638" s="4"/>
      <c r="AJ638" s="4"/>
      <c r="AK638" s="4"/>
      <c r="AL638" s="4"/>
      <c r="AM638" s="4"/>
      <c r="AN638" s="4"/>
      <c r="AO638" s="4"/>
      <c r="AP638" s="4"/>
      <c r="AQ638" s="4"/>
      <c r="AR638" s="4"/>
      <c r="AS638" s="4"/>
      <c r="AT638" s="4"/>
      <c r="AU638" s="4"/>
      <c r="AV638" s="537"/>
      <c r="AW638" s="537"/>
      <c r="AX638" s="4"/>
      <c r="AY638" s="4"/>
      <c r="AZ638" s="4"/>
      <c r="BA638" s="4"/>
      <c r="BB638" s="4"/>
      <c r="BC638" s="4"/>
      <c r="BD638" s="4"/>
      <c r="BE638" s="4"/>
      <c r="BF638" s="4"/>
      <c r="BG638" s="4"/>
      <c r="BH638" s="4"/>
      <c r="BI638" s="4"/>
      <c r="BJ638" s="4"/>
      <c r="BK638" s="4"/>
      <c r="BL638" s="4"/>
      <c r="BM638" s="4"/>
      <c r="BN638" s="4"/>
      <c r="BO638" s="4"/>
      <c r="BP638" s="4"/>
      <c r="BQ638" s="4"/>
      <c r="BR638" s="4"/>
    </row>
    <row r="639" spans="1:70" ht="27" customHeight="1" x14ac:dyDescent="0.2">
      <c r="A639" s="532"/>
      <c r="B639" s="917"/>
      <c r="C639" s="4"/>
      <c r="D639" s="917"/>
      <c r="E639" s="4"/>
      <c r="F639" s="917"/>
      <c r="G639" s="4"/>
      <c r="H639" s="920"/>
      <c r="I639" s="3"/>
      <c r="J639" s="920"/>
      <c r="K639" s="3"/>
      <c r="L639" s="920"/>
      <c r="M639" s="3"/>
      <c r="N639" s="920"/>
      <c r="O639" s="3"/>
      <c r="P639" s="3"/>
      <c r="Q639" s="533"/>
      <c r="R639" s="920"/>
      <c r="S639" s="534"/>
      <c r="T639" s="920"/>
      <c r="U639" s="920"/>
      <c r="V639" s="920"/>
      <c r="W639" s="535"/>
      <c r="X639" s="687"/>
      <c r="Y639" s="687"/>
      <c r="Z639" s="687"/>
      <c r="AA639" s="678"/>
      <c r="AB639" s="543"/>
      <c r="AC639" s="3"/>
      <c r="AD639" s="533"/>
      <c r="AE639" s="3"/>
      <c r="AF639" s="4"/>
      <c r="AG639" s="4"/>
      <c r="AH639" s="4"/>
      <c r="AI639" s="4"/>
      <c r="AJ639" s="4"/>
      <c r="AK639" s="4"/>
      <c r="AL639" s="4"/>
      <c r="AM639" s="4"/>
      <c r="AN639" s="4"/>
      <c r="AO639" s="4"/>
      <c r="AP639" s="4"/>
      <c r="AQ639" s="4"/>
      <c r="AR639" s="4"/>
      <c r="AS639" s="4"/>
      <c r="AT639" s="4"/>
      <c r="AU639" s="4"/>
      <c r="AV639" s="537"/>
      <c r="AW639" s="537"/>
      <c r="AX639" s="4"/>
      <c r="AY639" s="4"/>
      <c r="AZ639" s="4"/>
      <c r="BA639" s="4"/>
      <c r="BB639" s="4"/>
      <c r="BC639" s="4"/>
      <c r="BD639" s="4"/>
      <c r="BE639" s="4"/>
      <c r="BF639" s="4"/>
      <c r="BG639" s="4"/>
      <c r="BH639" s="4"/>
      <c r="BI639" s="4"/>
      <c r="BJ639" s="4"/>
      <c r="BK639" s="4"/>
      <c r="BL639" s="4"/>
      <c r="BM639" s="4"/>
      <c r="BN639" s="4"/>
      <c r="BO639" s="4"/>
      <c r="BP639" s="4"/>
      <c r="BQ639" s="4"/>
      <c r="BR639" s="4"/>
    </row>
    <row r="640" spans="1:70" ht="27" customHeight="1" x14ac:dyDescent="0.2">
      <c r="A640" s="532"/>
      <c r="B640" s="917"/>
      <c r="C640" s="4"/>
      <c r="D640" s="917"/>
      <c r="E640" s="4"/>
      <c r="F640" s="917"/>
      <c r="G640" s="4"/>
      <c r="H640" s="920"/>
      <c r="I640" s="3"/>
      <c r="J640" s="920"/>
      <c r="K640" s="3"/>
      <c r="L640" s="920"/>
      <c r="M640" s="3"/>
      <c r="N640" s="920"/>
      <c r="O640" s="3"/>
      <c r="P640" s="3"/>
      <c r="Q640" s="533"/>
      <c r="R640" s="920"/>
      <c r="S640" s="534"/>
      <c r="T640" s="920"/>
      <c r="U640" s="920"/>
      <c r="V640" s="920"/>
      <c r="W640" s="535"/>
      <c r="X640" s="687"/>
      <c r="Y640" s="687"/>
      <c r="Z640" s="687"/>
      <c r="AA640" s="678"/>
      <c r="AB640" s="543"/>
      <c r="AC640" s="3"/>
      <c r="AD640" s="533"/>
      <c r="AE640" s="3"/>
      <c r="AF640" s="4"/>
      <c r="AG640" s="4"/>
      <c r="AH640" s="4"/>
      <c r="AI640" s="4"/>
      <c r="AJ640" s="4"/>
      <c r="AK640" s="4"/>
      <c r="AL640" s="4"/>
      <c r="AM640" s="4"/>
      <c r="AN640" s="4"/>
      <c r="AO640" s="4"/>
      <c r="AP640" s="4"/>
      <c r="AQ640" s="4"/>
      <c r="AR640" s="4"/>
      <c r="AS640" s="4"/>
      <c r="AT640" s="4"/>
      <c r="AU640" s="4"/>
      <c r="AV640" s="537"/>
      <c r="AW640" s="537"/>
      <c r="AX640" s="4"/>
      <c r="AY640" s="4"/>
      <c r="AZ640" s="4"/>
      <c r="BA640" s="4"/>
      <c r="BB640" s="4"/>
      <c r="BC640" s="4"/>
      <c r="BD640" s="4"/>
      <c r="BE640" s="4"/>
      <c r="BF640" s="4"/>
      <c r="BG640" s="4"/>
      <c r="BH640" s="4"/>
      <c r="BI640" s="4"/>
      <c r="BJ640" s="4"/>
      <c r="BK640" s="4"/>
      <c r="BL640" s="4"/>
      <c r="BM640" s="4"/>
      <c r="BN640" s="4"/>
      <c r="BO640" s="4"/>
      <c r="BP640" s="4"/>
      <c r="BQ640" s="4"/>
      <c r="BR640" s="4"/>
    </row>
    <row r="641" spans="1:70" ht="27" customHeight="1" x14ac:dyDescent="0.2">
      <c r="A641" s="532"/>
      <c r="B641" s="917"/>
      <c r="C641" s="4"/>
      <c r="D641" s="917"/>
      <c r="E641" s="4"/>
      <c r="F641" s="917"/>
      <c r="G641" s="4"/>
      <c r="H641" s="920"/>
      <c r="I641" s="3"/>
      <c r="J641" s="920"/>
      <c r="K641" s="3"/>
      <c r="L641" s="920"/>
      <c r="M641" s="3"/>
      <c r="N641" s="920"/>
      <c r="O641" s="3"/>
      <c r="P641" s="3"/>
      <c r="Q641" s="533"/>
      <c r="R641" s="920"/>
      <c r="S641" s="534"/>
      <c r="T641" s="920"/>
      <c r="U641" s="920"/>
      <c r="V641" s="920"/>
      <c r="W641" s="535"/>
      <c r="X641" s="687"/>
      <c r="Y641" s="687"/>
      <c r="Z641" s="687"/>
      <c r="AA641" s="678"/>
      <c r="AB641" s="543"/>
      <c r="AC641" s="3"/>
      <c r="AD641" s="533"/>
      <c r="AE641" s="3"/>
      <c r="AF641" s="4"/>
      <c r="AG641" s="4"/>
      <c r="AH641" s="4"/>
      <c r="AI641" s="4"/>
      <c r="AJ641" s="4"/>
      <c r="AK641" s="4"/>
      <c r="AL641" s="4"/>
      <c r="AM641" s="4"/>
      <c r="AN641" s="4"/>
      <c r="AO641" s="4"/>
      <c r="AP641" s="4"/>
      <c r="AQ641" s="4"/>
      <c r="AR641" s="4"/>
      <c r="AS641" s="4"/>
      <c r="AT641" s="4"/>
      <c r="AU641" s="4"/>
      <c r="AV641" s="537"/>
      <c r="AW641" s="537"/>
      <c r="AX641" s="4"/>
      <c r="AY641" s="4"/>
      <c r="AZ641" s="4"/>
      <c r="BA641" s="4"/>
      <c r="BB641" s="4"/>
      <c r="BC641" s="4"/>
      <c r="BD641" s="4"/>
      <c r="BE641" s="4"/>
      <c r="BF641" s="4"/>
      <c r="BG641" s="4"/>
      <c r="BH641" s="4"/>
      <c r="BI641" s="4"/>
      <c r="BJ641" s="4"/>
      <c r="BK641" s="4"/>
      <c r="BL641" s="4"/>
      <c r="BM641" s="4"/>
      <c r="BN641" s="4"/>
      <c r="BO641" s="4"/>
      <c r="BP641" s="4"/>
      <c r="BQ641" s="4"/>
      <c r="BR641" s="4"/>
    </row>
    <row r="642" spans="1:70" ht="27" customHeight="1" x14ac:dyDescent="0.2">
      <c r="A642" s="532"/>
      <c r="B642" s="917"/>
      <c r="C642" s="4"/>
      <c r="D642" s="917"/>
      <c r="E642" s="4"/>
      <c r="F642" s="917"/>
      <c r="G642" s="4"/>
      <c r="H642" s="920"/>
      <c r="I642" s="3"/>
      <c r="J642" s="920"/>
      <c r="K642" s="3"/>
      <c r="L642" s="920"/>
      <c r="M642" s="3"/>
      <c r="N642" s="920"/>
      <c r="O642" s="3"/>
      <c r="P642" s="3"/>
      <c r="Q642" s="533"/>
      <c r="R642" s="920"/>
      <c r="S642" s="534"/>
      <c r="T642" s="920"/>
      <c r="U642" s="920"/>
      <c r="V642" s="920"/>
      <c r="W642" s="535"/>
      <c r="X642" s="687"/>
      <c r="Y642" s="687"/>
      <c r="Z642" s="687"/>
      <c r="AA642" s="678"/>
      <c r="AB642" s="543"/>
      <c r="AC642" s="3"/>
      <c r="AD642" s="533"/>
      <c r="AE642" s="3"/>
      <c r="AF642" s="4"/>
      <c r="AG642" s="4"/>
      <c r="AH642" s="4"/>
      <c r="AI642" s="4"/>
      <c r="AJ642" s="4"/>
      <c r="AK642" s="4"/>
      <c r="AL642" s="4"/>
      <c r="AM642" s="4"/>
      <c r="AN642" s="4"/>
      <c r="AO642" s="4"/>
      <c r="AP642" s="4"/>
      <c r="AQ642" s="4"/>
      <c r="AR642" s="4"/>
      <c r="AS642" s="4"/>
      <c r="AT642" s="4"/>
      <c r="AU642" s="4"/>
      <c r="AV642" s="537"/>
      <c r="AW642" s="537"/>
      <c r="AX642" s="4"/>
      <c r="AY642" s="4"/>
      <c r="AZ642" s="4"/>
      <c r="BA642" s="4"/>
      <c r="BB642" s="4"/>
      <c r="BC642" s="4"/>
      <c r="BD642" s="4"/>
      <c r="BE642" s="4"/>
      <c r="BF642" s="4"/>
      <c r="BG642" s="4"/>
      <c r="BH642" s="4"/>
      <c r="BI642" s="4"/>
      <c r="BJ642" s="4"/>
      <c r="BK642" s="4"/>
      <c r="BL642" s="4"/>
      <c r="BM642" s="4"/>
      <c r="BN642" s="4"/>
      <c r="BO642" s="4"/>
      <c r="BP642" s="4"/>
      <c r="BQ642" s="4"/>
      <c r="BR642" s="4"/>
    </row>
    <row r="643" spans="1:70" ht="27" customHeight="1" x14ac:dyDescent="0.2">
      <c r="A643" s="532"/>
      <c r="B643" s="917"/>
      <c r="C643" s="4"/>
      <c r="D643" s="917"/>
      <c r="E643" s="4"/>
      <c r="F643" s="917"/>
      <c r="G643" s="4"/>
      <c r="H643" s="920"/>
      <c r="I643" s="3"/>
      <c r="J643" s="920"/>
      <c r="K643" s="3"/>
      <c r="L643" s="920"/>
      <c r="M643" s="3"/>
      <c r="N643" s="920"/>
      <c r="O643" s="3"/>
      <c r="P643" s="3"/>
      <c r="Q643" s="533"/>
      <c r="R643" s="920"/>
      <c r="S643" s="534"/>
      <c r="T643" s="920"/>
      <c r="U643" s="920"/>
      <c r="V643" s="920"/>
      <c r="W643" s="535"/>
      <c r="X643" s="687"/>
      <c r="Y643" s="687"/>
      <c r="Z643" s="687"/>
      <c r="AA643" s="678"/>
      <c r="AB643" s="543"/>
      <c r="AC643" s="3"/>
      <c r="AD643" s="533"/>
      <c r="AE643" s="3"/>
      <c r="AF643" s="4"/>
      <c r="AG643" s="4"/>
      <c r="AH643" s="4"/>
      <c r="AI643" s="4"/>
      <c r="AJ643" s="4"/>
      <c r="AK643" s="4"/>
      <c r="AL643" s="4"/>
      <c r="AM643" s="4"/>
      <c r="AN643" s="4"/>
      <c r="AO643" s="4"/>
      <c r="AP643" s="4"/>
      <c r="AQ643" s="4"/>
      <c r="AR643" s="4"/>
      <c r="AS643" s="4"/>
      <c r="AT643" s="4"/>
      <c r="AU643" s="4"/>
      <c r="AV643" s="537"/>
      <c r="AW643" s="537"/>
      <c r="AX643" s="4"/>
      <c r="AY643" s="4"/>
      <c r="AZ643" s="4"/>
      <c r="BA643" s="4"/>
      <c r="BB643" s="4"/>
      <c r="BC643" s="4"/>
      <c r="BD643" s="4"/>
      <c r="BE643" s="4"/>
      <c r="BF643" s="4"/>
      <c r="BG643" s="4"/>
      <c r="BH643" s="4"/>
      <c r="BI643" s="4"/>
      <c r="BJ643" s="4"/>
      <c r="BK643" s="4"/>
      <c r="BL643" s="4"/>
      <c r="BM643" s="4"/>
      <c r="BN643" s="4"/>
      <c r="BO643" s="4"/>
      <c r="BP643" s="4"/>
      <c r="BQ643" s="4"/>
      <c r="BR643" s="4"/>
    </row>
    <row r="644" spans="1:70" ht="27" customHeight="1" x14ac:dyDescent="0.2">
      <c r="A644" s="532"/>
      <c r="B644" s="917"/>
      <c r="C644" s="4"/>
      <c r="D644" s="917"/>
      <c r="E644" s="4"/>
      <c r="F644" s="917"/>
      <c r="G644" s="4"/>
      <c r="H644" s="920"/>
      <c r="I644" s="3"/>
      <c r="J644" s="920"/>
      <c r="K644" s="3"/>
      <c r="L644" s="920"/>
      <c r="M644" s="3"/>
      <c r="N644" s="920"/>
      <c r="O644" s="3"/>
      <c r="P644" s="3"/>
      <c r="Q644" s="533"/>
      <c r="R644" s="920"/>
      <c r="S644" s="534"/>
      <c r="T644" s="920"/>
      <c r="U644" s="920"/>
      <c r="V644" s="920"/>
      <c r="W644" s="535"/>
      <c r="X644" s="687"/>
      <c r="Y644" s="687"/>
      <c r="Z644" s="687"/>
      <c r="AA644" s="678"/>
      <c r="AB644" s="543"/>
      <c r="AC644" s="3"/>
      <c r="AD644" s="533"/>
      <c r="AE644" s="3"/>
      <c r="AF644" s="4"/>
      <c r="AG644" s="4"/>
      <c r="AH644" s="4"/>
      <c r="AI644" s="4"/>
      <c r="AJ644" s="4"/>
      <c r="AK644" s="4"/>
      <c r="AL644" s="4"/>
      <c r="AM644" s="4"/>
      <c r="AN644" s="4"/>
      <c r="AO644" s="4"/>
      <c r="AP644" s="4"/>
      <c r="AQ644" s="4"/>
      <c r="AR644" s="4"/>
      <c r="AS644" s="4"/>
      <c r="AT644" s="4"/>
      <c r="AU644" s="4"/>
      <c r="AV644" s="537"/>
      <c r="AW644" s="537"/>
      <c r="AX644" s="4"/>
      <c r="AY644" s="4"/>
      <c r="AZ644" s="4"/>
      <c r="BA644" s="4"/>
      <c r="BB644" s="4"/>
      <c r="BC644" s="4"/>
      <c r="BD644" s="4"/>
      <c r="BE644" s="4"/>
      <c r="BF644" s="4"/>
      <c r="BG644" s="4"/>
      <c r="BH644" s="4"/>
      <c r="BI644" s="4"/>
      <c r="BJ644" s="4"/>
      <c r="BK644" s="4"/>
      <c r="BL644" s="4"/>
      <c r="BM644" s="4"/>
      <c r="BN644" s="4"/>
      <c r="BO644" s="4"/>
      <c r="BP644" s="4"/>
      <c r="BQ644" s="4"/>
      <c r="BR644" s="4"/>
    </row>
    <row r="645" spans="1:70" ht="27" customHeight="1" x14ac:dyDescent="0.2">
      <c r="A645" s="532"/>
      <c r="B645" s="917"/>
      <c r="C645" s="4"/>
      <c r="D645" s="917"/>
      <c r="E645" s="4"/>
      <c r="F645" s="917"/>
      <c r="G645" s="4"/>
      <c r="H645" s="920"/>
      <c r="I645" s="3"/>
      <c r="J645" s="920"/>
      <c r="K645" s="3"/>
      <c r="L645" s="920"/>
      <c r="M645" s="3"/>
      <c r="N645" s="920"/>
      <c r="O645" s="3"/>
      <c r="P645" s="3"/>
      <c r="Q645" s="533"/>
      <c r="R645" s="920"/>
      <c r="S645" s="534"/>
      <c r="T645" s="920"/>
      <c r="U645" s="920"/>
      <c r="V645" s="920"/>
      <c r="W645" s="535"/>
      <c r="X645" s="687"/>
      <c r="Y645" s="687"/>
      <c r="Z645" s="687"/>
      <c r="AA645" s="678"/>
      <c r="AB645" s="543"/>
      <c r="AC645" s="3"/>
      <c r="AD645" s="533"/>
      <c r="AE645" s="3"/>
      <c r="AF645" s="4"/>
      <c r="AG645" s="4"/>
      <c r="AH645" s="4"/>
      <c r="AI645" s="4"/>
      <c r="AJ645" s="4"/>
      <c r="AK645" s="4"/>
      <c r="AL645" s="4"/>
      <c r="AM645" s="4"/>
      <c r="AN645" s="4"/>
      <c r="AO645" s="4"/>
      <c r="AP645" s="4"/>
      <c r="AQ645" s="4"/>
      <c r="AR645" s="4"/>
      <c r="AS645" s="4"/>
      <c r="AT645" s="4"/>
      <c r="AU645" s="4"/>
      <c r="AV645" s="537"/>
      <c r="AW645" s="537"/>
      <c r="AX645" s="4"/>
      <c r="AY645" s="4"/>
      <c r="AZ645" s="4"/>
      <c r="BA645" s="4"/>
      <c r="BB645" s="4"/>
      <c r="BC645" s="4"/>
      <c r="BD645" s="4"/>
      <c r="BE645" s="4"/>
      <c r="BF645" s="4"/>
      <c r="BG645" s="4"/>
      <c r="BH645" s="4"/>
      <c r="BI645" s="4"/>
      <c r="BJ645" s="4"/>
      <c r="BK645" s="4"/>
      <c r="BL645" s="4"/>
      <c r="BM645" s="4"/>
      <c r="BN645" s="4"/>
      <c r="BO645" s="4"/>
      <c r="BP645" s="4"/>
      <c r="BQ645" s="4"/>
      <c r="BR645" s="4"/>
    </row>
    <row r="646" spans="1:70" ht="27" customHeight="1" x14ac:dyDescent="0.2">
      <c r="A646" s="532"/>
      <c r="B646" s="917"/>
      <c r="C646" s="4"/>
      <c r="D646" s="917"/>
      <c r="E646" s="4"/>
      <c r="F646" s="917"/>
      <c r="G646" s="4"/>
      <c r="H646" s="920"/>
      <c r="I646" s="3"/>
      <c r="J646" s="920"/>
      <c r="K646" s="3"/>
      <c r="L646" s="920"/>
      <c r="M646" s="3"/>
      <c r="N646" s="920"/>
      <c r="O646" s="3"/>
      <c r="P646" s="3"/>
      <c r="Q646" s="533"/>
      <c r="R646" s="920"/>
      <c r="S646" s="534"/>
      <c r="T646" s="920"/>
      <c r="U646" s="920"/>
      <c r="V646" s="920"/>
      <c r="W646" s="535"/>
      <c r="X646" s="687"/>
      <c r="Y646" s="687"/>
      <c r="Z646" s="687"/>
      <c r="AA646" s="678"/>
      <c r="AB646" s="543"/>
      <c r="AC646" s="3"/>
      <c r="AD646" s="533"/>
      <c r="AE646" s="3"/>
      <c r="AF646" s="4"/>
      <c r="AG646" s="4"/>
      <c r="AH646" s="4"/>
      <c r="AI646" s="4"/>
      <c r="AJ646" s="4"/>
      <c r="AK646" s="4"/>
      <c r="AL646" s="4"/>
      <c r="AM646" s="4"/>
      <c r="AN646" s="4"/>
      <c r="AO646" s="4"/>
      <c r="AP646" s="4"/>
      <c r="AQ646" s="4"/>
      <c r="AR646" s="4"/>
      <c r="AS646" s="4"/>
      <c r="AT646" s="4"/>
      <c r="AU646" s="4"/>
      <c r="AV646" s="537"/>
      <c r="AW646" s="537"/>
      <c r="AX646" s="4"/>
      <c r="AY646" s="4"/>
      <c r="AZ646" s="4"/>
      <c r="BA646" s="4"/>
      <c r="BB646" s="4"/>
      <c r="BC646" s="4"/>
      <c r="BD646" s="4"/>
      <c r="BE646" s="4"/>
      <c r="BF646" s="4"/>
      <c r="BG646" s="4"/>
      <c r="BH646" s="4"/>
      <c r="BI646" s="4"/>
      <c r="BJ646" s="4"/>
      <c r="BK646" s="4"/>
      <c r="BL646" s="4"/>
      <c r="BM646" s="4"/>
      <c r="BN646" s="4"/>
      <c r="BO646" s="4"/>
      <c r="BP646" s="4"/>
      <c r="BQ646" s="4"/>
      <c r="BR646" s="4"/>
    </row>
    <row r="647" spans="1:70" ht="27" customHeight="1" x14ac:dyDescent="0.2">
      <c r="A647" s="532"/>
      <c r="B647" s="917"/>
      <c r="C647" s="4"/>
      <c r="D647" s="917"/>
      <c r="E647" s="4"/>
      <c r="F647" s="917"/>
      <c r="G647" s="4"/>
      <c r="H647" s="920"/>
      <c r="I647" s="3"/>
      <c r="J647" s="920"/>
      <c r="K647" s="3"/>
      <c r="L647" s="920"/>
      <c r="M647" s="3"/>
      <c r="N647" s="920"/>
      <c r="O647" s="3"/>
      <c r="P647" s="3"/>
      <c r="Q647" s="533"/>
      <c r="R647" s="920"/>
      <c r="S647" s="534"/>
      <c r="T647" s="920"/>
      <c r="U647" s="920"/>
      <c r="V647" s="920"/>
      <c r="W647" s="535"/>
      <c r="X647" s="687"/>
      <c r="Y647" s="687"/>
      <c r="Z647" s="687"/>
      <c r="AA647" s="678"/>
      <c r="AB647" s="543"/>
      <c r="AC647" s="3"/>
      <c r="AD647" s="533"/>
      <c r="AE647" s="3"/>
      <c r="AF647" s="4"/>
      <c r="AG647" s="4"/>
      <c r="AH647" s="4"/>
      <c r="AI647" s="4"/>
      <c r="AJ647" s="4"/>
      <c r="AK647" s="4"/>
      <c r="AL647" s="4"/>
      <c r="AM647" s="4"/>
      <c r="AN647" s="4"/>
      <c r="AO647" s="4"/>
      <c r="AP647" s="4"/>
      <c r="AQ647" s="4"/>
      <c r="AR647" s="4"/>
      <c r="AS647" s="4"/>
      <c r="AT647" s="4"/>
      <c r="AU647" s="4"/>
      <c r="AV647" s="537"/>
      <c r="AW647" s="537"/>
      <c r="AX647" s="4"/>
      <c r="AY647" s="4"/>
      <c r="AZ647" s="4"/>
      <c r="BA647" s="4"/>
      <c r="BB647" s="4"/>
      <c r="BC647" s="4"/>
      <c r="BD647" s="4"/>
      <c r="BE647" s="4"/>
      <c r="BF647" s="4"/>
      <c r="BG647" s="4"/>
      <c r="BH647" s="4"/>
      <c r="BI647" s="4"/>
      <c r="BJ647" s="4"/>
      <c r="BK647" s="4"/>
      <c r="BL647" s="4"/>
      <c r="BM647" s="4"/>
      <c r="BN647" s="4"/>
      <c r="BO647" s="4"/>
      <c r="BP647" s="4"/>
      <c r="BQ647" s="4"/>
      <c r="BR647" s="4"/>
    </row>
    <row r="648" spans="1:70" ht="27" customHeight="1" x14ac:dyDescent="0.2">
      <c r="A648" s="532"/>
      <c r="B648" s="917"/>
      <c r="C648" s="4"/>
      <c r="D648" s="917"/>
      <c r="E648" s="4"/>
      <c r="F648" s="917"/>
      <c r="G648" s="4"/>
      <c r="H648" s="920"/>
      <c r="I648" s="3"/>
      <c r="J648" s="920"/>
      <c r="K648" s="3"/>
      <c r="L648" s="920"/>
      <c r="M648" s="3"/>
      <c r="N648" s="920"/>
      <c r="O648" s="3"/>
      <c r="P648" s="3"/>
      <c r="Q648" s="533"/>
      <c r="R648" s="920"/>
      <c r="S648" s="534"/>
      <c r="T648" s="920"/>
      <c r="U648" s="920"/>
      <c r="V648" s="920"/>
      <c r="W648" s="535"/>
      <c r="X648" s="687"/>
      <c r="Y648" s="687"/>
      <c r="Z648" s="687"/>
      <c r="AA648" s="678"/>
      <c r="AB648" s="543"/>
      <c r="AC648" s="3"/>
      <c r="AD648" s="533"/>
      <c r="AE648" s="3"/>
      <c r="AF648" s="4"/>
      <c r="AG648" s="4"/>
      <c r="AH648" s="4"/>
      <c r="AI648" s="4"/>
      <c r="AJ648" s="4"/>
      <c r="AK648" s="4"/>
      <c r="AL648" s="4"/>
      <c r="AM648" s="4"/>
      <c r="AN648" s="4"/>
      <c r="AO648" s="4"/>
      <c r="AP648" s="4"/>
      <c r="AQ648" s="4"/>
      <c r="AR648" s="4"/>
      <c r="AS648" s="4"/>
      <c r="AT648" s="4"/>
      <c r="AU648" s="4"/>
      <c r="AV648" s="537"/>
      <c r="AW648" s="537"/>
      <c r="AX648" s="4"/>
      <c r="AY648" s="4"/>
      <c r="AZ648" s="4"/>
      <c r="BA648" s="4"/>
      <c r="BB648" s="4"/>
      <c r="BC648" s="4"/>
      <c r="BD648" s="4"/>
      <c r="BE648" s="4"/>
      <c r="BF648" s="4"/>
      <c r="BG648" s="4"/>
      <c r="BH648" s="4"/>
      <c r="BI648" s="4"/>
      <c r="BJ648" s="4"/>
      <c r="BK648" s="4"/>
      <c r="BL648" s="4"/>
      <c r="BM648" s="4"/>
      <c r="BN648" s="4"/>
      <c r="BO648" s="4"/>
      <c r="BP648" s="4"/>
      <c r="BQ648" s="4"/>
      <c r="BR648" s="4"/>
    </row>
    <row r="649" spans="1:70" ht="27" customHeight="1" x14ac:dyDescent="0.2">
      <c r="A649" s="532"/>
      <c r="B649" s="917"/>
      <c r="C649" s="4"/>
      <c r="D649" s="917"/>
      <c r="E649" s="4"/>
      <c r="F649" s="917"/>
      <c r="G649" s="4"/>
      <c r="H649" s="920"/>
      <c r="I649" s="3"/>
      <c r="J649" s="920"/>
      <c r="K649" s="3"/>
      <c r="L649" s="920"/>
      <c r="M649" s="3"/>
      <c r="N649" s="920"/>
      <c r="O649" s="3"/>
      <c r="P649" s="3"/>
      <c r="Q649" s="533"/>
      <c r="R649" s="920"/>
      <c r="S649" s="534"/>
      <c r="T649" s="920"/>
      <c r="U649" s="920"/>
      <c r="V649" s="920"/>
      <c r="W649" s="535"/>
      <c r="X649" s="687"/>
      <c r="Y649" s="687"/>
      <c r="Z649" s="687"/>
      <c r="AA649" s="678"/>
      <c r="AB649" s="543"/>
      <c r="AC649" s="3"/>
      <c r="AD649" s="533"/>
      <c r="AE649" s="3"/>
      <c r="AF649" s="4"/>
      <c r="AG649" s="4"/>
      <c r="AH649" s="4"/>
      <c r="AI649" s="4"/>
      <c r="AJ649" s="4"/>
      <c r="AK649" s="4"/>
      <c r="AL649" s="4"/>
      <c r="AM649" s="4"/>
      <c r="AN649" s="4"/>
      <c r="AO649" s="4"/>
      <c r="AP649" s="4"/>
      <c r="AQ649" s="4"/>
      <c r="AR649" s="4"/>
      <c r="AS649" s="4"/>
      <c r="AT649" s="4"/>
      <c r="AU649" s="4"/>
      <c r="AV649" s="537"/>
      <c r="AW649" s="537"/>
      <c r="AX649" s="4"/>
      <c r="AY649" s="4"/>
      <c r="AZ649" s="4"/>
      <c r="BA649" s="4"/>
      <c r="BB649" s="4"/>
      <c r="BC649" s="4"/>
      <c r="BD649" s="4"/>
      <c r="BE649" s="4"/>
      <c r="BF649" s="4"/>
      <c r="BG649" s="4"/>
      <c r="BH649" s="4"/>
      <c r="BI649" s="4"/>
      <c r="BJ649" s="4"/>
      <c r="BK649" s="4"/>
      <c r="BL649" s="4"/>
      <c r="BM649" s="4"/>
      <c r="BN649" s="4"/>
      <c r="BO649" s="4"/>
      <c r="BP649" s="4"/>
      <c r="BQ649" s="4"/>
      <c r="BR649" s="4"/>
    </row>
    <row r="650" spans="1:70" ht="27" customHeight="1" x14ac:dyDescent="0.2">
      <c r="A650" s="532"/>
      <c r="B650" s="917"/>
      <c r="C650" s="4"/>
      <c r="D650" s="917"/>
      <c r="E650" s="4"/>
      <c r="F650" s="917"/>
      <c r="G650" s="4"/>
      <c r="H650" s="920"/>
      <c r="I650" s="3"/>
      <c r="J650" s="920"/>
      <c r="K650" s="3"/>
      <c r="L650" s="920"/>
      <c r="M650" s="3"/>
      <c r="N650" s="920"/>
      <c r="O650" s="3"/>
      <c r="P650" s="3"/>
      <c r="Q650" s="533"/>
      <c r="R650" s="920"/>
      <c r="S650" s="534"/>
      <c r="T650" s="920"/>
      <c r="U650" s="920"/>
      <c r="V650" s="920"/>
      <c r="W650" s="535"/>
      <c r="X650" s="687"/>
      <c r="Y650" s="687"/>
      <c r="Z650" s="687"/>
      <c r="AA650" s="678"/>
      <c r="AB650" s="543"/>
      <c r="AC650" s="3"/>
      <c r="AD650" s="533"/>
      <c r="AE650" s="3"/>
      <c r="AF650" s="4"/>
      <c r="AG650" s="4"/>
      <c r="AH650" s="4"/>
      <c r="AI650" s="4"/>
      <c r="AJ650" s="4"/>
      <c r="AK650" s="4"/>
      <c r="AL650" s="4"/>
      <c r="AM650" s="4"/>
      <c r="AN650" s="4"/>
      <c r="AO650" s="4"/>
      <c r="AP650" s="4"/>
      <c r="AQ650" s="4"/>
      <c r="AR650" s="4"/>
      <c r="AS650" s="4"/>
      <c r="AT650" s="4"/>
      <c r="AU650" s="4"/>
      <c r="AV650" s="537"/>
      <c r="AW650" s="537"/>
      <c r="AX650" s="4"/>
      <c r="AY650" s="4"/>
      <c r="AZ650" s="4"/>
      <c r="BA650" s="4"/>
      <c r="BB650" s="4"/>
      <c r="BC650" s="4"/>
      <c r="BD650" s="4"/>
      <c r="BE650" s="4"/>
      <c r="BF650" s="4"/>
      <c r="BG650" s="4"/>
      <c r="BH650" s="4"/>
      <c r="BI650" s="4"/>
      <c r="BJ650" s="4"/>
      <c r="BK650" s="4"/>
      <c r="BL650" s="4"/>
      <c r="BM650" s="4"/>
      <c r="BN650" s="4"/>
      <c r="BO650" s="4"/>
      <c r="BP650" s="4"/>
      <c r="BQ650" s="4"/>
      <c r="BR650" s="4"/>
    </row>
    <row r="651" spans="1:70" ht="27" customHeight="1" x14ac:dyDescent="0.2">
      <c r="A651" s="532"/>
      <c r="B651" s="917"/>
      <c r="C651" s="4"/>
      <c r="D651" s="917"/>
      <c r="E651" s="4"/>
      <c r="F651" s="917"/>
      <c r="G651" s="4"/>
      <c r="H651" s="920"/>
      <c r="I651" s="3"/>
      <c r="J651" s="920"/>
      <c r="K651" s="3"/>
      <c r="L651" s="920"/>
      <c r="M651" s="3"/>
      <c r="N651" s="920"/>
      <c r="O651" s="3"/>
      <c r="P651" s="3"/>
      <c r="Q651" s="533"/>
      <c r="R651" s="920"/>
      <c r="S651" s="534"/>
      <c r="T651" s="920"/>
      <c r="U651" s="920"/>
      <c r="V651" s="920"/>
      <c r="W651" s="535"/>
      <c r="X651" s="687"/>
      <c r="Y651" s="687"/>
      <c r="Z651" s="687"/>
      <c r="AA651" s="678"/>
      <c r="AB651" s="543"/>
      <c r="AC651" s="3"/>
      <c r="AD651" s="533"/>
      <c r="AE651" s="3"/>
      <c r="AF651" s="4"/>
      <c r="AG651" s="4"/>
      <c r="AH651" s="4"/>
      <c r="AI651" s="4"/>
      <c r="AJ651" s="4"/>
      <c r="AK651" s="4"/>
      <c r="AL651" s="4"/>
      <c r="AM651" s="4"/>
      <c r="AN651" s="4"/>
      <c r="AO651" s="4"/>
      <c r="AP651" s="4"/>
      <c r="AQ651" s="4"/>
      <c r="AR651" s="4"/>
      <c r="AS651" s="4"/>
      <c r="AT651" s="4"/>
      <c r="AU651" s="4"/>
      <c r="AV651" s="537"/>
      <c r="AW651" s="537"/>
      <c r="AX651" s="4"/>
      <c r="AY651" s="4"/>
      <c r="AZ651" s="4"/>
      <c r="BA651" s="4"/>
      <c r="BB651" s="4"/>
      <c r="BC651" s="4"/>
      <c r="BD651" s="4"/>
      <c r="BE651" s="4"/>
      <c r="BF651" s="4"/>
      <c r="BG651" s="4"/>
      <c r="BH651" s="4"/>
      <c r="BI651" s="4"/>
      <c r="BJ651" s="4"/>
      <c r="BK651" s="4"/>
      <c r="BL651" s="4"/>
      <c r="BM651" s="4"/>
      <c r="BN651" s="4"/>
      <c r="BO651" s="4"/>
      <c r="BP651" s="4"/>
      <c r="BQ651" s="4"/>
      <c r="BR651" s="4"/>
    </row>
    <row r="652" spans="1:70" ht="27" customHeight="1" x14ac:dyDescent="0.2">
      <c r="A652" s="532"/>
      <c r="B652" s="917"/>
      <c r="C652" s="4"/>
      <c r="D652" s="917"/>
      <c r="E652" s="4"/>
      <c r="F652" s="917"/>
      <c r="G652" s="4"/>
      <c r="H652" s="920"/>
      <c r="I652" s="3"/>
      <c r="J652" s="920"/>
      <c r="K652" s="3"/>
      <c r="L652" s="920"/>
      <c r="M652" s="3"/>
      <c r="N652" s="920"/>
      <c r="O652" s="3"/>
      <c r="P652" s="3"/>
      <c r="Q652" s="533"/>
      <c r="R652" s="920"/>
      <c r="S652" s="534"/>
      <c r="T652" s="920"/>
      <c r="U652" s="920"/>
      <c r="V652" s="920"/>
      <c r="W652" s="535"/>
      <c r="X652" s="687"/>
      <c r="Y652" s="687"/>
      <c r="Z652" s="687"/>
      <c r="AA652" s="678"/>
      <c r="AB652" s="543"/>
      <c r="AC652" s="3"/>
      <c r="AD652" s="533"/>
      <c r="AE652" s="3"/>
      <c r="AF652" s="4"/>
      <c r="AG652" s="4"/>
      <c r="AH652" s="4"/>
      <c r="AI652" s="4"/>
      <c r="AJ652" s="4"/>
      <c r="AK652" s="4"/>
      <c r="AL652" s="4"/>
      <c r="AM652" s="4"/>
      <c r="AN652" s="4"/>
      <c r="AO652" s="4"/>
      <c r="AP652" s="4"/>
      <c r="AQ652" s="4"/>
      <c r="AR652" s="4"/>
      <c r="AS652" s="4"/>
      <c r="AT652" s="4"/>
      <c r="AU652" s="4"/>
      <c r="AV652" s="537"/>
      <c r="AW652" s="537"/>
      <c r="AX652" s="4"/>
      <c r="AY652" s="4"/>
      <c r="AZ652" s="4"/>
      <c r="BA652" s="4"/>
      <c r="BB652" s="4"/>
      <c r="BC652" s="4"/>
      <c r="BD652" s="4"/>
      <c r="BE652" s="4"/>
      <c r="BF652" s="4"/>
      <c r="BG652" s="4"/>
      <c r="BH652" s="4"/>
      <c r="BI652" s="4"/>
      <c r="BJ652" s="4"/>
      <c r="BK652" s="4"/>
      <c r="BL652" s="4"/>
      <c r="BM652" s="4"/>
      <c r="BN652" s="4"/>
      <c r="BO652" s="4"/>
      <c r="BP652" s="4"/>
      <c r="BQ652" s="4"/>
      <c r="BR652" s="4"/>
    </row>
    <row r="653" spans="1:70" ht="27" customHeight="1" x14ac:dyDescent="0.2">
      <c r="A653" s="532"/>
      <c r="B653" s="917"/>
      <c r="C653" s="4"/>
      <c r="D653" s="917"/>
      <c r="E653" s="4"/>
      <c r="F653" s="917"/>
      <c r="G653" s="4"/>
      <c r="H653" s="920"/>
      <c r="I653" s="3"/>
      <c r="J653" s="920"/>
      <c r="K653" s="3"/>
      <c r="L653" s="920"/>
      <c r="M653" s="3"/>
      <c r="N653" s="920"/>
      <c r="O653" s="3"/>
      <c r="P653" s="3"/>
      <c r="Q653" s="533"/>
      <c r="R653" s="920"/>
      <c r="S653" s="534"/>
      <c r="T653" s="920"/>
      <c r="U653" s="920"/>
      <c r="V653" s="920"/>
      <c r="W653" s="535"/>
      <c r="X653" s="687"/>
      <c r="Y653" s="687"/>
      <c r="Z653" s="687"/>
      <c r="AA653" s="678"/>
      <c r="AB653" s="543"/>
      <c r="AC653" s="3"/>
      <c r="AD653" s="533"/>
      <c r="AE653" s="3"/>
      <c r="AF653" s="4"/>
      <c r="AG653" s="4"/>
      <c r="AH653" s="4"/>
      <c r="AI653" s="4"/>
      <c r="AJ653" s="4"/>
      <c r="AK653" s="4"/>
      <c r="AL653" s="4"/>
      <c r="AM653" s="4"/>
      <c r="AN653" s="4"/>
      <c r="AO653" s="4"/>
      <c r="AP653" s="4"/>
      <c r="AQ653" s="4"/>
      <c r="AR653" s="4"/>
      <c r="AS653" s="4"/>
      <c r="AT653" s="4"/>
      <c r="AU653" s="4"/>
      <c r="AV653" s="537"/>
      <c r="AW653" s="537"/>
      <c r="AX653" s="4"/>
      <c r="AY653" s="4"/>
      <c r="AZ653" s="4"/>
      <c r="BA653" s="4"/>
      <c r="BB653" s="4"/>
      <c r="BC653" s="4"/>
      <c r="BD653" s="4"/>
      <c r="BE653" s="4"/>
      <c r="BF653" s="4"/>
      <c r="BG653" s="4"/>
      <c r="BH653" s="4"/>
      <c r="BI653" s="4"/>
      <c r="BJ653" s="4"/>
      <c r="BK653" s="4"/>
      <c r="BL653" s="4"/>
      <c r="BM653" s="4"/>
      <c r="BN653" s="4"/>
      <c r="BO653" s="4"/>
      <c r="BP653" s="4"/>
      <c r="BQ653" s="4"/>
      <c r="BR653" s="4"/>
    </row>
    <row r="654" spans="1:70" ht="27" customHeight="1" x14ac:dyDescent="0.2">
      <c r="A654" s="532"/>
      <c r="B654" s="917"/>
      <c r="C654" s="4"/>
      <c r="D654" s="917"/>
      <c r="E654" s="4"/>
      <c r="F654" s="917"/>
      <c r="G654" s="4"/>
      <c r="H654" s="920"/>
      <c r="I654" s="3"/>
      <c r="J654" s="920"/>
      <c r="K654" s="3"/>
      <c r="L654" s="920"/>
      <c r="M654" s="3"/>
      <c r="N654" s="920"/>
      <c r="O654" s="3"/>
      <c r="P654" s="3"/>
      <c r="Q654" s="533"/>
      <c r="R654" s="920"/>
      <c r="S654" s="534"/>
      <c r="T654" s="920"/>
      <c r="U654" s="920"/>
      <c r="V654" s="920"/>
      <c r="W654" s="535"/>
      <c r="X654" s="687"/>
      <c r="Y654" s="687"/>
      <c r="Z654" s="687"/>
      <c r="AA654" s="678"/>
      <c r="AB654" s="543"/>
      <c r="AC654" s="3"/>
      <c r="AD654" s="533"/>
      <c r="AE654" s="3"/>
      <c r="AF654" s="4"/>
      <c r="AG654" s="4"/>
      <c r="AH654" s="4"/>
      <c r="AI654" s="4"/>
      <c r="AJ654" s="4"/>
      <c r="AK654" s="4"/>
      <c r="AL654" s="4"/>
      <c r="AM654" s="4"/>
      <c r="AN654" s="4"/>
      <c r="AO654" s="4"/>
      <c r="AP654" s="4"/>
      <c r="AQ654" s="4"/>
      <c r="AR654" s="4"/>
      <c r="AS654" s="4"/>
      <c r="AT654" s="4"/>
      <c r="AU654" s="4"/>
      <c r="AV654" s="537"/>
      <c r="AW654" s="537"/>
      <c r="AX654" s="4"/>
      <c r="AY654" s="4"/>
      <c r="AZ654" s="4"/>
      <c r="BA654" s="4"/>
      <c r="BB654" s="4"/>
      <c r="BC654" s="4"/>
      <c r="BD654" s="4"/>
      <c r="BE654" s="4"/>
      <c r="BF654" s="4"/>
      <c r="BG654" s="4"/>
      <c r="BH654" s="4"/>
      <c r="BI654" s="4"/>
      <c r="BJ654" s="4"/>
      <c r="BK654" s="4"/>
      <c r="BL654" s="4"/>
      <c r="BM654" s="4"/>
      <c r="BN654" s="4"/>
      <c r="BO654" s="4"/>
      <c r="BP654" s="4"/>
      <c r="BQ654" s="4"/>
      <c r="BR654" s="4"/>
    </row>
    <row r="655" spans="1:70" ht="27" customHeight="1" x14ac:dyDescent="0.2">
      <c r="A655" s="532"/>
      <c r="B655" s="917"/>
      <c r="C655" s="4"/>
      <c r="D655" s="917"/>
      <c r="E655" s="4"/>
      <c r="F655" s="917"/>
      <c r="G655" s="4"/>
      <c r="H655" s="920"/>
      <c r="I655" s="3"/>
      <c r="J655" s="920"/>
      <c r="K655" s="3"/>
      <c r="L655" s="920"/>
      <c r="M655" s="3"/>
      <c r="N655" s="920"/>
      <c r="O655" s="3"/>
      <c r="P655" s="3"/>
      <c r="Q655" s="533"/>
      <c r="R655" s="920"/>
      <c r="S655" s="534"/>
      <c r="T655" s="920"/>
      <c r="U655" s="920"/>
      <c r="V655" s="920"/>
      <c r="W655" s="535"/>
      <c r="X655" s="687"/>
      <c r="Y655" s="687"/>
      <c r="Z655" s="687"/>
      <c r="AA655" s="678"/>
      <c r="AB655" s="543"/>
      <c r="AC655" s="3"/>
      <c r="AD655" s="533"/>
      <c r="AE655" s="3"/>
      <c r="AF655" s="4"/>
      <c r="AG655" s="4"/>
      <c r="AH655" s="4"/>
      <c r="AI655" s="4"/>
      <c r="AJ655" s="4"/>
      <c r="AK655" s="4"/>
      <c r="AL655" s="4"/>
      <c r="AM655" s="4"/>
      <c r="AN655" s="4"/>
      <c r="AO655" s="4"/>
      <c r="AP655" s="4"/>
      <c r="AQ655" s="4"/>
      <c r="AR655" s="4"/>
      <c r="AS655" s="4"/>
      <c r="AT655" s="4"/>
      <c r="AU655" s="4"/>
      <c r="AV655" s="537"/>
      <c r="AW655" s="537"/>
      <c r="AX655" s="4"/>
      <c r="AY655" s="4"/>
      <c r="AZ655" s="4"/>
      <c r="BA655" s="4"/>
      <c r="BB655" s="4"/>
      <c r="BC655" s="4"/>
      <c r="BD655" s="4"/>
      <c r="BE655" s="4"/>
      <c r="BF655" s="4"/>
      <c r="BG655" s="4"/>
      <c r="BH655" s="4"/>
      <c r="BI655" s="4"/>
      <c r="BJ655" s="4"/>
      <c r="BK655" s="4"/>
      <c r="BL655" s="4"/>
      <c r="BM655" s="4"/>
      <c r="BN655" s="4"/>
      <c r="BO655" s="4"/>
      <c r="BP655" s="4"/>
      <c r="BQ655" s="4"/>
      <c r="BR655" s="4"/>
    </row>
    <row r="656" spans="1:70" ht="27" customHeight="1" x14ac:dyDescent="0.2">
      <c r="A656" s="532"/>
      <c r="B656" s="917"/>
      <c r="C656" s="4"/>
      <c r="D656" s="917"/>
      <c r="E656" s="4"/>
      <c r="F656" s="917"/>
      <c r="G656" s="4"/>
      <c r="H656" s="920"/>
      <c r="I656" s="3"/>
      <c r="J656" s="920"/>
      <c r="K656" s="3"/>
      <c r="L656" s="920"/>
      <c r="M656" s="3"/>
      <c r="N656" s="920"/>
      <c r="O656" s="3"/>
      <c r="P656" s="3"/>
      <c r="Q656" s="533"/>
      <c r="R656" s="920"/>
      <c r="S656" s="534"/>
      <c r="T656" s="920"/>
      <c r="U656" s="920"/>
      <c r="V656" s="920"/>
      <c r="W656" s="535"/>
      <c r="X656" s="687"/>
      <c r="Y656" s="687"/>
      <c r="Z656" s="687"/>
      <c r="AA656" s="678"/>
      <c r="AB656" s="543"/>
      <c r="AC656" s="3"/>
      <c r="AD656" s="533"/>
      <c r="AE656" s="3"/>
      <c r="AF656" s="4"/>
      <c r="AG656" s="4"/>
      <c r="AH656" s="4"/>
      <c r="AI656" s="4"/>
      <c r="AJ656" s="4"/>
      <c r="AK656" s="4"/>
      <c r="AL656" s="4"/>
      <c r="AM656" s="4"/>
      <c r="AN656" s="4"/>
      <c r="AO656" s="4"/>
      <c r="AP656" s="4"/>
      <c r="AQ656" s="4"/>
      <c r="AR656" s="4"/>
      <c r="AS656" s="4"/>
      <c r="AT656" s="4"/>
      <c r="AU656" s="4"/>
      <c r="AV656" s="537"/>
      <c r="AW656" s="537"/>
      <c r="AX656" s="4"/>
      <c r="AY656" s="4"/>
      <c r="AZ656" s="4"/>
      <c r="BA656" s="4"/>
      <c r="BB656" s="4"/>
      <c r="BC656" s="4"/>
      <c r="BD656" s="4"/>
      <c r="BE656" s="4"/>
      <c r="BF656" s="4"/>
      <c r="BG656" s="4"/>
      <c r="BH656" s="4"/>
      <c r="BI656" s="4"/>
      <c r="BJ656" s="4"/>
      <c r="BK656" s="4"/>
      <c r="BL656" s="4"/>
      <c r="BM656" s="4"/>
      <c r="BN656" s="4"/>
      <c r="BO656" s="4"/>
      <c r="BP656" s="4"/>
      <c r="BQ656" s="4"/>
      <c r="BR656" s="4"/>
    </row>
    <row r="657" spans="1:70" ht="27" customHeight="1" x14ac:dyDescent="0.2">
      <c r="A657" s="532"/>
      <c r="B657" s="917"/>
      <c r="C657" s="4"/>
      <c r="D657" s="917"/>
      <c r="E657" s="4"/>
      <c r="F657" s="917"/>
      <c r="G657" s="4"/>
      <c r="H657" s="920"/>
      <c r="I657" s="3"/>
      <c r="J657" s="920"/>
      <c r="K657" s="3"/>
      <c r="L657" s="920"/>
      <c r="M657" s="3"/>
      <c r="N657" s="920"/>
      <c r="O657" s="3"/>
      <c r="P657" s="3"/>
      <c r="Q657" s="533"/>
      <c r="R657" s="920"/>
      <c r="S657" s="534"/>
      <c r="T657" s="920"/>
      <c r="U657" s="920"/>
      <c r="V657" s="920"/>
      <c r="W657" s="535"/>
      <c r="X657" s="687"/>
      <c r="Y657" s="687"/>
      <c r="Z657" s="687"/>
      <c r="AA657" s="678"/>
      <c r="AB657" s="543"/>
      <c r="AC657" s="3"/>
      <c r="AD657" s="533"/>
      <c r="AE657" s="3"/>
      <c r="AF657" s="4"/>
      <c r="AG657" s="4"/>
      <c r="AH657" s="4"/>
      <c r="AI657" s="4"/>
      <c r="AJ657" s="4"/>
      <c r="AK657" s="4"/>
      <c r="AL657" s="4"/>
      <c r="AM657" s="4"/>
      <c r="AN657" s="4"/>
      <c r="AO657" s="4"/>
      <c r="AP657" s="4"/>
      <c r="AQ657" s="4"/>
      <c r="AR657" s="4"/>
      <c r="AS657" s="4"/>
      <c r="AT657" s="4"/>
      <c r="AU657" s="4"/>
      <c r="AV657" s="537"/>
      <c r="AW657" s="537"/>
      <c r="AX657" s="4"/>
      <c r="AY657" s="4"/>
      <c r="AZ657" s="4"/>
      <c r="BA657" s="4"/>
      <c r="BB657" s="4"/>
      <c r="BC657" s="4"/>
      <c r="BD657" s="4"/>
      <c r="BE657" s="4"/>
      <c r="BF657" s="4"/>
      <c r="BG657" s="4"/>
      <c r="BH657" s="4"/>
      <c r="BI657" s="4"/>
      <c r="BJ657" s="4"/>
      <c r="BK657" s="4"/>
      <c r="BL657" s="4"/>
      <c r="BM657" s="4"/>
      <c r="BN657" s="4"/>
      <c r="BO657" s="4"/>
      <c r="BP657" s="4"/>
      <c r="BQ657" s="4"/>
      <c r="BR657" s="4"/>
    </row>
    <row r="658" spans="1:70" ht="27" customHeight="1" x14ac:dyDescent="0.2">
      <c r="A658" s="532"/>
      <c r="B658" s="917"/>
      <c r="C658" s="4"/>
      <c r="D658" s="917"/>
      <c r="E658" s="4"/>
      <c r="F658" s="917"/>
      <c r="G658" s="4"/>
      <c r="H658" s="920"/>
      <c r="I658" s="3"/>
      <c r="J658" s="920"/>
      <c r="K658" s="3"/>
      <c r="L658" s="920"/>
      <c r="M658" s="3"/>
      <c r="N658" s="920"/>
      <c r="O658" s="3"/>
      <c r="P658" s="3"/>
      <c r="Q658" s="533"/>
      <c r="R658" s="920"/>
      <c r="S658" s="534"/>
      <c r="T658" s="920"/>
      <c r="U658" s="920"/>
      <c r="V658" s="920"/>
      <c r="W658" s="535"/>
      <c r="X658" s="687"/>
      <c r="Y658" s="687"/>
      <c r="Z658" s="687"/>
      <c r="AA658" s="678"/>
      <c r="AB658" s="543"/>
      <c r="AC658" s="3"/>
      <c r="AD658" s="533"/>
      <c r="AE658" s="3"/>
      <c r="AF658" s="4"/>
      <c r="AG658" s="4"/>
      <c r="AH658" s="4"/>
      <c r="AI658" s="4"/>
      <c r="AJ658" s="4"/>
      <c r="AK658" s="4"/>
      <c r="AL658" s="4"/>
      <c r="AM658" s="4"/>
      <c r="AN658" s="4"/>
      <c r="AO658" s="4"/>
      <c r="AP658" s="4"/>
      <c r="AQ658" s="4"/>
      <c r="AR658" s="4"/>
      <c r="AS658" s="4"/>
      <c r="AT658" s="4"/>
      <c r="AU658" s="4"/>
      <c r="AV658" s="537"/>
      <c r="AW658" s="537"/>
      <c r="AX658" s="4"/>
      <c r="AY658" s="4"/>
      <c r="AZ658" s="4"/>
      <c r="BA658" s="4"/>
      <c r="BB658" s="4"/>
      <c r="BC658" s="4"/>
      <c r="BD658" s="4"/>
      <c r="BE658" s="4"/>
      <c r="BF658" s="4"/>
      <c r="BG658" s="4"/>
      <c r="BH658" s="4"/>
      <c r="BI658" s="4"/>
      <c r="BJ658" s="4"/>
      <c r="BK658" s="4"/>
      <c r="BL658" s="4"/>
      <c r="BM658" s="4"/>
      <c r="BN658" s="4"/>
      <c r="BO658" s="4"/>
      <c r="BP658" s="4"/>
      <c r="BQ658" s="4"/>
      <c r="BR658" s="4"/>
    </row>
    <row r="659" spans="1:70" ht="27" customHeight="1" x14ac:dyDescent="0.2">
      <c r="A659" s="532"/>
      <c r="B659" s="917"/>
      <c r="C659" s="4"/>
      <c r="D659" s="917"/>
      <c r="E659" s="4"/>
      <c r="F659" s="917"/>
      <c r="G659" s="4"/>
      <c r="H659" s="920"/>
      <c r="I659" s="3"/>
      <c r="J659" s="920"/>
      <c r="K659" s="3"/>
      <c r="L659" s="920"/>
      <c r="M659" s="3"/>
      <c r="N659" s="920"/>
      <c r="O659" s="3"/>
      <c r="P659" s="3"/>
      <c r="Q659" s="533"/>
      <c r="R659" s="920"/>
      <c r="S659" s="534"/>
      <c r="T659" s="920"/>
      <c r="U659" s="920"/>
      <c r="V659" s="920"/>
      <c r="W659" s="535"/>
      <c r="X659" s="687"/>
      <c r="Y659" s="687"/>
      <c r="Z659" s="687"/>
      <c r="AA659" s="678"/>
      <c r="AB659" s="543"/>
      <c r="AC659" s="3"/>
      <c r="AD659" s="533"/>
      <c r="AE659" s="3"/>
      <c r="AF659" s="4"/>
      <c r="AG659" s="4"/>
      <c r="AH659" s="4"/>
      <c r="AI659" s="4"/>
      <c r="AJ659" s="4"/>
      <c r="AK659" s="4"/>
      <c r="AL659" s="4"/>
      <c r="AM659" s="4"/>
      <c r="AN659" s="4"/>
      <c r="AO659" s="4"/>
      <c r="AP659" s="4"/>
      <c r="AQ659" s="4"/>
      <c r="AR659" s="4"/>
      <c r="AS659" s="4"/>
      <c r="AT659" s="4"/>
      <c r="AU659" s="4"/>
      <c r="AV659" s="537"/>
      <c r="AW659" s="537"/>
      <c r="AX659" s="4"/>
      <c r="AY659" s="4"/>
      <c r="AZ659" s="4"/>
      <c r="BA659" s="4"/>
      <c r="BB659" s="4"/>
      <c r="BC659" s="4"/>
      <c r="BD659" s="4"/>
      <c r="BE659" s="4"/>
      <c r="BF659" s="4"/>
      <c r="BG659" s="4"/>
      <c r="BH659" s="4"/>
      <c r="BI659" s="4"/>
      <c r="BJ659" s="4"/>
      <c r="BK659" s="4"/>
      <c r="BL659" s="4"/>
      <c r="BM659" s="4"/>
      <c r="BN659" s="4"/>
      <c r="BO659" s="4"/>
      <c r="BP659" s="4"/>
      <c r="BQ659" s="4"/>
      <c r="BR659" s="4"/>
    </row>
    <row r="660" spans="1:70" ht="27" customHeight="1" x14ac:dyDescent="0.2">
      <c r="A660" s="532"/>
      <c r="B660" s="917"/>
      <c r="C660" s="4"/>
      <c r="D660" s="917"/>
      <c r="E660" s="4"/>
      <c r="F660" s="917"/>
      <c r="G660" s="4"/>
      <c r="H660" s="920"/>
      <c r="I660" s="3"/>
      <c r="J660" s="920"/>
      <c r="K660" s="3"/>
      <c r="L660" s="920"/>
      <c r="M660" s="3"/>
      <c r="N660" s="920"/>
      <c r="O660" s="3"/>
      <c r="P660" s="3"/>
      <c r="Q660" s="533"/>
      <c r="R660" s="920"/>
      <c r="S660" s="534"/>
      <c r="T660" s="920"/>
      <c r="U660" s="920"/>
      <c r="V660" s="920"/>
      <c r="W660" s="535"/>
      <c r="X660" s="687"/>
      <c r="Y660" s="687"/>
      <c r="Z660" s="687"/>
      <c r="AA660" s="678"/>
      <c r="AB660" s="543"/>
      <c r="AC660" s="3"/>
      <c r="AD660" s="533"/>
      <c r="AE660" s="3"/>
      <c r="AF660" s="4"/>
      <c r="AG660" s="4"/>
      <c r="AH660" s="4"/>
      <c r="AI660" s="4"/>
      <c r="AJ660" s="4"/>
      <c r="AK660" s="4"/>
      <c r="AL660" s="4"/>
      <c r="AM660" s="4"/>
      <c r="AN660" s="4"/>
      <c r="AO660" s="4"/>
      <c r="AP660" s="4"/>
      <c r="AQ660" s="4"/>
      <c r="AR660" s="4"/>
      <c r="AS660" s="4"/>
      <c r="AT660" s="4"/>
      <c r="AU660" s="4"/>
      <c r="AV660" s="537"/>
      <c r="AW660" s="537"/>
      <c r="AX660" s="4"/>
      <c r="AY660" s="4"/>
      <c r="AZ660" s="4"/>
      <c r="BA660" s="4"/>
      <c r="BB660" s="4"/>
      <c r="BC660" s="4"/>
      <c r="BD660" s="4"/>
      <c r="BE660" s="4"/>
      <c r="BF660" s="4"/>
      <c r="BG660" s="4"/>
      <c r="BH660" s="4"/>
      <c r="BI660" s="4"/>
      <c r="BJ660" s="4"/>
      <c r="BK660" s="4"/>
      <c r="BL660" s="4"/>
      <c r="BM660" s="4"/>
      <c r="BN660" s="4"/>
      <c r="BO660" s="4"/>
      <c r="BP660" s="4"/>
      <c r="BQ660" s="4"/>
      <c r="BR660" s="4"/>
    </row>
    <row r="661" spans="1:70" ht="27" customHeight="1" x14ac:dyDescent="0.2">
      <c r="A661" s="532"/>
      <c r="B661" s="917"/>
      <c r="C661" s="4"/>
      <c r="D661" s="917"/>
      <c r="E661" s="4"/>
      <c r="F661" s="917"/>
      <c r="G661" s="4"/>
      <c r="H661" s="920"/>
      <c r="I661" s="3"/>
      <c r="J661" s="920"/>
      <c r="K661" s="3"/>
      <c r="L661" s="920"/>
      <c r="M661" s="3"/>
      <c r="N661" s="920"/>
      <c r="O661" s="3"/>
      <c r="P661" s="3"/>
      <c r="Q661" s="533"/>
      <c r="R661" s="920"/>
      <c r="S661" s="534"/>
      <c r="T661" s="920"/>
      <c r="U661" s="920"/>
      <c r="V661" s="920"/>
      <c r="W661" s="535"/>
      <c r="X661" s="687"/>
      <c r="Y661" s="687"/>
      <c r="Z661" s="687"/>
      <c r="AA661" s="678"/>
      <c r="AB661" s="543"/>
      <c r="AC661" s="3"/>
      <c r="AD661" s="533"/>
      <c r="AE661" s="3"/>
      <c r="AF661" s="4"/>
      <c r="AG661" s="4"/>
      <c r="AH661" s="4"/>
      <c r="AI661" s="4"/>
      <c r="AJ661" s="4"/>
      <c r="AK661" s="4"/>
      <c r="AL661" s="4"/>
      <c r="AM661" s="4"/>
      <c r="AN661" s="4"/>
      <c r="AO661" s="4"/>
      <c r="AP661" s="4"/>
      <c r="AQ661" s="4"/>
      <c r="AR661" s="4"/>
      <c r="AS661" s="4"/>
      <c r="AT661" s="4"/>
      <c r="AU661" s="4"/>
      <c r="AV661" s="537"/>
      <c r="AW661" s="537"/>
      <c r="AX661" s="4"/>
      <c r="AY661" s="4"/>
      <c r="AZ661" s="4"/>
      <c r="BA661" s="4"/>
      <c r="BB661" s="4"/>
      <c r="BC661" s="4"/>
      <c r="BD661" s="4"/>
      <c r="BE661" s="4"/>
      <c r="BF661" s="4"/>
      <c r="BG661" s="4"/>
      <c r="BH661" s="4"/>
      <c r="BI661" s="4"/>
      <c r="BJ661" s="4"/>
      <c r="BK661" s="4"/>
      <c r="BL661" s="4"/>
      <c r="BM661" s="4"/>
      <c r="BN661" s="4"/>
      <c r="BO661" s="4"/>
      <c r="BP661" s="4"/>
      <c r="BQ661" s="4"/>
      <c r="BR661" s="4"/>
    </row>
    <row r="662" spans="1:70" ht="27" customHeight="1" x14ac:dyDescent="0.2">
      <c r="A662" s="532"/>
      <c r="B662" s="917"/>
      <c r="C662" s="4"/>
      <c r="D662" s="917"/>
      <c r="E662" s="4"/>
      <c r="F662" s="917"/>
      <c r="G662" s="4"/>
      <c r="H662" s="920"/>
      <c r="I662" s="3"/>
      <c r="J662" s="920"/>
      <c r="K662" s="3"/>
      <c r="L662" s="920"/>
      <c r="M662" s="3"/>
      <c r="N662" s="920"/>
      <c r="O662" s="3"/>
      <c r="P662" s="3"/>
      <c r="Q662" s="533"/>
      <c r="R662" s="920"/>
      <c r="S662" s="534"/>
      <c r="T662" s="920"/>
      <c r="U662" s="920"/>
      <c r="V662" s="920"/>
      <c r="W662" s="535"/>
      <c r="X662" s="687"/>
      <c r="Y662" s="687"/>
      <c r="Z662" s="687"/>
      <c r="AA662" s="678"/>
      <c r="AB662" s="543"/>
      <c r="AC662" s="3"/>
      <c r="AD662" s="533"/>
      <c r="AE662" s="3"/>
      <c r="AF662" s="4"/>
      <c r="AG662" s="4"/>
      <c r="AH662" s="4"/>
      <c r="AI662" s="4"/>
      <c r="AJ662" s="4"/>
      <c r="AK662" s="4"/>
      <c r="AL662" s="4"/>
      <c r="AM662" s="4"/>
      <c r="AN662" s="4"/>
      <c r="AO662" s="4"/>
      <c r="AP662" s="4"/>
      <c r="AQ662" s="4"/>
      <c r="AR662" s="4"/>
      <c r="AS662" s="4"/>
      <c r="AT662" s="4"/>
      <c r="AU662" s="4"/>
      <c r="AV662" s="537"/>
      <c r="AW662" s="537"/>
      <c r="AX662" s="4"/>
      <c r="AY662" s="4"/>
      <c r="AZ662" s="4"/>
      <c r="BA662" s="4"/>
      <c r="BB662" s="4"/>
      <c r="BC662" s="4"/>
      <c r="BD662" s="4"/>
      <c r="BE662" s="4"/>
      <c r="BF662" s="4"/>
      <c r="BG662" s="4"/>
      <c r="BH662" s="4"/>
      <c r="BI662" s="4"/>
      <c r="BJ662" s="4"/>
      <c r="BK662" s="4"/>
      <c r="BL662" s="4"/>
      <c r="BM662" s="4"/>
      <c r="BN662" s="4"/>
      <c r="BO662" s="4"/>
      <c r="BP662" s="4"/>
      <c r="BQ662" s="4"/>
      <c r="BR662" s="4"/>
    </row>
    <row r="663" spans="1:70" ht="27" customHeight="1" x14ac:dyDescent="0.2">
      <c r="A663" s="532"/>
      <c r="B663" s="917"/>
      <c r="C663" s="4"/>
      <c r="D663" s="917"/>
      <c r="E663" s="4"/>
      <c r="F663" s="917"/>
      <c r="G663" s="4"/>
      <c r="H663" s="920"/>
      <c r="I663" s="3"/>
      <c r="J663" s="920"/>
      <c r="K663" s="3"/>
      <c r="L663" s="920"/>
      <c r="M663" s="3"/>
      <c r="N663" s="920"/>
      <c r="O663" s="3"/>
      <c r="P663" s="3"/>
      <c r="Q663" s="533"/>
      <c r="R663" s="920"/>
      <c r="S663" s="534"/>
      <c r="T663" s="920"/>
      <c r="U663" s="920"/>
      <c r="V663" s="920"/>
      <c r="W663" s="535"/>
      <c r="X663" s="687"/>
      <c r="Y663" s="687"/>
      <c r="Z663" s="687"/>
      <c r="AA663" s="678"/>
      <c r="AB663" s="543"/>
      <c r="AC663" s="3"/>
      <c r="AD663" s="533"/>
      <c r="AE663" s="3"/>
      <c r="AF663" s="4"/>
      <c r="AG663" s="4"/>
      <c r="AH663" s="4"/>
      <c r="AI663" s="4"/>
      <c r="AJ663" s="4"/>
      <c r="AK663" s="4"/>
      <c r="AL663" s="4"/>
      <c r="AM663" s="4"/>
      <c r="AN663" s="4"/>
      <c r="AO663" s="4"/>
      <c r="AP663" s="4"/>
      <c r="AQ663" s="4"/>
      <c r="AR663" s="4"/>
      <c r="AS663" s="4"/>
      <c r="AT663" s="4"/>
      <c r="AU663" s="4"/>
      <c r="AV663" s="537"/>
      <c r="AW663" s="537"/>
      <c r="AX663" s="4"/>
      <c r="AY663" s="4"/>
      <c r="AZ663" s="4"/>
      <c r="BA663" s="4"/>
      <c r="BB663" s="4"/>
      <c r="BC663" s="4"/>
      <c r="BD663" s="4"/>
      <c r="BE663" s="4"/>
      <c r="BF663" s="4"/>
      <c r="BG663" s="4"/>
      <c r="BH663" s="4"/>
      <c r="BI663" s="4"/>
      <c r="BJ663" s="4"/>
      <c r="BK663" s="4"/>
      <c r="BL663" s="4"/>
      <c r="BM663" s="4"/>
      <c r="BN663" s="4"/>
      <c r="BO663" s="4"/>
      <c r="BP663" s="4"/>
      <c r="BQ663" s="4"/>
      <c r="BR663" s="4"/>
    </row>
    <row r="664" spans="1:70" ht="27" customHeight="1" x14ac:dyDescent="0.2">
      <c r="A664" s="532"/>
      <c r="B664" s="917"/>
      <c r="C664" s="4"/>
      <c r="D664" s="917"/>
      <c r="E664" s="4"/>
      <c r="F664" s="917"/>
      <c r="G664" s="4"/>
      <c r="H664" s="920"/>
      <c r="I664" s="3"/>
      <c r="J664" s="920"/>
      <c r="K664" s="3"/>
      <c r="L664" s="920"/>
      <c r="M664" s="3"/>
      <c r="N664" s="920"/>
      <c r="O664" s="3"/>
      <c r="P664" s="3"/>
      <c r="Q664" s="533"/>
      <c r="R664" s="920"/>
      <c r="S664" s="534"/>
      <c r="T664" s="920"/>
      <c r="U664" s="920"/>
      <c r="V664" s="920"/>
      <c r="W664" s="535"/>
      <c r="X664" s="687"/>
      <c r="Y664" s="687"/>
      <c r="Z664" s="687"/>
      <c r="AA664" s="678"/>
      <c r="AB664" s="543"/>
      <c r="AC664" s="3"/>
      <c r="AD664" s="533"/>
      <c r="AE664" s="3"/>
      <c r="AF664" s="4"/>
      <c r="AG664" s="4"/>
      <c r="AH664" s="4"/>
      <c r="AI664" s="4"/>
      <c r="AJ664" s="4"/>
      <c r="AK664" s="4"/>
      <c r="AL664" s="4"/>
      <c r="AM664" s="4"/>
      <c r="AN664" s="4"/>
      <c r="AO664" s="4"/>
      <c r="AP664" s="4"/>
      <c r="AQ664" s="4"/>
      <c r="AR664" s="4"/>
      <c r="AS664" s="4"/>
      <c r="AT664" s="4"/>
      <c r="AU664" s="4"/>
      <c r="AV664" s="537"/>
      <c r="AW664" s="537"/>
      <c r="AX664" s="4"/>
      <c r="AY664" s="4"/>
      <c r="AZ664" s="4"/>
      <c r="BA664" s="4"/>
      <c r="BB664" s="4"/>
      <c r="BC664" s="4"/>
      <c r="BD664" s="4"/>
      <c r="BE664" s="4"/>
      <c r="BF664" s="4"/>
      <c r="BG664" s="4"/>
      <c r="BH664" s="4"/>
      <c r="BI664" s="4"/>
      <c r="BJ664" s="4"/>
      <c r="BK664" s="4"/>
      <c r="BL664" s="4"/>
      <c r="BM664" s="4"/>
      <c r="BN664" s="4"/>
      <c r="BO664" s="4"/>
      <c r="BP664" s="4"/>
      <c r="BQ664" s="4"/>
      <c r="BR664" s="4"/>
    </row>
    <row r="665" spans="1:70" ht="27" customHeight="1" x14ac:dyDescent="0.2">
      <c r="A665" s="532"/>
      <c r="B665" s="917"/>
      <c r="C665" s="4"/>
      <c r="D665" s="917"/>
      <c r="E665" s="4"/>
      <c r="F665" s="917"/>
      <c r="G665" s="4"/>
      <c r="H665" s="920"/>
      <c r="I665" s="3"/>
      <c r="J665" s="920"/>
      <c r="K665" s="3"/>
      <c r="L665" s="920"/>
      <c r="M665" s="3"/>
      <c r="N665" s="920"/>
      <c r="O665" s="3"/>
      <c r="P665" s="3"/>
      <c r="Q665" s="533"/>
      <c r="R665" s="920"/>
      <c r="S665" s="534"/>
      <c r="T665" s="920"/>
      <c r="U665" s="920"/>
      <c r="V665" s="920"/>
      <c r="W665" s="535"/>
      <c r="X665" s="687"/>
      <c r="Y665" s="687"/>
      <c r="Z665" s="687"/>
      <c r="AA665" s="678"/>
      <c r="AB665" s="543"/>
      <c r="AC665" s="3"/>
      <c r="AD665" s="533"/>
      <c r="AE665" s="3"/>
      <c r="AF665" s="4"/>
      <c r="AG665" s="4"/>
      <c r="AH665" s="4"/>
      <c r="AI665" s="4"/>
      <c r="AJ665" s="4"/>
      <c r="AK665" s="4"/>
      <c r="AL665" s="4"/>
      <c r="AM665" s="4"/>
      <c r="AN665" s="4"/>
      <c r="AO665" s="4"/>
      <c r="AP665" s="4"/>
      <c r="AQ665" s="4"/>
      <c r="AR665" s="4"/>
      <c r="AS665" s="4"/>
      <c r="AT665" s="4"/>
      <c r="AU665" s="4"/>
      <c r="AV665" s="537"/>
      <c r="AW665" s="537"/>
      <c r="AX665" s="4"/>
      <c r="AY665" s="4"/>
      <c r="AZ665" s="4"/>
      <c r="BA665" s="4"/>
      <c r="BB665" s="4"/>
      <c r="BC665" s="4"/>
      <c r="BD665" s="4"/>
      <c r="BE665" s="4"/>
      <c r="BF665" s="4"/>
      <c r="BG665" s="4"/>
      <c r="BH665" s="4"/>
      <c r="BI665" s="4"/>
      <c r="BJ665" s="4"/>
      <c r="BK665" s="4"/>
      <c r="BL665" s="4"/>
      <c r="BM665" s="4"/>
      <c r="BN665" s="4"/>
      <c r="BO665" s="4"/>
      <c r="BP665" s="4"/>
      <c r="BQ665" s="4"/>
      <c r="BR665" s="4"/>
    </row>
    <row r="666" spans="1:70" ht="27" customHeight="1" x14ac:dyDescent="0.2">
      <c r="A666" s="532"/>
      <c r="B666" s="917"/>
      <c r="C666" s="4"/>
      <c r="D666" s="917"/>
      <c r="E666" s="4"/>
      <c r="F666" s="917"/>
      <c r="G666" s="4"/>
      <c r="H666" s="920"/>
      <c r="I666" s="3"/>
      <c r="J666" s="920"/>
      <c r="K666" s="3"/>
      <c r="L666" s="920"/>
      <c r="M666" s="3"/>
      <c r="N666" s="920"/>
      <c r="O666" s="3"/>
      <c r="P666" s="3"/>
      <c r="Q666" s="533"/>
      <c r="R666" s="920"/>
      <c r="S666" s="534"/>
      <c r="T666" s="920"/>
      <c r="U666" s="920"/>
      <c r="V666" s="920"/>
      <c r="W666" s="535"/>
      <c r="X666" s="687"/>
      <c r="Y666" s="687"/>
      <c r="Z666" s="687"/>
      <c r="AA666" s="678"/>
      <c r="AB666" s="543"/>
      <c r="AC666" s="3"/>
      <c r="AD666" s="533"/>
      <c r="AE666" s="3"/>
      <c r="AF666" s="4"/>
      <c r="AG666" s="4"/>
      <c r="AH666" s="4"/>
      <c r="AI666" s="4"/>
      <c r="AJ666" s="4"/>
      <c r="AK666" s="4"/>
      <c r="AL666" s="4"/>
      <c r="AM666" s="4"/>
      <c r="AN666" s="4"/>
      <c r="AO666" s="4"/>
      <c r="AP666" s="4"/>
      <c r="AQ666" s="4"/>
      <c r="AR666" s="4"/>
      <c r="AS666" s="4"/>
      <c r="AT666" s="4"/>
      <c r="AU666" s="4"/>
      <c r="AV666" s="537"/>
      <c r="AW666" s="537"/>
      <c r="AX666" s="4"/>
      <c r="AY666" s="4"/>
      <c r="AZ666" s="4"/>
      <c r="BA666" s="4"/>
      <c r="BB666" s="4"/>
      <c r="BC666" s="4"/>
      <c r="BD666" s="4"/>
      <c r="BE666" s="4"/>
      <c r="BF666" s="4"/>
      <c r="BG666" s="4"/>
      <c r="BH666" s="4"/>
      <c r="BI666" s="4"/>
      <c r="BJ666" s="4"/>
      <c r="BK666" s="4"/>
      <c r="BL666" s="4"/>
      <c r="BM666" s="4"/>
      <c r="BN666" s="4"/>
      <c r="BO666" s="4"/>
      <c r="BP666" s="4"/>
      <c r="BQ666" s="4"/>
      <c r="BR666" s="4"/>
    </row>
    <row r="667" spans="1:70" ht="27" customHeight="1" x14ac:dyDescent="0.2">
      <c r="A667" s="532"/>
      <c r="B667" s="917"/>
      <c r="C667" s="4"/>
      <c r="D667" s="917"/>
      <c r="E667" s="4"/>
      <c r="F667" s="917"/>
      <c r="G667" s="4"/>
      <c r="H667" s="920"/>
      <c r="I667" s="3"/>
      <c r="J667" s="920"/>
      <c r="K667" s="3"/>
      <c r="L667" s="920"/>
      <c r="M667" s="3"/>
      <c r="N667" s="920"/>
      <c r="O667" s="3"/>
      <c r="P667" s="3"/>
      <c r="Q667" s="533"/>
      <c r="R667" s="920"/>
      <c r="S667" s="534"/>
      <c r="T667" s="920"/>
      <c r="U667" s="920"/>
      <c r="V667" s="920"/>
      <c r="W667" s="535"/>
      <c r="X667" s="687"/>
      <c r="Y667" s="687"/>
      <c r="Z667" s="687"/>
      <c r="AA667" s="678"/>
      <c r="AB667" s="543"/>
      <c r="AC667" s="3"/>
      <c r="AD667" s="533"/>
      <c r="AE667" s="3"/>
      <c r="AF667" s="4"/>
      <c r="AG667" s="4"/>
      <c r="AH667" s="4"/>
      <c r="AI667" s="4"/>
      <c r="AJ667" s="4"/>
      <c r="AK667" s="4"/>
      <c r="AL667" s="4"/>
      <c r="AM667" s="4"/>
      <c r="AN667" s="4"/>
      <c r="AO667" s="4"/>
      <c r="AP667" s="4"/>
      <c r="AQ667" s="4"/>
      <c r="AR667" s="4"/>
      <c r="AS667" s="4"/>
      <c r="AT667" s="4"/>
      <c r="AU667" s="4"/>
      <c r="AV667" s="537"/>
      <c r="AW667" s="537"/>
      <c r="AX667" s="4"/>
      <c r="AY667" s="4"/>
      <c r="AZ667" s="4"/>
      <c r="BA667" s="4"/>
      <c r="BB667" s="4"/>
      <c r="BC667" s="4"/>
      <c r="BD667" s="4"/>
      <c r="BE667" s="4"/>
      <c r="BF667" s="4"/>
      <c r="BG667" s="4"/>
      <c r="BH667" s="4"/>
      <c r="BI667" s="4"/>
      <c r="BJ667" s="4"/>
      <c r="BK667" s="4"/>
      <c r="BL667" s="4"/>
      <c r="BM667" s="4"/>
      <c r="BN667" s="4"/>
      <c r="BO667" s="4"/>
      <c r="BP667" s="4"/>
      <c r="BQ667" s="4"/>
      <c r="BR667" s="4"/>
    </row>
    <row r="668" spans="1:70" ht="27" customHeight="1" x14ac:dyDescent="0.2">
      <c r="A668" s="532"/>
      <c r="B668" s="917"/>
      <c r="C668" s="4"/>
      <c r="D668" s="917"/>
      <c r="E668" s="4"/>
      <c r="F668" s="917"/>
      <c r="G668" s="4"/>
      <c r="H668" s="920"/>
      <c r="I668" s="3"/>
      <c r="J668" s="920"/>
      <c r="K668" s="3"/>
      <c r="L668" s="920"/>
      <c r="M668" s="3"/>
      <c r="N668" s="920"/>
      <c r="O668" s="3"/>
      <c r="P668" s="3"/>
      <c r="Q668" s="533"/>
      <c r="R668" s="920"/>
      <c r="S668" s="534"/>
      <c r="T668" s="920"/>
      <c r="U668" s="920"/>
      <c r="V668" s="920"/>
      <c r="W668" s="535"/>
      <c r="X668" s="687"/>
      <c r="Y668" s="687"/>
      <c r="Z668" s="687"/>
      <c r="AA668" s="678"/>
      <c r="AB668" s="543"/>
      <c r="AC668" s="3"/>
      <c r="AD668" s="533"/>
      <c r="AE668" s="3"/>
      <c r="AF668" s="4"/>
      <c r="AG668" s="4"/>
      <c r="AH668" s="4"/>
      <c r="AI668" s="4"/>
      <c r="AJ668" s="4"/>
      <c r="AK668" s="4"/>
      <c r="AL668" s="4"/>
      <c r="AM668" s="4"/>
      <c r="AN668" s="4"/>
      <c r="AO668" s="4"/>
      <c r="AP668" s="4"/>
      <c r="AQ668" s="4"/>
      <c r="AR668" s="4"/>
      <c r="AS668" s="4"/>
      <c r="AT668" s="4"/>
      <c r="AU668" s="4"/>
      <c r="AV668" s="537"/>
      <c r="AW668" s="537"/>
      <c r="AX668" s="4"/>
      <c r="AY668" s="4"/>
      <c r="AZ668" s="4"/>
      <c r="BA668" s="4"/>
      <c r="BB668" s="4"/>
      <c r="BC668" s="4"/>
      <c r="BD668" s="4"/>
      <c r="BE668" s="4"/>
      <c r="BF668" s="4"/>
      <c r="BG668" s="4"/>
      <c r="BH668" s="4"/>
      <c r="BI668" s="4"/>
      <c r="BJ668" s="4"/>
      <c r="BK668" s="4"/>
      <c r="BL668" s="4"/>
      <c r="BM668" s="4"/>
      <c r="BN668" s="4"/>
      <c r="BO668" s="4"/>
      <c r="BP668" s="4"/>
      <c r="BQ668" s="4"/>
      <c r="BR668" s="4"/>
    </row>
    <row r="669" spans="1:70" ht="27" customHeight="1" x14ac:dyDescent="0.2">
      <c r="A669" s="532"/>
      <c r="B669" s="917"/>
      <c r="C669" s="4"/>
      <c r="D669" s="917"/>
      <c r="E669" s="4"/>
      <c r="F669" s="917"/>
      <c r="G669" s="4"/>
      <c r="H669" s="920"/>
      <c r="I669" s="3"/>
      <c r="J669" s="920"/>
      <c r="K669" s="3"/>
      <c r="L669" s="920"/>
      <c r="M669" s="3"/>
      <c r="N669" s="920"/>
      <c r="O669" s="3"/>
      <c r="P669" s="3"/>
      <c r="Q669" s="533"/>
      <c r="R669" s="920"/>
      <c r="S669" s="534"/>
      <c r="T669" s="920"/>
      <c r="U669" s="920"/>
      <c r="V669" s="920"/>
      <c r="W669" s="535"/>
      <c r="X669" s="687"/>
      <c r="Y669" s="687"/>
      <c r="Z669" s="687"/>
      <c r="AA669" s="678"/>
      <c r="AB669" s="543"/>
      <c r="AC669" s="3"/>
      <c r="AD669" s="533"/>
      <c r="AE669" s="3"/>
      <c r="AF669" s="4"/>
      <c r="AG669" s="4"/>
      <c r="AH669" s="4"/>
      <c r="AI669" s="4"/>
      <c r="AJ669" s="4"/>
      <c r="AK669" s="4"/>
      <c r="AL669" s="4"/>
      <c r="AM669" s="4"/>
      <c r="AN669" s="4"/>
      <c r="AO669" s="4"/>
      <c r="AP669" s="4"/>
      <c r="AQ669" s="4"/>
      <c r="AR669" s="4"/>
      <c r="AS669" s="4"/>
      <c r="AT669" s="4"/>
      <c r="AU669" s="4"/>
      <c r="AV669" s="537"/>
      <c r="AW669" s="537"/>
      <c r="AX669" s="4"/>
      <c r="AY669" s="4"/>
      <c r="AZ669" s="4"/>
      <c r="BA669" s="4"/>
      <c r="BB669" s="4"/>
      <c r="BC669" s="4"/>
      <c r="BD669" s="4"/>
      <c r="BE669" s="4"/>
      <c r="BF669" s="4"/>
      <c r="BG669" s="4"/>
      <c r="BH669" s="4"/>
      <c r="BI669" s="4"/>
      <c r="BJ669" s="4"/>
      <c r="BK669" s="4"/>
      <c r="BL669" s="4"/>
      <c r="BM669" s="4"/>
      <c r="BN669" s="4"/>
      <c r="BO669" s="4"/>
      <c r="BP669" s="4"/>
      <c r="BQ669" s="4"/>
      <c r="BR669" s="4"/>
    </row>
    <row r="670" spans="1:70" ht="27" customHeight="1" x14ac:dyDescent="0.2">
      <c r="A670" s="532"/>
      <c r="B670" s="917"/>
      <c r="C670" s="4"/>
      <c r="D670" s="917"/>
      <c r="E670" s="4"/>
      <c r="F670" s="917"/>
      <c r="G670" s="4"/>
      <c r="H670" s="920"/>
      <c r="I670" s="3"/>
      <c r="J670" s="920"/>
      <c r="K670" s="3"/>
      <c r="L670" s="920"/>
      <c r="M670" s="3"/>
      <c r="N670" s="920"/>
      <c r="O670" s="3"/>
      <c r="P670" s="3"/>
      <c r="Q670" s="533"/>
      <c r="R670" s="920"/>
      <c r="S670" s="534"/>
      <c r="T670" s="920"/>
      <c r="U670" s="920"/>
      <c r="V670" s="920"/>
      <c r="W670" s="535"/>
      <c r="X670" s="687"/>
      <c r="Y670" s="687"/>
      <c r="Z670" s="687"/>
      <c r="AA670" s="678"/>
      <c r="AB670" s="543"/>
      <c r="AC670" s="3"/>
      <c r="AD670" s="533"/>
      <c r="AE670" s="3"/>
      <c r="AF670" s="4"/>
      <c r="AG670" s="4"/>
      <c r="AH670" s="4"/>
      <c r="AI670" s="4"/>
      <c r="AJ670" s="4"/>
      <c r="AK670" s="4"/>
      <c r="AL670" s="4"/>
      <c r="AM670" s="4"/>
      <c r="AN670" s="4"/>
      <c r="AO670" s="4"/>
      <c r="AP670" s="4"/>
      <c r="AQ670" s="4"/>
      <c r="AR670" s="4"/>
      <c r="AS670" s="4"/>
      <c r="AT670" s="4"/>
      <c r="AU670" s="4"/>
      <c r="AV670" s="537"/>
      <c r="AW670" s="537"/>
      <c r="AX670" s="4"/>
      <c r="AY670" s="4"/>
      <c r="AZ670" s="4"/>
      <c r="BA670" s="4"/>
      <c r="BB670" s="4"/>
      <c r="BC670" s="4"/>
      <c r="BD670" s="4"/>
      <c r="BE670" s="4"/>
      <c r="BF670" s="4"/>
      <c r="BG670" s="4"/>
      <c r="BH670" s="4"/>
      <c r="BI670" s="4"/>
      <c r="BJ670" s="4"/>
      <c r="BK670" s="4"/>
      <c r="BL670" s="4"/>
      <c r="BM670" s="4"/>
      <c r="BN670" s="4"/>
      <c r="BO670" s="4"/>
      <c r="BP670" s="4"/>
      <c r="BQ670" s="4"/>
      <c r="BR670" s="4"/>
    </row>
    <row r="671" spans="1:70" ht="27" customHeight="1" x14ac:dyDescent="0.2">
      <c r="A671" s="532"/>
      <c r="B671" s="917"/>
      <c r="C671" s="4"/>
      <c r="D671" s="917"/>
      <c r="E671" s="4"/>
      <c r="F671" s="917"/>
      <c r="G671" s="4"/>
      <c r="H671" s="920"/>
      <c r="I671" s="3"/>
      <c r="J671" s="920"/>
      <c r="K671" s="3"/>
      <c r="L671" s="920"/>
      <c r="M671" s="3"/>
      <c r="N671" s="920"/>
      <c r="O671" s="3"/>
      <c r="P671" s="3"/>
      <c r="Q671" s="533"/>
      <c r="R671" s="920"/>
      <c r="S671" s="534"/>
      <c r="T671" s="920"/>
      <c r="U671" s="920"/>
      <c r="V671" s="920"/>
      <c r="W671" s="535"/>
      <c r="X671" s="687"/>
      <c r="Y671" s="687"/>
      <c r="Z671" s="687"/>
      <c r="AA671" s="678"/>
      <c r="AB671" s="543"/>
      <c r="AC671" s="3"/>
      <c r="AD671" s="533"/>
      <c r="AE671" s="3"/>
      <c r="AF671" s="4"/>
      <c r="AG671" s="4"/>
      <c r="AH671" s="4"/>
      <c r="AI671" s="4"/>
      <c r="AJ671" s="4"/>
      <c r="AK671" s="4"/>
      <c r="AL671" s="4"/>
      <c r="AM671" s="4"/>
      <c r="AN671" s="4"/>
      <c r="AO671" s="4"/>
      <c r="AP671" s="4"/>
      <c r="AQ671" s="4"/>
      <c r="AR671" s="4"/>
      <c r="AS671" s="4"/>
      <c r="AT671" s="4"/>
      <c r="AU671" s="4"/>
      <c r="AV671" s="537"/>
      <c r="AW671" s="537"/>
      <c r="AX671" s="4"/>
      <c r="AY671" s="4"/>
      <c r="AZ671" s="4"/>
      <c r="BA671" s="4"/>
      <c r="BB671" s="4"/>
      <c r="BC671" s="4"/>
      <c r="BD671" s="4"/>
      <c r="BE671" s="4"/>
      <c r="BF671" s="4"/>
      <c r="BG671" s="4"/>
      <c r="BH671" s="4"/>
      <c r="BI671" s="4"/>
      <c r="BJ671" s="4"/>
      <c r="BK671" s="4"/>
      <c r="BL671" s="4"/>
      <c r="BM671" s="4"/>
      <c r="BN671" s="4"/>
      <c r="BO671" s="4"/>
      <c r="BP671" s="4"/>
      <c r="BQ671" s="4"/>
      <c r="BR671" s="4"/>
    </row>
    <row r="672" spans="1:70" ht="27" customHeight="1" x14ac:dyDescent="0.2">
      <c r="A672" s="532"/>
      <c r="B672" s="917"/>
      <c r="C672" s="4"/>
      <c r="D672" s="917"/>
      <c r="E672" s="4"/>
      <c r="F672" s="917"/>
      <c r="G672" s="4"/>
      <c r="H672" s="920"/>
      <c r="I672" s="3"/>
      <c r="J672" s="920"/>
      <c r="K672" s="3"/>
      <c r="L672" s="920"/>
      <c r="M672" s="3"/>
      <c r="N672" s="920"/>
      <c r="O672" s="3"/>
      <c r="P672" s="3"/>
      <c r="Q672" s="533"/>
      <c r="R672" s="920"/>
      <c r="S672" s="534"/>
      <c r="T672" s="920"/>
      <c r="U672" s="920"/>
      <c r="V672" s="920"/>
      <c r="W672" s="535"/>
      <c r="X672" s="687"/>
      <c r="Y672" s="687"/>
      <c r="Z672" s="687"/>
      <c r="AA672" s="678"/>
      <c r="AB672" s="543"/>
      <c r="AC672" s="3"/>
      <c r="AD672" s="533"/>
      <c r="AE672" s="3"/>
      <c r="AF672" s="4"/>
      <c r="AG672" s="4"/>
      <c r="AH672" s="4"/>
      <c r="AI672" s="4"/>
      <c r="AJ672" s="4"/>
      <c r="AK672" s="4"/>
      <c r="AL672" s="4"/>
      <c r="AM672" s="4"/>
      <c r="AN672" s="4"/>
      <c r="AO672" s="4"/>
      <c r="AP672" s="4"/>
      <c r="AQ672" s="4"/>
      <c r="AR672" s="4"/>
      <c r="AS672" s="4"/>
      <c r="AT672" s="4"/>
      <c r="AU672" s="4"/>
      <c r="AV672" s="537"/>
      <c r="AW672" s="537"/>
      <c r="AX672" s="4"/>
      <c r="AY672" s="4"/>
      <c r="AZ672" s="4"/>
      <c r="BA672" s="4"/>
      <c r="BB672" s="4"/>
      <c r="BC672" s="4"/>
      <c r="BD672" s="4"/>
      <c r="BE672" s="4"/>
      <c r="BF672" s="4"/>
      <c r="BG672" s="4"/>
      <c r="BH672" s="4"/>
      <c r="BI672" s="4"/>
      <c r="BJ672" s="4"/>
      <c r="BK672" s="4"/>
      <c r="BL672" s="4"/>
      <c r="BM672" s="4"/>
      <c r="BN672" s="4"/>
      <c r="BO672" s="4"/>
      <c r="BP672" s="4"/>
      <c r="BQ672" s="4"/>
      <c r="BR672" s="4"/>
    </row>
    <row r="673" spans="1:70" ht="27" customHeight="1" x14ac:dyDescent="0.2">
      <c r="A673" s="532"/>
      <c r="B673" s="917"/>
      <c r="C673" s="4"/>
      <c r="D673" s="917"/>
      <c r="E673" s="4"/>
      <c r="F673" s="917"/>
      <c r="G673" s="4"/>
      <c r="H673" s="920"/>
      <c r="I673" s="3"/>
      <c r="J673" s="920"/>
      <c r="K673" s="3"/>
      <c r="L673" s="920"/>
      <c r="M673" s="3"/>
      <c r="N673" s="920"/>
      <c r="O673" s="3"/>
      <c r="P673" s="3"/>
      <c r="Q673" s="533"/>
      <c r="R673" s="920"/>
      <c r="S673" s="534"/>
      <c r="T673" s="920"/>
      <c r="U673" s="920"/>
      <c r="V673" s="920"/>
      <c r="W673" s="535"/>
      <c r="X673" s="687"/>
      <c r="Y673" s="687"/>
      <c r="Z673" s="687"/>
      <c r="AA673" s="678"/>
      <c r="AB673" s="543"/>
      <c r="AC673" s="3"/>
      <c r="AD673" s="533"/>
      <c r="AE673" s="3"/>
      <c r="AF673" s="4"/>
      <c r="AG673" s="4"/>
      <c r="AH673" s="4"/>
      <c r="AI673" s="4"/>
      <c r="AJ673" s="4"/>
      <c r="AK673" s="4"/>
      <c r="AL673" s="4"/>
      <c r="AM673" s="4"/>
      <c r="AN673" s="4"/>
      <c r="AO673" s="4"/>
      <c r="AP673" s="4"/>
      <c r="AQ673" s="4"/>
      <c r="AR673" s="4"/>
      <c r="AS673" s="4"/>
      <c r="AT673" s="4"/>
      <c r="AU673" s="4"/>
      <c r="AV673" s="537"/>
      <c r="AW673" s="537"/>
      <c r="AX673" s="4"/>
      <c r="AY673" s="4"/>
      <c r="AZ673" s="4"/>
      <c r="BA673" s="4"/>
      <c r="BB673" s="4"/>
      <c r="BC673" s="4"/>
      <c r="BD673" s="4"/>
      <c r="BE673" s="4"/>
      <c r="BF673" s="4"/>
      <c r="BG673" s="4"/>
      <c r="BH673" s="4"/>
      <c r="BI673" s="4"/>
      <c r="BJ673" s="4"/>
      <c r="BK673" s="4"/>
      <c r="BL673" s="4"/>
      <c r="BM673" s="4"/>
      <c r="BN673" s="4"/>
      <c r="BO673" s="4"/>
      <c r="BP673" s="4"/>
      <c r="BQ673" s="4"/>
      <c r="BR673" s="4"/>
    </row>
    <row r="674" spans="1:70" ht="27" customHeight="1" x14ac:dyDescent="0.2">
      <c r="A674" s="532"/>
      <c r="B674" s="917"/>
      <c r="C674" s="4"/>
      <c r="D674" s="917"/>
      <c r="E674" s="4"/>
      <c r="F674" s="917"/>
      <c r="G674" s="4"/>
      <c r="H674" s="920"/>
      <c r="I674" s="3"/>
      <c r="J674" s="920"/>
      <c r="K674" s="3"/>
      <c r="L674" s="920"/>
      <c r="M674" s="3"/>
      <c r="N674" s="920"/>
      <c r="O674" s="3"/>
      <c r="P674" s="3"/>
      <c r="Q674" s="533"/>
      <c r="R674" s="920"/>
      <c r="S674" s="534"/>
      <c r="T674" s="920"/>
      <c r="U674" s="920"/>
      <c r="V674" s="920"/>
      <c r="W674" s="535"/>
      <c r="X674" s="687"/>
      <c r="Y674" s="687"/>
      <c r="Z674" s="687"/>
      <c r="AA674" s="678"/>
      <c r="AB674" s="543"/>
      <c r="AC674" s="3"/>
      <c r="AD674" s="533"/>
      <c r="AE674" s="3"/>
      <c r="AF674" s="4"/>
      <c r="AG674" s="4"/>
      <c r="AH674" s="4"/>
      <c r="AI674" s="4"/>
      <c r="AJ674" s="4"/>
      <c r="AK674" s="4"/>
      <c r="AL674" s="4"/>
      <c r="AM674" s="4"/>
      <c r="AN674" s="4"/>
      <c r="AO674" s="4"/>
      <c r="AP674" s="4"/>
      <c r="AQ674" s="4"/>
      <c r="AR674" s="4"/>
      <c r="AS674" s="4"/>
      <c r="AT674" s="4"/>
      <c r="AU674" s="4"/>
      <c r="AV674" s="537"/>
      <c r="AW674" s="537"/>
      <c r="AX674" s="4"/>
      <c r="AY674" s="4"/>
      <c r="AZ674" s="4"/>
      <c r="BA674" s="4"/>
      <c r="BB674" s="4"/>
      <c r="BC674" s="4"/>
      <c r="BD674" s="4"/>
      <c r="BE674" s="4"/>
      <c r="BF674" s="4"/>
      <c r="BG674" s="4"/>
      <c r="BH674" s="4"/>
      <c r="BI674" s="4"/>
      <c r="BJ674" s="4"/>
      <c r="BK674" s="4"/>
      <c r="BL674" s="4"/>
      <c r="BM674" s="4"/>
      <c r="BN674" s="4"/>
      <c r="BO674" s="4"/>
      <c r="BP674" s="4"/>
      <c r="BQ674" s="4"/>
      <c r="BR674" s="4"/>
    </row>
    <row r="675" spans="1:70" ht="27" customHeight="1" x14ac:dyDescent="0.2">
      <c r="A675" s="532"/>
      <c r="B675" s="917"/>
      <c r="C675" s="4"/>
      <c r="D675" s="917"/>
      <c r="E675" s="4"/>
      <c r="F675" s="917"/>
      <c r="G675" s="4"/>
      <c r="H675" s="920"/>
      <c r="I675" s="3"/>
      <c r="J675" s="920"/>
      <c r="K675" s="3"/>
      <c r="L675" s="920"/>
      <c r="M675" s="3"/>
      <c r="N675" s="920"/>
      <c r="O675" s="3"/>
      <c r="P675" s="3"/>
      <c r="Q675" s="533"/>
      <c r="R675" s="920"/>
      <c r="S675" s="534"/>
      <c r="T675" s="920"/>
      <c r="U675" s="920"/>
      <c r="V675" s="920"/>
      <c r="W675" s="535"/>
      <c r="X675" s="687"/>
      <c r="Y675" s="687"/>
      <c r="Z675" s="687"/>
      <c r="AA675" s="678"/>
      <c r="AB675" s="543"/>
      <c r="AC675" s="3"/>
      <c r="AD675" s="533"/>
      <c r="AE675" s="3"/>
      <c r="AF675" s="4"/>
      <c r="AG675" s="4"/>
      <c r="AH675" s="4"/>
      <c r="AI675" s="4"/>
      <c r="AJ675" s="4"/>
      <c r="AK675" s="4"/>
      <c r="AL675" s="4"/>
      <c r="AM675" s="4"/>
      <c r="AN675" s="4"/>
      <c r="AO675" s="4"/>
      <c r="AP675" s="4"/>
      <c r="AQ675" s="4"/>
      <c r="AR675" s="4"/>
      <c r="AS675" s="4"/>
      <c r="AT675" s="4"/>
      <c r="AU675" s="4"/>
      <c r="AV675" s="537"/>
      <c r="AW675" s="537"/>
      <c r="AX675" s="4"/>
      <c r="AY675" s="4"/>
      <c r="AZ675" s="4"/>
      <c r="BA675" s="4"/>
      <c r="BB675" s="4"/>
      <c r="BC675" s="4"/>
      <c r="BD675" s="4"/>
      <c r="BE675" s="4"/>
      <c r="BF675" s="4"/>
      <c r="BG675" s="4"/>
      <c r="BH675" s="4"/>
      <c r="BI675" s="4"/>
      <c r="BJ675" s="4"/>
      <c r="BK675" s="4"/>
      <c r="BL675" s="4"/>
      <c r="BM675" s="4"/>
      <c r="BN675" s="4"/>
      <c r="BO675" s="4"/>
      <c r="BP675" s="4"/>
      <c r="BQ675" s="4"/>
      <c r="BR675" s="4"/>
    </row>
    <row r="676" spans="1:70" ht="27" customHeight="1" x14ac:dyDescent="0.2">
      <c r="A676" s="532"/>
      <c r="B676" s="917"/>
      <c r="C676" s="4"/>
      <c r="D676" s="917"/>
      <c r="E676" s="4"/>
      <c r="F676" s="917"/>
      <c r="G676" s="4"/>
      <c r="H676" s="920"/>
      <c r="I676" s="3"/>
      <c r="J676" s="920"/>
      <c r="K676" s="3"/>
      <c r="L676" s="920"/>
      <c r="M676" s="3"/>
      <c r="N676" s="920"/>
      <c r="O676" s="3"/>
      <c r="P676" s="3"/>
      <c r="Q676" s="533"/>
      <c r="R676" s="920"/>
      <c r="S676" s="534"/>
      <c r="T676" s="920"/>
      <c r="U676" s="920"/>
      <c r="V676" s="920"/>
      <c r="W676" s="535"/>
      <c r="X676" s="687"/>
      <c r="Y676" s="687"/>
      <c r="Z676" s="687"/>
      <c r="AA676" s="678"/>
      <c r="AB676" s="543"/>
      <c r="AC676" s="3"/>
      <c r="AD676" s="533"/>
      <c r="AE676" s="3"/>
      <c r="AF676" s="4"/>
      <c r="AG676" s="4"/>
      <c r="AH676" s="4"/>
      <c r="AI676" s="4"/>
      <c r="AJ676" s="4"/>
      <c r="AK676" s="4"/>
      <c r="AL676" s="4"/>
      <c r="AM676" s="4"/>
      <c r="AN676" s="4"/>
      <c r="AO676" s="4"/>
      <c r="AP676" s="4"/>
      <c r="AQ676" s="4"/>
      <c r="AR676" s="4"/>
      <c r="AS676" s="4"/>
      <c r="AT676" s="4"/>
      <c r="AU676" s="4"/>
      <c r="AV676" s="537"/>
      <c r="AW676" s="537"/>
      <c r="AX676" s="4"/>
      <c r="AY676" s="4"/>
      <c r="AZ676" s="4"/>
      <c r="BA676" s="4"/>
      <c r="BB676" s="4"/>
      <c r="BC676" s="4"/>
      <c r="BD676" s="4"/>
      <c r="BE676" s="4"/>
      <c r="BF676" s="4"/>
      <c r="BG676" s="4"/>
      <c r="BH676" s="4"/>
      <c r="BI676" s="4"/>
      <c r="BJ676" s="4"/>
      <c r="BK676" s="4"/>
      <c r="BL676" s="4"/>
      <c r="BM676" s="4"/>
      <c r="BN676" s="4"/>
      <c r="BO676" s="4"/>
      <c r="BP676" s="4"/>
      <c r="BQ676" s="4"/>
      <c r="BR676" s="4"/>
    </row>
    <row r="677" spans="1:70" ht="27" customHeight="1" x14ac:dyDescent="0.2">
      <c r="A677" s="532"/>
      <c r="B677" s="917"/>
      <c r="C677" s="4"/>
      <c r="D677" s="917"/>
      <c r="E677" s="4"/>
      <c r="F677" s="917"/>
      <c r="G677" s="4"/>
      <c r="H677" s="920"/>
      <c r="I677" s="3"/>
      <c r="J677" s="920"/>
      <c r="K677" s="3"/>
      <c r="L677" s="920"/>
      <c r="M677" s="3"/>
      <c r="N677" s="920"/>
      <c r="O677" s="3"/>
      <c r="P677" s="3"/>
      <c r="Q677" s="533"/>
      <c r="R677" s="920"/>
      <c r="S677" s="534"/>
      <c r="T677" s="920"/>
      <c r="U677" s="920"/>
      <c r="V677" s="920"/>
      <c r="W677" s="535"/>
      <c r="X677" s="687"/>
      <c r="Y677" s="687"/>
      <c r="Z677" s="687"/>
      <c r="AA677" s="678"/>
      <c r="AB677" s="543"/>
      <c r="AC677" s="3"/>
      <c r="AD677" s="533"/>
      <c r="AE677" s="3"/>
      <c r="AF677" s="4"/>
      <c r="AG677" s="4"/>
      <c r="AH677" s="4"/>
      <c r="AI677" s="4"/>
      <c r="AJ677" s="4"/>
      <c r="AK677" s="4"/>
      <c r="AL677" s="4"/>
      <c r="AM677" s="4"/>
      <c r="AN677" s="4"/>
      <c r="AO677" s="4"/>
      <c r="AP677" s="4"/>
      <c r="AQ677" s="4"/>
      <c r="AR677" s="4"/>
      <c r="AS677" s="4"/>
      <c r="AT677" s="4"/>
      <c r="AU677" s="4"/>
      <c r="AV677" s="537"/>
      <c r="AW677" s="537"/>
      <c r="AX677" s="4"/>
      <c r="AY677" s="4"/>
      <c r="AZ677" s="4"/>
      <c r="BA677" s="4"/>
      <c r="BB677" s="4"/>
      <c r="BC677" s="4"/>
      <c r="BD677" s="4"/>
      <c r="BE677" s="4"/>
      <c r="BF677" s="4"/>
      <c r="BG677" s="4"/>
      <c r="BH677" s="4"/>
      <c r="BI677" s="4"/>
      <c r="BJ677" s="4"/>
      <c r="BK677" s="4"/>
      <c r="BL677" s="4"/>
      <c r="BM677" s="4"/>
      <c r="BN677" s="4"/>
      <c r="BO677" s="4"/>
      <c r="BP677" s="4"/>
      <c r="BQ677" s="4"/>
      <c r="BR677" s="4"/>
    </row>
    <row r="678" spans="1:70" ht="27" customHeight="1" x14ac:dyDescent="0.2">
      <c r="A678" s="532"/>
      <c r="B678" s="917"/>
      <c r="C678" s="4"/>
      <c r="D678" s="917"/>
      <c r="E678" s="4"/>
      <c r="F678" s="917"/>
      <c r="G678" s="4"/>
      <c r="H678" s="920"/>
      <c r="I678" s="3"/>
      <c r="J678" s="920"/>
      <c r="K678" s="3"/>
      <c r="L678" s="920"/>
      <c r="M678" s="3"/>
      <c r="N678" s="920"/>
      <c r="O678" s="3"/>
      <c r="P678" s="3"/>
      <c r="Q678" s="533"/>
      <c r="R678" s="920"/>
      <c r="S678" s="534"/>
      <c r="T678" s="920"/>
      <c r="U678" s="920"/>
      <c r="V678" s="920"/>
      <c r="W678" s="535"/>
      <c r="X678" s="687"/>
      <c r="Y678" s="687"/>
      <c r="Z678" s="687"/>
      <c r="AA678" s="678"/>
      <c r="AB678" s="543"/>
      <c r="AC678" s="3"/>
      <c r="AD678" s="533"/>
      <c r="AE678" s="3"/>
      <c r="AF678" s="4"/>
      <c r="AG678" s="4"/>
      <c r="AH678" s="4"/>
      <c r="AI678" s="4"/>
      <c r="AJ678" s="4"/>
      <c r="AK678" s="4"/>
      <c r="AL678" s="4"/>
      <c r="AM678" s="4"/>
      <c r="AN678" s="4"/>
      <c r="AO678" s="4"/>
      <c r="AP678" s="4"/>
      <c r="AQ678" s="4"/>
      <c r="AR678" s="4"/>
      <c r="AS678" s="4"/>
      <c r="AT678" s="4"/>
      <c r="AU678" s="4"/>
      <c r="AV678" s="537"/>
      <c r="AW678" s="537"/>
      <c r="AX678" s="4"/>
      <c r="AY678" s="4"/>
      <c r="AZ678" s="4"/>
      <c r="BA678" s="4"/>
      <c r="BB678" s="4"/>
      <c r="BC678" s="4"/>
      <c r="BD678" s="4"/>
      <c r="BE678" s="4"/>
      <c r="BF678" s="4"/>
      <c r="BG678" s="4"/>
      <c r="BH678" s="4"/>
      <c r="BI678" s="4"/>
      <c r="BJ678" s="4"/>
      <c r="BK678" s="4"/>
      <c r="BL678" s="4"/>
      <c r="BM678" s="4"/>
      <c r="BN678" s="4"/>
      <c r="BO678" s="4"/>
      <c r="BP678" s="4"/>
      <c r="BQ678" s="4"/>
      <c r="BR678" s="4"/>
    </row>
    <row r="679" spans="1:70" ht="27" customHeight="1" x14ac:dyDescent="0.2">
      <c r="A679" s="532"/>
      <c r="B679" s="917"/>
      <c r="C679" s="4"/>
      <c r="D679" s="917"/>
      <c r="E679" s="4"/>
      <c r="F679" s="917"/>
      <c r="G679" s="4"/>
      <c r="H679" s="920"/>
      <c r="I679" s="3"/>
      <c r="J679" s="920"/>
      <c r="K679" s="3"/>
      <c r="L679" s="920"/>
      <c r="M679" s="3"/>
      <c r="N679" s="920"/>
      <c r="O679" s="3"/>
      <c r="P679" s="3"/>
      <c r="Q679" s="533"/>
      <c r="R679" s="920"/>
      <c r="S679" s="534"/>
      <c r="T679" s="920"/>
      <c r="U679" s="920"/>
      <c r="V679" s="920"/>
      <c r="W679" s="535"/>
      <c r="X679" s="687"/>
      <c r="Y679" s="687"/>
      <c r="Z679" s="687"/>
      <c r="AA679" s="678"/>
      <c r="AB679" s="543"/>
      <c r="AC679" s="3"/>
      <c r="AD679" s="533"/>
      <c r="AE679" s="3"/>
      <c r="AF679" s="4"/>
      <c r="AG679" s="4"/>
      <c r="AH679" s="4"/>
      <c r="AI679" s="4"/>
      <c r="AJ679" s="4"/>
      <c r="AK679" s="4"/>
      <c r="AL679" s="4"/>
      <c r="AM679" s="4"/>
      <c r="AN679" s="4"/>
      <c r="AO679" s="4"/>
      <c r="AP679" s="4"/>
      <c r="AQ679" s="4"/>
      <c r="AR679" s="4"/>
      <c r="AS679" s="4"/>
      <c r="AT679" s="4"/>
      <c r="AU679" s="4"/>
      <c r="AV679" s="537"/>
      <c r="AW679" s="537"/>
      <c r="AX679" s="4"/>
      <c r="AY679" s="4"/>
      <c r="AZ679" s="4"/>
      <c r="BA679" s="4"/>
      <c r="BB679" s="4"/>
      <c r="BC679" s="4"/>
      <c r="BD679" s="4"/>
      <c r="BE679" s="4"/>
      <c r="BF679" s="4"/>
      <c r="BG679" s="4"/>
      <c r="BH679" s="4"/>
      <c r="BI679" s="4"/>
      <c r="BJ679" s="4"/>
      <c r="BK679" s="4"/>
      <c r="BL679" s="4"/>
      <c r="BM679" s="4"/>
      <c r="BN679" s="4"/>
      <c r="BO679" s="4"/>
      <c r="BP679" s="4"/>
      <c r="BQ679" s="4"/>
      <c r="BR679" s="4"/>
    </row>
    <row r="680" spans="1:70" ht="27" customHeight="1" x14ac:dyDescent="0.2">
      <c r="A680" s="532"/>
      <c r="B680" s="917"/>
      <c r="C680" s="4"/>
      <c r="D680" s="917"/>
      <c r="E680" s="4"/>
      <c r="F680" s="917"/>
      <c r="G680" s="4"/>
      <c r="H680" s="920"/>
      <c r="I680" s="3"/>
      <c r="J680" s="920"/>
      <c r="K680" s="3"/>
      <c r="L680" s="920"/>
      <c r="M680" s="3"/>
      <c r="N680" s="920"/>
      <c r="O680" s="3"/>
      <c r="P680" s="3"/>
      <c r="Q680" s="533"/>
      <c r="R680" s="920"/>
      <c r="S680" s="534"/>
      <c r="T680" s="920"/>
      <c r="U680" s="920"/>
      <c r="V680" s="920"/>
      <c r="W680" s="535"/>
      <c r="X680" s="687"/>
      <c r="Y680" s="687"/>
      <c r="Z680" s="687"/>
      <c r="AA680" s="678"/>
      <c r="AB680" s="543"/>
      <c r="AC680" s="3"/>
      <c r="AD680" s="533"/>
      <c r="AE680" s="3"/>
      <c r="AF680" s="4"/>
      <c r="AG680" s="4"/>
      <c r="AH680" s="4"/>
      <c r="AI680" s="4"/>
      <c r="AJ680" s="4"/>
      <c r="AK680" s="4"/>
      <c r="AL680" s="4"/>
      <c r="AM680" s="4"/>
      <c r="AN680" s="4"/>
      <c r="AO680" s="4"/>
      <c r="AP680" s="4"/>
      <c r="AQ680" s="4"/>
      <c r="AR680" s="4"/>
      <c r="AS680" s="4"/>
      <c r="AT680" s="4"/>
      <c r="AU680" s="4"/>
      <c r="AV680" s="537"/>
      <c r="AW680" s="537"/>
      <c r="AX680" s="4"/>
      <c r="AY680" s="4"/>
      <c r="AZ680" s="4"/>
      <c r="BA680" s="4"/>
      <c r="BB680" s="4"/>
      <c r="BC680" s="4"/>
      <c r="BD680" s="4"/>
      <c r="BE680" s="4"/>
      <c r="BF680" s="4"/>
      <c r="BG680" s="4"/>
      <c r="BH680" s="4"/>
      <c r="BI680" s="4"/>
      <c r="BJ680" s="4"/>
      <c r="BK680" s="4"/>
      <c r="BL680" s="4"/>
      <c r="BM680" s="4"/>
      <c r="BN680" s="4"/>
      <c r="BO680" s="4"/>
      <c r="BP680" s="4"/>
      <c r="BQ680" s="4"/>
      <c r="BR680" s="4"/>
    </row>
    <row r="681" spans="1:70" ht="27" customHeight="1" x14ac:dyDescent="0.2">
      <c r="A681" s="532"/>
      <c r="B681" s="917"/>
      <c r="C681" s="4"/>
      <c r="D681" s="917"/>
      <c r="E681" s="4"/>
      <c r="F681" s="917"/>
      <c r="G681" s="4"/>
      <c r="H681" s="920"/>
      <c r="I681" s="3"/>
      <c r="J681" s="920"/>
      <c r="K681" s="3"/>
      <c r="L681" s="920"/>
      <c r="M681" s="3"/>
      <c r="N681" s="920"/>
      <c r="O681" s="3"/>
      <c r="P681" s="3"/>
      <c r="Q681" s="533"/>
      <c r="R681" s="920"/>
      <c r="S681" s="534"/>
      <c r="T681" s="920"/>
      <c r="U681" s="920"/>
      <c r="V681" s="920"/>
      <c r="W681" s="535"/>
      <c r="X681" s="687"/>
      <c r="Y681" s="687"/>
      <c r="Z681" s="687"/>
      <c r="AA681" s="678"/>
      <c r="AB681" s="543"/>
      <c r="AC681" s="3"/>
      <c r="AD681" s="533"/>
      <c r="AE681" s="3"/>
      <c r="AF681" s="4"/>
      <c r="AG681" s="4"/>
      <c r="AH681" s="4"/>
      <c r="AI681" s="4"/>
      <c r="AJ681" s="4"/>
      <c r="AK681" s="4"/>
      <c r="AL681" s="4"/>
      <c r="AM681" s="4"/>
      <c r="AN681" s="4"/>
      <c r="AO681" s="4"/>
      <c r="AP681" s="4"/>
      <c r="AQ681" s="4"/>
      <c r="AR681" s="4"/>
      <c r="AS681" s="4"/>
      <c r="AT681" s="4"/>
      <c r="AU681" s="4"/>
      <c r="AV681" s="537"/>
      <c r="AW681" s="537"/>
      <c r="AX681" s="4"/>
      <c r="AY681" s="4"/>
      <c r="AZ681" s="4"/>
      <c r="BA681" s="4"/>
      <c r="BB681" s="4"/>
      <c r="BC681" s="4"/>
      <c r="BD681" s="4"/>
      <c r="BE681" s="4"/>
      <c r="BF681" s="4"/>
      <c r="BG681" s="4"/>
      <c r="BH681" s="4"/>
      <c r="BI681" s="4"/>
      <c r="BJ681" s="4"/>
      <c r="BK681" s="4"/>
      <c r="BL681" s="4"/>
      <c r="BM681" s="4"/>
      <c r="BN681" s="4"/>
      <c r="BO681" s="4"/>
      <c r="BP681" s="4"/>
      <c r="BQ681" s="4"/>
      <c r="BR681" s="4"/>
    </row>
    <row r="682" spans="1:70" ht="27" customHeight="1" x14ac:dyDescent="0.2">
      <c r="A682" s="532"/>
      <c r="B682" s="917"/>
      <c r="C682" s="4"/>
      <c r="D682" s="917"/>
      <c r="E682" s="4"/>
      <c r="F682" s="917"/>
      <c r="G682" s="4"/>
      <c r="H682" s="920"/>
      <c r="I682" s="3"/>
      <c r="J682" s="920"/>
      <c r="K682" s="3"/>
      <c r="L682" s="920"/>
      <c r="M682" s="3"/>
      <c r="N682" s="920"/>
      <c r="O682" s="3"/>
      <c r="P682" s="3"/>
      <c r="Q682" s="533"/>
      <c r="R682" s="920"/>
      <c r="S682" s="534"/>
      <c r="T682" s="920"/>
      <c r="U682" s="920"/>
      <c r="V682" s="920"/>
      <c r="W682" s="535"/>
      <c r="X682" s="687"/>
      <c r="Y682" s="687"/>
      <c r="Z682" s="687"/>
      <c r="AA682" s="678"/>
      <c r="AB682" s="543"/>
      <c r="AC682" s="3"/>
      <c r="AD682" s="533"/>
      <c r="AE682" s="3"/>
      <c r="AF682" s="4"/>
      <c r="AG682" s="4"/>
      <c r="AH682" s="4"/>
      <c r="AI682" s="4"/>
      <c r="AJ682" s="4"/>
      <c r="AK682" s="4"/>
      <c r="AL682" s="4"/>
      <c r="AM682" s="4"/>
      <c r="AN682" s="4"/>
      <c r="AO682" s="4"/>
      <c r="AP682" s="4"/>
      <c r="AQ682" s="4"/>
      <c r="AR682" s="4"/>
      <c r="AS682" s="4"/>
      <c r="AT682" s="4"/>
      <c r="AU682" s="4"/>
      <c r="AV682" s="537"/>
      <c r="AW682" s="537"/>
      <c r="AX682" s="4"/>
      <c r="AY682" s="4"/>
      <c r="AZ682" s="4"/>
      <c r="BA682" s="4"/>
      <c r="BB682" s="4"/>
      <c r="BC682" s="4"/>
      <c r="BD682" s="4"/>
      <c r="BE682" s="4"/>
      <c r="BF682" s="4"/>
      <c r="BG682" s="4"/>
      <c r="BH682" s="4"/>
      <c r="BI682" s="4"/>
      <c r="BJ682" s="4"/>
      <c r="BK682" s="4"/>
      <c r="BL682" s="4"/>
      <c r="BM682" s="4"/>
      <c r="BN682" s="4"/>
      <c r="BO682" s="4"/>
      <c r="BP682" s="4"/>
      <c r="BQ682" s="4"/>
      <c r="BR682" s="4"/>
    </row>
    <row r="683" spans="1:70" ht="27" customHeight="1" x14ac:dyDescent="0.2">
      <c r="A683" s="532"/>
      <c r="B683" s="917"/>
      <c r="C683" s="4"/>
      <c r="D683" s="917"/>
      <c r="E683" s="4"/>
      <c r="F683" s="917"/>
      <c r="G683" s="4"/>
      <c r="H683" s="920"/>
      <c r="I683" s="3"/>
      <c r="J683" s="920"/>
      <c r="K683" s="3"/>
      <c r="L683" s="920"/>
      <c r="M683" s="3"/>
      <c r="N683" s="920"/>
      <c r="O683" s="3"/>
      <c r="P683" s="3"/>
      <c r="Q683" s="533"/>
      <c r="R683" s="920"/>
      <c r="S683" s="534"/>
      <c r="T683" s="920"/>
      <c r="U683" s="920"/>
      <c r="V683" s="920"/>
      <c r="W683" s="535"/>
      <c r="X683" s="687"/>
      <c r="Y683" s="687"/>
      <c r="Z683" s="687"/>
      <c r="AA683" s="678"/>
      <c r="AB683" s="543"/>
      <c r="AC683" s="3"/>
      <c r="AD683" s="533"/>
      <c r="AE683" s="3"/>
      <c r="AF683" s="4"/>
      <c r="AG683" s="4"/>
      <c r="AH683" s="4"/>
      <c r="AI683" s="4"/>
      <c r="AJ683" s="4"/>
      <c r="AK683" s="4"/>
      <c r="AL683" s="4"/>
      <c r="AM683" s="4"/>
      <c r="AN683" s="4"/>
      <c r="AO683" s="4"/>
      <c r="AP683" s="4"/>
      <c r="AQ683" s="4"/>
      <c r="AR683" s="4"/>
      <c r="AS683" s="4"/>
      <c r="AT683" s="4"/>
      <c r="AU683" s="4"/>
      <c r="AV683" s="537"/>
      <c r="AW683" s="537"/>
      <c r="AX683" s="4"/>
      <c r="AY683" s="4"/>
      <c r="AZ683" s="4"/>
      <c r="BA683" s="4"/>
      <c r="BB683" s="4"/>
      <c r="BC683" s="4"/>
      <c r="BD683" s="4"/>
      <c r="BE683" s="4"/>
      <c r="BF683" s="4"/>
      <c r="BG683" s="4"/>
      <c r="BH683" s="4"/>
      <c r="BI683" s="4"/>
      <c r="BJ683" s="4"/>
      <c r="BK683" s="4"/>
      <c r="BL683" s="4"/>
      <c r="BM683" s="4"/>
      <c r="BN683" s="4"/>
      <c r="BO683" s="4"/>
      <c r="BP683" s="4"/>
      <c r="BQ683" s="4"/>
      <c r="BR683" s="4"/>
    </row>
    <row r="684" spans="1:70" ht="27" customHeight="1" x14ac:dyDescent="0.2">
      <c r="A684" s="532"/>
      <c r="B684" s="917"/>
      <c r="C684" s="4"/>
      <c r="D684" s="917"/>
      <c r="E684" s="4"/>
      <c r="F684" s="917"/>
      <c r="G684" s="4"/>
      <c r="H684" s="920"/>
      <c r="I684" s="3"/>
      <c r="J684" s="920"/>
      <c r="K684" s="3"/>
      <c r="L684" s="920"/>
      <c r="M684" s="3"/>
      <c r="N684" s="920"/>
      <c r="O684" s="3"/>
      <c r="P684" s="3"/>
      <c r="Q684" s="533"/>
      <c r="R684" s="920"/>
      <c r="S684" s="534"/>
      <c r="T684" s="920"/>
      <c r="U684" s="920"/>
      <c r="V684" s="920"/>
      <c r="W684" s="535"/>
      <c r="X684" s="687"/>
      <c r="Y684" s="687"/>
      <c r="Z684" s="687"/>
      <c r="AA684" s="678"/>
      <c r="AB684" s="543"/>
      <c r="AC684" s="3"/>
      <c r="AD684" s="533"/>
      <c r="AE684" s="3"/>
      <c r="AF684" s="4"/>
      <c r="AG684" s="4"/>
      <c r="AH684" s="4"/>
      <c r="AI684" s="4"/>
      <c r="AJ684" s="4"/>
      <c r="AK684" s="4"/>
      <c r="AL684" s="4"/>
      <c r="AM684" s="4"/>
      <c r="AN684" s="4"/>
      <c r="AO684" s="4"/>
      <c r="AP684" s="4"/>
      <c r="AQ684" s="4"/>
      <c r="AR684" s="4"/>
      <c r="AS684" s="4"/>
      <c r="AT684" s="4"/>
      <c r="AU684" s="4"/>
      <c r="AV684" s="537"/>
      <c r="AW684" s="537"/>
      <c r="AX684" s="4"/>
      <c r="AY684" s="4"/>
      <c r="AZ684" s="4"/>
      <c r="BA684" s="4"/>
      <c r="BB684" s="4"/>
      <c r="BC684" s="4"/>
      <c r="BD684" s="4"/>
      <c r="BE684" s="4"/>
      <c r="BF684" s="4"/>
      <c r="BG684" s="4"/>
      <c r="BH684" s="4"/>
      <c r="BI684" s="4"/>
      <c r="BJ684" s="4"/>
      <c r="BK684" s="4"/>
      <c r="BL684" s="4"/>
      <c r="BM684" s="4"/>
      <c r="BN684" s="4"/>
      <c r="BO684" s="4"/>
      <c r="BP684" s="4"/>
      <c r="BQ684" s="4"/>
      <c r="BR684" s="4"/>
    </row>
    <row r="685" spans="1:70" ht="27" customHeight="1" x14ac:dyDescent="0.2">
      <c r="A685" s="532"/>
      <c r="B685" s="917"/>
      <c r="C685" s="4"/>
      <c r="D685" s="917"/>
      <c r="E685" s="4"/>
      <c r="F685" s="917"/>
      <c r="G685" s="4"/>
      <c r="H685" s="920"/>
      <c r="I685" s="3"/>
      <c r="J685" s="920"/>
      <c r="K685" s="3"/>
      <c r="L685" s="920"/>
      <c r="M685" s="3"/>
      <c r="N685" s="920"/>
      <c r="O685" s="3"/>
      <c r="P685" s="3"/>
      <c r="Q685" s="533"/>
      <c r="R685" s="920"/>
      <c r="S685" s="534"/>
      <c r="T685" s="920"/>
      <c r="U685" s="920"/>
      <c r="V685" s="920"/>
      <c r="W685" s="535"/>
      <c r="X685" s="687"/>
      <c r="Y685" s="687"/>
      <c r="Z685" s="687"/>
      <c r="AA685" s="678"/>
      <c r="AB685" s="543"/>
      <c r="AC685" s="3"/>
      <c r="AD685" s="533"/>
      <c r="AE685" s="3"/>
      <c r="AF685" s="4"/>
      <c r="AG685" s="4"/>
      <c r="AH685" s="4"/>
      <c r="AI685" s="4"/>
      <c r="AJ685" s="4"/>
      <c r="AK685" s="4"/>
      <c r="AL685" s="4"/>
      <c r="AM685" s="4"/>
      <c r="AN685" s="4"/>
      <c r="AO685" s="4"/>
      <c r="AP685" s="4"/>
      <c r="AQ685" s="4"/>
      <c r="AR685" s="4"/>
      <c r="AS685" s="4"/>
      <c r="AT685" s="4"/>
      <c r="AU685" s="4"/>
      <c r="AV685" s="537"/>
      <c r="AW685" s="537"/>
      <c r="AX685" s="4"/>
      <c r="AY685" s="4"/>
      <c r="AZ685" s="4"/>
      <c r="BA685" s="4"/>
      <c r="BB685" s="4"/>
      <c r="BC685" s="4"/>
      <c r="BD685" s="4"/>
      <c r="BE685" s="4"/>
      <c r="BF685" s="4"/>
      <c r="BG685" s="4"/>
      <c r="BH685" s="4"/>
      <c r="BI685" s="4"/>
      <c r="BJ685" s="4"/>
      <c r="BK685" s="4"/>
      <c r="BL685" s="4"/>
      <c r="BM685" s="4"/>
      <c r="BN685" s="4"/>
      <c r="BO685" s="4"/>
      <c r="BP685" s="4"/>
      <c r="BQ685" s="4"/>
      <c r="BR685" s="4"/>
    </row>
    <row r="686" spans="1:70" ht="27" customHeight="1" x14ac:dyDescent="0.2">
      <c r="A686" s="532"/>
      <c r="B686" s="917"/>
      <c r="C686" s="4"/>
      <c r="D686" s="917"/>
      <c r="E686" s="4"/>
      <c r="F686" s="917"/>
      <c r="G686" s="4"/>
      <c r="H686" s="920"/>
      <c r="I686" s="3"/>
      <c r="J686" s="920"/>
      <c r="K686" s="3"/>
      <c r="L686" s="920"/>
      <c r="M686" s="3"/>
      <c r="N686" s="920"/>
      <c r="O686" s="3"/>
      <c r="P686" s="3"/>
      <c r="Q686" s="533"/>
      <c r="R686" s="920"/>
      <c r="S686" s="534"/>
      <c r="T686" s="920"/>
      <c r="U686" s="920"/>
      <c r="V686" s="920"/>
      <c r="W686" s="535"/>
      <c r="X686" s="687"/>
      <c r="Y686" s="687"/>
      <c r="Z686" s="687"/>
      <c r="AA686" s="678"/>
      <c r="AB686" s="543"/>
      <c r="AC686" s="3"/>
      <c r="AD686" s="533"/>
      <c r="AE686" s="3"/>
      <c r="AF686" s="4"/>
      <c r="AG686" s="4"/>
      <c r="AH686" s="4"/>
      <c r="AI686" s="4"/>
      <c r="AJ686" s="4"/>
      <c r="AK686" s="4"/>
      <c r="AL686" s="4"/>
      <c r="AM686" s="4"/>
      <c r="AN686" s="4"/>
      <c r="AO686" s="4"/>
      <c r="AP686" s="4"/>
      <c r="AQ686" s="4"/>
      <c r="AR686" s="4"/>
      <c r="AS686" s="4"/>
      <c r="AT686" s="4"/>
      <c r="AU686" s="4"/>
      <c r="AV686" s="537"/>
      <c r="AW686" s="537"/>
      <c r="AX686" s="4"/>
      <c r="AY686" s="4"/>
      <c r="AZ686" s="4"/>
      <c r="BA686" s="4"/>
      <c r="BB686" s="4"/>
      <c r="BC686" s="4"/>
      <c r="BD686" s="4"/>
      <c r="BE686" s="4"/>
      <c r="BF686" s="4"/>
      <c r="BG686" s="4"/>
      <c r="BH686" s="4"/>
      <c r="BI686" s="4"/>
      <c r="BJ686" s="4"/>
      <c r="BK686" s="4"/>
      <c r="BL686" s="4"/>
      <c r="BM686" s="4"/>
      <c r="BN686" s="4"/>
      <c r="BO686" s="4"/>
      <c r="BP686" s="4"/>
      <c r="BQ686" s="4"/>
      <c r="BR686" s="4"/>
    </row>
    <row r="687" spans="1:70" ht="27" customHeight="1" x14ac:dyDescent="0.2">
      <c r="A687" s="532"/>
      <c r="B687" s="917"/>
      <c r="C687" s="4"/>
      <c r="D687" s="917"/>
      <c r="E687" s="4"/>
      <c r="F687" s="917"/>
      <c r="G687" s="4"/>
      <c r="H687" s="920"/>
      <c r="I687" s="3"/>
      <c r="J687" s="920"/>
      <c r="K687" s="3"/>
      <c r="L687" s="920"/>
      <c r="M687" s="3"/>
      <c r="N687" s="920"/>
      <c r="O687" s="3"/>
      <c r="P687" s="3"/>
      <c r="Q687" s="533"/>
      <c r="R687" s="920"/>
      <c r="S687" s="534"/>
      <c r="T687" s="920"/>
      <c r="U687" s="920"/>
      <c r="V687" s="920"/>
      <c r="W687" s="535"/>
      <c r="X687" s="687"/>
      <c r="Y687" s="687"/>
      <c r="Z687" s="687"/>
      <c r="AA687" s="678"/>
      <c r="AB687" s="543"/>
      <c r="AC687" s="3"/>
      <c r="AD687" s="533"/>
      <c r="AE687" s="3"/>
      <c r="AF687" s="4"/>
      <c r="AG687" s="4"/>
      <c r="AH687" s="4"/>
      <c r="AI687" s="4"/>
      <c r="AJ687" s="4"/>
      <c r="AK687" s="4"/>
      <c r="AL687" s="4"/>
      <c r="AM687" s="4"/>
      <c r="AN687" s="4"/>
      <c r="AO687" s="4"/>
      <c r="AP687" s="4"/>
      <c r="AQ687" s="4"/>
      <c r="AR687" s="4"/>
      <c r="AS687" s="4"/>
      <c r="AT687" s="4"/>
      <c r="AU687" s="4"/>
      <c r="AV687" s="537"/>
      <c r="AW687" s="537"/>
      <c r="AX687" s="4"/>
      <c r="AY687" s="4"/>
      <c r="AZ687" s="4"/>
      <c r="BA687" s="4"/>
      <c r="BB687" s="4"/>
      <c r="BC687" s="4"/>
      <c r="BD687" s="4"/>
      <c r="BE687" s="4"/>
      <c r="BF687" s="4"/>
      <c r="BG687" s="4"/>
      <c r="BH687" s="4"/>
      <c r="BI687" s="4"/>
      <c r="BJ687" s="4"/>
      <c r="BK687" s="4"/>
      <c r="BL687" s="4"/>
      <c r="BM687" s="4"/>
      <c r="BN687" s="4"/>
      <c r="BO687" s="4"/>
      <c r="BP687" s="4"/>
      <c r="BQ687" s="4"/>
      <c r="BR687" s="4"/>
    </row>
    <row r="688" spans="1:70" ht="27" customHeight="1" x14ac:dyDescent="0.2">
      <c r="A688" s="532"/>
      <c r="B688" s="917"/>
      <c r="C688" s="4"/>
      <c r="D688" s="917"/>
      <c r="E688" s="4"/>
      <c r="F688" s="917"/>
      <c r="G688" s="4"/>
      <c r="H688" s="920"/>
      <c r="I688" s="3"/>
      <c r="J688" s="920"/>
      <c r="K688" s="3"/>
      <c r="L688" s="920"/>
      <c r="M688" s="3"/>
      <c r="N688" s="920"/>
      <c r="O688" s="3"/>
      <c r="P688" s="3"/>
      <c r="Q688" s="533"/>
      <c r="R688" s="920"/>
      <c r="S688" s="534"/>
      <c r="T688" s="920"/>
      <c r="U688" s="920"/>
      <c r="V688" s="920"/>
      <c r="W688" s="535"/>
      <c r="X688" s="687"/>
      <c r="Y688" s="687"/>
      <c r="Z688" s="687"/>
      <c r="AA688" s="678"/>
      <c r="AB688" s="543"/>
      <c r="AC688" s="3"/>
      <c r="AD688" s="533"/>
      <c r="AE688" s="3"/>
      <c r="AF688" s="4"/>
      <c r="AG688" s="4"/>
      <c r="AH688" s="4"/>
      <c r="AI688" s="4"/>
      <c r="AJ688" s="4"/>
      <c r="AK688" s="4"/>
      <c r="AL688" s="4"/>
      <c r="AM688" s="4"/>
      <c r="AN688" s="4"/>
      <c r="AO688" s="4"/>
      <c r="AP688" s="4"/>
      <c r="AQ688" s="4"/>
      <c r="AR688" s="4"/>
      <c r="AS688" s="4"/>
      <c r="AT688" s="4"/>
      <c r="AU688" s="4"/>
      <c r="AV688" s="537"/>
      <c r="AW688" s="537"/>
      <c r="AX688" s="4"/>
      <c r="AY688" s="4"/>
      <c r="AZ688" s="4"/>
      <c r="BA688" s="4"/>
      <c r="BB688" s="4"/>
      <c r="BC688" s="4"/>
      <c r="BD688" s="4"/>
      <c r="BE688" s="4"/>
      <c r="BF688" s="4"/>
      <c r="BG688" s="4"/>
      <c r="BH688" s="4"/>
      <c r="BI688" s="4"/>
      <c r="BJ688" s="4"/>
      <c r="BK688" s="4"/>
      <c r="BL688" s="4"/>
      <c r="BM688" s="4"/>
      <c r="BN688" s="4"/>
      <c r="BO688" s="4"/>
      <c r="BP688" s="4"/>
      <c r="BQ688" s="4"/>
      <c r="BR688" s="4"/>
    </row>
    <row r="689" spans="1:70" ht="27" customHeight="1" x14ac:dyDescent="0.2">
      <c r="A689" s="532"/>
      <c r="B689" s="917"/>
      <c r="C689" s="4"/>
      <c r="D689" s="917"/>
      <c r="E689" s="4"/>
      <c r="F689" s="917"/>
      <c r="G689" s="4"/>
      <c r="H689" s="920"/>
      <c r="I689" s="3"/>
      <c r="J689" s="920"/>
      <c r="K689" s="3"/>
      <c r="L689" s="920"/>
      <c r="M689" s="3"/>
      <c r="N689" s="920"/>
      <c r="O689" s="3"/>
      <c r="P689" s="3"/>
      <c r="Q689" s="533"/>
      <c r="R689" s="920"/>
      <c r="S689" s="534"/>
      <c r="T689" s="920"/>
      <c r="U689" s="920"/>
      <c r="V689" s="920"/>
      <c r="W689" s="535"/>
      <c r="X689" s="687"/>
      <c r="Y689" s="687"/>
      <c r="Z689" s="687"/>
      <c r="AA689" s="678"/>
      <c r="AB689" s="543"/>
      <c r="AC689" s="3"/>
      <c r="AD689" s="533"/>
      <c r="AE689" s="3"/>
      <c r="AF689" s="4"/>
      <c r="AG689" s="4"/>
      <c r="AH689" s="4"/>
      <c r="AI689" s="4"/>
      <c r="AJ689" s="4"/>
      <c r="AK689" s="4"/>
      <c r="AL689" s="4"/>
      <c r="AM689" s="4"/>
      <c r="AN689" s="4"/>
      <c r="AO689" s="4"/>
      <c r="AP689" s="4"/>
      <c r="AQ689" s="4"/>
      <c r="AR689" s="4"/>
      <c r="AS689" s="4"/>
      <c r="AT689" s="4"/>
      <c r="AU689" s="4"/>
      <c r="AV689" s="537"/>
      <c r="AW689" s="537"/>
      <c r="AX689" s="4"/>
      <c r="AY689" s="4"/>
      <c r="AZ689" s="4"/>
      <c r="BA689" s="4"/>
      <c r="BB689" s="4"/>
      <c r="BC689" s="4"/>
      <c r="BD689" s="4"/>
      <c r="BE689" s="4"/>
      <c r="BF689" s="4"/>
      <c r="BG689" s="4"/>
      <c r="BH689" s="4"/>
      <c r="BI689" s="4"/>
      <c r="BJ689" s="4"/>
      <c r="BK689" s="4"/>
      <c r="BL689" s="4"/>
      <c r="BM689" s="4"/>
      <c r="BN689" s="4"/>
      <c r="BO689" s="4"/>
      <c r="BP689" s="4"/>
      <c r="BQ689" s="4"/>
      <c r="BR689" s="4"/>
    </row>
    <row r="690" spans="1:70" ht="27" customHeight="1" x14ac:dyDescent="0.2">
      <c r="A690" s="532"/>
      <c r="B690" s="917"/>
      <c r="C690" s="4"/>
      <c r="D690" s="917"/>
      <c r="E690" s="4"/>
      <c r="F690" s="917"/>
      <c r="G690" s="4"/>
      <c r="H690" s="920"/>
      <c r="I690" s="3"/>
      <c r="J690" s="920"/>
      <c r="K690" s="3"/>
      <c r="L690" s="920"/>
      <c r="M690" s="3"/>
      <c r="N690" s="920"/>
      <c r="O690" s="3"/>
      <c r="P690" s="3"/>
      <c r="Q690" s="533"/>
      <c r="R690" s="920"/>
      <c r="S690" s="534"/>
      <c r="T690" s="920"/>
      <c r="U690" s="920"/>
      <c r="V690" s="920"/>
      <c r="W690" s="535"/>
      <c r="X690" s="687"/>
      <c r="Y690" s="687"/>
      <c r="Z690" s="687"/>
      <c r="AA690" s="678"/>
      <c r="AB690" s="543"/>
      <c r="AC690" s="3"/>
      <c r="AD690" s="533"/>
      <c r="AE690" s="3"/>
      <c r="AF690" s="4"/>
      <c r="AG690" s="4"/>
      <c r="AH690" s="4"/>
      <c r="AI690" s="4"/>
      <c r="AJ690" s="4"/>
      <c r="AK690" s="4"/>
      <c r="AL690" s="4"/>
      <c r="AM690" s="4"/>
      <c r="AN690" s="4"/>
      <c r="AO690" s="4"/>
      <c r="AP690" s="4"/>
      <c r="AQ690" s="4"/>
      <c r="AR690" s="4"/>
      <c r="AS690" s="4"/>
      <c r="AT690" s="4"/>
      <c r="AU690" s="4"/>
      <c r="AV690" s="537"/>
      <c r="AW690" s="537"/>
      <c r="AX690" s="4"/>
      <c r="AY690" s="4"/>
      <c r="AZ690" s="4"/>
      <c r="BA690" s="4"/>
      <c r="BB690" s="4"/>
      <c r="BC690" s="4"/>
      <c r="BD690" s="4"/>
      <c r="BE690" s="4"/>
      <c r="BF690" s="4"/>
      <c r="BG690" s="4"/>
      <c r="BH690" s="4"/>
      <c r="BI690" s="4"/>
      <c r="BJ690" s="4"/>
      <c r="BK690" s="4"/>
      <c r="BL690" s="4"/>
      <c r="BM690" s="4"/>
      <c r="BN690" s="4"/>
      <c r="BO690" s="4"/>
      <c r="BP690" s="4"/>
      <c r="BQ690" s="4"/>
      <c r="BR690" s="4"/>
    </row>
    <row r="691" spans="1:70" ht="27" customHeight="1" x14ac:dyDescent="0.2">
      <c r="A691" s="532"/>
      <c r="B691" s="917"/>
      <c r="C691" s="4"/>
      <c r="D691" s="917"/>
      <c r="E691" s="4"/>
      <c r="F691" s="917"/>
      <c r="G691" s="4"/>
      <c r="H691" s="920"/>
      <c r="I691" s="3"/>
      <c r="J691" s="920"/>
      <c r="K691" s="3"/>
      <c r="L691" s="920"/>
      <c r="M691" s="3"/>
      <c r="N691" s="920"/>
      <c r="O691" s="3"/>
      <c r="P691" s="3"/>
      <c r="Q691" s="533"/>
      <c r="R691" s="920"/>
      <c r="S691" s="534"/>
      <c r="T691" s="920"/>
      <c r="U691" s="920"/>
      <c r="V691" s="920"/>
      <c r="W691" s="535"/>
      <c r="X691" s="687"/>
      <c r="Y691" s="687"/>
      <c r="Z691" s="687"/>
      <c r="AA691" s="678"/>
      <c r="AB691" s="543"/>
      <c r="AC691" s="3"/>
      <c r="AD691" s="533"/>
      <c r="AE691" s="3"/>
      <c r="AF691" s="4"/>
      <c r="AG691" s="4"/>
      <c r="AH691" s="4"/>
      <c r="AI691" s="4"/>
      <c r="AJ691" s="4"/>
      <c r="AK691" s="4"/>
      <c r="AL691" s="4"/>
      <c r="AM691" s="4"/>
      <c r="AN691" s="4"/>
      <c r="AO691" s="4"/>
      <c r="AP691" s="4"/>
      <c r="AQ691" s="4"/>
      <c r="AR691" s="4"/>
      <c r="AS691" s="4"/>
      <c r="AT691" s="4"/>
      <c r="AU691" s="4"/>
      <c r="AV691" s="537"/>
      <c r="AW691" s="537"/>
      <c r="AX691" s="4"/>
      <c r="AY691" s="4"/>
      <c r="AZ691" s="4"/>
      <c r="BA691" s="4"/>
      <c r="BB691" s="4"/>
      <c r="BC691" s="4"/>
      <c r="BD691" s="4"/>
      <c r="BE691" s="4"/>
      <c r="BF691" s="4"/>
      <c r="BG691" s="4"/>
      <c r="BH691" s="4"/>
      <c r="BI691" s="4"/>
      <c r="BJ691" s="4"/>
      <c r="BK691" s="4"/>
      <c r="BL691" s="4"/>
      <c r="BM691" s="4"/>
      <c r="BN691" s="4"/>
      <c r="BO691" s="4"/>
      <c r="BP691" s="4"/>
      <c r="BQ691" s="4"/>
      <c r="BR691" s="4"/>
    </row>
    <row r="692" spans="1:70" ht="27" customHeight="1" x14ac:dyDescent="0.2">
      <c r="A692" s="532"/>
      <c r="B692" s="917"/>
      <c r="C692" s="4"/>
      <c r="D692" s="917"/>
      <c r="E692" s="4"/>
      <c r="F692" s="917"/>
      <c r="G692" s="4"/>
      <c r="H692" s="920"/>
      <c r="I692" s="3"/>
      <c r="J692" s="920"/>
      <c r="K692" s="3"/>
      <c r="L692" s="920"/>
      <c r="M692" s="3"/>
      <c r="N692" s="920"/>
      <c r="O692" s="3"/>
      <c r="P692" s="3"/>
      <c r="Q692" s="533"/>
      <c r="R692" s="920"/>
      <c r="S692" s="534"/>
      <c r="T692" s="920"/>
      <c r="U692" s="920"/>
      <c r="V692" s="920"/>
      <c r="W692" s="535"/>
      <c r="X692" s="687"/>
      <c r="Y692" s="687"/>
      <c r="Z692" s="687"/>
      <c r="AA692" s="678"/>
      <c r="AB692" s="543"/>
      <c r="AC692" s="3"/>
      <c r="AD692" s="533"/>
      <c r="AE692" s="3"/>
      <c r="AF692" s="4"/>
      <c r="AG692" s="4"/>
      <c r="AH692" s="4"/>
      <c r="AI692" s="4"/>
      <c r="AJ692" s="4"/>
      <c r="AK692" s="4"/>
      <c r="AL692" s="4"/>
      <c r="AM692" s="4"/>
      <c r="AN692" s="4"/>
      <c r="AO692" s="4"/>
      <c r="AP692" s="4"/>
      <c r="AQ692" s="4"/>
      <c r="AR692" s="4"/>
      <c r="AS692" s="4"/>
      <c r="AT692" s="4"/>
      <c r="AU692" s="4"/>
      <c r="AV692" s="537"/>
      <c r="AW692" s="537"/>
      <c r="AX692" s="4"/>
      <c r="AY692" s="4"/>
      <c r="AZ692" s="4"/>
      <c r="BA692" s="4"/>
      <c r="BB692" s="4"/>
      <c r="BC692" s="4"/>
      <c r="BD692" s="4"/>
      <c r="BE692" s="4"/>
      <c r="BF692" s="4"/>
      <c r="BG692" s="4"/>
      <c r="BH692" s="4"/>
      <c r="BI692" s="4"/>
      <c r="BJ692" s="4"/>
      <c r="BK692" s="4"/>
      <c r="BL692" s="4"/>
      <c r="BM692" s="4"/>
      <c r="BN692" s="4"/>
      <c r="BO692" s="4"/>
      <c r="BP692" s="4"/>
      <c r="BQ692" s="4"/>
      <c r="BR692" s="4"/>
    </row>
    <row r="693" spans="1:70" ht="27" customHeight="1" x14ac:dyDescent="0.2">
      <c r="A693" s="532"/>
      <c r="B693" s="917"/>
      <c r="C693" s="4"/>
      <c r="D693" s="917"/>
      <c r="E693" s="4"/>
      <c r="F693" s="917"/>
      <c r="G693" s="4"/>
      <c r="H693" s="920"/>
      <c r="I693" s="3"/>
      <c r="J693" s="920"/>
      <c r="K693" s="3"/>
      <c r="L693" s="920"/>
      <c r="M693" s="3"/>
      <c r="N693" s="920"/>
      <c r="O693" s="3"/>
      <c r="P693" s="3"/>
      <c r="Q693" s="533"/>
      <c r="R693" s="920"/>
      <c r="S693" s="534"/>
      <c r="T693" s="920"/>
      <c r="U693" s="920"/>
      <c r="V693" s="920"/>
      <c r="W693" s="535"/>
      <c r="X693" s="687"/>
      <c r="Y693" s="687"/>
      <c r="Z693" s="687"/>
      <c r="AA693" s="678"/>
      <c r="AB693" s="543"/>
      <c r="AC693" s="3"/>
      <c r="AD693" s="533"/>
      <c r="AE693" s="3"/>
      <c r="AF693" s="4"/>
      <c r="AG693" s="4"/>
      <c r="AH693" s="4"/>
      <c r="AI693" s="4"/>
      <c r="AJ693" s="4"/>
      <c r="AK693" s="4"/>
      <c r="AL693" s="4"/>
      <c r="AM693" s="4"/>
      <c r="AN693" s="4"/>
      <c r="AO693" s="4"/>
      <c r="AP693" s="4"/>
      <c r="AQ693" s="4"/>
      <c r="AR693" s="4"/>
      <c r="AS693" s="4"/>
      <c r="AT693" s="4"/>
      <c r="AU693" s="4"/>
      <c r="AV693" s="537"/>
      <c r="AW693" s="537"/>
      <c r="AX693" s="4"/>
      <c r="AY693" s="4"/>
      <c r="AZ693" s="4"/>
      <c r="BA693" s="4"/>
      <c r="BB693" s="4"/>
      <c r="BC693" s="4"/>
      <c r="BD693" s="4"/>
      <c r="BE693" s="4"/>
      <c r="BF693" s="4"/>
      <c r="BG693" s="4"/>
      <c r="BH693" s="4"/>
      <c r="BI693" s="4"/>
      <c r="BJ693" s="4"/>
      <c r="BK693" s="4"/>
      <c r="BL693" s="4"/>
      <c r="BM693" s="4"/>
      <c r="BN693" s="4"/>
      <c r="BO693" s="4"/>
      <c r="BP693" s="4"/>
      <c r="BQ693" s="4"/>
      <c r="BR693" s="4"/>
    </row>
    <row r="694" spans="1:70" ht="27" customHeight="1" x14ac:dyDescent="0.2">
      <c r="A694" s="532"/>
      <c r="B694" s="917"/>
      <c r="C694" s="4"/>
      <c r="D694" s="917"/>
      <c r="E694" s="4"/>
      <c r="F694" s="917"/>
      <c r="G694" s="4"/>
      <c r="H694" s="920"/>
      <c r="I694" s="3"/>
      <c r="J694" s="920"/>
      <c r="K694" s="3"/>
      <c r="L694" s="920"/>
      <c r="M694" s="3"/>
      <c r="N694" s="920"/>
      <c r="O694" s="3"/>
      <c r="P694" s="3"/>
      <c r="Q694" s="533"/>
      <c r="R694" s="920"/>
      <c r="S694" s="534"/>
      <c r="T694" s="920"/>
      <c r="U694" s="920"/>
      <c r="V694" s="920"/>
      <c r="W694" s="535"/>
      <c r="X694" s="687"/>
      <c r="Y694" s="687"/>
      <c r="Z694" s="687"/>
      <c r="AA694" s="678"/>
      <c r="AB694" s="543"/>
      <c r="AC694" s="3"/>
      <c r="AD694" s="533"/>
      <c r="AE694" s="3"/>
      <c r="AF694" s="4"/>
      <c r="AG694" s="4"/>
      <c r="AH694" s="4"/>
      <c r="AI694" s="4"/>
      <c r="AJ694" s="4"/>
      <c r="AK694" s="4"/>
      <c r="AL694" s="4"/>
      <c r="AM694" s="4"/>
      <c r="AN694" s="4"/>
      <c r="AO694" s="4"/>
      <c r="AP694" s="4"/>
      <c r="AQ694" s="4"/>
      <c r="AR694" s="4"/>
      <c r="AS694" s="4"/>
      <c r="AT694" s="4"/>
      <c r="AU694" s="4"/>
      <c r="AV694" s="537"/>
      <c r="AW694" s="537"/>
      <c r="AX694" s="4"/>
      <c r="AY694" s="4"/>
      <c r="AZ694" s="4"/>
      <c r="BA694" s="4"/>
      <c r="BB694" s="4"/>
      <c r="BC694" s="4"/>
      <c r="BD694" s="4"/>
      <c r="BE694" s="4"/>
      <c r="BF694" s="4"/>
      <c r="BG694" s="4"/>
      <c r="BH694" s="4"/>
      <c r="BI694" s="4"/>
      <c r="BJ694" s="4"/>
      <c r="BK694" s="4"/>
      <c r="BL694" s="4"/>
      <c r="BM694" s="4"/>
      <c r="BN694" s="4"/>
      <c r="BO694" s="4"/>
      <c r="BP694" s="4"/>
      <c r="BQ694" s="4"/>
      <c r="BR694" s="4"/>
    </row>
    <row r="695" spans="1:70" ht="27" customHeight="1" x14ac:dyDescent="0.2">
      <c r="A695" s="532"/>
      <c r="B695" s="917"/>
      <c r="C695" s="4"/>
      <c r="D695" s="917"/>
      <c r="E695" s="4"/>
      <c r="F695" s="917"/>
      <c r="G695" s="4"/>
      <c r="H695" s="920"/>
      <c r="I695" s="3"/>
      <c r="J695" s="920"/>
      <c r="K695" s="3"/>
      <c r="L695" s="920"/>
      <c r="M695" s="3"/>
      <c r="N695" s="920"/>
      <c r="O695" s="3"/>
      <c r="P695" s="3"/>
      <c r="Q695" s="533"/>
      <c r="R695" s="920"/>
      <c r="S695" s="534"/>
      <c r="T695" s="920"/>
      <c r="U695" s="920"/>
      <c r="V695" s="920"/>
      <c r="W695" s="535"/>
      <c r="X695" s="687"/>
      <c r="Y695" s="687"/>
      <c r="Z695" s="687"/>
      <c r="AA695" s="678"/>
      <c r="AB695" s="543"/>
      <c r="AC695" s="3"/>
      <c r="AD695" s="533"/>
      <c r="AE695" s="3"/>
      <c r="AF695" s="4"/>
      <c r="AG695" s="4"/>
      <c r="AH695" s="4"/>
      <c r="AI695" s="4"/>
      <c r="AJ695" s="4"/>
      <c r="AK695" s="4"/>
      <c r="AL695" s="4"/>
      <c r="AM695" s="4"/>
      <c r="AN695" s="4"/>
      <c r="AO695" s="4"/>
      <c r="AP695" s="4"/>
      <c r="AQ695" s="4"/>
      <c r="AR695" s="4"/>
      <c r="AS695" s="4"/>
      <c r="AT695" s="4"/>
      <c r="AU695" s="4"/>
      <c r="AV695" s="537"/>
      <c r="AW695" s="537"/>
      <c r="AX695" s="4"/>
      <c r="AY695" s="4"/>
      <c r="AZ695" s="4"/>
      <c r="BA695" s="4"/>
      <c r="BB695" s="4"/>
      <c r="BC695" s="4"/>
      <c r="BD695" s="4"/>
      <c r="BE695" s="4"/>
      <c r="BF695" s="4"/>
      <c r="BG695" s="4"/>
      <c r="BH695" s="4"/>
      <c r="BI695" s="4"/>
      <c r="BJ695" s="4"/>
      <c r="BK695" s="4"/>
      <c r="BL695" s="4"/>
      <c r="BM695" s="4"/>
      <c r="BN695" s="4"/>
      <c r="BO695" s="4"/>
      <c r="BP695" s="4"/>
      <c r="BQ695" s="4"/>
      <c r="BR695" s="4"/>
    </row>
    <row r="696" spans="1:70" ht="27" customHeight="1" x14ac:dyDescent="0.2">
      <c r="A696" s="532"/>
      <c r="B696" s="917"/>
      <c r="C696" s="4"/>
      <c r="D696" s="917"/>
      <c r="E696" s="4"/>
      <c r="F696" s="917"/>
      <c r="G696" s="4"/>
      <c r="H696" s="920"/>
      <c r="I696" s="3"/>
      <c r="J696" s="920"/>
      <c r="K696" s="3"/>
      <c r="L696" s="920"/>
      <c r="M696" s="3"/>
      <c r="N696" s="920"/>
      <c r="O696" s="3"/>
      <c r="P696" s="3"/>
      <c r="Q696" s="533"/>
      <c r="R696" s="920"/>
      <c r="S696" s="534"/>
      <c r="T696" s="920"/>
      <c r="U696" s="920"/>
      <c r="V696" s="920"/>
      <c r="W696" s="535"/>
      <c r="X696" s="687"/>
      <c r="Y696" s="687"/>
      <c r="Z696" s="687"/>
      <c r="AA696" s="678"/>
      <c r="AB696" s="543"/>
      <c r="AC696" s="3"/>
      <c r="AD696" s="533"/>
      <c r="AE696" s="3"/>
      <c r="AF696" s="4"/>
      <c r="AG696" s="4"/>
      <c r="AH696" s="4"/>
      <c r="AI696" s="4"/>
      <c r="AJ696" s="4"/>
      <c r="AK696" s="4"/>
      <c r="AL696" s="4"/>
      <c r="AM696" s="4"/>
      <c r="AN696" s="4"/>
      <c r="AO696" s="4"/>
      <c r="AP696" s="4"/>
      <c r="AQ696" s="4"/>
      <c r="AR696" s="4"/>
      <c r="AS696" s="4"/>
      <c r="AT696" s="4"/>
      <c r="AU696" s="4"/>
      <c r="AV696" s="537"/>
      <c r="AW696" s="537"/>
      <c r="AX696" s="4"/>
      <c r="AY696" s="4"/>
      <c r="AZ696" s="4"/>
      <c r="BA696" s="4"/>
      <c r="BB696" s="4"/>
      <c r="BC696" s="4"/>
      <c r="BD696" s="4"/>
      <c r="BE696" s="4"/>
      <c r="BF696" s="4"/>
      <c r="BG696" s="4"/>
      <c r="BH696" s="4"/>
      <c r="BI696" s="4"/>
      <c r="BJ696" s="4"/>
      <c r="BK696" s="4"/>
      <c r="BL696" s="4"/>
      <c r="BM696" s="4"/>
      <c r="BN696" s="4"/>
      <c r="BO696" s="4"/>
      <c r="BP696" s="4"/>
      <c r="BQ696" s="4"/>
      <c r="BR696" s="4"/>
    </row>
    <row r="697" spans="1:70" ht="27" customHeight="1" x14ac:dyDescent="0.2">
      <c r="A697" s="532"/>
      <c r="B697" s="917"/>
      <c r="C697" s="4"/>
      <c r="D697" s="917"/>
      <c r="E697" s="4"/>
      <c r="F697" s="917"/>
      <c r="G697" s="4"/>
      <c r="H697" s="920"/>
      <c r="I697" s="3"/>
      <c r="J697" s="920"/>
      <c r="K697" s="3"/>
      <c r="L697" s="920"/>
      <c r="M697" s="3"/>
      <c r="N697" s="920"/>
      <c r="O697" s="3"/>
      <c r="P697" s="3"/>
      <c r="Q697" s="533"/>
      <c r="R697" s="920"/>
      <c r="S697" s="534"/>
      <c r="T697" s="920"/>
      <c r="U697" s="920"/>
      <c r="V697" s="920"/>
      <c r="W697" s="535"/>
      <c r="X697" s="687"/>
      <c r="Y697" s="687"/>
      <c r="Z697" s="687"/>
      <c r="AA697" s="678"/>
      <c r="AB697" s="543"/>
      <c r="AC697" s="3"/>
      <c r="AD697" s="533"/>
      <c r="AE697" s="3"/>
      <c r="AF697" s="4"/>
      <c r="AG697" s="4"/>
      <c r="AH697" s="4"/>
      <c r="AI697" s="4"/>
      <c r="AJ697" s="4"/>
      <c r="AK697" s="4"/>
      <c r="AL697" s="4"/>
      <c r="AM697" s="4"/>
      <c r="AN697" s="4"/>
      <c r="AO697" s="4"/>
      <c r="AP697" s="4"/>
      <c r="AQ697" s="4"/>
      <c r="AR697" s="4"/>
      <c r="AS697" s="4"/>
      <c r="AT697" s="4"/>
      <c r="AU697" s="4"/>
      <c r="AV697" s="537"/>
      <c r="AW697" s="537"/>
      <c r="AX697" s="4"/>
      <c r="AY697" s="4"/>
      <c r="AZ697" s="4"/>
      <c r="BA697" s="4"/>
      <c r="BB697" s="4"/>
      <c r="BC697" s="4"/>
      <c r="BD697" s="4"/>
      <c r="BE697" s="4"/>
      <c r="BF697" s="4"/>
      <c r="BG697" s="4"/>
      <c r="BH697" s="4"/>
      <c r="BI697" s="4"/>
      <c r="BJ697" s="4"/>
      <c r="BK697" s="4"/>
      <c r="BL697" s="4"/>
      <c r="BM697" s="4"/>
      <c r="BN697" s="4"/>
      <c r="BO697" s="4"/>
      <c r="BP697" s="4"/>
      <c r="BQ697" s="4"/>
      <c r="BR697" s="4"/>
    </row>
    <row r="698" spans="1:70" ht="27" customHeight="1" x14ac:dyDescent="0.2">
      <c r="A698" s="532"/>
      <c r="B698" s="917"/>
      <c r="C698" s="4"/>
      <c r="D698" s="917"/>
      <c r="E698" s="4"/>
      <c r="F698" s="917"/>
      <c r="G698" s="4"/>
      <c r="H698" s="920"/>
      <c r="I698" s="3"/>
      <c r="J698" s="920"/>
      <c r="K698" s="3"/>
      <c r="L698" s="920"/>
      <c r="M698" s="3"/>
      <c r="N698" s="920"/>
      <c r="O698" s="3"/>
      <c r="P698" s="3"/>
      <c r="Q698" s="533"/>
      <c r="R698" s="920"/>
      <c r="S698" s="534"/>
      <c r="T698" s="920"/>
      <c r="U698" s="920"/>
      <c r="V698" s="920"/>
      <c r="W698" s="535"/>
      <c r="X698" s="687"/>
      <c r="Y698" s="687"/>
      <c r="Z698" s="687"/>
      <c r="AA698" s="678"/>
      <c r="AB698" s="543"/>
      <c r="AC698" s="3"/>
      <c r="AD698" s="533"/>
      <c r="AE698" s="3"/>
      <c r="AF698" s="4"/>
      <c r="AG698" s="4"/>
      <c r="AH698" s="4"/>
      <c r="AI698" s="4"/>
      <c r="AJ698" s="4"/>
      <c r="AK698" s="4"/>
      <c r="AL698" s="4"/>
      <c r="AM698" s="4"/>
      <c r="AN698" s="4"/>
      <c r="AO698" s="4"/>
      <c r="AP698" s="4"/>
      <c r="AQ698" s="4"/>
      <c r="AR698" s="4"/>
      <c r="AS698" s="4"/>
      <c r="AT698" s="4"/>
      <c r="AU698" s="4"/>
      <c r="AV698" s="537"/>
      <c r="AW698" s="537"/>
      <c r="AX698" s="4"/>
      <c r="AY698" s="4"/>
      <c r="AZ698" s="4"/>
      <c r="BA698" s="4"/>
      <c r="BB698" s="4"/>
      <c r="BC698" s="4"/>
      <c r="BD698" s="4"/>
      <c r="BE698" s="4"/>
      <c r="BF698" s="4"/>
      <c r="BG698" s="4"/>
      <c r="BH698" s="4"/>
      <c r="BI698" s="4"/>
      <c r="BJ698" s="4"/>
      <c r="BK698" s="4"/>
      <c r="BL698" s="4"/>
      <c r="BM698" s="4"/>
      <c r="BN698" s="4"/>
      <c r="BO698" s="4"/>
      <c r="BP698" s="4"/>
      <c r="BQ698" s="4"/>
      <c r="BR698" s="4"/>
    </row>
    <row r="699" spans="1:70" ht="27" customHeight="1" x14ac:dyDescent="0.2">
      <c r="A699" s="532"/>
      <c r="B699" s="917"/>
      <c r="C699" s="4"/>
      <c r="D699" s="917"/>
      <c r="E699" s="4"/>
      <c r="F699" s="917"/>
      <c r="G699" s="4"/>
      <c r="H699" s="920"/>
      <c r="I699" s="3"/>
      <c r="J699" s="920"/>
      <c r="K699" s="3"/>
      <c r="L699" s="920"/>
      <c r="M699" s="3"/>
      <c r="N699" s="920"/>
      <c r="O699" s="3"/>
      <c r="P699" s="3"/>
      <c r="Q699" s="533"/>
      <c r="R699" s="920"/>
      <c r="S699" s="534"/>
      <c r="T699" s="920"/>
      <c r="U699" s="920"/>
      <c r="V699" s="920"/>
      <c r="W699" s="535"/>
      <c r="X699" s="687"/>
      <c r="Y699" s="687"/>
      <c r="Z699" s="687"/>
      <c r="AA699" s="678"/>
      <c r="AB699" s="543"/>
      <c r="AC699" s="3"/>
      <c r="AD699" s="533"/>
      <c r="AE699" s="3"/>
      <c r="AF699" s="4"/>
      <c r="AG699" s="4"/>
      <c r="AH699" s="4"/>
      <c r="AI699" s="4"/>
      <c r="AJ699" s="4"/>
      <c r="AK699" s="4"/>
      <c r="AL699" s="4"/>
      <c r="AM699" s="4"/>
      <c r="AN699" s="4"/>
      <c r="AO699" s="4"/>
      <c r="AP699" s="4"/>
      <c r="AQ699" s="4"/>
      <c r="AR699" s="4"/>
      <c r="AS699" s="4"/>
      <c r="AT699" s="4"/>
      <c r="AU699" s="4"/>
      <c r="AV699" s="537"/>
      <c r="AW699" s="537"/>
      <c r="AX699" s="4"/>
      <c r="AY699" s="4"/>
      <c r="AZ699" s="4"/>
      <c r="BA699" s="4"/>
      <c r="BB699" s="4"/>
      <c r="BC699" s="4"/>
      <c r="BD699" s="4"/>
      <c r="BE699" s="4"/>
      <c r="BF699" s="4"/>
      <c r="BG699" s="4"/>
      <c r="BH699" s="4"/>
      <c r="BI699" s="4"/>
      <c r="BJ699" s="4"/>
      <c r="BK699" s="4"/>
      <c r="BL699" s="4"/>
      <c r="BM699" s="4"/>
      <c r="BN699" s="4"/>
      <c r="BO699" s="4"/>
      <c r="BP699" s="4"/>
      <c r="BQ699" s="4"/>
      <c r="BR699" s="4"/>
    </row>
    <row r="700" spans="1:70" ht="27" customHeight="1" x14ac:dyDescent="0.2">
      <c r="A700" s="532"/>
      <c r="B700" s="917"/>
      <c r="C700" s="4"/>
      <c r="D700" s="917"/>
      <c r="E700" s="4"/>
      <c r="F700" s="917"/>
      <c r="G700" s="4"/>
      <c r="H700" s="920"/>
      <c r="I700" s="3"/>
      <c r="J700" s="920"/>
      <c r="K700" s="3"/>
      <c r="L700" s="920"/>
      <c r="M700" s="3"/>
      <c r="N700" s="920"/>
      <c r="O700" s="3"/>
      <c r="P700" s="3"/>
      <c r="Q700" s="533"/>
      <c r="R700" s="920"/>
      <c r="S700" s="534"/>
      <c r="T700" s="920"/>
      <c r="U700" s="920"/>
      <c r="V700" s="920"/>
      <c r="W700" s="535"/>
      <c r="X700" s="687"/>
      <c r="Y700" s="687"/>
      <c r="Z700" s="687"/>
      <c r="AA700" s="678"/>
      <c r="AB700" s="543"/>
      <c r="AC700" s="3"/>
      <c r="AD700" s="533"/>
      <c r="AE700" s="3"/>
      <c r="AF700" s="4"/>
      <c r="AG700" s="4"/>
      <c r="AH700" s="4"/>
      <c r="AI700" s="4"/>
      <c r="AJ700" s="4"/>
      <c r="AK700" s="4"/>
      <c r="AL700" s="4"/>
      <c r="AM700" s="4"/>
      <c r="AN700" s="4"/>
      <c r="AO700" s="4"/>
      <c r="AP700" s="4"/>
      <c r="AQ700" s="4"/>
      <c r="AR700" s="4"/>
      <c r="AS700" s="4"/>
      <c r="AT700" s="4"/>
      <c r="AU700" s="4"/>
      <c r="AV700" s="537"/>
      <c r="AW700" s="537"/>
      <c r="AX700" s="4"/>
      <c r="AY700" s="4"/>
      <c r="AZ700" s="4"/>
      <c r="BA700" s="4"/>
      <c r="BB700" s="4"/>
      <c r="BC700" s="4"/>
      <c r="BD700" s="4"/>
      <c r="BE700" s="4"/>
      <c r="BF700" s="4"/>
      <c r="BG700" s="4"/>
      <c r="BH700" s="4"/>
      <c r="BI700" s="4"/>
      <c r="BJ700" s="4"/>
      <c r="BK700" s="4"/>
      <c r="BL700" s="4"/>
      <c r="BM700" s="4"/>
      <c r="BN700" s="4"/>
      <c r="BO700" s="4"/>
      <c r="BP700" s="4"/>
      <c r="BQ700" s="4"/>
      <c r="BR700" s="4"/>
    </row>
    <row r="701" spans="1:70" ht="27" customHeight="1" x14ac:dyDescent="0.2">
      <c r="A701" s="532"/>
      <c r="B701" s="917"/>
      <c r="C701" s="4"/>
      <c r="D701" s="917"/>
      <c r="E701" s="4"/>
      <c r="F701" s="917"/>
      <c r="G701" s="4"/>
      <c r="H701" s="920"/>
      <c r="I701" s="3"/>
      <c r="J701" s="920"/>
      <c r="K701" s="3"/>
      <c r="L701" s="920"/>
      <c r="M701" s="3"/>
      <c r="N701" s="920"/>
      <c r="O701" s="3"/>
      <c r="P701" s="3"/>
      <c r="Q701" s="533"/>
      <c r="R701" s="920"/>
      <c r="S701" s="534"/>
      <c r="T701" s="920"/>
      <c r="U701" s="920"/>
      <c r="V701" s="920"/>
      <c r="W701" s="535"/>
      <c r="X701" s="687"/>
      <c r="Y701" s="687"/>
      <c r="Z701" s="687"/>
      <c r="AA701" s="678"/>
      <c r="AB701" s="543"/>
      <c r="AC701" s="3"/>
      <c r="AD701" s="533"/>
      <c r="AE701" s="3"/>
      <c r="AF701" s="4"/>
      <c r="AG701" s="4"/>
      <c r="AH701" s="4"/>
      <c r="AI701" s="4"/>
      <c r="AJ701" s="4"/>
      <c r="AK701" s="4"/>
      <c r="AL701" s="4"/>
      <c r="AM701" s="4"/>
      <c r="AN701" s="4"/>
      <c r="AO701" s="4"/>
      <c r="AP701" s="4"/>
      <c r="AQ701" s="4"/>
      <c r="AR701" s="4"/>
      <c r="AS701" s="4"/>
      <c r="AT701" s="4"/>
      <c r="AU701" s="4"/>
      <c r="AV701" s="537"/>
      <c r="AW701" s="537"/>
      <c r="AX701" s="4"/>
      <c r="AY701" s="4"/>
      <c r="AZ701" s="4"/>
      <c r="BA701" s="4"/>
      <c r="BB701" s="4"/>
      <c r="BC701" s="4"/>
      <c r="BD701" s="4"/>
      <c r="BE701" s="4"/>
      <c r="BF701" s="4"/>
      <c r="BG701" s="4"/>
      <c r="BH701" s="4"/>
      <c r="BI701" s="4"/>
      <c r="BJ701" s="4"/>
      <c r="BK701" s="4"/>
      <c r="BL701" s="4"/>
      <c r="BM701" s="4"/>
      <c r="BN701" s="4"/>
      <c r="BO701" s="4"/>
      <c r="BP701" s="4"/>
      <c r="BQ701" s="4"/>
      <c r="BR701" s="4"/>
    </row>
    <row r="702" spans="1:70" ht="27" customHeight="1" x14ac:dyDescent="0.2">
      <c r="A702" s="532"/>
      <c r="B702" s="917"/>
      <c r="C702" s="4"/>
      <c r="D702" s="917"/>
      <c r="E702" s="4"/>
      <c r="F702" s="917"/>
      <c r="G702" s="4"/>
      <c r="H702" s="920"/>
      <c r="I702" s="3"/>
      <c r="J702" s="920"/>
      <c r="K702" s="3"/>
      <c r="L702" s="920"/>
      <c r="M702" s="3"/>
      <c r="N702" s="920"/>
      <c r="O702" s="3"/>
      <c r="P702" s="3"/>
      <c r="Q702" s="533"/>
      <c r="R702" s="920"/>
      <c r="S702" s="534"/>
      <c r="T702" s="920"/>
      <c r="U702" s="920"/>
      <c r="V702" s="920"/>
      <c r="W702" s="535"/>
      <c r="X702" s="687"/>
      <c r="Y702" s="687"/>
      <c r="Z702" s="687"/>
      <c r="AA702" s="678"/>
      <c r="AB702" s="543"/>
      <c r="AC702" s="3"/>
      <c r="AD702" s="533"/>
      <c r="AE702" s="3"/>
      <c r="AF702" s="4"/>
      <c r="AG702" s="4"/>
      <c r="AH702" s="4"/>
      <c r="AI702" s="4"/>
      <c r="AJ702" s="4"/>
      <c r="AK702" s="4"/>
      <c r="AL702" s="4"/>
      <c r="AM702" s="4"/>
      <c r="AN702" s="4"/>
      <c r="AO702" s="4"/>
      <c r="AP702" s="4"/>
      <c r="AQ702" s="4"/>
      <c r="AR702" s="4"/>
      <c r="AS702" s="4"/>
      <c r="AT702" s="4"/>
      <c r="AU702" s="4"/>
      <c r="AV702" s="537"/>
      <c r="AW702" s="537"/>
      <c r="AX702" s="4"/>
      <c r="AY702" s="4"/>
      <c r="AZ702" s="4"/>
      <c r="BA702" s="4"/>
      <c r="BB702" s="4"/>
      <c r="BC702" s="4"/>
      <c r="BD702" s="4"/>
      <c r="BE702" s="4"/>
      <c r="BF702" s="4"/>
      <c r="BG702" s="4"/>
      <c r="BH702" s="4"/>
      <c r="BI702" s="4"/>
      <c r="BJ702" s="4"/>
      <c r="BK702" s="4"/>
      <c r="BL702" s="4"/>
      <c r="BM702" s="4"/>
      <c r="BN702" s="4"/>
      <c r="BO702" s="4"/>
      <c r="BP702" s="4"/>
      <c r="BQ702" s="4"/>
      <c r="BR702" s="4"/>
    </row>
    <row r="703" spans="1:70" ht="27" customHeight="1" x14ac:dyDescent="0.2">
      <c r="A703" s="532"/>
      <c r="B703" s="917"/>
      <c r="C703" s="4"/>
      <c r="D703" s="917"/>
      <c r="E703" s="4"/>
      <c r="F703" s="917"/>
      <c r="G703" s="4"/>
      <c r="H703" s="920"/>
      <c r="I703" s="3"/>
      <c r="J703" s="920"/>
      <c r="K703" s="3"/>
      <c r="L703" s="920"/>
      <c r="M703" s="3"/>
      <c r="N703" s="920"/>
      <c r="O703" s="3"/>
      <c r="P703" s="3"/>
      <c r="Q703" s="533"/>
      <c r="R703" s="920"/>
      <c r="S703" s="534"/>
      <c r="T703" s="920"/>
      <c r="U703" s="920"/>
      <c r="V703" s="920"/>
      <c r="W703" s="535"/>
      <c r="X703" s="687"/>
      <c r="Y703" s="687"/>
      <c r="Z703" s="687"/>
      <c r="AA703" s="678"/>
      <c r="AB703" s="543"/>
      <c r="AC703" s="3"/>
      <c r="AD703" s="533"/>
      <c r="AE703" s="3"/>
      <c r="AF703" s="4"/>
      <c r="AG703" s="4"/>
      <c r="AH703" s="4"/>
      <c r="AI703" s="4"/>
      <c r="AJ703" s="4"/>
      <c r="AK703" s="4"/>
      <c r="AL703" s="4"/>
      <c r="AM703" s="4"/>
      <c r="AN703" s="4"/>
      <c r="AO703" s="4"/>
      <c r="AP703" s="4"/>
      <c r="AQ703" s="4"/>
      <c r="AR703" s="4"/>
      <c r="AS703" s="4"/>
      <c r="AT703" s="4"/>
      <c r="AU703" s="4"/>
      <c r="AV703" s="537"/>
      <c r="AW703" s="537"/>
      <c r="AX703" s="4"/>
      <c r="AY703" s="4"/>
      <c r="AZ703" s="4"/>
      <c r="BA703" s="4"/>
      <c r="BB703" s="4"/>
      <c r="BC703" s="4"/>
      <c r="BD703" s="4"/>
      <c r="BE703" s="4"/>
      <c r="BF703" s="4"/>
      <c r="BG703" s="4"/>
      <c r="BH703" s="4"/>
      <c r="BI703" s="4"/>
      <c r="BJ703" s="4"/>
      <c r="BK703" s="4"/>
      <c r="BL703" s="4"/>
      <c r="BM703" s="4"/>
      <c r="BN703" s="4"/>
      <c r="BO703" s="4"/>
      <c r="BP703" s="4"/>
      <c r="BQ703" s="4"/>
      <c r="BR703" s="4"/>
    </row>
    <row r="704" spans="1:70" ht="27" customHeight="1" x14ac:dyDescent="0.2">
      <c r="A704" s="532"/>
      <c r="B704" s="917"/>
      <c r="C704" s="4"/>
      <c r="D704" s="917"/>
      <c r="E704" s="4"/>
      <c r="F704" s="917"/>
      <c r="G704" s="4"/>
      <c r="H704" s="920"/>
      <c r="I704" s="3"/>
      <c r="J704" s="920"/>
      <c r="K704" s="3"/>
      <c r="L704" s="920"/>
      <c r="M704" s="3"/>
      <c r="N704" s="920"/>
      <c r="O704" s="3"/>
      <c r="P704" s="3"/>
      <c r="Q704" s="533"/>
      <c r="R704" s="920"/>
      <c r="S704" s="534"/>
      <c r="T704" s="920"/>
      <c r="U704" s="920"/>
      <c r="V704" s="920"/>
      <c r="W704" s="535"/>
      <c r="X704" s="687"/>
      <c r="Y704" s="687"/>
      <c r="Z704" s="687"/>
      <c r="AA704" s="678"/>
      <c r="AB704" s="543"/>
      <c r="AC704" s="3"/>
      <c r="AD704" s="533"/>
      <c r="AE704" s="3"/>
      <c r="AF704" s="4"/>
      <c r="AG704" s="4"/>
      <c r="AH704" s="4"/>
      <c r="AI704" s="4"/>
      <c r="AJ704" s="4"/>
      <c r="AK704" s="4"/>
      <c r="AL704" s="4"/>
      <c r="AM704" s="4"/>
      <c r="AN704" s="4"/>
      <c r="AO704" s="4"/>
      <c r="AP704" s="4"/>
      <c r="AQ704" s="4"/>
      <c r="AR704" s="4"/>
      <c r="AS704" s="4"/>
      <c r="AT704" s="4"/>
      <c r="AU704" s="4"/>
      <c r="AV704" s="537"/>
      <c r="AW704" s="537"/>
      <c r="AX704" s="4"/>
      <c r="AY704" s="4"/>
      <c r="AZ704" s="4"/>
      <c r="BA704" s="4"/>
      <c r="BB704" s="4"/>
      <c r="BC704" s="4"/>
      <c r="BD704" s="4"/>
      <c r="BE704" s="4"/>
      <c r="BF704" s="4"/>
      <c r="BG704" s="4"/>
      <c r="BH704" s="4"/>
      <c r="BI704" s="4"/>
      <c r="BJ704" s="4"/>
      <c r="BK704" s="4"/>
      <c r="BL704" s="4"/>
      <c r="BM704" s="4"/>
      <c r="BN704" s="4"/>
      <c r="BO704" s="4"/>
      <c r="BP704" s="4"/>
      <c r="BQ704" s="4"/>
      <c r="BR704" s="4"/>
    </row>
    <row r="705" spans="1:70" ht="27" customHeight="1" x14ac:dyDescent="0.2">
      <c r="A705" s="532"/>
      <c r="B705" s="917"/>
      <c r="C705" s="4"/>
      <c r="D705" s="917"/>
      <c r="E705" s="4"/>
      <c r="F705" s="917"/>
      <c r="G705" s="4"/>
      <c r="H705" s="920"/>
      <c r="I705" s="3"/>
      <c r="J705" s="920"/>
      <c r="K705" s="3"/>
      <c r="L705" s="920"/>
      <c r="M705" s="3"/>
      <c r="N705" s="920"/>
      <c r="O705" s="3"/>
      <c r="P705" s="3"/>
      <c r="Q705" s="533"/>
      <c r="R705" s="920"/>
      <c r="S705" s="534"/>
      <c r="T705" s="920"/>
      <c r="U705" s="920"/>
      <c r="V705" s="920"/>
      <c r="W705" s="535"/>
      <c r="X705" s="687"/>
      <c r="Y705" s="687"/>
      <c r="Z705" s="687"/>
      <c r="AA705" s="678"/>
      <c r="AB705" s="543"/>
      <c r="AC705" s="3"/>
      <c r="AD705" s="533"/>
      <c r="AE705" s="3"/>
      <c r="AF705" s="4"/>
      <c r="AG705" s="4"/>
      <c r="AH705" s="4"/>
      <c r="AI705" s="4"/>
      <c r="AJ705" s="4"/>
      <c r="AK705" s="4"/>
      <c r="AL705" s="4"/>
      <c r="AM705" s="4"/>
      <c r="AN705" s="4"/>
      <c r="AO705" s="4"/>
      <c r="AP705" s="4"/>
      <c r="AQ705" s="4"/>
      <c r="AR705" s="4"/>
      <c r="AS705" s="4"/>
      <c r="AT705" s="4"/>
      <c r="AU705" s="4"/>
      <c r="AV705" s="537"/>
      <c r="AW705" s="537"/>
      <c r="AX705" s="4"/>
      <c r="AY705" s="4"/>
      <c r="AZ705" s="4"/>
      <c r="BA705" s="4"/>
      <c r="BB705" s="4"/>
      <c r="BC705" s="4"/>
      <c r="BD705" s="4"/>
      <c r="BE705" s="4"/>
      <c r="BF705" s="4"/>
      <c r="BG705" s="4"/>
      <c r="BH705" s="4"/>
      <c r="BI705" s="4"/>
      <c r="BJ705" s="4"/>
      <c r="BK705" s="4"/>
      <c r="BL705" s="4"/>
      <c r="BM705" s="4"/>
      <c r="BN705" s="4"/>
      <c r="BO705" s="4"/>
      <c r="BP705" s="4"/>
      <c r="BQ705" s="4"/>
      <c r="BR705" s="4"/>
    </row>
    <row r="706" spans="1:70" ht="27" customHeight="1" x14ac:dyDescent="0.2">
      <c r="A706" s="532"/>
      <c r="B706" s="917"/>
      <c r="C706" s="4"/>
      <c r="D706" s="917"/>
      <c r="E706" s="4"/>
      <c r="F706" s="917"/>
      <c r="G706" s="4"/>
      <c r="H706" s="920"/>
      <c r="I706" s="3"/>
      <c r="J706" s="920"/>
      <c r="K706" s="3"/>
      <c r="L706" s="920"/>
      <c r="M706" s="3"/>
      <c r="N706" s="920"/>
      <c r="O706" s="3"/>
      <c r="P706" s="3"/>
      <c r="Q706" s="533"/>
      <c r="R706" s="920"/>
      <c r="S706" s="534"/>
      <c r="T706" s="920"/>
      <c r="U706" s="920"/>
      <c r="V706" s="920"/>
      <c r="W706" s="535"/>
      <c r="X706" s="687"/>
      <c r="Y706" s="687"/>
      <c r="Z706" s="687"/>
      <c r="AA706" s="678"/>
      <c r="AB706" s="543"/>
      <c r="AC706" s="3"/>
      <c r="AD706" s="533"/>
      <c r="AE706" s="3"/>
      <c r="AF706" s="4"/>
      <c r="AG706" s="4"/>
      <c r="AH706" s="4"/>
      <c r="AI706" s="4"/>
      <c r="AJ706" s="4"/>
      <c r="AK706" s="4"/>
      <c r="AL706" s="4"/>
      <c r="AM706" s="4"/>
      <c r="AN706" s="4"/>
      <c r="AO706" s="4"/>
      <c r="AP706" s="4"/>
      <c r="AQ706" s="4"/>
      <c r="AR706" s="4"/>
      <c r="AS706" s="4"/>
      <c r="AT706" s="4"/>
      <c r="AU706" s="4"/>
      <c r="AV706" s="537"/>
      <c r="AW706" s="537"/>
      <c r="AX706" s="4"/>
      <c r="AY706" s="4"/>
      <c r="AZ706" s="4"/>
      <c r="BA706" s="4"/>
      <c r="BB706" s="4"/>
      <c r="BC706" s="4"/>
      <c r="BD706" s="4"/>
      <c r="BE706" s="4"/>
      <c r="BF706" s="4"/>
      <c r="BG706" s="4"/>
      <c r="BH706" s="4"/>
      <c r="BI706" s="4"/>
      <c r="BJ706" s="4"/>
      <c r="BK706" s="4"/>
      <c r="BL706" s="4"/>
      <c r="BM706" s="4"/>
      <c r="BN706" s="4"/>
      <c r="BO706" s="4"/>
      <c r="BP706" s="4"/>
      <c r="BQ706" s="4"/>
      <c r="BR706" s="4"/>
    </row>
    <row r="707" spans="1:70" ht="27" customHeight="1" x14ac:dyDescent="0.2">
      <c r="A707" s="532"/>
      <c r="B707" s="917"/>
      <c r="C707" s="4"/>
      <c r="D707" s="917"/>
      <c r="E707" s="4"/>
      <c r="F707" s="917"/>
      <c r="G707" s="4"/>
      <c r="H707" s="920"/>
      <c r="I707" s="3"/>
      <c r="J707" s="920"/>
      <c r="K707" s="3"/>
      <c r="L707" s="920"/>
      <c r="M707" s="3"/>
      <c r="N707" s="920"/>
      <c r="O707" s="3"/>
      <c r="P707" s="3"/>
      <c r="Q707" s="533"/>
      <c r="R707" s="920"/>
      <c r="S707" s="534"/>
      <c r="T707" s="920"/>
      <c r="U707" s="920"/>
      <c r="V707" s="920"/>
      <c r="W707" s="535"/>
      <c r="X707" s="687"/>
      <c r="Y707" s="687"/>
      <c r="Z707" s="687"/>
      <c r="AA707" s="678"/>
      <c r="AB707" s="543"/>
      <c r="AC707" s="3"/>
      <c r="AD707" s="533"/>
      <c r="AE707" s="3"/>
      <c r="AF707" s="4"/>
      <c r="AG707" s="4"/>
      <c r="AH707" s="4"/>
      <c r="AI707" s="4"/>
      <c r="AJ707" s="4"/>
      <c r="AK707" s="4"/>
      <c r="AL707" s="4"/>
      <c r="AM707" s="4"/>
      <c r="AN707" s="4"/>
      <c r="AO707" s="4"/>
      <c r="AP707" s="4"/>
      <c r="AQ707" s="4"/>
      <c r="AR707" s="4"/>
      <c r="AS707" s="4"/>
      <c r="AT707" s="4"/>
      <c r="AU707" s="4"/>
      <c r="AV707" s="537"/>
      <c r="AW707" s="537"/>
      <c r="AX707" s="4"/>
      <c r="AY707" s="4"/>
      <c r="AZ707" s="4"/>
      <c r="BA707" s="4"/>
      <c r="BB707" s="4"/>
      <c r="BC707" s="4"/>
      <c r="BD707" s="4"/>
      <c r="BE707" s="4"/>
      <c r="BF707" s="4"/>
      <c r="BG707" s="4"/>
      <c r="BH707" s="4"/>
      <c r="BI707" s="4"/>
      <c r="BJ707" s="4"/>
      <c r="BK707" s="4"/>
      <c r="BL707" s="4"/>
      <c r="BM707" s="4"/>
      <c r="BN707" s="4"/>
      <c r="BO707" s="4"/>
      <c r="BP707" s="4"/>
      <c r="BQ707" s="4"/>
      <c r="BR707" s="4"/>
    </row>
    <row r="708" spans="1:70" ht="27" customHeight="1" x14ac:dyDescent="0.2">
      <c r="A708" s="532"/>
      <c r="B708" s="917"/>
      <c r="C708" s="4"/>
      <c r="D708" s="917"/>
      <c r="E708" s="4"/>
      <c r="F708" s="917"/>
      <c r="G708" s="4"/>
      <c r="H708" s="920"/>
      <c r="I708" s="3"/>
      <c r="J708" s="920"/>
      <c r="K708" s="3"/>
      <c r="L708" s="920"/>
      <c r="M708" s="3"/>
      <c r="N708" s="920"/>
      <c r="O708" s="3"/>
      <c r="P708" s="3"/>
      <c r="Q708" s="533"/>
      <c r="R708" s="920"/>
      <c r="S708" s="534"/>
      <c r="T708" s="920"/>
      <c r="U708" s="920"/>
      <c r="V708" s="920"/>
      <c r="W708" s="535"/>
      <c r="X708" s="687"/>
      <c r="Y708" s="687"/>
      <c r="Z708" s="687"/>
      <c r="AA708" s="678"/>
      <c r="AB708" s="543"/>
      <c r="AC708" s="3"/>
      <c r="AD708" s="533"/>
      <c r="AE708" s="3"/>
      <c r="AF708" s="4"/>
      <c r="AG708" s="4"/>
      <c r="AH708" s="4"/>
      <c r="AI708" s="4"/>
      <c r="AJ708" s="4"/>
      <c r="AK708" s="4"/>
      <c r="AL708" s="4"/>
      <c r="AM708" s="4"/>
      <c r="AN708" s="4"/>
      <c r="AO708" s="4"/>
      <c r="AP708" s="4"/>
      <c r="AQ708" s="4"/>
      <c r="AR708" s="4"/>
      <c r="AS708" s="4"/>
      <c r="AT708" s="4"/>
      <c r="AU708" s="4"/>
      <c r="AV708" s="537"/>
      <c r="AW708" s="537"/>
      <c r="AX708" s="4"/>
      <c r="AY708" s="4"/>
      <c r="AZ708" s="4"/>
      <c r="BA708" s="4"/>
      <c r="BB708" s="4"/>
      <c r="BC708" s="4"/>
      <c r="BD708" s="4"/>
      <c r="BE708" s="4"/>
      <c r="BF708" s="4"/>
      <c r="BG708" s="4"/>
      <c r="BH708" s="4"/>
      <c r="BI708" s="4"/>
      <c r="BJ708" s="4"/>
      <c r="BK708" s="4"/>
      <c r="BL708" s="4"/>
      <c r="BM708" s="4"/>
      <c r="BN708" s="4"/>
      <c r="BO708" s="4"/>
      <c r="BP708" s="4"/>
      <c r="BQ708" s="4"/>
      <c r="BR708" s="4"/>
    </row>
    <row r="709" spans="1:70" ht="27" customHeight="1" x14ac:dyDescent="0.2">
      <c r="A709" s="532"/>
      <c r="B709" s="917"/>
      <c r="C709" s="4"/>
      <c r="D709" s="917"/>
      <c r="E709" s="4"/>
      <c r="F709" s="917"/>
      <c r="G709" s="4"/>
      <c r="H709" s="920"/>
      <c r="I709" s="3"/>
      <c r="J709" s="920"/>
      <c r="K709" s="3"/>
      <c r="L709" s="920"/>
      <c r="M709" s="3"/>
      <c r="N709" s="920"/>
      <c r="O709" s="3"/>
      <c r="P709" s="3"/>
      <c r="Q709" s="533"/>
      <c r="R709" s="920"/>
      <c r="S709" s="534"/>
      <c r="T709" s="920"/>
      <c r="U709" s="920"/>
      <c r="V709" s="920"/>
      <c r="W709" s="535"/>
      <c r="X709" s="687"/>
      <c r="Y709" s="687"/>
      <c r="Z709" s="687"/>
      <c r="AA709" s="678"/>
      <c r="AB709" s="543"/>
      <c r="AC709" s="3"/>
      <c r="AD709" s="533"/>
      <c r="AE709" s="3"/>
      <c r="AF709" s="4"/>
      <c r="AG709" s="4"/>
      <c r="AH709" s="4"/>
      <c r="AI709" s="4"/>
      <c r="AJ709" s="4"/>
      <c r="AK709" s="4"/>
      <c r="AL709" s="4"/>
      <c r="AM709" s="4"/>
      <c r="AN709" s="4"/>
      <c r="AO709" s="4"/>
      <c r="AP709" s="4"/>
      <c r="AQ709" s="4"/>
      <c r="AR709" s="4"/>
      <c r="AS709" s="4"/>
      <c r="AT709" s="4"/>
      <c r="AU709" s="4"/>
      <c r="AV709" s="537"/>
      <c r="AW709" s="537"/>
      <c r="AX709" s="4"/>
      <c r="AY709" s="4"/>
      <c r="AZ709" s="4"/>
      <c r="BA709" s="4"/>
      <c r="BB709" s="4"/>
      <c r="BC709" s="4"/>
      <c r="BD709" s="4"/>
      <c r="BE709" s="4"/>
      <c r="BF709" s="4"/>
      <c r="BG709" s="4"/>
      <c r="BH709" s="4"/>
      <c r="BI709" s="4"/>
      <c r="BJ709" s="4"/>
      <c r="BK709" s="4"/>
      <c r="BL709" s="4"/>
      <c r="BM709" s="4"/>
      <c r="BN709" s="4"/>
      <c r="BO709" s="4"/>
      <c r="BP709" s="4"/>
      <c r="BQ709" s="4"/>
      <c r="BR709" s="4"/>
    </row>
    <row r="710" spans="1:70" ht="27" customHeight="1" x14ac:dyDescent="0.2">
      <c r="A710" s="532"/>
      <c r="B710" s="917"/>
      <c r="C710" s="4"/>
      <c r="D710" s="917"/>
      <c r="E710" s="4"/>
      <c r="F710" s="917"/>
      <c r="G710" s="4"/>
      <c r="H710" s="920"/>
      <c r="I710" s="3"/>
      <c r="J710" s="920"/>
      <c r="K710" s="3"/>
      <c r="L710" s="920"/>
      <c r="M710" s="3"/>
      <c r="N710" s="920"/>
      <c r="O710" s="3"/>
      <c r="P710" s="3"/>
      <c r="Q710" s="533"/>
      <c r="R710" s="920"/>
      <c r="S710" s="534"/>
      <c r="T710" s="920"/>
      <c r="U710" s="920"/>
      <c r="V710" s="920"/>
      <c r="W710" s="535"/>
      <c r="X710" s="687"/>
      <c r="Y710" s="687"/>
      <c r="Z710" s="687"/>
      <c r="AA710" s="678"/>
      <c r="AB710" s="543"/>
      <c r="AC710" s="3"/>
      <c r="AD710" s="533"/>
      <c r="AE710" s="3"/>
      <c r="AF710" s="4"/>
      <c r="AG710" s="4"/>
      <c r="AH710" s="4"/>
      <c r="AI710" s="4"/>
      <c r="AJ710" s="4"/>
      <c r="AK710" s="4"/>
      <c r="AL710" s="4"/>
      <c r="AM710" s="4"/>
      <c r="AN710" s="4"/>
      <c r="AO710" s="4"/>
      <c r="AP710" s="4"/>
      <c r="AQ710" s="4"/>
      <c r="AR710" s="4"/>
      <c r="AS710" s="4"/>
      <c r="AT710" s="4"/>
      <c r="AU710" s="4"/>
      <c r="AV710" s="537"/>
      <c r="AW710" s="537"/>
      <c r="AX710" s="4"/>
      <c r="AY710" s="4"/>
      <c r="AZ710" s="4"/>
      <c r="BA710" s="4"/>
      <c r="BB710" s="4"/>
      <c r="BC710" s="4"/>
      <c r="BD710" s="4"/>
      <c r="BE710" s="4"/>
      <c r="BF710" s="4"/>
      <c r="BG710" s="4"/>
      <c r="BH710" s="4"/>
      <c r="BI710" s="4"/>
      <c r="BJ710" s="4"/>
      <c r="BK710" s="4"/>
      <c r="BL710" s="4"/>
      <c r="BM710" s="4"/>
      <c r="BN710" s="4"/>
      <c r="BO710" s="4"/>
      <c r="BP710" s="4"/>
      <c r="BQ710" s="4"/>
      <c r="BR710" s="4"/>
    </row>
    <row r="711" spans="1:70" ht="27" customHeight="1" x14ac:dyDescent="0.2">
      <c r="A711" s="532"/>
      <c r="B711" s="917"/>
      <c r="C711" s="4"/>
      <c r="D711" s="917"/>
      <c r="E711" s="4"/>
      <c r="F711" s="917"/>
      <c r="G711" s="4"/>
      <c r="H711" s="920"/>
      <c r="I711" s="3"/>
      <c r="J711" s="920"/>
      <c r="K711" s="3"/>
      <c r="L711" s="920"/>
      <c r="M711" s="3"/>
      <c r="N711" s="920"/>
      <c r="O711" s="3"/>
      <c r="P711" s="3"/>
      <c r="Q711" s="533"/>
      <c r="R711" s="920"/>
      <c r="S711" s="534"/>
      <c r="T711" s="920"/>
      <c r="U711" s="920"/>
      <c r="V711" s="920"/>
      <c r="W711" s="535"/>
      <c r="X711" s="687"/>
      <c r="Y711" s="687"/>
      <c r="Z711" s="687"/>
      <c r="AA711" s="678"/>
      <c r="AB711" s="543"/>
      <c r="AC711" s="3"/>
      <c r="AD711" s="533"/>
      <c r="AE711" s="3"/>
      <c r="AF711" s="4"/>
      <c r="AG711" s="4"/>
      <c r="AH711" s="4"/>
      <c r="AI711" s="4"/>
      <c r="AJ711" s="4"/>
      <c r="AK711" s="4"/>
      <c r="AL711" s="4"/>
      <c r="AM711" s="4"/>
      <c r="AN711" s="4"/>
      <c r="AO711" s="4"/>
      <c r="AP711" s="4"/>
      <c r="AQ711" s="4"/>
      <c r="AR711" s="4"/>
      <c r="AS711" s="4"/>
      <c r="AT711" s="4"/>
      <c r="AU711" s="4"/>
      <c r="AV711" s="537"/>
      <c r="AW711" s="537"/>
      <c r="AX711" s="4"/>
      <c r="AY711" s="4"/>
      <c r="AZ711" s="4"/>
      <c r="BA711" s="4"/>
      <c r="BB711" s="4"/>
      <c r="BC711" s="4"/>
      <c r="BD711" s="4"/>
      <c r="BE711" s="4"/>
      <c r="BF711" s="4"/>
      <c r="BG711" s="4"/>
      <c r="BH711" s="4"/>
      <c r="BI711" s="4"/>
      <c r="BJ711" s="4"/>
      <c r="BK711" s="4"/>
      <c r="BL711" s="4"/>
      <c r="BM711" s="4"/>
      <c r="BN711" s="4"/>
      <c r="BO711" s="4"/>
      <c r="BP711" s="4"/>
      <c r="BQ711" s="4"/>
      <c r="BR711" s="4"/>
    </row>
    <row r="712" spans="1:70" ht="27" customHeight="1" x14ac:dyDescent="0.2">
      <c r="A712" s="532"/>
      <c r="B712" s="917"/>
      <c r="C712" s="4"/>
      <c r="D712" s="917"/>
      <c r="E712" s="4"/>
      <c r="F712" s="917"/>
      <c r="G712" s="4"/>
      <c r="H712" s="920"/>
      <c r="I712" s="3"/>
      <c r="J712" s="920"/>
      <c r="K712" s="3"/>
      <c r="L712" s="920"/>
      <c r="M712" s="3"/>
      <c r="N712" s="920"/>
      <c r="O712" s="3"/>
      <c r="P712" s="3"/>
      <c r="Q712" s="533"/>
      <c r="R712" s="920"/>
      <c r="S712" s="534"/>
      <c r="T712" s="920"/>
      <c r="U712" s="920"/>
      <c r="V712" s="920"/>
      <c r="W712" s="535"/>
      <c r="X712" s="687"/>
      <c r="Y712" s="687"/>
      <c r="Z712" s="687"/>
      <c r="AA712" s="678"/>
      <c r="AB712" s="543"/>
      <c r="AC712" s="3"/>
      <c r="AD712" s="533"/>
      <c r="AE712" s="3"/>
      <c r="AF712" s="4"/>
      <c r="AG712" s="4"/>
      <c r="AH712" s="4"/>
      <c r="AI712" s="4"/>
      <c r="AJ712" s="4"/>
      <c r="AK712" s="4"/>
      <c r="AL712" s="4"/>
      <c r="AM712" s="4"/>
      <c r="AN712" s="4"/>
      <c r="AO712" s="4"/>
      <c r="AP712" s="4"/>
      <c r="AQ712" s="4"/>
      <c r="AR712" s="4"/>
      <c r="AS712" s="4"/>
      <c r="AT712" s="4"/>
      <c r="AU712" s="4"/>
      <c r="AV712" s="537"/>
      <c r="AW712" s="537"/>
      <c r="AX712" s="4"/>
      <c r="AY712" s="4"/>
      <c r="AZ712" s="4"/>
      <c r="BA712" s="4"/>
      <c r="BB712" s="4"/>
      <c r="BC712" s="4"/>
      <c r="BD712" s="4"/>
      <c r="BE712" s="4"/>
      <c r="BF712" s="4"/>
      <c r="BG712" s="4"/>
      <c r="BH712" s="4"/>
      <c r="BI712" s="4"/>
      <c r="BJ712" s="4"/>
      <c r="BK712" s="4"/>
      <c r="BL712" s="4"/>
      <c r="BM712" s="4"/>
      <c r="BN712" s="4"/>
      <c r="BO712" s="4"/>
      <c r="BP712" s="4"/>
      <c r="BQ712" s="4"/>
      <c r="BR712" s="4"/>
    </row>
    <row r="713" spans="1:70" ht="27" customHeight="1" x14ac:dyDescent="0.2">
      <c r="A713" s="532"/>
      <c r="B713" s="917"/>
      <c r="C713" s="4"/>
      <c r="D713" s="917"/>
      <c r="E713" s="4"/>
      <c r="F713" s="917"/>
      <c r="G713" s="4"/>
      <c r="H713" s="920"/>
      <c r="I713" s="3"/>
      <c r="J713" s="920"/>
      <c r="K713" s="3"/>
      <c r="L713" s="920"/>
      <c r="M713" s="3"/>
      <c r="N713" s="920"/>
      <c r="O713" s="3"/>
      <c r="P713" s="3"/>
      <c r="Q713" s="533"/>
      <c r="R713" s="920"/>
      <c r="S713" s="534"/>
      <c r="T713" s="920"/>
      <c r="U713" s="920"/>
      <c r="V713" s="920"/>
      <c r="W713" s="535"/>
      <c r="X713" s="687"/>
      <c r="Y713" s="687"/>
      <c r="Z713" s="687"/>
      <c r="AA713" s="678"/>
      <c r="AB713" s="543"/>
      <c r="AC713" s="3"/>
      <c r="AD713" s="533"/>
      <c r="AE713" s="3"/>
      <c r="AF713" s="4"/>
      <c r="AG713" s="4"/>
      <c r="AH713" s="4"/>
      <c r="AI713" s="4"/>
      <c r="AJ713" s="4"/>
      <c r="AK713" s="4"/>
      <c r="AL713" s="4"/>
      <c r="AM713" s="4"/>
      <c r="AN713" s="4"/>
      <c r="AO713" s="4"/>
      <c r="AP713" s="4"/>
      <c r="AQ713" s="4"/>
      <c r="AR713" s="4"/>
      <c r="AS713" s="4"/>
      <c r="AT713" s="4"/>
      <c r="AU713" s="4"/>
      <c r="AV713" s="537"/>
      <c r="AW713" s="537"/>
      <c r="AX713" s="4"/>
      <c r="AY713" s="4"/>
      <c r="AZ713" s="4"/>
      <c r="BA713" s="4"/>
      <c r="BB713" s="4"/>
      <c r="BC713" s="4"/>
      <c r="BD713" s="4"/>
      <c r="BE713" s="4"/>
      <c r="BF713" s="4"/>
      <c r="BG713" s="4"/>
      <c r="BH713" s="4"/>
      <c r="BI713" s="4"/>
      <c r="BJ713" s="4"/>
      <c r="BK713" s="4"/>
      <c r="BL713" s="4"/>
      <c r="BM713" s="4"/>
      <c r="BN713" s="4"/>
      <c r="BO713" s="4"/>
      <c r="BP713" s="4"/>
      <c r="BQ713" s="4"/>
      <c r="BR713" s="4"/>
    </row>
    <row r="714" spans="1:70" ht="27" customHeight="1" x14ac:dyDescent="0.2">
      <c r="A714" s="532"/>
      <c r="B714" s="917"/>
      <c r="C714" s="4"/>
      <c r="D714" s="917"/>
      <c r="E714" s="4"/>
      <c r="F714" s="917"/>
      <c r="G714" s="4"/>
      <c r="H714" s="920"/>
      <c r="I714" s="3"/>
      <c r="J714" s="920"/>
      <c r="K714" s="3"/>
      <c r="L714" s="920"/>
      <c r="M714" s="3"/>
      <c r="N714" s="920"/>
      <c r="O714" s="3"/>
      <c r="P714" s="3"/>
      <c r="Q714" s="533"/>
      <c r="R714" s="920"/>
      <c r="S714" s="534"/>
      <c r="T714" s="920"/>
      <c r="U714" s="920"/>
      <c r="V714" s="920"/>
      <c r="W714" s="535"/>
      <c r="X714" s="687"/>
      <c r="Y714" s="687"/>
      <c r="Z714" s="687"/>
      <c r="AA714" s="678"/>
      <c r="AB714" s="543"/>
      <c r="AC714" s="3"/>
      <c r="AD714" s="533"/>
      <c r="AE714" s="3"/>
      <c r="AF714" s="4"/>
      <c r="AG714" s="4"/>
      <c r="AH714" s="4"/>
      <c r="AI714" s="4"/>
      <c r="AJ714" s="4"/>
      <c r="AK714" s="4"/>
      <c r="AL714" s="4"/>
      <c r="AM714" s="4"/>
      <c r="AN714" s="4"/>
      <c r="AO714" s="4"/>
      <c r="AP714" s="4"/>
      <c r="AQ714" s="4"/>
      <c r="AR714" s="4"/>
      <c r="AS714" s="4"/>
      <c r="AT714" s="4"/>
      <c r="AU714" s="4"/>
      <c r="AV714" s="537"/>
      <c r="AW714" s="537"/>
      <c r="AX714" s="4"/>
      <c r="AY714" s="4"/>
      <c r="AZ714" s="4"/>
      <c r="BA714" s="4"/>
      <c r="BB714" s="4"/>
      <c r="BC714" s="4"/>
      <c r="BD714" s="4"/>
      <c r="BE714" s="4"/>
      <c r="BF714" s="4"/>
      <c r="BG714" s="4"/>
      <c r="BH714" s="4"/>
      <c r="BI714" s="4"/>
      <c r="BJ714" s="4"/>
      <c r="BK714" s="4"/>
      <c r="BL714" s="4"/>
      <c r="BM714" s="4"/>
      <c r="BN714" s="4"/>
      <c r="BO714" s="4"/>
      <c r="BP714" s="4"/>
      <c r="BQ714" s="4"/>
      <c r="BR714" s="4"/>
    </row>
    <row r="715" spans="1:70" ht="27" customHeight="1" x14ac:dyDescent="0.2">
      <c r="A715" s="532"/>
      <c r="B715" s="917"/>
      <c r="C715" s="4"/>
      <c r="D715" s="917"/>
      <c r="E715" s="4"/>
      <c r="F715" s="917"/>
      <c r="G715" s="4"/>
      <c r="H715" s="920"/>
      <c r="I715" s="3"/>
      <c r="J715" s="920"/>
      <c r="K715" s="3"/>
      <c r="L715" s="920"/>
      <c r="M715" s="3"/>
      <c r="N715" s="920"/>
      <c r="O715" s="3"/>
      <c r="P715" s="3"/>
      <c r="Q715" s="533"/>
      <c r="R715" s="920"/>
      <c r="S715" s="534"/>
      <c r="T715" s="920"/>
      <c r="U715" s="920"/>
      <c r="V715" s="920"/>
      <c r="W715" s="535"/>
      <c r="X715" s="687"/>
      <c r="Y715" s="687"/>
      <c r="Z715" s="687"/>
      <c r="AA715" s="678"/>
      <c r="AB715" s="543"/>
      <c r="AC715" s="3"/>
      <c r="AD715" s="533"/>
      <c r="AE715" s="3"/>
      <c r="AF715" s="4"/>
      <c r="AG715" s="4"/>
      <c r="AH715" s="4"/>
      <c r="AI715" s="4"/>
      <c r="AJ715" s="4"/>
      <c r="AK715" s="4"/>
      <c r="AL715" s="4"/>
      <c r="AM715" s="4"/>
      <c r="AN715" s="4"/>
      <c r="AO715" s="4"/>
      <c r="AP715" s="4"/>
      <c r="AQ715" s="4"/>
      <c r="AR715" s="4"/>
      <c r="AS715" s="4"/>
      <c r="AT715" s="4"/>
      <c r="AU715" s="4"/>
      <c r="AV715" s="537"/>
      <c r="AW715" s="537"/>
      <c r="AX715" s="4"/>
      <c r="AY715" s="4"/>
      <c r="AZ715" s="4"/>
      <c r="BA715" s="4"/>
      <c r="BB715" s="4"/>
      <c r="BC715" s="4"/>
      <c r="BD715" s="4"/>
      <c r="BE715" s="4"/>
      <c r="BF715" s="4"/>
      <c r="BG715" s="4"/>
      <c r="BH715" s="4"/>
      <c r="BI715" s="4"/>
      <c r="BJ715" s="4"/>
      <c r="BK715" s="4"/>
      <c r="BL715" s="4"/>
      <c r="BM715" s="4"/>
      <c r="BN715" s="4"/>
      <c r="BO715" s="4"/>
      <c r="BP715" s="4"/>
      <c r="BQ715" s="4"/>
      <c r="BR715" s="4"/>
    </row>
    <row r="716" spans="1:70" ht="27" customHeight="1" x14ac:dyDescent="0.2">
      <c r="A716" s="532"/>
      <c r="B716" s="917"/>
      <c r="C716" s="4"/>
      <c r="D716" s="917"/>
      <c r="E716" s="4"/>
      <c r="F716" s="917"/>
      <c r="G716" s="4"/>
      <c r="H716" s="920"/>
      <c r="I716" s="3"/>
      <c r="J716" s="920"/>
      <c r="K716" s="3"/>
      <c r="L716" s="920"/>
      <c r="M716" s="3"/>
      <c r="N716" s="920"/>
      <c r="O716" s="3"/>
      <c r="P716" s="3"/>
      <c r="Q716" s="533"/>
      <c r="R716" s="920"/>
      <c r="S716" s="534"/>
      <c r="T716" s="920"/>
      <c r="U716" s="920"/>
      <c r="V716" s="920"/>
      <c r="W716" s="535"/>
      <c r="X716" s="687"/>
      <c r="Y716" s="687"/>
      <c r="Z716" s="687"/>
      <c r="AA716" s="678"/>
      <c r="AB716" s="543"/>
      <c r="AC716" s="3"/>
      <c r="AD716" s="533"/>
      <c r="AE716" s="3"/>
      <c r="AF716" s="4"/>
      <c r="AG716" s="4"/>
      <c r="AH716" s="4"/>
      <c r="AI716" s="4"/>
      <c r="AJ716" s="4"/>
      <c r="AK716" s="4"/>
      <c r="AL716" s="4"/>
      <c r="AM716" s="4"/>
      <c r="AN716" s="4"/>
      <c r="AO716" s="4"/>
      <c r="AP716" s="4"/>
      <c r="AQ716" s="4"/>
      <c r="AR716" s="4"/>
      <c r="AS716" s="4"/>
      <c r="AT716" s="4"/>
      <c r="AU716" s="4"/>
      <c r="AV716" s="537"/>
      <c r="AW716" s="537"/>
      <c r="AX716" s="4"/>
      <c r="AY716" s="4"/>
      <c r="AZ716" s="4"/>
      <c r="BA716" s="4"/>
      <c r="BB716" s="4"/>
      <c r="BC716" s="4"/>
      <c r="BD716" s="4"/>
      <c r="BE716" s="4"/>
      <c r="BF716" s="4"/>
      <c r="BG716" s="4"/>
      <c r="BH716" s="4"/>
      <c r="BI716" s="4"/>
      <c r="BJ716" s="4"/>
      <c r="BK716" s="4"/>
      <c r="BL716" s="4"/>
      <c r="BM716" s="4"/>
      <c r="BN716" s="4"/>
      <c r="BO716" s="4"/>
      <c r="BP716" s="4"/>
      <c r="BQ716" s="4"/>
      <c r="BR716" s="4"/>
    </row>
    <row r="717" spans="1:70" ht="27" customHeight="1" x14ac:dyDescent="0.2">
      <c r="A717" s="532"/>
      <c r="B717" s="917"/>
      <c r="C717" s="4"/>
      <c r="D717" s="917"/>
      <c r="E717" s="4"/>
      <c r="F717" s="917"/>
      <c r="G717" s="4"/>
      <c r="H717" s="920"/>
      <c r="I717" s="3"/>
      <c r="J717" s="920"/>
      <c r="K717" s="3"/>
      <c r="L717" s="920"/>
      <c r="M717" s="3"/>
      <c r="N717" s="920"/>
      <c r="O717" s="3"/>
      <c r="P717" s="3"/>
      <c r="Q717" s="533"/>
      <c r="R717" s="920"/>
      <c r="S717" s="534"/>
      <c r="T717" s="920"/>
      <c r="U717" s="920"/>
      <c r="V717" s="920"/>
      <c r="W717" s="535"/>
      <c r="X717" s="687"/>
      <c r="Y717" s="687"/>
      <c r="Z717" s="687"/>
      <c r="AA717" s="678"/>
      <c r="AB717" s="543"/>
      <c r="AC717" s="3"/>
      <c r="AD717" s="533"/>
      <c r="AE717" s="3"/>
      <c r="AF717" s="4"/>
      <c r="AG717" s="4"/>
      <c r="AH717" s="4"/>
      <c r="AI717" s="4"/>
      <c r="AJ717" s="4"/>
      <c r="AK717" s="4"/>
      <c r="AL717" s="4"/>
      <c r="AM717" s="4"/>
      <c r="AN717" s="4"/>
      <c r="AO717" s="4"/>
      <c r="AP717" s="4"/>
      <c r="AQ717" s="4"/>
      <c r="AR717" s="4"/>
      <c r="AS717" s="4"/>
      <c r="AT717" s="4"/>
      <c r="AU717" s="4"/>
      <c r="AV717" s="537"/>
      <c r="AW717" s="537"/>
      <c r="AX717" s="4"/>
      <c r="AY717" s="4"/>
      <c r="AZ717" s="4"/>
      <c r="BA717" s="4"/>
      <c r="BB717" s="4"/>
      <c r="BC717" s="4"/>
      <c r="BD717" s="4"/>
      <c r="BE717" s="4"/>
      <c r="BF717" s="4"/>
      <c r="BG717" s="4"/>
      <c r="BH717" s="4"/>
      <c r="BI717" s="4"/>
      <c r="BJ717" s="4"/>
      <c r="BK717" s="4"/>
      <c r="BL717" s="4"/>
      <c r="BM717" s="4"/>
      <c r="BN717" s="4"/>
      <c r="BO717" s="4"/>
      <c r="BP717" s="4"/>
      <c r="BQ717" s="4"/>
      <c r="BR717" s="4"/>
    </row>
    <row r="718" spans="1:70" ht="27" customHeight="1" x14ac:dyDescent="0.2">
      <c r="A718" s="532"/>
      <c r="B718" s="917"/>
      <c r="C718" s="4"/>
      <c r="D718" s="917"/>
      <c r="E718" s="4"/>
      <c r="F718" s="917"/>
      <c r="G718" s="4"/>
      <c r="H718" s="920"/>
      <c r="I718" s="3"/>
      <c r="J718" s="920"/>
      <c r="K718" s="3"/>
      <c r="L718" s="920"/>
      <c r="M718" s="3"/>
      <c r="N718" s="920"/>
      <c r="O718" s="3"/>
      <c r="P718" s="3"/>
      <c r="Q718" s="533"/>
      <c r="R718" s="920"/>
      <c r="S718" s="534"/>
      <c r="T718" s="920"/>
      <c r="U718" s="920"/>
      <c r="V718" s="920"/>
      <c r="W718" s="535"/>
      <c r="X718" s="687"/>
      <c r="Y718" s="687"/>
      <c r="Z718" s="687"/>
      <c r="AA718" s="678"/>
      <c r="AB718" s="543"/>
      <c r="AC718" s="3"/>
      <c r="AD718" s="533"/>
      <c r="AE718" s="3"/>
      <c r="AF718" s="4"/>
      <c r="AG718" s="4"/>
      <c r="AH718" s="4"/>
      <c r="AI718" s="4"/>
      <c r="AJ718" s="4"/>
      <c r="AK718" s="4"/>
      <c r="AL718" s="4"/>
      <c r="AM718" s="4"/>
      <c r="AN718" s="4"/>
      <c r="AO718" s="4"/>
      <c r="AP718" s="4"/>
      <c r="AQ718" s="4"/>
      <c r="AR718" s="4"/>
      <c r="AS718" s="4"/>
      <c r="AT718" s="4"/>
      <c r="AU718" s="4"/>
      <c r="AV718" s="537"/>
      <c r="AW718" s="537"/>
      <c r="AX718" s="4"/>
      <c r="AY718" s="4"/>
      <c r="AZ718" s="4"/>
      <c r="BA718" s="4"/>
      <c r="BB718" s="4"/>
      <c r="BC718" s="4"/>
      <c r="BD718" s="4"/>
      <c r="BE718" s="4"/>
      <c r="BF718" s="4"/>
      <c r="BG718" s="4"/>
      <c r="BH718" s="4"/>
      <c r="BI718" s="4"/>
      <c r="BJ718" s="4"/>
      <c r="BK718" s="4"/>
      <c r="BL718" s="4"/>
      <c r="BM718" s="4"/>
      <c r="BN718" s="4"/>
      <c r="BO718" s="4"/>
      <c r="BP718" s="4"/>
      <c r="BQ718" s="4"/>
      <c r="BR718" s="4"/>
    </row>
    <row r="719" spans="1:70" ht="27" customHeight="1" x14ac:dyDescent="0.2">
      <c r="A719" s="532"/>
      <c r="B719" s="917"/>
      <c r="C719" s="4"/>
      <c r="D719" s="917"/>
      <c r="E719" s="4"/>
      <c r="F719" s="917"/>
      <c r="G719" s="4"/>
      <c r="H719" s="920"/>
      <c r="I719" s="3"/>
      <c r="J719" s="920"/>
      <c r="K719" s="3"/>
      <c r="L719" s="920"/>
      <c r="M719" s="3"/>
      <c r="N719" s="920"/>
      <c r="O719" s="3"/>
      <c r="P719" s="3"/>
      <c r="Q719" s="533"/>
      <c r="R719" s="920"/>
      <c r="S719" s="534"/>
      <c r="T719" s="920"/>
      <c r="U719" s="920"/>
      <c r="V719" s="920"/>
      <c r="W719" s="535"/>
      <c r="X719" s="687"/>
      <c r="Y719" s="687"/>
      <c r="Z719" s="687"/>
      <c r="AA719" s="678"/>
      <c r="AB719" s="543"/>
      <c r="AC719" s="3"/>
      <c r="AD719" s="533"/>
      <c r="AE719" s="3"/>
      <c r="AF719" s="4"/>
      <c r="AG719" s="4"/>
      <c r="AH719" s="4"/>
      <c r="AI719" s="4"/>
      <c r="AJ719" s="4"/>
      <c r="AK719" s="4"/>
      <c r="AL719" s="4"/>
      <c r="AM719" s="4"/>
      <c r="AN719" s="4"/>
      <c r="AO719" s="4"/>
      <c r="AP719" s="4"/>
      <c r="AQ719" s="4"/>
      <c r="AR719" s="4"/>
      <c r="AS719" s="4"/>
      <c r="AT719" s="4"/>
      <c r="AU719" s="4"/>
      <c r="AV719" s="537"/>
      <c r="AW719" s="537"/>
      <c r="AX719" s="4"/>
      <c r="AY719" s="4"/>
      <c r="AZ719" s="4"/>
      <c r="BA719" s="4"/>
      <c r="BB719" s="4"/>
      <c r="BC719" s="4"/>
      <c r="BD719" s="4"/>
      <c r="BE719" s="4"/>
      <c r="BF719" s="4"/>
      <c r="BG719" s="4"/>
      <c r="BH719" s="4"/>
      <c r="BI719" s="4"/>
      <c r="BJ719" s="4"/>
      <c r="BK719" s="4"/>
      <c r="BL719" s="4"/>
      <c r="BM719" s="4"/>
      <c r="BN719" s="4"/>
      <c r="BO719" s="4"/>
      <c r="BP719" s="4"/>
      <c r="BQ719" s="4"/>
      <c r="BR719" s="4"/>
    </row>
    <row r="720" spans="1:70" ht="27" customHeight="1" x14ac:dyDescent="0.2">
      <c r="A720" s="532"/>
      <c r="B720" s="917"/>
      <c r="C720" s="4"/>
      <c r="D720" s="917"/>
      <c r="E720" s="4"/>
      <c r="F720" s="917"/>
      <c r="G720" s="4"/>
      <c r="H720" s="920"/>
      <c r="I720" s="3"/>
      <c r="J720" s="920"/>
      <c r="K720" s="3"/>
      <c r="L720" s="920"/>
      <c r="M720" s="3"/>
      <c r="N720" s="920"/>
      <c r="O720" s="3"/>
      <c r="P720" s="3"/>
      <c r="Q720" s="533"/>
      <c r="R720" s="920"/>
      <c r="S720" s="534"/>
      <c r="T720" s="920"/>
      <c r="U720" s="920"/>
      <c r="V720" s="920"/>
      <c r="W720" s="535"/>
      <c r="X720" s="687"/>
      <c r="Y720" s="687"/>
      <c r="Z720" s="687"/>
      <c r="AA720" s="678"/>
      <c r="AB720" s="543"/>
      <c r="AC720" s="3"/>
      <c r="AD720" s="533"/>
      <c r="AE720" s="3"/>
      <c r="AF720" s="4"/>
      <c r="AG720" s="4"/>
      <c r="AH720" s="4"/>
      <c r="AI720" s="4"/>
      <c r="AJ720" s="4"/>
      <c r="AK720" s="4"/>
      <c r="AL720" s="4"/>
      <c r="AM720" s="4"/>
      <c r="AN720" s="4"/>
      <c r="AO720" s="4"/>
      <c r="AP720" s="4"/>
      <c r="AQ720" s="4"/>
      <c r="AR720" s="4"/>
      <c r="AS720" s="4"/>
      <c r="AT720" s="4"/>
      <c r="AU720" s="4"/>
      <c r="AV720" s="537"/>
      <c r="AW720" s="537"/>
      <c r="AX720" s="4"/>
      <c r="AY720" s="4"/>
      <c r="AZ720" s="4"/>
      <c r="BA720" s="4"/>
      <c r="BB720" s="4"/>
      <c r="BC720" s="4"/>
      <c r="BD720" s="4"/>
      <c r="BE720" s="4"/>
      <c r="BF720" s="4"/>
      <c r="BG720" s="4"/>
      <c r="BH720" s="4"/>
      <c r="BI720" s="4"/>
      <c r="BJ720" s="4"/>
      <c r="BK720" s="4"/>
      <c r="BL720" s="4"/>
      <c r="BM720" s="4"/>
      <c r="BN720" s="4"/>
      <c r="BO720" s="4"/>
      <c r="BP720" s="4"/>
      <c r="BQ720" s="4"/>
      <c r="BR720" s="4"/>
    </row>
    <row r="721" spans="1:70" ht="27" customHeight="1" x14ac:dyDescent="0.2">
      <c r="A721" s="532"/>
      <c r="B721" s="917"/>
      <c r="C721" s="4"/>
      <c r="D721" s="917"/>
      <c r="E721" s="4"/>
      <c r="F721" s="917"/>
      <c r="G721" s="4"/>
      <c r="H721" s="920"/>
      <c r="I721" s="3"/>
      <c r="J721" s="920"/>
      <c r="K721" s="3"/>
      <c r="L721" s="920"/>
      <c r="M721" s="3"/>
      <c r="N721" s="920"/>
      <c r="O721" s="3"/>
      <c r="P721" s="3"/>
      <c r="Q721" s="533"/>
      <c r="R721" s="920"/>
      <c r="S721" s="534"/>
      <c r="T721" s="920"/>
      <c r="U721" s="920"/>
      <c r="V721" s="920"/>
      <c r="W721" s="535"/>
      <c r="X721" s="687"/>
      <c r="Y721" s="687"/>
      <c r="Z721" s="687"/>
      <c r="AA721" s="678"/>
      <c r="AB721" s="543"/>
      <c r="AC721" s="3"/>
      <c r="AD721" s="533"/>
      <c r="AE721" s="3"/>
      <c r="AF721" s="4"/>
      <c r="AG721" s="4"/>
      <c r="AH721" s="4"/>
      <c r="AI721" s="4"/>
      <c r="AJ721" s="4"/>
      <c r="AK721" s="4"/>
      <c r="AL721" s="4"/>
      <c r="AM721" s="4"/>
      <c r="AN721" s="4"/>
      <c r="AO721" s="4"/>
      <c r="AP721" s="4"/>
      <c r="AQ721" s="4"/>
      <c r="AR721" s="4"/>
      <c r="AS721" s="4"/>
      <c r="AT721" s="4"/>
      <c r="AU721" s="4"/>
      <c r="AV721" s="537"/>
      <c r="AW721" s="537"/>
      <c r="AX721" s="4"/>
      <c r="AY721" s="4"/>
      <c r="AZ721" s="4"/>
      <c r="BA721" s="4"/>
      <c r="BB721" s="4"/>
      <c r="BC721" s="4"/>
      <c r="BD721" s="4"/>
      <c r="BE721" s="4"/>
      <c r="BF721" s="4"/>
      <c r="BG721" s="4"/>
      <c r="BH721" s="4"/>
      <c r="BI721" s="4"/>
      <c r="BJ721" s="4"/>
      <c r="BK721" s="4"/>
      <c r="BL721" s="4"/>
      <c r="BM721" s="4"/>
      <c r="BN721" s="4"/>
      <c r="BO721" s="4"/>
      <c r="BP721" s="4"/>
      <c r="BQ721" s="4"/>
      <c r="BR721" s="4"/>
    </row>
    <row r="722" spans="1:70" ht="27" customHeight="1" x14ac:dyDescent="0.2">
      <c r="A722" s="532"/>
      <c r="B722" s="917"/>
      <c r="C722" s="4"/>
      <c r="D722" s="917"/>
      <c r="E722" s="4"/>
      <c r="F722" s="917"/>
      <c r="G722" s="4"/>
      <c r="H722" s="920"/>
      <c r="I722" s="3"/>
      <c r="J722" s="920"/>
      <c r="K722" s="3"/>
      <c r="L722" s="920"/>
      <c r="M722" s="3"/>
      <c r="N722" s="920"/>
      <c r="O722" s="3"/>
      <c r="P722" s="3"/>
      <c r="Q722" s="533"/>
      <c r="R722" s="920"/>
      <c r="S722" s="534"/>
      <c r="T722" s="920"/>
      <c r="U722" s="920"/>
      <c r="V722" s="920"/>
      <c r="W722" s="535"/>
      <c r="X722" s="687"/>
      <c r="Y722" s="687"/>
      <c r="Z722" s="687"/>
      <c r="AA722" s="678"/>
      <c r="AB722" s="543"/>
      <c r="AC722" s="3"/>
      <c r="AD722" s="533"/>
      <c r="AE722" s="3"/>
      <c r="AF722" s="4"/>
      <c r="AG722" s="4"/>
      <c r="AH722" s="4"/>
      <c r="AI722" s="4"/>
      <c r="AJ722" s="4"/>
      <c r="AK722" s="4"/>
      <c r="AL722" s="4"/>
      <c r="AM722" s="4"/>
      <c r="AN722" s="4"/>
      <c r="AO722" s="4"/>
      <c r="AP722" s="4"/>
      <c r="AQ722" s="4"/>
      <c r="AR722" s="4"/>
      <c r="AS722" s="4"/>
      <c r="AT722" s="4"/>
      <c r="AU722" s="4"/>
      <c r="AV722" s="537"/>
      <c r="AW722" s="537"/>
      <c r="AX722" s="4"/>
      <c r="AY722" s="4"/>
      <c r="AZ722" s="4"/>
      <c r="BA722" s="4"/>
      <c r="BB722" s="4"/>
      <c r="BC722" s="4"/>
      <c r="BD722" s="4"/>
      <c r="BE722" s="4"/>
      <c r="BF722" s="4"/>
      <c r="BG722" s="4"/>
      <c r="BH722" s="4"/>
      <c r="BI722" s="4"/>
      <c r="BJ722" s="4"/>
      <c r="BK722" s="4"/>
      <c r="BL722" s="4"/>
      <c r="BM722" s="4"/>
      <c r="BN722" s="4"/>
      <c r="BO722" s="4"/>
      <c r="BP722" s="4"/>
      <c r="BQ722" s="4"/>
      <c r="BR722" s="4"/>
    </row>
    <row r="723" spans="1:70" ht="27" customHeight="1" x14ac:dyDescent="0.2">
      <c r="A723" s="532"/>
      <c r="B723" s="917"/>
      <c r="C723" s="4"/>
      <c r="D723" s="917"/>
      <c r="E723" s="4"/>
      <c r="F723" s="917"/>
      <c r="G723" s="4"/>
      <c r="H723" s="920"/>
      <c r="I723" s="3"/>
      <c r="J723" s="920"/>
      <c r="K723" s="3"/>
      <c r="L723" s="920"/>
      <c r="M723" s="3"/>
      <c r="N723" s="920"/>
      <c r="O723" s="3"/>
      <c r="P723" s="3"/>
      <c r="Q723" s="533"/>
      <c r="R723" s="920"/>
      <c r="S723" s="534"/>
      <c r="T723" s="920"/>
      <c r="U723" s="920"/>
      <c r="V723" s="920"/>
      <c r="W723" s="535"/>
      <c r="X723" s="687"/>
      <c r="Y723" s="687"/>
      <c r="Z723" s="687"/>
      <c r="AA723" s="678"/>
      <c r="AB723" s="543"/>
      <c r="AC723" s="3"/>
      <c r="AD723" s="533"/>
      <c r="AE723" s="3"/>
      <c r="AF723" s="4"/>
      <c r="AG723" s="4"/>
      <c r="AH723" s="4"/>
      <c r="AI723" s="4"/>
      <c r="AJ723" s="4"/>
      <c r="AK723" s="4"/>
      <c r="AL723" s="4"/>
      <c r="AM723" s="4"/>
      <c r="AN723" s="4"/>
      <c r="AO723" s="4"/>
      <c r="AP723" s="4"/>
      <c r="AQ723" s="4"/>
      <c r="AR723" s="4"/>
      <c r="AS723" s="4"/>
      <c r="AT723" s="4"/>
      <c r="AU723" s="4"/>
      <c r="AV723" s="537"/>
      <c r="AW723" s="537"/>
      <c r="AX723" s="4"/>
      <c r="AY723" s="4"/>
      <c r="AZ723" s="4"/>
      <c r="BA723" s="4"/>
      <c r="BB723" s="4"/>
      <c r="BC723" s="4"/>
      <c r="BD723" s="4"/>
      <c r="BE723" s="4"/>
      <c r="BF723" s="4"/>
      <c r="BG723" s="4"/>
      <c r="BH723" s="4"/>
      <c r="BI723" s="4"/>
      <c r="BJ723" s="4"/>
      <c r="BK723" s="4"/>
      <c r="BL723" s="4"/>
      <c r="BM723" s="4"/>
      <c r="BN723" s="4"/>
      <c r="BO723" s="4"/>
      <c r="BP723" s="4"/>
      <c r="BQ723" s="4"/>
      <c r="BR723" s="4"/>
    </row>
    <row r="724" spans="1:70" ht="27" customHeight="1" x14ac:dyDescent="0.2">
      <c r="A724" s="532"/>
      <c r="B724" s="917"/>
      <c r="C724" s="4"/>
      <c r="D724" s="917"/>
      <c r="E724" s="4"/>
      <c r="F724" s="917"/>
      <c r="G724" s="4"/>
      <c r="H724" s="920"/>
      <c r="I724" s="3"/>
      <c r="J724" s="920"/>
      <c r="K724" s="3"/>
      <c r="L724" s="920"/>
      <c r="M724" s="3"/>
      <c r="N724" s="920"/>
      <c r="O724" s="3"/>
      <c r="P724" s="3"/>
      <c r="Q724" s="533"/>
      <c r="R724" s="920"/>
      <c r="S724" s="534"/>
      <c r="T724" s="920"/>
      <c r="U724" s="920"/>
      <c r="V724" s="920"/>
      <c r="W724" s="535"/>
      <c r="X724" s="687"/>
      <c r="Y724" s="687"/>
      <c r="Z724" s="687"/>
      <c r="AA724" s="678"/>
      <c r="AB724" s="543"/>
      <c r="AC724" s="3"/>
      <c r="AD724" s="533"/>
      <c r="AE724" s="3"/>
      <c r="AF724" s="4"/>
      <c r="AG724" s="4"/>
      <c r="AH724" s="4"/>
      <c r="AI724" s="4"/>
      <c r="AJ724" s="4"/>
      <c r="AK724" s="4"/>
      <c r="AL724" s="4"/>
      <c r="AM724" s="4"/>
      <c r="AN724" s="4"/>
      <c r="AO724" s="4"/>
      <c r="AP724" s="4"/>
      <c r="AQ724" s="4"/>
      <c r="AR724" s="4"/>
      <c r="AS724" s="4"/>
      <c r="AT724" s="4"/>
      <c r="AU724" s="4"/>
      <c r="AV724" s="537"/>
      <c r="AW724" s="537"/>
      <c r="AX724" s="4"/>
      <c r="AY724" s="4"/>
      <c r="AZ724" s="4"/>
      <c r="BA724" s="4"/>
      <c r="BB724" s="4"/>
      <c r="BC724" s="4"/>
      <c r="BD724" s="4"/>
      <c r="BE724" s="4"/>
      <c r="BF724" s="4"/>
      <c r="BG724" s="4"/>
      <c r="BH724" s="4"/>
      <c r="BI724" s="4"/>
      <c r="BJ724" s="4"/>
      <c r="BK724" s="4"/>
      <c r="BL724" s="4"/>
      <c r="BM724" s="4"/>
      <c r="BN724" s="4"/>
      <c r="BO724" s="4"/>
      <c r="BP724" s="4"/>
      <c r="BQ724" s="4"/>
      <c r="BR724" s="4"/>
    </row>
    <row r="725" spans="1:70" ht="27" customHeight="1" x14ac:dyDescent="0.2">
      <c r="A725" s="532"/>
      <c r="B725" s="917"/>
      <c r="C725" s="4"/>
      <c r="D725" s="917"/>
      <c r="E725" s="4"/>
      <c r="F725" s="917"/>
      <c r="G725" s="4"/>
      <c r="H725" s="920"/>
      <c r="I725" s="3"/>
      <c r="J725" s="920"/>
      <c r="K725" s="3"/>
      <c r="L725" s="920"/>
      <c r="M725" s="3"/>
      <c r="N725" s="920"/>
      <c r="O725" s="3"/>
      <c r="P725" s="3"/>
      <c r="Q725" s="533"/>
      <c r="R725" s="920"/>
      <c r="S725" s="534"/>
      <c r="T725" s="920"/>
      <c r="U725" s="920"/>
      <c r="V725" s="920"/>
      <c r="W725" s="535"/>
      <c r="X725" s="687"/>
      <c r="Y725" s="687"/>
      <c r="Z725" s="687"/>
      <c r="AA725" s="678"/>
      <c r="AB725" s="543"/>
      <c r="AC725" s="3"/>
      <c r="AD725" s="533"/>
      <c r="AE725" s="3"/>
      <c r="AF725" s="4"/>
      <c r="AG725" s="4"/>
      <c r="AH725" s="4"/>
      <c r="AI725" s="4"/>
      <c r="AJ725" s="4"/>
      <c r="AK725" s="4"/>
      <c r="AL725" s="4"/>
      <c r="AM725" s="4"/>
      <c r="AN725" s="4"/>
      <c r="AO725" s="4"/>
      <c r="AP725" s="4"/>
      <c r="AQ725" s="4"/>
      <c r="AR725" s="4"/>
      <c r="AS725" s="4"/>
      <c r="AT725" s="4"/>
      <c r="AU725" s="4"/>
      <c r="AV725" s="537"/>
      <c r="AW725" s="537"/>
      <c r="AX725" s="4"/>
      <c r="AY725" s="4"/>
      <c r="AZ725" s="4"/>
      <c r="BA725" s="4"/>
      <c r="BB725" s="4"/>
      <c r="BC725" s="4"/>
      <c r="BD725" s="4"/>
      <c r="BE725" s="4"/>
      <c r="BF725" s="4"/>
      <c r="BG725" s="4"/>
      <c r="BH725" s="4"/>
      <c r="BI725" s="4"/>
      <c r="BJ725" s="4"/>
      <c r="BK725" s="4"/>
      <c r="BL725" s="4"/>
      <c r="BM725" s="4"/>
      <c r="BN725" s="4"/>
      <c r="BO725" s="4"/>
      <c r="BP725" s="4"/>
      <c r="BQ725" s="4"/>
      <c r="BR725" s="4"/>
    </row>
    <row r="726" spans="1:70" ht="27" customHeight="1" x14ac:dyDescent="0.2">
      <c r="A726" s="532"/>
      <c r="B726" s="917"/>
      <c r="C726" s="4"/>
      <c r="D726" s="917"/>
      <c r="E726" s="4"/>
      <c r="F726" s="917"/>
      <c r="G726" s="4"/>
      <c r="H726" s="920"/>
      <c r="I726" s="3"/>
      <c r="J726" s="920"/>
      <c r="K726" s="3"/>
      <c r="L726" s="920"/>
      <c r="M726" s="3"/>
      <c r="N726" s="920"/>
      <c r="O726" s="3"/>
      <c r="P726" s="3"/>
      <c r="Q726" s="533"/>
      <c r="R726" s="920"/>
      <c r="S726" s="534"/>
      <c r="T726" s="920"/>
      <c r="U726" s="920"/>
      <c r="V726" s="920"/>
      <c r="W726" s="535"/>
      <c r="X726" s="687"/>
      <c r="Y726" s="687"/>
      <c r="Z726" s="687"/>
      <c r="AA726" s="678"/>
      <c r="AB726" s="543"/>
      <c r="AC726" s="3"/>
      <c r="AD726" s="533"/>
      <c r="AE726" s="3"/>
      <c r="AF726" s="4"/>
      <c r="AG726" s="4"/>
      <c r="AH726" s="4"/>
      <c r="AI726" s="4"/>
      <c r="AJ726" s="4"/>
      <c r="AK726" s="4"/>
      <c r="AL726" s="4"/>
      <c r="AM726" s="4"/>
      <c r="AN726" s="4"/>
      <c r="AO726" s="4"/>
      <c r="AP726" s="4"/>
      <c r="AQ726" s="4"/>
      <c r="AR726" s="4"/>
      <c r="AS726" s="4"/>
      <c r="AT726" s="4"/>
      <c r="AU726" s="4"/>
      <c r="AV726" s="537"/>
      <c r="AW726" s="537"/>
      <c r="AX726" s="4"/>
      <c r="AY726" s="4"/>
      <c r="AZ726" s="4"/>
      <c r="BA726" s="4"/>
      <c r="BB726" s="4"/>
      <c r="BC726" s="4"/>
      <c r="BD726" s="4"/>
      <c r="BE726" s="4"/>
      <c r="BF726" s="4"/>
      <c r="BG726" s="4"/>
      <c r="BH726" s="4"/>
      <c r="BI726" s="4"/>
      <c r="BJ726" s="4"/>
      <c r="BK726" s="4"/>
      <c r="BL726" s="4"/>
      <c r="BM726" s="4"/>
      <c r="BN726" s="4"/>
      <c r="BO726" s="4"/>
      <c r="BP726" s="4"/>
      <c r="BQ726" s="4"/>
      <c r="BR726" s="4"/>
    </row>
    <row r="727" spans="1:70" ht="27" customHeight="1" x14ac:dyDescent="0.2">
      <c r="A727" s="532"/>
      <c r="B727" s="917"/>
      <c r="C727" s="4"/>
      <c r="D727" s="917"/>
      <c r="E727" s="4"/>
      <c r="F727" s="917"/>
      <c r="G727" s="4"/>
      <c r="H727" s="920"/>
      <c r="I727" s="3"/>
      <c r="J727" s="920"/>
      <c r="K727" s="3"/>
      <c r="L727" s="920"/>
      <c r="M727" s="3"/>
      <c r="N727" s="920"/>
      <c r="O727" s="3"/>
      <c r="P727" s="3"/>
      <c r="Q727" s="533"/>
      <c r="R727" s="920"/>
      <c r="S727" s="534"/>
      <c r="T727" s="920"/>
      <c r="U727" s="920"/>
      <c r="V727" s="920"/>
      <c r="W727" s="535"/>
      <c r="X727" s="687"/>
      <c r="Y727" s="687"/>
      <c r="Z727" s="687"/>
      <c r="AA727" s="678"/>
      <c r="AB727" s="543"/>
      <c r="AC727" s="3"/>
      <c r="AD727" s="533"/>
      <c r="AE727" s="3"/>
      <c r="AF727" s="4"/>
      <c r="AG727" s="4"/>
      <c r="AH727" s="4"/>
      <c r="AI727" s="4"/>
      <c r="AJ727" s="4"/>
      <c r="AK727" s="4"/>
      <c r="AL727" s="4"/>
      <c r="AM727" s="4"/>
      <c r="AN727" s="4"/>
      <c r="AO727" s="4"/>
      <c r="AP727" s="4"/>
      <c r="AQ727" s="4"/>
      <c r="AR727" s="4"/>
      <c r="AS727" s="4"/>
      <c r="AT727" s="4"/>
      <c r="AU727" s="4"/>
      <c r="AV727" s="537"/>
      <c r="AW727" s="537"/>
      <c r="AX727" s="4"/>
      <c r="AY727" s="4"/>
      <c r="AZ727" s="4"/>
      <c r="BA727" s="4"/>
      <c r="BB727" s="4"/>
      <c r="BC727" s="4"/>
      <c r="BD727" s="4"/>
      <c r="BE727" s="4"/>
      <c r="BF727" s="4"/>
      <c r="BG727" s="4"/>
      <c r="BH727" s="4"/>
      <c r="BI727" s="4"/>
      <c r="BJ727" s="4"/>
      <c r="BK727" s="4"/>
      <c r="BL727" s="4"/>
      <c r="BM727" s="4"/>
      <c r="BN727" s="4"/>
      <c r="BO727" s="4"/>
      <c r="BP727" s="4"/>
      <c r="BQ727" s="4"/>
      <c r="BR727" s="4"/>
    </row>
    <row r="728" spans="1:70" ht="27" customHeight="1" x14ac:dyDescent="0.2">
      <c r="A728" s="532"/>
      <c r="B728" s="917"/>
      <c r="C728" s="4"/>
      <c r="D728" s="917"/>
      <c r="E728" s="4"/>
      <c r="F728" s="917"/>
      <c r="G728" s="4"/>
      <c r="H728" s="920"/>
      <c r="I728" s="3"/>
      <c r="J728" s="920"/>
      <c r="K728" s="3"/>
      <c r="L728" s="920"/>
      <c r="M728" s="3"/>
      <c r="N728" s="920"/>
      <c r="O728" s="3"/>
      <c r="P728" s="3"/>
      <c r="Q728" s="533"/>
      <c r="R728" s="920"/>
      <c r="S728" s="534"/>
      <c r="T728" s="920"/>
      <c r="U728" s="920"/>
      <c r="V728" s="920"/>
      <c r="W728" s="535"/>
      <c r="X728" s="687"/>
      <c r="Y728" s="687"/>
      <c r="Z728" s="687"/>
      <c r="AA728" s="678"/>
      <c r="AB728" s="543"/>
      <c r="AC728" s="3"/>
      <c r="AD728" s="533"/>
      <c r="AE728" s="3"/>
      <c r="AF728" s="4"/>
      <c r="AG728" s="4"/>
      <c r="AH728" s="4"/>
      <c r="AI728" s="4"/>
      <c r="AJ728" s="4"/>
      <c r="AK728" s="4"/>
      <c r="AL728" s="4"/>
      <c r="AM728" s="4"/>
      <c r="AN728" s="4"/>
      <c r="AO728" s="4"/>
      <c r="AP728" s="4"/>
      <c r="AQ728" s="4"/>
      <c r="AR728" s="4"/>
      <c r="AS728" s="4"/>
      <c r="AT728" s="4"/>
      <c r="AU728" s="4"/>
      <c r="AV728" s="537"/>
      <c r="AW728" s="537"/>
      <c r="AX728" s="4"/>
      <c r="AY728" s="4"/>
      <c r="AZ728" s="4"/>
      <c r="BA728" s="4"/>
      <c r="BB728" s="4"/>
      <c r="BC728" s="4"/>
      <c r="BD728" s="4"/>
      <c r="BE728" s="4"/>
      <c r="BF728" s="4"/>
      <c r="BG728" s="4"/>
      <c r="BH728" s="4"/>
      <c r="BI728" s="4"/>
      <c r="BJ728" s="4"/>
      <c r="BK728" s="4"/>
      <c r="BL728" s="4"/>
      <c r="BM728" s="4"/>
      <c r="BN728" s="4"/>
      <c r="BO728" s="4"/>
      <c r="BP728" s="4"/>
      <c r="BQ728" s="4"/>
      <c r="BR728" s="4"/>
    </row>
    <row r="729" spans="1:70" ht="27" customHeight="1" x14ac:dyDescent="0.2">
      <c r="A729" s="532"/>
      <c r="B729" s="917"/>
      <c r="C729" s="4"/>
      <c r="D729" s="917"/>
      <c r="E729" s="4"/>
      <c r="F729" s="917"/>
      <c r="G729" s="4"/>
      <c r="H729" s="920"/>
      <c r="I729" s="3"/>
      <c r="J729" s="920"/>
      <c r="K729" s="3"/>
      <c r="L729" s="920"/>
      <c r="M729" s="3"/>
      <c r="N729" s="920"/>
      <c r="O729" s="3"/>
      <c r="P729" s="3"/>
      <c r="Q729" s="533"/>
      <c r="R729" s="920"/>
      <c r="S729" s="534"/>
      <c r="T729" s="920"/>
      <c r="U729" s="920"/>
      <c r="V729" s="920"/>
      <c r="W729" s="535"/>
      <c r="X729" s="687"/>
      <c r="Y729" s="687"/>
      <c r="Z729" s="687"/>
      <c r="AA729" s="678"/>
      <c r="AB729" s="543"/>
      <c r="AC729" s="3"/>
      <c r="AD729" s="533"/>
      <c r="AE729" s="3"/>
      <c r="AF729" s="4"/>
      <c r="AG729" s="4"/>
      <c r="AH729" s="4"/>
      <c r="AI729" s="4"/>
      <c r="AJ729" s="4"/>
      <c r="AK729" s="4"/>
      <c r="AL729" s="4"/>
      <c r="AM729" s="4"/>
      <c r="AN729" s="4"/>
      <c r="AO729" s="4"/>
      <c r="AP729" s="4"/>
      <c r="AQ729" s="4"/>
      <c r="AR729" s="4"/>
      <c r="AS729" s="4"/>
      <c r="AT729" s="4"/>
      <c r="AU729" s="4"/>
      <c r="AV729" s="537"/>
      <c r="AW729" s="537"/>
      <c r="AX729" s="4"/>
      <c r="AY729" s="4"/>
      <c r="AZ729" s="4"/>
      <c r="BA729" s="4"/>
      <c r="BB729" s="4"/>
      <c r="BC729" s="4"/>
      <c r="BD729" s="4"/>
      <c r="BE729" s="4"/>
      <c r="BF729" s="4"/>
      <c r="BG729" s="4"/>
      <c r="BH729" s="4"/>
      <c r="BI729" s="4"/>
      <c r="BJ729" s="4"/>
      <c r="BK729" s="4"/>
      <c r="BL729" s="4"/>
      <c r="BM729" s="4"/>
      <c r="BN729" s="4"/>
      <c r="BO729" s="4"/>
      <c r="BP729" s="4"/>
      <c r="BQ729" s="4"/>
      <c r="BR729" s="4"/>
    </row>
    <row r="730" spans="1:70" ht="27" customHeight="1" x14ac:dyDescent="0.2">
      <c r="A730" s="532"/>
      <c r="B730" s="917"/>
      <c r="C730" s="4"/>
      <c r="D730" s="917"/>
      <c r="E730" s="4"/>
      <c r="F730" s="917"/>
      <c r="G730" s="4"/>
      <c r="H730" s="920"/>
      <c r="I730" s="3"/>
      <c r="J730" s="920"/>
      <c r="K730" s="3"/>
      <c r="L730" s="920"/>
      <c r="M730" s="3"/>
      <c r="N730" s="920"/>
      <c r="O730" s="3"/>
      <c r="P730" s="3"/>
      <c r="Q730" s="533"/>
      <c r="R730" s="920"/>
      <c r="S730" s="534"/>
      <c r="T730" s="920"/>
      <c r="U730" s="920"/>
      <c r="V730" s="920"/>
      <c r="W730" s="535"/>
      <c r="X730" s="687"/>
      <c r="Y730" s="687"/>
      <c r="Z730" s="687"/>
      <c r="AA730" s="678"/>
      <c r="AB730" s="543"/>
      <c r="AC730" s="3"/>
      <c r="AD730" s="533"/>
      <c r="AE730" s="3"/>
      <c r="AF730" s="4"/>
      <c r="AG730" s="4"/>
      <c r="AH730" s="4"/>
      <c r="AI730" s="4"/>
      <c r="AJ730" s="4"/>
      <c r="AK730" s="4"/>
      <c r="AL730" s="4"/>
      <c r="AM730" s="4"/>
      <c r="AN730" s="4"/>
      <c r="AO730" s="4"/>
      <c r="AP730" s="4"/>
      <c r="AQ730" s="4"/>
      <c r="AR730" s="4"/>
      <c r="AS730" s="4"/>
      <c r="AT730" s="4"/>
      <c r="AU730" s="4"/>
      <c r="AV730" s="537"/>
      <c r="AW730" s="537"/>
      <c r="AX730" s="4"/>
      <c r="AY730" s="4"/>
      <c r="AZ730" s="4"/>
      <c r="BA730" s="4"/>
      <c r="BB730" s="4"/>
      <c r="BC730" s="4"/>
      <c r="BD730" s="4"/>
      <c r="BE730" s="4"/>
      <c r="BF730" s="4"/>
      <c r="BG730" s="4"/>
      <c r="BH730" s="4"/>
      <c r="BI730" s="4"/>
      <c r="BJ730" s="4"/>
      <c r="BK730" s="4"/>
      <c r="BL730" s="4"/>
      <c r="BM730" s="4"/>
      <c r="BN730" s="4"/>
      <c r="BO730" s="4"/>
      <c r="BP730" s="4"/>
      <c r="BQ730" s="4"/>
      <c r="BR730" s="4"/>
    </row>
    <row r="731" spans="1:70" ht="27" customHeight="1" x14ac:dyDescent="0.2">
      <c r="A731" s="532"/>
      <c r="B731" s="917"/>
      <c r="C731" s="4"/>
      <c r="D731" s="917"/>
      <c r="E731" s="4"/>
      <c r="F731" s="917"/>
      <c r="G731" s="4"/>
      <c r="H731" s="920"/>
      <c r="I731" s="3"/>
      <c r="J731" s="920"/>
      <c r="K731" s="3"/>
      <c r="L731" s="920"/>
      <c r="M731" s="3"/>
      <c r="N731" s="920"/>
      <c r="O731" s="3"/>
      <c r="P731" s="3"/>
      <c r="Q731" s="533"/>
      <c r="R731" s="920"/>
      <c r="S731" s="534"/>
      <c r="T731" s="920"/>
      <c r="U731" s="920"/>
      <c r="V731" s="920"/>
      <c r="W731" s="535"/>
      <c r="X731" s="687"/>
      <c r="Y731" s="687"/>
      <c r="Z731" s="687"/>
      <c r="AA731" s="678"/>
      <c r="AB731" s="543"/>
      <c r="AC731" s="3"/>
      <c r="AD731" s="533"/>
      <c r="AE731" s="3"/>
      <c r="AF731" s="4"/>
      <c r="AG731" s="4"/>
      <c r="AH731" s="4"/>
      <c r="AI731" s="4"/>
      <c r="AJ731" s="4"/>
      <c r="AK731" s="4"/>
      <c r="AL731" s="4"/>
      <c r="AM731" s="4"/>
      <c r="AN731" s="4"/>
      <c r="AO731" s="4"/>
      <c r="AP731" s="4"/>
      <c r="AQ731" s="4"/>
      <c r="AR731" s="4"/>
      <c r="AS731" s="4"/>
      <c r="AT731" s="4"/>
      <c r="AU731" s="4"/>
      <c r="AV731" s="537"/>
      <c r="AW731" s="537"/>
      <c r="AX731" s="4"/>
      <c r="AY731" s="4"/>
      <c r="AZ731" s="4"/>
      <c r="BA731" s="4"/>
      <c r="BB731" s="4"/>
      <c r="BC731" s="4"/>
      <c r="BD731" s="4"/>
      <c r="BE731" s="4"/>
      <c r="BF731" s="4"/>
      <c r="BG731" s="4"/>
      <c r="BH731" s="4"/>
      <c r="BI731" s="4"/>
      <c r="BJ731" s="4"/>
      <c r="BK731" s="4"/>
      <c r="BL731" s="4"/>
      <c r="BM731" s="4"/>
      <c r="BN731" s="4"/>
      <c r="BO731" s="4"/>
      <c r="BP731" s="4"/>
      <c r="BQ731" s="4"/>
      <c r="BR731" s="4"/>
    </row>
    <row r="732" spans="1:70" ht="27" customHeight="1" x14ac:dyDescent="0.2">
      <c r="A732" s="532"/>
      <c r="B732" s="917"/>
      <c r="C732" s="4"/>
      <c r="D732" s="917"/>
      <c r="E732" s="4"/>
      <c r="F732" s="917"/>
      <c r="G732" s="4"/>
      <c r="H732" s="920"/>
      <c r="I732" s="3"/>
      <c r="J732" s="920"/>
      <c r="K732" s="3"/>
      <c r="L732" s="920"/>
      <c r="M732" s="3"/>
      <c r="N732" s="920"/>
      <c r="O732" s="3"/>
      <c r="P732" s="3"/>
      <c r="Q732" s="533"/>
      <c r="R732" s="920"/>
      <c r="S732" s="534"/>
      <c r="T732" s="920"/>
      <c r="U732" s="920"/>
      <c r="V732" s="920"/>
      <c r="W732" s="535"/>
      <c r="X732" s="687"/>
      <c r="Y732" s="687"/>
      <c r="Z732" s="687"/>
      <c r="AA732" s="678"/>
      <c r="AB732" s="543"/>
      <c r="AC732" s="3"/>
      <c r="AD732" s="533"/>
      <c r="AE732" s="3"/>
      <c r="AF732" s="4"/>
      <c r="AG732" s="4"/>
      <c r="AH732" s="4"/>
      <c r="AI732" s="4"/>
      <c r="AJ732" s="4"/>
      <c r="AK732" s="4"/>
      <c r="AL732" s="4"/>
      <c r="AM732" s="4"/>
      <c r="AN732" s="4"/>
      <c r="AO732" s="4"/>
      <c r="AP732" s="4"/>
      <c r="AQ732" s="4"/>
      <c r="AR732" s="4"/>
      <c r="AS732" s="4"/>
      <c r="AT732" s="4"/>
      <c r="AU732" s="4"/>
      <c r="AV732" s="537"/>
      <c r="AW732" s="537"/>
      <c r="AX732" s="4"/>
      <c r="AY732" s="4"/>
      <c r="AZ732" s="4"/>
      <c r="BA732" s="4"/>
      <c r="BB732" s="4"/>
      <c r="BC732" s="4"/>
      <c r="BD732" s="4"/>
      <c r="BE732" s="4"/>
      <c r="BF732" s="4"/>
      <c r="BG732" s="4"/>
      <c r="BH732" s="4"/>
      <c r="BI732" s="4"/>
      <c r="BJ732" s="4"/>
      <c r="BK732" s="4"/>
      <c r="BL732" s="4"/>
      <c r="BM732" s="4"/>
      <c r="BN732" s="4"/>
      <c r="BO732" s="4"/>
      <c r="BP732" s="4"/>
      <c r="BQ732" s="4"/>
      <c r="BR732" s="4"/>
    </row>
    <row r="733" spans="1:70" ht="27" customHeight="1" x14ac:dyDescent="0.2">
      <c r="A733" s="532"/>
      <c r="B733" s="917"/>
      <c r="C733" s="4"/>
      <c r="D733" s="917"/>
      <c r="E733" s="4"/>
      <c r="F733" s="917"/>
      <c r="G733" s="4"/>
      <c r="H733" s="920"/>
      <c r="I733" s="3"/>
      <c r="J733" s="920"/>
      <c r="K733" s="3"/>
      <c r="L733" s="920"/>
      <c r="M733" s="3"/>
      <c r="N733" s="920"/>
      <c r="O733" s="3"/>
      <c r="P733" s="3"/>
      <c r="Q733" s="533"/>
      <c r="R733" s="920"/>
      <c r="S733" s="534"/>
      <c r="T733" s="920"/>
      <c r="U733" s="920"/>
      <c r="V733" s="920"/>
      <c r="W733" s="535"/>
      <c r="X733" s="687"/>
      <c r="Y733" s="687"/>
      <c r="Z733" s="687"/>
      <c r="AA733" s="678"/>
      <c r="AB733" s="543"/>
      <c r="AC733" s="3"/>
      <c r="AD733" s="533"/>
      <c r="AE733" s="3"/>
      <c r="AF733" s="4"/>
      <c r="AG733" s="4"/>
      <c r="AH733" s="4"/>
      <c r="AI733" s="4"/>
      <c r="AJ733" s="4"/>
      <c r="AK733" s="4"/>
      <c r="AL733" s="4"/>
      <c r="AM733" s="4"/>
      <c r="AN733" s="4"/>
      <c r="AO733" s="4"/>
      <c r="AP733" s="4"/>
      <c r="AQ733" s="4"/>
      <c r="AR733" s="4"/>
      <c r="AS733" s="4"/>
      <c r="AT733" s="4"/>
      <c r="AU733" s="4"/>
      <c r="AV733" s="537"/>
      <c r="AW733" s="537"/>
      <c r="AX733" s="4"/>
      <c r="AY733" s="4"/>
      <c r="AZ733" s="4"/>
      <c r="BA733" s="4"/>
      <c r="BB733" s="4"/>
      <c r="BC733" s="4"/>
      <c r="BD733" s="4"/>
      <c r="BE733" s="4"/>
      <c r="BF733" s="4"/>
      <c r="BG733" s="4"/>
      <c r="BH733" s="4"/>
      <c r="BI733" s="4"/>
      <c r="BJ733" s="4"/>
      <c r="BK733" s="4"/>
      <c r="BL733" s="4"/>
      <c r="BM733" s="4"/>
      <c r="BN733" s="4"/>
      <c r="BO733" s="4"/>
      <c r="BP733" s="4"/>
      <c r="BQ733" s="4"/>
      <c r="BR733" s="4"/>
    </row>
    <row r="734" spans="1:70" ht="27" customHeight="1" x14ac:dyDescent="0.2">
      <c r="A734" s="532"/>
      <c r="B734" s="917"/>
      <c r="C734" s="4"/>
      <c r="D734" s="917"/>
      <c r="E734" s="4"/>
      <c r="F734" s="917"/>
      <c r="G734" s="4"/>
      <c r="H734" s="920"/>
      <c r="I734" s="3"/>
      <c r="J734" s="920"/>
      <c r="K734" s="3"/>
      <c r="L734" s="920"/>
      <c r="M734" s="3"/>
      <c r="N734" s="920"/>
      <c r="O734" s="3"/>
      <c r="P734" s="3"/>
      <c r="Q734" s="533"/>
      <c r="R734" s="920"/>
      <c r="S734" s="534"/>
      <c r="T734" s="920"/>
      <c r="U734" s="920"/>
      <c r="V734" s="920"/>
      <c r="W734" s="535"/>
      <c r="X734" s="687"/>
      <c r="Y734" s="687"/>
      <c r="Z734" s="687"/>
      <c r="AA734" s="678"/>
      <c r="AB734" s="543"/>
      <c r="AC734" s="3"/>
      <c r="AD734" s="533"/>
      <c r="AE734" s="3"/>
      <c r="AF734" s="4"/>
      <c r="AG734" s="4"/>
      <c r="AH734" s="4"/>
      <c r="AI734" s="4"/>
      <c r="AJ734" s="4"/>
      <c r="AK734" s="4"/>
      <c r="AL734" s="4"/>
      <c r="AM734" s="4"/>
      <c r="AN734" s="4"/>
      <c r="AO734" s="4"/>
      <c r="AP734" s="4"/>
      <c r="AQ734" s="4"/>
      <c r="AR734" s="4"/>
      <c r="AS734" s="4"/>
      <c r="AT734" s="4"/>
      <c r="AU734" s="4"/>
      <c r="AV734" s="537"/>
      <c r="AW734" s="537"/>
      <c r="AX734" s="4"/>
      <c r="AY734" s="4"/>
      <c r="AZ734" s="4"/>
      <c r="BA734" s="4"/>
      <c r="BB734" s="4"/>
      <c r="BC734" s="4"/>
      <c r="BD734" s="4"/>
      <c r="BE734" s="4"/>
      <c r="BF734" s="4"/>
      <c r="BG734" s="4"/>
      <c r="BH734" s="4"/>
      <c r="BI734" s="4"/>
      <c r="BJ734" s="4"/>
      <c r="BK734" s="4"/>
      <c r="BL734" s="4"/>
      <c r="BM734" s="4"/>
      <c r="BN734" s="4"/>
      <c r="BO734" s="4"/>
      <c r="BP734" s="4"/>
      <c r="BQ734" s="4"/>
      <c r="BR734" s="4"/>
    </row>
    <row r="735" spans="1:70" ht="27" customHeight="1" x14ac:dyDescent="0.2">
      <c r="A735" s="532"/>
      <c r="B735" s="917"/>
      <c r="C735" s="4"/>
      <c r="D735" s="917"/>
      <c r="E735" s="4"/>
      <c r="F735" s="917"/>
      <c r="G735" s="4"/>
      <c r="H735" s="920"/>
      <c r="I735" s="3"/>
      <c r="J735" s="920"/>
      <c r="K735" s="3"/>
      <c r="L735" s="920"/>
      <c r="M735" s="3"/>
      <c r="N735" s="920"/>
      <c r="O735" s="3"/>
      <c r="P735" s="3"/>
      <c r="Q735" s="533"/>
      <c r="R735" s="920"/>
      <c r="S735" s="534"/>
      <c r="T735" s="920"/>
      <c r="U735" s="920"/>
      <c r="V735" s="920"/>
      <c r="W735" s="535"/>
      <c r="X735" s="687"/>
      <c r="Y735" s="687"/>
      <c r="Z735" s="687"/>
      <c r="AA735" s="678"/>
      <c r="AB735" s="543"/>
      <c r="AC735" s="3"/>
      <c r="AD735" s="533"/>
      <c r="AE735" s="3"/>
      <c r="AF735" s="4"/>
      <c r="AG735" s="4"/>
      <c r="AH735" s="4"/>
      <c r="AI735" s="4"/>
      <c r="AJ735" s="4"/>
      <c r="AK735" s="4"/>
      <c r="AL735" s="4"/>
      <c r="AM735" s="4"/>
      <c r="AN735" s="4"/>
      <c r="AO735" s="4"/>
      <c r="AP735" s="4"/>
      <c r="AQ735" s="4"/>
      <c r="AR735" s="4"/>
      <c r="AS735" s="4"/>
      <c r="AT735" s="4"/>
      <c r="AU735" s="4"/>
      <c r="AV735" s="537"/>
      <c r="AW735" s="537"/>
      <c r="AX735" s="4"/>
      <c r="AY735" s="4"/>
      <c r="AZ735" s="4"/>
      <c r="BA735" s="4"/>
      <c r="BB735" s="4"/>
      <c r="BC735" s="4"/>
      <c r="BD735" s="4"/>
      <c r="BE735" s="4"/>
      <c r="BF735" s="4"/>
      <c r="BG735" s="4"/>
      <c r="BH735" s="4"/>
      <c r="BI735" s="4"/>
      <c r="BJ735" s="4"/>
      <c r="BK735" s="4"/>
      <c r="BL735" s="4"/>
      <c r="BM735" s="4"/>
      <c r="BN735" s="4"/>
      <c r="BO735" s="4"/>
      <c r="BP735" s="4"/>
      <c r="BQ735" s="4"/>
      <c r="BR735" s="4"/>
    </row>
    <row r="736" spans="1:70" ht="27" customHeight="1" x14ac:dyDescent="0.2">
      <c r="A736" s="532"/>
      <c r="B736" s="917"/>
      <c r="C736" s="4"/>
      <c r="D736" s="917"/>
      <c r="E736" s="4"/>
      <c r="F736" s="917"/>
      <c r="G736" s="4"/>
      <c r="H736" s="920"/>
      <c r="I736" s="3"/>
      <c r="J736" s="920"/>
      <c r="K736" s="3"/>
      <c r="L736" s="920"/>
      <c r="M736" s="3"/>
      <c r="N736" s="920"/>
      <c r="O736" s="3"/>
      <c r="P736" s="3"/>
      <c r="Q736" s="533"/>
      <c r="R736" s="920"/>
      <c r="S736" s="534"/>
      <c r="T736" s="920"/>
      <c r="U736" s="920"/>
      <c r="V736" s="920"/>
      <c r="W736" s="535"/>
      <c r="X736" s="687"/>
      <c r="Y736" s="687"/>
      <c r="Z736" s="687"/>
      <c r="AA736" s="678"/>
      <c r="AB736" s="543"/>
      <c r="AC736" s="3"/>
      <c r="AD736" s="533"/>
      <c r="AE736" s="3"/>
      <c r="AF736" s="4"/>
      <c r="AG736" s="4"/>
      <c r="AH736" s="4"/>
      <c r="AI736" s="4"/>
      <c r="AJ736" s="4"/>
      <c r="AK736" s="4"/>
      <c r="AL736" s="4"/>
      <c r="AM736" s="4"/>
      <c r="AN736" s="4"/>
      <c r="AO736" s="4"/>
      <c r="AP736" s="4"/>
      <c r="AQ736" s="4"/>
      <c r="AR736" s="4"/>
      <c r="AS736" s="4"/>
      <c r="AT736" s="4"/>
      <c r="AU736" s="4"/>
      <c r="AV736" s="537"/>
      <c r="AW736" s="537"/>
      <c r="AX736" s="4"/>
      <c r="AY736" s="4"/>
      <c r="AZ736" s="4"/>
      <c r="BA736" s="4"/>
      <c r="BB736" s="4"/>
      <c r="BC736" s="4"/>
      <c r="BD736" s="4"/>
      <c r="BE736" s="4"/>
      <c r="BF736" s="4"/>
      <c r="BG736" s="4"/>
      <c r="BH736" s="4"/>
      <c r="BI736" s="4"/>
      <c r="BJ736" s="4"/>
      <c r="BK736" s="4"/>
      <c r="BL736" s="4"/>
      <c r="BM736" s="4"/>
      <c r="BN736" s="4"/>
      <c r="BO736" s="4"/>
      <c r="BP736" s="4"/>
      <c r="BQ736" s="4"/>
      <c r="BR736" s="4"/>
    </row>
    <row r="737" spans="1:70" ht="27" customHeight="1" x14ac:dyDescent="0.2">
      <c r="A737" s="532"/>
      <c r="B737" s="917"/>
      <c r="C737" s="4"/>
      <c r="D737" s="917"/>
      <c r="E737" s="4"/>
      <c r="F737" s="917"/>
      <c r="G737" s="4"/>
      <c r="H737" s="920"/>
      <c r="I737" s="3"/>
      <c r="J737" s="920"/>
      <c r="K737" s="3"/>
      <c r="L737" s="920"/>
      <c r="M737" s="3"/>
      <c r="N737" s="920"/>
      <c r="O737" s="3"/>
      <c r="P737" s="3"/>
      <c r="Q737" s="533"/>
      <c r="R737" s="920"/>
      <c r="S737" s="534"/>
      <c r="T737" s="920"/>
      <c r="U737" s="920"/>
      <c r="V737" s="920"/>
      <c r="W737" s="535"/>
      <c r="X737" s="687"/>
      <c r="Y737" s="687"/>
      <c r="Z737" s="687"/>
      <c r="AA737" s="678"/>
      <c r="AB737" s="543"/>
      <c r="AC737" s="3"/>
      <c r="AD737" s="533"/>
      <c r="AE737" s="3"/>
      <c r="AF737" s="4"/>
      <c r="AG737" s="4"/>
      <c r="AH737" s="4"/>
      <c r="AI737" s="4"/>
      <c r="AJ737" s="4"/>
      <c r="AK737" s="4"/>
      <c r="AL737" s="4"/>
      <c r="AM737" s="4"/>
      <c r="AN737" s="4"/>
      <c r="AO737" s="4"/>
      <c r="AP737" s="4"/>
      <c r="AQ737" s="4"/>
      <c r="AR737" s="4"/>
      <c r="AS737" s="4"/>
      <c r="AT737" s="4"/>
      <c r="AU737" s="4"/>
      <c r="AV737" s="537"/>
      <c r="AW737" s="537"/>
      <c r="AX737" s="4"/>
      <c r="AY737" s="4"/>
      <c r="AZ737" s="4"/>
      <c r="BA737" s="4"/>
      <c r="BB737" s="4"/>
      <c r="BC737" s="4"/>
      <c r="BD737" s="4"/>
      <c r="BE737" s="4"/>
      <c r="BF737" s="4"/>
      <c r="BG737" s="4"/>
      <c r="BH737" s="4"/>
      <c r="BI737" s="4"/>
      <c r="BJ737" s="4"/>
      <c r="BK737" s="4"/>
      <c r="BL737" s="4"/>
      <c r="BM737" s="4"/>
      <c r="BN737" s="4"/>
      <c r="BO737" s="4"/>
      <c r="BP737" s="4"/>
      <c r="BQ737" s="4"/>
      <c r="BR737" s="4"/>
    </row>
    <row r="738" spans="1:70" ht="27" customHeight="1" x14ac:dyDescent="0.2">
      <c r="A738" s="532"/>
      <c r="B738" s="917"/>
      <c r="C738" s="4"/>
      <c r="D738" s="917"/>
      <c r="E738" s="4"/>
      <c r="F738" s="917"/>
      <c r="G738" s="4"/>
      <c r="H738" s="920"/>
      <c r="I738" s="3"/>
      <c r="J738" s="920"/>
      <c r="K738" s="3"/>
      <c r="L738" s="920"/>
      <c r="M738" s="3"/>
      <c r="N738" s="920"/>
      <c r="O738" s="3"/>
      <c r="P738" s="3"/>
      <c r="Q738" s="533"/>
      <c r="R738" s="920"/>
      <c r="S738" s="534"/>
      <c r="T738" s="920"/>
      <c r="U738" s="920"/>
      <c r="V738" s="920"/>
      <c r="W738" s="535"/>
      <c r="X738" s="687"/>
      <c r="Y738" s="687"/>
      <c r="Z738" s="687"/>
      <c r="AA738" s="678"/>
      <c r="AB738" s="543"/>
      <c r="AC738" s="3"/>
      <c r="AD738" s="533"/>
      <c r="AE738" s="3"/>
      <c r="AF738" s="4"/>
      <c r="AG738" s="4"/>
      <c r="AH738" s="4"/>
      <c r="AI738" s="4"/>
      <c r="AJ738" s="4"/>
      <c r="AK738" s="4"/>
      <c r="AL738" s="4"/>
      <c r="AM738" s="4"/>
      <c r="AN738" s="4"/>
      <c r="AO738" s="4"/>
      <c r="AP738" s="4"/>
      <c r="AQ738" s="4"/>
      <c r="AR738" s="4"/>
      <c r="AS738" s="4"/>
      <c r="AT738" s="4"/>
      <c r="AU738" s="4"/>
      <c r="AV738" s="537"/>
      <c r="AW738" s="537"/>
      <c r="AX738" s="4"/>
      <c r="AY738" s="4"/>
      <c r="AZ738" s="4"/>
      <c r="BA738" s="4"/>
      <c r="BB738" s="4"/>
      <c r="BC738" s="4"/>
      <c r="BD738" s="4"/>
      <c r="BE738" s="4"/>
      <c r="BF738" s="4"/>
      <c r="BG738" s="4"/>
      <c r="BH738" s="4"/>
      <c r="BI738" s="4"/>
      <c r="BJ738" s="4"/>
      <c r="BK738" s="4"/>
      <c r="BL738" s="4"/>
      <c r="BM738" s="4"/>
      <c r="BN738" s="4"/>
      <c r="BO738" s="4"/>
      <c r="BP738" s="4"/>
      <c r="BQ738" s="4"/>
      <c r="BR738" s="4"/>
    </row>
    <row r="739" spans="1:70" ht="27" customHeight="1" x14ac:dyDescent="0.2">
      <c r="A739" s="532"/>
      <c r="B739" s="917"/>
      <c r="C739" s="4"/>
      <c r="D739" s="917"/>
      <c r="E739" s="4"/>
      <c r="F739" s="917"/>
      <c r="G739" s="4"/>
      <c r="H739" s="920"/>
      <c r="I739" s="3"/>
      <c r="J739" s="920"/>
      <c r="K739" s="3"/>
      <c r="L739" s="920"/>
      <c r="M739" s="3"/>
      <c r="N739" s="920"/>
      <c r="O739" s="3"/>
      <c r="P739" s="3"/>
      <c r="Q739" s="533"/>
      <c r="R739" s="920"/>
      <c r="S739" s="534"/>
      <c r="T739" s="920"/>
      <c r="U739" s="920"/>
      <c r="V739" s="920"/>
      <c r="W739" s="535"/>
      <c r="X739" s="687"/>
      <c r="Y739" s="687"/>
      <c r="Z739" s="687"/>
      <c r="AA739" s="678"/>
      <c r="AB739" s="543"/>
      <c r="AC739" s="3"/>
      <c r="AD739" s="533"/>
      <c r="AE739" s="3"/>
      <c r="AF739" s="4"/>
      <c r="AG739" s="4"/>
      <c r="AH739" s="4"/>
      <c r="AI739" s="4"/>
      <c r="AJ739" s="4"/>
      <c r="AK739" s="4"/>
      <c r="AL739" s="4"/>
      <c r="AM739" s="4"/>
      <c r="AN739" s="4"/>
      <c r="AO739" s="4"/>
      <c r="AP739" s="4"/>
      <c r="AQ739" s="4"/>
      <c r="AR739" s="4"/>
      <c r="AS739" s="4"/>
      <c r="AT739" s="4"/>
      <c r="AU739" s="4"/>
      <c r="AV739" s="537"/>
      <c r="AW739" s="537"/>
      <c r="AX739" s="4"/>
      <c r="AY739" s="4"/>
      <c r="AZ739" s="4"/>
      <c r="BA739" s="4"/>
      <c r="BB739" s="4"/>
      <c r="BC739" s="4"/>
      <c r="BD739" s="4"/>
      <c r="BE739" s="4"/>
      <c r="BF739" s="4"/>
      <c r="BG739" s="4"/>
      <c r="BH739" s="4"/>
      <c r="BI739" s="4"/>
      <c r="BJ739" s="4"/>
      <c r="BK739" s="4"/>
      <c r="BL739" s="4"/>
      <c r="BM739" s="4"/>
      <c r="BN739" s="4"/>
      <c r="BO739" s="4"/>
      <c r="BP739" s="4"/>
      <c r="BQ739" s="4"/>
      <c r="BR739" s="4"/>
    </row>
    <row r="740" spans="1:70" ht="27" customHeight="1" x14ac:dyDescent="0.2">
      <c r="A740" s="532"/>
      <c r="B740" s="917"/>
      <c r="C740" s="4"/>
      <c r="D740" s="917"/>
      <c r="E740" s="4"/>
      <c r="F740" s="917"/>
      <c r="G740" s="4"/>
      <c r="H740" s="920"/>
      <c r="I740" s="3"/>
      <c r="J740" s="920"/>
      <c r="K740" s="3"/>
      <c r="L740" s="920"/>
      <c r="M740" s="3"/>
      <c r="N740" s="920"/>
      <c r="O740" s="3"/>
      <c r="P740" s="3"/>
      <c r="Q740" s="533"/>
      <c r="R740" s="920"/>
      <c r="S740" s="534"/>
      <c r="T740" s="920"/>
      <c r="U740" s="920"/>
      <c r="V740" s="920"/>
      <c r="W740" s="535"/>
      <c r="X740" s="687"/>
      <c r="Y740" s="687"/>
      <c r="Z740" s="687"/>
      <c r="AA740" s="678"/>
      <c r="AB740" s="543"/>
      <c r="AC740" s="3"/>
      <c r="AD740" s="533"/>
      <c r="AE740" s="3"/>
      <c r="AF740" s="4"/>
      <c r="AG740" s="4"/>
      <c r="AH740" s="4"/>
      <c r="AI740" s="4"/>
      <c r="AJ740" s="4"/>
      <c r="AK740" s="4"/>
      <c r="AL740" s="4"/>
      <c r="AM740" s="4"/>
      <c r="AN740" s="4"/>
      <c r="AO740" s="4"/>
      <c r="AP740" s="4"/>
      <c r="AQ740" s="4"/>
      <c r="AR740" s="4"/>
      <c r="AS740" s="4"/>
      <c r="AT740" s="4"/>
      <c r="AU740" s="4"/>
      <c r="AV740" s="537"/>
      <c r="AW740" s="537"/>
      <c r="AX740" s="4"/>
      <c r="AY740" s="4"/>
      <c r="AZ740" s="4"/>
      <c r="BA740" s="4"/>
      <c r="BB740" s="4"/>
      <c r="BC740" s="4"/>
      <c r="BD740" s="4"/>
      <c r="BE740" s="4"/>
      <c r="BF740" s="4"/>
      <c r="BG740" s="4"/>
      <c r="BH740" s="4"/>
      <c r="BI740" s="4"/>
      <c r="BJ740" s="4"/>
      <c r="BK740" s="4"/>
      <c r="BL740" s="4"/>
      <c r="BM740" s="4"/>
      <c r="BN740" s="4"/>
      <c r="BO740" s="4"/>
      <c r="BP740" s="4"/>
      <c r="BQ740" s="4"/>
      <c r="BR740" s="4"/>
    </row>
    <row r="741" spans="1:70" ht="27" customHeight="1" x14ac:dyDescent="0.2">
      <c r="A741" s="532"/>
      <c r="B741" s="917"/>
      <c r="C741" s="4"/>
      <c r="D741" s="917"/>
      <c r="E741" s="4"/>
      <c r="F741" s="917"/>
      <c r="G741" s="4"/>
      <c r="H741" s="920"/>
      <c r="I741" s="3"/>
      <c r="J741" s="920"/>
      <c r="K741" s="3"/>
      <c r="L741" s="920"/>
      <c r="M741" s="3"/>
      <c r="N741" s="920"/>
      <c r="O741" s="3"/>
      <c r="P741" s="3"/>
      <c r="Q741" s="533"/>
      <c r="R741" s="920"/>
      <c r="S741" s="534"/>
      <c r="T741" s="920"/>
      <c r="U741" s="920"/>
      <c r="V741" s="920"/>
      <c r="W741" s="535"/>
      <c r="X741" s="687"/>
      <c r="Y741" s="687"/>
      <c r="Z741" s="687"/>
      <c r="AA741" s="678"/>
      <c r="AB741" s="543"/>
      <c r="AC741" s="3"/>
      <c r="AD741" s="533"/>
      <c r="AE741" s="3"/>
      <c r="AF741" s="4"/>
      <c r="AG741" s="4"/>
      <c r="AH741" s="4"/>
      <c r="AI741" s="4"/>
      <c r="AJ741" s="4"/>
      <c r="AK741" s="4"/>
      <c r="AL741" s="4"/>
      <c r="AM741" s="4"/>
      <c r="AN741" s="4"/>
      <c r="AO741" s="4"/>
      <c r="AP741" s="4"/>
      <c r="AQ741" s="4"/>
      <c r="AR741" s="4"/>
      <c r="AS741" s="4"/>
      <c r="AT741" s="4"/>
      <c r="AU741" s="4"/>
      <c r="AV741" s="537"/>
      <c r="AW741" s="537"/>
      <c r="AX741" s="4"/>
      <c r="AY741" s="4"/>
      <c r="AZ741" s="4"/>
      <c r="BA741" s="4"/>
      <c r="BB741" s="4"/>
      <c r="BC741" s="4"/>
      <c r="BD741" s="4"/>
      <c r="BE741" s="4"/>
      <c r="BF741" s="4"/>
      <c r="BG741" s="4"/>
      <c r="BH741" s="4"/>
      <c r="BI741" s="4"/>
      <c r="BJ741" s="4"/>
      <c r="BK741" s="4"/>
      <c r="BL741" s="4"/>
      <c r="BM741" s="4"/>
      <c r="BN741" s="4"/>
      <c r="BO741" s="4"/>
      <c r="BP741" s="4"/>
      <c r="BQ741" s="4"/>
      <c r="BR741" s="4"/>
    </row>
    <row r="742" spans="1:70" ht="27" customHeight="1" x14ac:dyDescent="0.2">
      <c r="A742" s="532"/>
      <c r="B742" s="917"/>
      <c r="C742" s="4"/>
      <c r="D742" s="917"/>
      <c r="E742" s="4"/>
      <c r="F742" s="917"/>
      <c r="G742" s="4"/>
      <c r="H742" s="920"/>
      <c r="I742" s="3"/>
      <c r="J742" s="920"/>
      <c r="K742" s="3"/>
      <c r="L742" s="920"/>
      <c r="M742" s="3"/>
      <c r="N742" s="920"/>
      <c r="O742" s="3"/>
      <c r="P742" s="3"/>
      <c r="Q742" s="533"/>
      <c r="R742" s="920"/>
      <c r="S742" s="534"/>
      <c r="T742" s="920"/>
      <c r="U742" s="920"/>
      <c r="V742" s="920"/>
      <c r="W742" s="535"/>
      <c r="X742" s="687"/>
      <c r="Y742" s="687"/>
      <c r="Z742" s="687"/>
      <c r="AA742" s="678"/>
      <c r="AB742" s="543"/>
      <c r="AC742" s="3"/>
      <c r="AD742" s="533"/>
      <c r="AE742" s="3"/>
      <c r="AF742" s="4"/>
      <c r="AG742" s="4"/>
      <c r="AH742" s="4"/>
      <c r="AI742" s="4"/>
      <c r="AJ742" s="4"/>
      <c r="AK742" s="4"/>
      <c r="AL742" s="4"/>
      <c r="AM742" s="4"/>
      <c r="AN742" s="4"/>
      <c r="AO742" s="4"/>
      <c r="AP742" s="4"/>
      <c r="AQ742" s="4"/>
      <c r="AR742" s="4"/>
      <c r="AS742" s="4"/>
      <c r="AT742" s="4"/>
      <c r="AU742" s="4"/>
      <c r="AV742" s="537"/>
      <c r="AW742" s="537"/>
      <c r="AX742" s="4"/>
      <c r="AY742" s="4"/>
      <c r="AZ742" s="4"/>
      <c r="BA742" s="4"/>
      <c r="BB742" s="4"/>
      <c r="BC742" s="4"/>
      <c r="BD742" s="4"/>
      <c r="BE742" s="4"/>
      <c r="BF742" s="4"/>
      <c r="BG742" s="4"/>
      <c r="BH742" s="4"/>
      <c r="BI742" s="4"/>
      <c r="BJ742" s="4"/>
      <c r="BK742" s="4"/>
      <c r="BL742" s="4"/>
      <c r="BM742" s="4"/>
      <c r="BN742" s="4"/>
      <c r="BO742" s="4"/>
      <c r="BP742" s="4"/>
      <c r="BQ742" s="4"/>
      <c r="BR742" s="4"/>
    </row>
    <row r="743" spans="1:70" ht="27" customHeight="1" x14ac:dyDescent="0.2">
      <c r="A743" s="532"/>
      <c r="B743" s="917"/>
      <c r="C743" s="4"/>
      <c r="D743" s="917"/>
      <c r="E743" s="4"/>
      <c r="F743" s="917"/>
      <c r="G743" s="4"/>
      <c r="H743" s="920"/>
      <c r="I743" s="3"/>
      <c r="J743" s="920"/>
      <c r="K743" s="3"/>
      <c r="L743" s="920"/>
      <c r="M743" s="3"/>
      <c r="N743" s="920"/>
      <c r="O743" s="3"/>
      <c r="P743" s="3"/>
      <c r="Q743" s="533"/>
      <c r="R743" s="920"/>
      <c r="S743" s="534"/>
      <c r="T743" s="920"/>
      <c r="U743" s="920"/>
      <c r="V743" s="920"/>
      <c r="W743" s="535"/>
      <c r="X743" s="687"/>
      <c r="Y743" s="687"/>
      <c r="Z743" s="687"/>
      <c r="AA743" s="678"/>
      <c r="AB743" s="543"/>
      <c r="AC743" s="3"/>
      <c r="AD743" s="533"/>
      <c r="AE743" s="3"/>
      <c r="AF743" s="4"/>
      <c r="AG743" s="4"/>
      <c r="AH743" s="4"/>
      <c r="AI743" s="4"/>
      <c r="AJ743" s="4"/>
      <c r="AK743" s="4"/>
      <c r="AL743" s="4"/>
      <c r="AM743" s="4"/>
      <c r="AN743" s="4"/>
      <c r="AO743" s="4"/>
      <c r="AP743" s="4"/>
      <c r="AQ743" s="4"/>
      <c r="AR743" s="4"/>
      <c r="AS743" s="4"/>
      <c r="AT743" s="4"/>
      <c r="AU743" s="4"/>
      <c r="AV743" s="537"/>
      <c r="AW743" s="537"/>
      <c r="AX743" s="4"/>
      <c r="AY743" s="4"/>
      <c r="AZ743" s="4"/>
      <c r="BA743" s="4"/>
      <c r="BB743" s="4"/>
      <c r="BC743" s="4"/>
      <c r="BD743" s="4"/>
      <c r="BE743" s="4"/>
      <c r="BF743" s="4"/>
      <c r="BG743" s="4"/>
      <c r="BH743" s="4"/>
      <c r="BI743" s="4"/>
      <c r="BJ743" s="4"/>
      <c r="BK743" s="4"/>
      <c r="BL743" s="4"/>
      <c r="BM743" s="4"/>
      <c r="BN743" s="4"/>
      <c r="BO743" s="4"/>
      <c r="BP743" s="4"/>
      <c r="BQ743" s="4"/>
      <c r="BR743" s="4"/>
    </row>
    <row r="744" spans="1:70" ht="27" customHeight="1" x14ac:dyDescent="0.2">
      <c r="A744" s="532"/>
      <c r="B744" s="917"/>
      <c r="C744" s="4"/>
      <c r="D744" s="917"/>
      <c r="E744" s="4"/>
      <c r="F744" s="917"/>
      <c r="G744" s="4"/>
      <c r="H744" s="920"/>
      <c r="I744" s="3"/>
      <c r="J744" s="920"/>
      <c r="K744" s="3"/>
      <c r="L744" s="920"/>
      <c r="M744" s="3"/>
      <c r="N744" s="920"/>
      <c r="O744" s="3"/>
      <c r="P744" s="3"/>
      <c r="Q744" s="533"/>
      <c r="R744" s="920"/>
      <c r="S744" s="534"/>
      <c r="T744" s="920"/>
      <c r="U744" s="920"/>
      <c r="V744" s="920"/>
      <c r="W744" s="535"/>
      <c r="X744" s="687"/>
      <c r="Y744" s="687"/>
      <c r="Z744" s="687"/>
      <c r="AA744" s="678"/>
      <c r="AB744" s="543"/>
      <c r="AC744" s="3"/>
      <c r="AD744" s="533"/>
      <c r="AE744" s="3"/>
      <c r="AF744" s="4"/>
      <c r="AG744" s="4"/>
      <c r="AH744" s="4"/>
      <c r="AI744" s="4"/>
      <c r="AJ744" s="4"/>
      <c r="AK744" s="4"/>
      <c r="AL744" s="4"/>
      <c r="AM744" s="4"/>
      <c r="AN744" s="4"/>
      <c r="AO744" s="4"/>
      <c r="AP744" s="4"/>
      <c r="AQ744" s="4"/>
      <c r="AR744" s="4"/>
      <c r="AS744" s="4"/>
      <c r="AT744" s="4"/>
      <c r="AU744" s="4"/>
      <c r="AV744" s="537"/>
      <c r="AW744" s="537"/>
      <c r="AX744" s="4"/>
      <c r="AY744" s="4"/>
      <c r="AZ744" s="4"/>
      <c r="BA744" s="4"/>
      <c r="BB744" s="4"/>
      <c r="BC744" s="4"/>
      <c r="BD744" s="4"/>
      <c r="BE744" s="4"/>
      <c r="BF744" s="4"/>
      <c r="BG744" s="4"/>
      <c r="BH744" s="4"/>
      <c r="BI744" s="4"/>
      <c r="BJ744" s="4"/>
      <c r="BK744" s="4"/>
      <c r="BL744" s="4"/>
      <c r="BM744" s="4"/>
      <c r="BN744" s="4"/>
      <c r="BO744" s="4"/>
      <c r="BP744" s="4"/>
      <c r="BQ744" s="4"/>
      <c r="BR744" s="4"/>
    </row>
    <row r="745" spans="1:70" ht="27" customHeight="1" x14ac:dyDescent="0.2">
      <c r="A745" s="532"/>
      <c r="B745" s="917"/>
      <c r="C745" s="4"/>
      <c r="D745" s="917"/>
      <c r="E745" s="4"/>
      <c r="F745" s="917"/>
      <c r="G745" s="4"/>
      <c r="H745" s="920"/>
      <c r="I745" s="3"/>
      <c r="J745" s="920"/>
      <c r="K745" s="3"/>
      <c r="L745" s="920"/>
      <c r="M745" s="3"/>
      <c r="N745" s="920"/>
      <c r="O745" s="3"/>
      <c r="P745" s="3"/>
      <c r="Q745" s="533"/>
      <c r="R745" s="920"/>
      <c r="S745" s="534"/>
      <c r="T745" s="920"/>
      <c r="U745" s="920"/>
      <c r="V745" s="920"/>
      <c r="W745" s="535"/>
      <c r="X745" s="687"/>
      <c r="Y745" s="687"/>
      <c r="Z745" s="687"/>
      <c r="AA745" s="678"/>
      <c r="AB745" s="543"/>
      <c r="AC745" s="3"/>
      <c r="AD745" s="533"/>
      <c r="AE745" s="3"/>
      <c r="AF745" s="4"/>
      <c r="AG745" s="4"/>
      <c r="AH745" s="4"/>
      <c r="AI745" s="4"/>
      <c r="AJ745" s="4"/>
      <c r="AK745" s="4"/>
      <c r="AL745" s="4"/>
      <c r="AM745" s="4"/>
      <c r="AN745" s="4"/>
      <c r="AO745" s="4"/>
      <c r="AP745" s="4"/>
      <c r="AQ745" s="4"/>
      <c r="AR745" s="4"/>
      <c r="AS745" s="4"/>
      <c r="AT745" s="4"/>
      <c r="AU745" s="4"/>
      <c r="AV745" s="537"/>
      <c r="AW745" s="537"/>
      <c r="AX745" s="4"/>
      <c r="AY745" s="4"/>
      <c r="AZ745" s="4"/>
      <c r="BA745" s="4"/>
      <c r="BB745" s="4"/>
      <c r="BC745" s="4"/>
      <c r="BD745" s="4"/>
      <c r="BE745" s="4"/>
      <c r="BF745" s="4"/>
      <c r="BG745" s="4"/>
      <c r="BH745" s="4"/>
      <c r="BI745" s="4"/>
      <c r="BJ745" s="4"/>
      <c r="BK745" s="4"/>
      <c r="BL745" s="4"/>
      <c r="BM745" s="4"/>
      <c r="BN745" s="4"/>
      <c r="BO745" s="4"/>
      <c r="BP745" s="4"/>
      <c r="BQ745" s="4"/>
      <c r="BR745" s="4"/>
    </row>
    <row r="746" spans="1:70" ht="27" customHeight="1" x14ac:dyDescent="0.2">
      <c r="A746" s="532"/>
      <c r="B746" s="917"/>
      <c r="C746" s="4"/>
      <c r="D746" s="917"/>
      <c r="E746" s="4"/>
      <c r="F746" s="917"/>
      <c r="G746" s="4"/>
      <c r="H746" s="920"/>
      <c r="I746" s="3"/>
      <c r="J746" s="920"/>
      <c r="K746" s="3"/>
      <c r="L746" s="920"/>
      <c r="M746" s="3"/>
      <c r="N746" s="920"/>
      <c r="O746" s="3"/>
      <c r="P746" s="3"/>
      <c r="Q746" s="533"/>
      <c r="R746" s="920"/>
      <c r="S746" s="534"/>
      <c r="T746" s="920"/>
      <c r="U746" s="920"/>
      <c r="V746" s="920"/>
      <c r="W746" s="535"/>
      <c r="X746" s="687"/>
      <c r="Y746" s="687"/>
      <c r="Z746" s="687"/>
      <c r="AA746" s="678"/>
      <c r="AB746" s="543"/>
      <c r="AC746" s="3"/>
      <c r="AD746" s="533"/>
      <c r="AE746" s="3"/>
      <c r="AF746" s="4"/>
      <c r="AG746" s="4"/>
      <c r="AH746" s="4"/>
      <c r="AI746" s="4"/>
      <c r="AJ746" s="4"/>
      <c r="AK746" s="4"/>
      <c r="AL746" s="4"/>
      <c r="AM746" s="4"/>
      <c r="AN746" s="4"/>
      <c r="AO746" s="4"/>
      <c r="AP746" s="4"/>
      <c r="AQ746" s="4"/>
      <c r="AR746" s="4"/>
      <c r="AS746" s="4"/>
      <c r="AT746" s="4"/>
      <c r="AU746" s="4"/>
      <c r="AV746" s="537"/>
      <c r="AW746" s="537"/>
      <c r="AX746" s="4"/>
      <c r="AY746" s="4"/>
      <c r="AZ746" s="4"/>
      <c r="BA746" s="4"/>
      <c r="BB746" s="4"/>
      <c r="BC746" s="4"/>
      <c r="BD746" s="4"/>
      <c r="BE746" s="4"/>
      <c r="BF746" s="4"/>
      <c r="BG746" s="4"/>
      <c r="BH746" s="4"/>
      <c r="BI746" s="4"/>
      <c r="BJ746" s="4"/>
      <c r="BK746" s="4"/>
      <c r="BL746" s="4"/>
      <c r="BM746" s="4"/>
      <c r="BN746" s="4"/>
      <c r="BO746" s="4"/>
      <c r="BP746" s="4"/>
      <c r="BQ746" s="4"/>
      <c r="BR746" s="4"/>
    </row>
    <row r="747" spans="1:70" ht="27" customHeight="1" x14ac:dyDescent="0.2">
      <c r="A747" s="532"/>
      <c r="B747" s="917"/>
      <c r="C747" s="4"/>
      <c r="D747" s="917"/>
      <c r="E747" s="4"/>
      <c r="F747" s="917"/>
      <c r="G747" s="4"/>
      <c r="H747" s="920"/>
      <c r="I747" s="3"/>
      <c r="J747" s="920"/>
      <c r="K747" s="3"/>
      <c r="L747" s="920"/>
      <c r="M747" s="3"/>
      <c r="N747" s="920"/>
      <c r="O747" s="3"/>
      <c r="P747" s="3"/>
      <c r="Q747" s="533"/>
      <c r="R747" s="920"/>
      <c r="S747" s="534"/>
      <c r="T747" s="920"/>
      <c r="U747" s="920"/>
      <c r="V747" s="920"/>
      <c r="W747" s="535"/>
      <c r="X747" s="687"/>
      <c r="Y747" s="687"/>
      <c r="Z747" s="687"/>
      <c r="AA747" s="678"/>
      <c r="AB747" s="543"/>
      <c r="AC747" s="3"/>
      <c r="AD747" s="533"/>
      <c r="AE747" s="3"/>
      <c r="AF747" s="4"/>
      <c r="AG747" s="4"/>
      <c r="AH747" s="4"/>
      <c r="AI747" s="4"/>
      <c r="AJ747" s="4"/>
      <c r="AK747" s="4"/>
      <c r="AL747" s="4"/>
      <c r="AM747" s="4"/>
      <c r="AN747" s="4"/>
      <c r="AO747" s="4"/>
      <c r="AP747" s="4"/>
      <c r="AQ747" s="4"/>
      <c r="AR747" s="4"/>
      <c r="AS747" s="4"/>
      <c r="AT747" s="4"/>
      <c r="AU747" s="4"/>
      <c r="AV747" s="537"/>
      <c r="AW747" s="537"/>
      <c r="AX747" s="4"/>
      <c r="AY747" s="4"/>
      <c r="AZ747" s="4"/>
      <c r="BA747" s="4"/>
      <c r="BB747" s="4"/>
      <c r="BC747" s="4"/>
      <c r="BD747" s="4"/>
      <c r="BE747" s="4"/>
      <c r="BF747" s="4"/>
      <c r="BG747" s="4"/>
      <c r="BH747" s="4"/>
      <c r="BI747" s="4"/>
      <c r="BJ747" s="4"/>
      <c r="BK747" s="4"/>
      <c r="BL747" s="4"/>
      <c r="BM747" s="4"/>
      <c r="BN747" s="4"/>
      <c r="BO747" s="4"/>
      <c r="BP747" s="4"/>
      <c r="BQ747" s="4"/>
      <c r="BR747" s="4"/>
    </row>
    <row r="748" spans="1:70" ht="27" customHeight="1" x14ac:dyDescent="0.2">
      <c r="A748" s="532"/>
      <c r="B748" s="917"/>
      <c r="C748" s="4"/>
      <c r="D748" s="917"/>
      <c r="E748" s="4"/>
      <c r="F748" s="917"/>
      <c r="G748" s="4"/>
      <c r="H748" s="920"/>
      <c r="I748" s="3"/>
      <c r="J748" s="920"/>
      <c r="K748" s="3"/>
      <c r="L748" s="920"/>
      <c r="M748" s="3"/>
      <c r="N748" s="920"/>
      <c r="O748" s="3"/>
      <c r="P748" s="3"/>
      <c r="Q748" s="533"/>
      <c r="R748" s="920"/>
      <c r="S748" s="534"/>
      <c r="T748" s="920"/>
      <c r="U748" s="920"/>
      <c r="V748" s="920"/>
      <c r="W748" s="535"/>
      <c r="X748" s="687"/>
      <c r="Y748" s="687"/>
      <c r="Z748" s="687"/>
      <c r="AA748" s="678"/>
      <c r="AB748" s="543"/>
      <c r="AC748" s="3"/>
      <c r="AD748" s="533"/>
      <c r="AE748" s="3"/>
      <c r="AF748" s="4"/>
      <c r="AG748" s="4"/>
      <c r="AH748" s="4"/>
      <c r="AI748" s="4"/>
      <c r="AJ748" s="4"/>
      <c r="AK748" s="4"/>
      <c r="AL748" s="4"/>
      <c r="AM748" s="4"/>
      <c r="AN748" s="4"/>
      <c r="AO748" s="4"/>
      <c r="AP748" s="4"/>
      <c r="AQ748" s="4"/>
      <c r="AR748" s="4"/>
      <c r="AS748" s="4"/>
      <c r="AT748" s="4"/>
      <c r="AU748" s="4"/>
      <c r="AV748" s="537"/>
      <c r="AW748" s="537"/>
      <c r="AX748" s="4"/>
      <c r="AY748" s="4"/>
      <c r="AZ748" s="4"/>
      <c r="BA748" s="4"/>
      <c r="BB748" s="4"/>
      <c r="BC748" s="4"/>
      <c r="BD748" s="4"/>
      <c r="BE748" s="4"/>
      <c r="BF748" s="4"/>
      <c r="BG748" s="4"/>
      <c r="BH748" s="4"/>
      <c r="BI748" s="4"/>
      <c r="BJ748" s="4"/>
      <c r="BK748" s="4"/>
      <c r="BL748" s="4"/>
      <c r="BM748" s="4"/>
      <c r="BN748" s="4"/>
      <c r="BO748" s="4"/>
      <c r="BP748" s="4"/>
      <c r="BQ748" s="4"/>
      <c r="BR748" s="4"/>
    </row>
    <row r="749" spans="1:70" ht="27" customHeight="1" x14ac:dyDescent="0.2">
      <c r="A749" s="532"/>
      <c r="B749" s="917"/>
      <c r="C749" s="4"/>
      <c r="D749" s="917"/>
      <c r="E749" s="4"/>
      <c r="F749" s="917"/>
      <c r="G749" s="4"/>
      <c r="H749" s="920"/>
      <c r="I749" s="3"/>
      <c r="J749" s="920"/>
      <c r="K749" s="3"/>
      <c r="L749" s="920"/>
      <c r="M749" s="3"/>
      <c r="N749" s="920"/>
      <c r="O749" s="3"/>
      <c r="P749" s="3"/>
      <c r="Q749" s="533"/>
      <c r="R749" s="920"/>
      <c r="S749" s="534"/>
      <c r="T749" s="920"/>
      <c r="U749" s="920"/>
      <c r="V749" s="920"/>
      <c r="W749" s="535"/>
      <c r="X749" s="687"/>
      <c r="Y749" s="687"/>
      <c r="Z749" s="687"/>
      <c r="AA749" s="678"/>
      <c r="AB749" s="543"/>
      <c r="AC749" s="3"/>
      <c r="AD749" s="533"/>
      <c r="AE749" s="3"/>
      <c r="AF749" s="4"/>
      <c r="AG749" s="4"/>
      <c r="AH749" s="4"/>
      <c r="AI749" s="4"/>
      <c r="AJ749" s="4"/>
      <c r="AK749" s="4"/>
      <c r="AL749" s="4"/>
      <c r="AM749" s="4"/>
      <c r="AN749" s="4"/>
      <c r="AO749" s="4"/>
      <c r="AP749" s="4"/>
      <c r="AQ749" s="4"/>
      <c r="AR749" s="4"/>
      <c r="AS749" s="4"/>
      <c r="AT749" s="4"/>
      <c r="AU749" s="4"/>
      <c r="AV749" s="537"/>
      <c r="AW749" s="537"/>
      <c r="AX749" s="4"/>
      <c r="AY749" s="4"/>
      <c r="AZ749" s="4"/>
      <c r="BA749" s="4"/>
      <c r="BB749" s="4"/>
      <c r="BC749" s="4"/>
      <c r="BD749" s="4"/>
      <c r="BE749" s="4"/>
      <c r="BF749" s="4"/>
      <c r="BG749" s="4"/>
      <c r="BH749" s="4"/>
      <c r="BI749" s="4"/>
      <c r="BJ749" s="4"/>
      <c r="BK749" s="4"/>
      <c r="BL749" s="4"/>
      <c r="BM749" s="4"/>
      <c r="BN749" s="4"/>
      <c r="BO749" s="4"/>
      <c r="BP749" s="4"/>
      <c r="BQ749" s="4"/>
      <c r="BR749" s="4"/>
    </row>
    <row r="750" spans="1:70" ht="27" customHeight="1" x14ac:dyDescent="0.2">
      <c r="A750" s="532"/>
      <c r="B750" s="917"/>
      <c r="C750" s="4"/>
      <c r="D750" s="917"/>
      <c r="E750" s="4"/>
      <c r="F750" s="917"/>
      <c r="G750" s="4"/>
      <c r="H750" s="920"/>
      <c r="I750" s="3"/>
      <c r="J750" s="920"/>
      <c r="K750" s="3"/>
      <c r="L750" s="920"/>
      <c r="M750" s="3"/>
      <c r="N750" s="920"/>
      <c r="O750" s="3"/>
      <c r="P750" s="3"/>
      <c r="Q750" s="533"/>
      <c r="R750" s="920"/>
      <c r="S750" s="534"/>
      <c r="T750" s="920"/>
      <c r="U750" s="920"/>
      <c r="V750" s="920"/>
      <c r="W750" s="535"/>
      <c r="X750" s="687"/>
      <c r="Y750" s="687"/>
      <c r="Z750" s="687"/>
      <c r="AA750" s="678"/>
      <c r="AB750" s="543"/>
      <c r="AC750" s="3"/>
      <c r="AD750" s="533"/>
      <c r="AE750" s="3"/>
      <c r="AF750" s="4"/>
      <c r="AG750" s="4"/>
      <c r="AH750" s="4"/>
      <c r="AI750" s="4"/>
      <c r="AJ750" s="4"/>
      <c r="AK750" s="4"/>
      <c r="AL750" s="4"/>
      <c r="AM750" s="4"/>
      <c r="AN750" s="4"/>
      <c r="AO750" s="4"/>
      <c r="AP750" s="4"/>
      <c r="AQ750" s="4"/>
      <c r="AR750" s="4"/>
      <c r="AS750" s="4"/>
      <c r="AT750" s="4"/>
      <c r="AU750" s="4"/>
      <c r="AV750" s="537"/>
      <c r="AW750" s="537"/>
      <c r="AX750" s="4"/>
      <c r="AY750" s="4"/>
      <c r="AZ750" s="4"/>
      <c r="BA750" s="4"/>
      <c r="BB750" s="4"/>
      <c r="BC750" s="4"/>
      <c r="BD750" s="4"/>
      <c r="BE750" s="4"/>
      <c r="BF750" s="4"/>
      <c r="BG750" s="4"/>
      <c r="BH750" s="4"/>
      <c r="BI750" s="4"/>
      <c r="BJ750" s="4"/>
      <c r="BK750" s="4"/>
      <c r="BL750" s="4"/>
      <c r="BM750" s="4"/>
      <c r="BN750" s="4"/>
      <c r="BO750" s="4"/>
      <c r="BP750" s="4"/>
      <c r="BQ750" s="4"/>
      <c r="BR750" s="4"/>
    </row>
    <row r="751" spans="1:70" ht="27" customHeight="1" x14ac:dyDescent="0.2">
      <c r="A751" s="532"/>
      <c r="B751" s="917"/>
      <c r="C751" s="4"/>
      <c r="D751" s="917"/>
      <c r="E751" s="4"/>
      <c r="F751" s="917"/>
      <c r="G751" s="4"/>
      <c r="H751" s="920"/>
      <c r="I751" s="3"/>
      <c r="J751" s="920"/>
      <c r="K751" s="3"/>
      <c r="L751" s="920"/>
      <c r="M751" s="3"/>
      <c r="N751" s="920"/>
      <c r="O751" s="3"/>
      <c r="P751" s="3"/>
      <c r="Q751" s="533"/>
      <c r="R751" s="920"/>
      <c r="S751" s="534"/>
      <c r="T751" s="920"/>
      <c r="U751" s="920"/>
      <c r="V751" s="920"/>
      <c r="W751" s="535"/>
      <c r="X751" s="687"/>
      <c r="Y751" s="687"/>
      <c r="Z751" s="687"/>
      <c r="AA751" s="678"/>
      <c r="AB751" s="543"/>
      <c r="AC751" s="3"/>
      <c r="AD751" s="533"/>
      <c r="AE751" s="3"/>
      <c r="AF751" s="4"/>
      <c r="AG751" s="4"/>
      <c r="AH751" s="4"/>
      <c r="AI751" s="4"/>
      <c r="AJ751" s="4"/>
      <c r="AK751" s="4"/>
      <c r="AL751" s="4"/>
      <c r="AM751" s="4"/>
      <c r="AN751" s="4"/>
      <c r="AO751" s="4"/>
      <c r="AP751" s="4"/>
      <c r="AQ751" s="4"/>
      <c r="AR751" s="4"/>
      <c r="AS751" s="4"/>
      <c r="AT751" s="4"/>
      <c r="AU751" s="4"/>
      <c r="AV751" s="537"/>
      <c r="AW751" s="537"/>
      <c r="AX751" s="4"/>
      <c r="AY751" s="4"/>
      <c r="AZ751" s="4"/>
      <c r="BA751" s="4"/>
      <c r="BB751" s="4"/>
      <c r="BC751" s="4"/>
      <c r="BD751" s="4"/>
      <c r="BE751" s="4"/>
      <c r="BF751" s="4"/>
      <c r="BG751" s="4"/>
      <c r="BH751" s="4"/>
      <c r="BI751" s="4"/>
      <c r="BJ751" s="4"/>
      <c r="BK751" s="4"/>
      <c r="BL751" s="4"/>
      <c r="BM751" s="4"/>
      <c r="BN751" s="4"/>
      <c r="BO751" s="4"/>
      <c r="BP751" s="4"/>
      <c r="BQ751" s="4"/>
      <c r="BR751" s="4"/>
    </row>
    <row r="752" spans="1:70" ht="27" customHeight="1" x14ac:dyDescent="0.2">
      <c r="A752" s="532"/>
      <c r="B752" s="917"/>
      <c r="C752" s="4"/>
      <c r="D752" s="917"/>
      <c r="E752" s="4"/>
      <c r="F752" s="917"/>
      <c r="G752" s="4"/>
      <c r="H752" s="920"/>
      <c r="I752" s="3"/>
      <c r="J752" s="920"/>
      <c r="K752" s="3"/>
      <c r="L752" s="920"/>
      <c r="M752" s="3"/>
      <c r="N752" s="920"/>
      <c r="O752" s="3"/>
      <c r="P752" s="3"/>
      <c r="Q752" s="533"/>
      <c r="R752" s="920"/>
      <c r="S752" s="534"/>
      <c r="T752" s="920"/>
      <c r="U752" s="920"/>
      <c r="V752" s="920"/>
      <c r="W752" s="535"/>
      <c r="X752" s="687"/>
      <c r="Y752" s="687"/>
      <c r="Z752" s="687"/>
      <c r="AA752" s="678"/>
      <c r="AB752" s="543"/>
      <c r="AC752" s="3"/>
      <c r="AD752" s="533"/>
      <c r="AE752" s="3"/>
      <c r="AF752" s="4"/>
      <c r="AG752" s="4"/>
      <c r="AH752" s="4"/>
      <c r="AI752" s="4"/>
      <c r="AJ752" s="4"/>
      <c r="AK752" s="4"/>
      <c r="AL752" s="4"/>
      <c r="AM752" s="4"/>
      <c r="AN752" s="4"/>
      <c r="AO752" s="4"/>
      <c r="AP752" s="4"/>
      <c r="AQ752" s="4"/>
      <c r="AR752" s="4"/>
      <c r="AS752" s="4"/>
      <c r="AT752" s="4"/>
      <c r="AU752" s="4"/>
      <c r="AV752" s="537"/>
      <c r="AW752" s="537"/>
      <c r="AX752" s="4"/>
      <c r="AY752" s="4"/>
      <c r="AZ752" s="4"/>
      <c r="BA752" s="4"/>
      <c r="BB752" s="4"/>
      <c r="BC752" s="4"/>
      <c r="BD752" s="4"/>
      <c r="BE752" s="4"/>
      <c r="BF752" s="4"/>
      <c r="BG752" s="4"/>
      <c r="BH752" s="4"/>
      <c r="BI752" s="4"/>
      <c r="BJ752" s="4"/>
      <c r="BK752" s="4"/>
      <c r="BL752" s="4"/>
      <c r="BM752" s="4"/>
      <c r="BN752" s="4"/>
      <c r="BO752" s="4"/>
      <c r="BP752" s="4"/>
      <c r="BQ752" s="4"/>
      <c r="BR752" s="4"/>
    </row>
    <row r="753" spans="1:70" ht="27" customHeight="1" x14ac:dyDescent="0.2">
      <c r="A753" s="532"/>
      <c r="B753" s="917"/>
      <c r="C753" s="4"/>
      <c r="D753" s="917"/>
      <c r="E753" s="4"/>
      <c r="F753" s="917"/>
      <c r="G753" s="4"/>
      <c r="H753" s="920"/>
      <c r="I753" s="3"/>
      <c r="J753" s="920"/>
      <c r="K753" s="3"/>
      <c r="L753" s="920"/>
      <c r="M753" s="3"/>
      <c r="N753" s="920"/>
      <c r="O753" s="3"/>
      <c r="P753" s="3"/>
      <c r="Q753" s="533"/>
      <c r="R753" s="920"/>
      <c r="S753" s="534"/>
      <c r="T753" s="920"/>
      <c r="U753" s="920"/>
      <c r="V753" s="920"/>
      <c r="W753" s="535"/>
      <c r="X753" s="687"/>
      <c r="Y753" s="687"/>
      <c r="Z753" s="687"/>
      <c r="AA753" s="678"/>
      <c r="AB753" s="543"/>
      <c r="AC753" s="3"/>
      <c r="AD753" s="533"/>
      <c r="AE753" s="3"/>
      <c r="AF753" s="4"/>
      <c r="AG753" s="4"/>
      <c r="AH753" s="4"/>
      <c r="AI753" s="4"/>
      <c r="AJ753" s="4"/>
      <c r="AK753" s="4"/>
      <c r="AL753" s="4"/>
      <c r="AM753" s="4"/>
      <c r="AN753" s="4"/>
      <c r="AO753" s="4"/>
      <c r="AP753" s="4"/>
      <c r="AQ753" s="4"/>
      <c r="AR753" s="4"/>
      <c r="AS753" s="4"/>
      <c r="AT753" s="4"/>
      <c r="AU753" s="4"/>
      <c r="AV753" s="537"/>
      <c r="AW753" s="537"/>
      <c r="AX753" s="4"/>
      <c r="AY753" s="4"/>
      <c r="AZ753" s="4"/>
      <c r="BA753" s="4"/>
      <c r="BB753" s="4"/>
      <c r="BC753" s="4"/>
      <c r="BD753" s="4"/>
      <c r="BE753" s="4"/>
      <c r="BF753" s="4"/>
      <c r="BG753" s="4"/>
      <c r="BH753" s="4"/>
      <c r="BI753" s="4"/>
      <c r="BJ753" s="4"/>
      <c r="BK753" s="4"/>
      <c r="BL753" s="4"/>
      <c r="BM753" s="4"/>
      <c r="BN753" s="4"/>
      <c r="BO753" s="4"/>
      <c r="BP753" s="4"/>
      <c r="BQ753" s="4"/>
      <c r="BR753" s="4"/>
    </row>
    <row r="754" spans="1:70" ht="27" customHeight="1" x14ac:dyDescent="0.2">
      <c r="A754" s="532"/>
      <c r="B754" s="917"/>
      <c r="C754" s="4"/>
      <c r="D754" s="917"/>
      <c r="E754" s="4"/>
      <c r="F754" s="917"/>
      <c r="G754" s="4"/>
      <c r="H754" s="920"/>
      <c r="I754" s="3"/>
      <c r="J754" s="920"/>
      <c r="K754" s="3"/>
      <c r="L754" s="920"/>
      <c r="M754" s="3"/>
      <c r="N754" s="920"/>
      <c r="O754" s="3"/>
      <c r="P754" s="3"/>
      <c r="Q754" s="533"/>
      <c r="R754" s="920"/>
      <c r="S754" s="534"/>
      <c r="T754" s="920"/>
      <c r="U754" s="920"/>
      <c r="V754" s="920"/>
      <c r="W754" s="535"/>
      <c r="X754" s="687"/>
      <c r="Y754" s="687"/>
      <c r="Z754" s="687"/>
      <c r="AA754" s="678"/>
      <c r="AB754" s="543"/>
      <c r="AC754" s="3"/>
      <c r="AD754" s="533"/>
      <c r="AE754" s="3"/>
      <c r="AF754" s="4"/>
      <c r="AG754" s="4"/>
      <c r="AH754" s="4"/>
      <c r="AI754" s="4"/>
      <c r="AJ754" s="4"/>
      <c r="AK754" s="4"/>
      <c r="AL754" s="4"/>
      <c r="AM754" s="4"/>
      <c r="AN754" s="4"/>
      <c r="AO754" s="4"/>
      <c r="AP754" s="4"/>
      <c r="AQ754" s="4"/>
      <c r="AR754" s="4"/>
      <c r="AS754" s="4"/>
      <c r="AT754" s="4"/>
      <c r="AU754" s="4"/>
      <c r="AV754" s="537"/>
      <c r="AW754" s="537"/>
      <c r="AX754" s="4"/>
      <c r="AY754" s="4"/>
      <c r="AZ754" s="4"/>
      <c r="BA754" s="4"/>
      <c r="BB754" s="4"/>
      <c r="BC754" s="4"/>
      <c r="BD754" s="4"/>
      <c r="BE754" s="4"/>
      <c r="BF754" s="4"/>
      <c r="BG754" s="4"/>
      <c r="BH754" s="4"/>
      <c r="BI754" s="4"/>
      <c r="BJ754" s="4"/>
      <c r="BK754" s="4"/>
      <c r="BL754" s="4"/>
      <c r="BM754" s="4"/>
      <c r="BN754" s="4"/>
      <c r="BO754" s="4"/>
      <c r="BP754" s="4"/>
      <c r="BQ754" s="4"/>
      <c r="BR754" s="4"/>
    </row>
    <row r="755" spans="1:70" ht="27" customHeight="1" x14ac:dyDescent="0.2">
      <c r="A755" s="532"/>
      <c r="B755" s="917"/>
      <c r="C755" s="4"/>
      <c r="D755" s="917"/>
      <c r="E755" s="4"/>
      <c r="F755" s="917"/>
      <c r="G755" s="4"/>
      <c r="H755" s="920"/>
      <c r="I755" s="3"/>
      <c r="J755" s="920"/>
      <c r="K755" s="3"/>
      <c r="L755" s="920"/>
      <c r="M755" s="3"/>
      <c r="N755" s="920"/>
      <c r="O755" s="3"/>
      <c r="P755" s="3"/>
      <c r="Q755" s="533"/>
      <c r="R755" s="920"/>
      <c r="S755" s="534"/>
      <c r="T755" s="920"/>
      <c r="U755" s="920"/>
      <c r="V755" s="920"/>
      <c r="W755" s="535"/>
      <c r="X755" s="687"/>
      <c r="Y755" s="687"/>
      <c r="Z755" s="687"/>
      <c r="AA755" s="678"/>
      <c r="AB755" s="543"/>
      <c r="AC755" s="3"/>
      <c r="AD755" s="533"/>
      <c r="AE755" s="3"/>
      <c r="AF755" s="4"/>
      <c r="AG755" s="4"/>
      <c r="AH755" s="4"/>
      <c r="AI755" s="4"/>
      <c r="AJ755" s="4"/>
      <c r="AK755" s="4"/>
      <c r="AL755" s="4"/>
      <c r="AM755" s="4"/>
      <c r="AN755" s="4"/>
      <c r="AO755" s="4"/>
      <c r="AP755" s="4"/>
      <c r="AQ755" s="4"/>
      <c r="AR755" s="4"/>
      <c r="AS755" s="4"/>
      <c r="AT755" s="4"/>
      <c r="AU755" s="4"/>
      <c r="AV755" s="537"/>
      <c r="AW755" s="537"/>
      <c r="AX755" s="4"/>
      <c r="AY755" s="4"/>
      <c r="AZ755" s="4"/>
      <c r="BA755" s="4"/>
      <c r="BB755" s="4"/>
      <c r="BC755" s="4"/>
      <c r="BD755" s="4"/>
      <c r="BE755" s="4"/>
      <c r="BF755" s="4"/>
      <c r="BG755" s="4"/>
      <c r="BH755" s="4"/>
      <c r="BI755" s="4"/>
      <c r="BJ755" s="4"/>
      <c r="BK755" s="4"/>
      <c r="BL755" s="4"/>
      <c r="BM755" s="4"/>
      <c r="BN755" s="4"/>
      <c r="BO755" s="4"/>
      <c r="BP755" s="4"/>
      <c r="BQ755" s="4"/>
      <c r="BR755" s="4"/>
    </row>
    <row r="756" spans="1:70" ht="27" customHeight="1" x14ac:dyDescent="0.2">
      <c r="A756" s="532"/>
      <c r="B756" s="917"/>
      <c r="C756" s="4"/>
      <c r="D756" s="917"/>
      <c r="E756" s="4"/>
      <c r="F756" s="917"/>
      <c r="G756" s="4"/>
      <c r="H756" s="920"/>
      <c r="I756" s="3"/>
      <c r="J756" s="920"/>
      <c r="K756" s="3"/>
      <c r="L756" s="920"/>
      <c r="M756" s="3"/>
      <c r="N756" s="920"/>
      <c r="O756" s="3"/>
      <c r="P756" s="3"/>
      <c r="Q756" s="533"/>
      <c r="R756" s="920"/>
      <c r="S756" s="534"/>
      <c r="T756" s="920"/>
      <c r="U756" s="920"/>
      <c r="V756" s="920"/>
      <c r="W756" s="535"/>
      <c r="X756" s="687"/>
      <c r="Y756" s="687"/>
      <c r="Z756" s="687"/>
      <c r="AA756" s="678"/>
      <c r="AB756" s="543"/>
      <c r="AC756" s="3"/>
      <c r="AD756" s="533"/>
      <c r="AE756" s="3"/>
      <c r="AF756" s="4"/>
      <c r="AG756" s="4"/>
      <c r="AH756" s="4"/>
      <c r="AI756" s="4"/>
      <c r="AJ756" s="4"/>
      <c r="AK756" s="4"/>
      <c r="AL756" s="4"/>
      <c r="AM756" s="4"/>
      <c r="AN756" s="4"/>
      <c r="AO756" s="4"/>
      <c r="AP756" s="4"/>
      <c r="AQ756" s="4"/>
      <c r="AR756" s="4"/>
      <c r="AS756" s="4"/>
      <c r="AT756" s="4"/>
      <c r="AU756" s="4"/>
      <c r="AV756" s="537"/>
      <c r="AW756" s="537"/>
      <c r="AX756" s="4"/>
      <c r="AY756" s="4"/>
      <c r="AZ756" s="4"/>
      <c r="BA756" s="4"/>
      <c r="BB756" s="4"/>
      <c r="BC756" s="4"/>
      <c r="BD756" s="4"/>
      <c r="BE756" s="4"/>
      <c r="BF756" s="4"/>
      <c r="BG756" s="4"/>
      <c r="BH756" s="4"/>
      <c r="BI756" s="4"/>
      <c r="BJ756" s="4"/>
      <c r="BK756" s="4"/>
      <c r="BL756" s="4"/>
      <c r="BM756" s="4"/>
      <c r="BN756" s="4"/>
      <c r="BO756" s="4"/>
      <c r="BP756" s="4"/>
      <c r="BQ756" s="4"/>
      <c r="BR756" s="4"/>
    </row>
    <row r="757" spans="1:70" ht="27" customHeight="1" x14ac:dyDescent="0.2">
      <c r="A757" s="532"/>
      <c r="B757" s="917"/>
      <c r="C757" s="4"/>
      <c r="D757" s="917"/>
      <c r="E757" s="4"/>
      <c r="F757" s="917"/>
      <c r="G757" s="4"/>
      <c r="H757" s="920"/>
      <c r="I757" s="3"/>
      <c r="J757" s="920"/>
      <c r="K757" s="3"/>
      <c r="L757" s="920"/>
      <c r="M757" s="3"/>
      <c r="N757" s="920"/>
      <c r="O757" s="3"/>
      <c r="P757" s="3"/>
      <c r="Q757" s="533"/>
      <c r="R757" s="920"/>
      <c r="S757" s="534"/>
      <c r="T757" s="920"/>
      <c r="U757" s="920"/>
      <c r="V757" s="920"/>
      <c r="W757" s="535"/>
      <c r="X757" s="687"/>
      <c r="Y757" s="687"/>
      <c r="Z757" s="687"/>
      <c r="AA757" s="678"/>
      <c r="AB757" s="543"/>
      <c r="AC757" s="3"/>
      <c r="AD757" s="533"/>
      <c r="AE757" s="3"/>
      <c r="AF757" s="4"/>
      <c r="AG757" s="4"/>
      <c r="AH757" s="4"/>
      <c r="AI757" s="4"/>
      <c r="AJ757" s="4"/>
      <c r="AK757" s="4"/>
      <c r="AL757" s="4"/>
      <c r="AM757" s="4"/>
      <c r="AN757" s="4"/>
      <c r="AO757" s="4"/>
      <c r="AP757" s="4"/>
      <c r="AQ757" s="4"/>
      <c r="AR757" s="4"/>
      <c r="AS757" s="4"/>
      <c r="AT757" s="4"/>
      <c r="AU757" s="4"/>
      <c r="AV757" s="537"/>
      <c r="AW757" s="537"/>
      <c r="AX757" s="4"/>
      <c r="AY757" s="4"/>
      <c r="AZ757" s="4"/>
      <c r="BA757" s="4"/>
      <c r="BB757" s="4"/>
      <c r="BC757" s="4"/>
      <c r="BD757" s="4"/>
      <c r="BE757" s="4"/>
      <c r="BF757" s="4"/>
      <c r="BG757" s="4"/>
      <c r="BH757" s="4"/>
      <c r="BI757" s="4"/>
      <c r="BJ757" s="4"/>
      <c r="BK757" s="4"/>
      <c r="BL757" s="4"/>
      <c r="BM757" s="4"/>
      <c r="BN757" s="4"/>
      <c r="BO757" s="4"/>
      <c r="BP757" s="4"/>
      <c r="BQ757" s="4"/>
      <c r="BR757" s="4"/>
    </row>
    <row r="758" spans="1:70" ht="27" customHeight="1" x14ac:dyDescent="0.2">
      <c r="A758" s="532"/>
      <c r="B758" s="917"/>
      <c r="C758" s="4"/>
      <c r="D758" s="917"/>
      <c r="E758" s="4"/>
      <c r="F758" s="917"/>
      <c r="G758" s="4"/>
      <c r="H758" s="920"/>
      <c r="I758" s="3"/>
      <c r="J758" s="920"/>
      <c r="K758" s="3"/>
      <c r="L758" s="920"/>
      <c r="M758" s="3"/>
      <c r="N758" s="920"/>
      <c r="O758" s="3"/>
      <c r="P758" s="3"/>
      <c r="Q758" s="533"/>
      <c r="R758" s="920"/>
      <c r="S758" s="534"/>
      <c r="T758" s="920"/>
      <c r="U758" s="920"/>
      <c r="V758" s="920"/>
      <c r="W758" s="535"/>
      <c r="X758" s="687"/>
      <c r="Y758" s="687"/>
      <c r="Z758" s="687"/>
      <c r="AA758" s="678"/>
      <c r="AB758" s="543"/>
      <c r="AC758" s="3"/>
      <c r="AD758" s="533"/>
      <c r="AE758" s="3"/>
      <c r="AF758" s="4"/>
      <c r="AG758" s="4"/>
      <c r="AH758" s="4"/>
      <c r="AI758" s="4"/>
      <c r="AJ758" s="4"/>
      <c r="AK758" s="4"/>
      <c r="AL758" s="4"/>
      <c r="AM758" s="4"/>
      <c r="AN758" s="4"/>
      <c r="AO758" s="4"/>
      <c r="AP758" s="4"/>
      <c r="AQ758" s="4"/>
      <c r="AR758" s="4"/>
      <c r="AS758" s="4"/>
      <c r="AT758" s="4"/>
      <c r="AU758" s="4"/>
      <c r="AV758" s="537"/>
      <c r="AW758" s="537"/>
      <c r="AX758" s="4"/>
      <c r="AY758" s="4"/>
      <c r="AZ758" s="4"/>
      <c r="BA758" s="4"/>
      <c r="BB758" s="4"/>
      <c r="BC758" s="4"/>
      <c r="BD758" s="4"/>
      <c r="BE758" s="4"/>
      <c r="BF758" s="4"/>
      <c r="BG758" s="4"/>
      <c r="BH758" s="4"/>
      <c r="BI758" s="4"/>
      <c r="BJ758" s="4"/>
      <c r="BK758" s="4"/>
      <c r="BL758" s="4"/>
      <c r="BM758" s="4"/>
      <c r="BN758" s="4"/>
      <c r="BO758" s="4"/>
      <c r="BP758" s="4"/>
      <c r="BQ758" s="4"/>
      <c r="BR758" s="4"/>
    </row>
    <row r="759" spans="1:70" ht="27" customHeight="1" x14ac:dyDescent="0.2">
      <c r="A759" s="532"/>
      <c r="B759" s="917"/>
      <c r="C759" s="4"/>
      <c r="D759" s="917"/>
      <c r="E759" s="4"/>
      <c r="F759" s="917"/>
      <c r="G759" s="4"/>
      <c r="H759" s="920"/>
      <c r="I759" s="3"/>
      <c r="J759" s="920"/>
      <c r="K759" s="3"/>
      <c r="L759" s="920"/>
      <c r="M759" s="3"/>
      <c r="N759" s="920"/>
      <c r="O759" s="3"/>
      <c r="P759" s="3"/>
      <c r="Q759" s="533"/>
      <c r="R759" s="920"/>
      <c r="S759" s="534"/>
      <c r="T759" s="920"/>
      <c r="U759" s="920"/>
      <c r="V759" s="920"/>
      <c r="W759" s="535"/>
      <c r="X759" s="687"/>
      <c r="Y759" s="687"/>
      <c r="Z759" s="687"/>
      <c r="AA759" s="678"/>
      <c r="AB759" s="543"/>
      <c r="AC759" s="3"/>
      <c r="AD759" s="533"/>
      <c r="AE759" s="3"/>
      <c r="AF759" s="4"/>
      <c r="AG759" s="4"/>
      <c r="AH759" s="4"/>
      <c r="AI759" s="4"/>
      <c r="AJ759" s="4"/>
      <c r="AK759" s="4"/>
      <c r="AL759" s="4"/>
      <c r="AM759" s="4"/>
      <c r="AN759" s="4"/>
      <c r="AO759" s="4"/>
      <c r="AP759" s="4"/>
      <c r="AQ759" s="4"/>
      <c r="AR759" s="4"/>
      <c r="AS759" s="4"/>
      <c r="AT759" s="4"/>
      <c r="AU759" s="4"/>
      <c r="AV759" s="537"/>
      <c r="AW759" s="537"/>
      <c r="AX759" s="4"/>
      <c r="AY759" s="4"/>
      <c r="AZ759" s="4"/>
      <c r="BA759" s="4"/>
      <c r="BB759" s="4"/>
      <c r="BC759" s="4"/>
      <c r="BD759" s="4"/>
      <c r="BE759" s="4"/>
      <c r="BF759" s="4"/>
      <c r="BG759" s="4"/>
      <c r="BH759" s="4"/>
      <c r="BI759" s="4"/>
      <c r="BJ759" s="4"/>
      <c r="BK759" s="4"/>
      <c r="BL759" s="4"/>
      <c r="BM759" s="4"/>
      <c r="BN759" s="4"/>
      <c r="BO759" s="4"/>
      <c r="BP759" s="4"/>
      <c r="BQ759" s="4"/>
      <c r="BR759" s="4"/>
    </row>
    <row r="760" spans="1:70" ht="27" customHeight="1" x14ac:dyDescent="0.2">
      <c r="A760" s="532"/>
      <c r="B760" s="917"/>
      <c r="C760" s="4"/>
      <c r="D760" s="917"/>
      <c r="E760" s="4"/>
      <c r="F760" s="917"/>
      <c r="G760" s="4"/>
      <c r="H760" s="920"/>
      <c r="I760" s="3"/>
      <c r="J760" s="920"/>
      <c r="K760" s="3"/>
      <c r="L760" s="920"/>
      <c r="M760" s="3"/>
      <c r="N760" s="920"/>
      <c r="O760" s="3"/>
      <c r="P760" s="3"/>
      <c r="Q760" s="533"/>
      <c r="R760" s="920"/>
      <c r="S760" s="534"/>
      <c r="T760" s="920"/>
      <c r="U760" s="920"/>
      <c r="V760" s="920"/>
      <c r="W760" s="535"/>
      <c r="X760" s="687"/>
      <c r="Y760" s="687"/>
      <c r="Z760" s="687"/>
      <c r="AA760" s="678"/>
      <c r="AB760" s="543"/>
      <c r="AC760" s="3"/>
      <c r="AD760" s="533"/>
      <c r="AE760" s="3"/>
      <c r="AF760" s="4"/>
      <c r="AG760" s="4"/>
      <c r="AH760" s="4"/>
      <c r="AI760" s="4"/>
      <c r="AJ760" s="4"/>
      <c r="AK760" s="4"/>
      <c r="AL760" s="4"/>
      <c r="AM760" s="4"/>
      <c r="AN760" s="4"/>
      <c r="AO760" s="4"/>
      <c r="AP760" s="4"/>
      <c r="AQ760" s="4"/>
      <c r="AR760" s="4"/>
      <c r="AS760" s="4"/>
      <c r="AT760" s="4"/>
      <c r="AU760" s="4"/>
      <c r="AV760" s="537"/>
      <c r="AW760" s="537"/>
      <c r="AX760" s="4"/>
      <c r="AY760" s="4"/>
      <c r="AZ760" s="4"/>
      <c r="BA760" s="4"/>
      <c r="BB760" s="4"/>
      <c r="BC760" s="4"/>
      <c r="BD760" s="4"/>
      <c r="BE760" s="4"/>
      <c r="BF760" s="4"/>
      <c r="BG760" s="4"/>
      <c r="BH760" s="4"/>
      <c r="BI760" s="4"/>
      <c r="BJ760" s="4"/>
      <c r="BK760" s="4"/>
      <c r="BL760" s="4"/>
      <c r="BM760" s="4"/>
      <c r="BN760" s="4"/>
      <c r="BO760" s="4"/>
      <c r="BP760" s="4"/>
      <c r="BQ760" s="4"/>
      <c r="BR760" s="4"/>
    </row>
    <row r="761" spans="1:70" ht="27" customHeight="1" x14ac:dyDescent="0.2">
      <c r="A761" s="532"/>
      <c r="B761" s="917"/>
      <c r="C761" s="4"/>
      <c r="D761" s="917"/>
      <c r="E761" s="4"/>
      <c r="F761" s="917"/>
      <c r="G761" s="4"/>
      <c r="H761" s="920"/>
      <c r="I761" s="3"/>
      <c r="J761" s="920"/>
      <c r="K761" s="3"/>
      <c r="L761" s="920"/>
      <c r="M761" s="3"/>
      <c r="N761" s="920"/>
      <c r="O761" s="3"/>
      <c r="P761" s="3"/>
      <c r="Q761" s="533"/>
      <c r="R761" s="920"/>
      <c r="S761" s="534"/>
      <c r="T761" s="920"/>
      <c r="U761" s="920"/>
      <c r="V761" s="920"/>
      <c r="W761" s="535"/>
      <c r="X761" s="687"/>
      <c r="Y761" s="687"/>
      <c r="Z761" s="687"/>
      <c r="AA761" s="678"/>
      <c r="AB761" s="543"/>
      <c r="AC761" s="3"/>
      <c r="AD761" s="533"/>
      <c r="AE761" s="3"/>
      <c r="AF761" s="4"/>
      <c r="AG761" s="4"/>
      <c r="AH761" s="4"/>
      <c r="AI761" s="4"/>
      <c r="AJ761" s="4"/>
      <c r="AK761" s="4"/>
      <c r="AL761" s="4"/>
      <c r="AM761" s="4"/>
      <c r="AN761" s="4"/>
      <c r="AO761" s="4"/>
      <c r="AP761" s="4"/>
      <c r="AQ761" s="4"/>
      <c r="AR761" s="4"/>
      <c r="AS761" s="4"/>
      <c r="AT761" s="4"/>
      <c r="AU761" s="4"/>
      <c r="AV761" s="537"/>
      <c r="AW761" s="537"/>
      <c r="AX761" s="4"/>
      <c r="AY761" s="4"/>
      <c r="AZ761" s="4"/>
      <c r="BA761" s="4"/>
      <c r="BB761" s="4"/>
      <c r="BC761" s="4"/>
      <c r="BD761" s="4"/>
      <c r="BE761" s="4"/>
      <c r="BF761" s="4"/>
      <c r="BG761" s="4"/>
      <c r="BH761" s="4"/>
      <c r="BI761" s="4"/>
      <c r="BJ761" s="4"/>
      <c r="BK761" s="4"/>
      <c r="BL761" s="4"/>
      <c r="BM761" s="4"/>
      <c r="BN761" s="4"/>
      <c r="BO761" s="4"/>
      <c r="BP761" s="4"/>
      <c r="BQ761" s="4"/>
      <c r="BR761" s="4"/>
    </row>
    <row r="762" spans="1:70" ht="27" customHeight="1" x14ac:dyDescent="0.2">
      <c r="A762" s="532"/>
      <c r="B762" s="917"/>
      <c r="C762" s="4"/>
      <c r="D762" s="917"/>
      <c r="E762" s="4"/>
      <c r="F762" s="917"/>
      <c r="G762" s="4"/>
      <c r="H762" s="920"/>
      <c r="I762" s="3"/>
      <c r="J762" s="920"/>
      <c r="K762" s="3"/>
      <c r="L762" s="920"/>
      <c r="M762" s="3"/>
      <c r="N762" s="920"/>
      <c r="O762" s="3"/>
      <c r="P762" s="3"/>
      <c r="Q762" s="533"/>
      <c r="R762" s="920"/>
      <c r="S762" s="534"/>
      <c r="T762" s="920"/>
      <c r="U762" s="920"/>
      <c r="V762" s="920"/>
      <c r="W762" s="535"/>
      <c r="X762" s="687"/>
      <c r="Y762" s="687"/>
      <c r="Z762" s="687"/>
      <c r="AA762" s="678"/>
      <c r="AB762" s="543"/>
      <c r="AC762" s="3"/>
      <c r="AD762" s="533"/>
      <c r="AE762" s="3"/>
      <c r="AF762" s="4"/>
      <c r="AG762" s="4"/>
      <c r="AH762" s="4"/>
      <c r="AI762" s="4"/>
      <c r="AJ762" s="4"/>
      <c r="AK762" s="4"/>
      <c r="AL762" s="4"/>
      <c r="AM762" s="4"/>
      <c r="AN762" s="4"/>
      <c r="AO762" s="4"/>
      <c r="AP762" s="4"/>
      <c r="AQ762" s="4"/>
      <c r="AR762" s="4"/>
      <c r="AS762" s="4"/>
      <c r="AT762" s="4"/>
      <c r="AU762" s="4"/>
      <c r="AV762" s="537"/>
      <c r="AW762" s="537"/>
      <c r="AX762" s="4"/>
      <c r="AY762" s="4"/>
      <c r="AZ762" s="4"/>
      <c r="BA762" s="4"/>
      <c r="BB762" s="4"/>
      <c r="BC762" s="4"/>
      <c r="BD762" s="4"/>
      <c r="BE762" s="4"/>
      <c r="BF762" s="4"/>
      <c r="BG762" s="4"/>
      <c r="BH762" s="4"/>
      <c r="BI762" s="4"/>
      <c r="BJ762" s="4"/>
      <c r="BK762" s="4"/>
      <c r="BL762" s="4"/>
      <c r="BM762" s="4"/>
      <c r="BN762" s="4"/>
      <c r="BO762" s="4"/>
      <c r="BP762" s="4"/>
      <c r="BQ762" s="4"/>
      <c r="BR762" s="4"/>
    </row>
    <row r="763" spans="1:70" ht="27" customHeight="1" x14ac:dyDescent="0.2">
      <c r="A763" s="532"/>
      <c r="B763" s="917"/>
      <c r="C763" s="4"/>
      <c r="D763" s="917"/>
      <c r="E763" s="4"/>
      <c r="F763" s="917"/>
      <c r="G763" s="4"/>
      <c r="H763" s="920"/>
      <c r="I763" s="3"/>
      <c r="J763" s="920"/>
      <c r="K763" s="3"/>
      <c r="L763" s="920"/>
      <c r="M763" s="3"/>
      <c r="N763" s="920"/>
      <c r="O763" s="3"/>
      <c r="P763" s="3"/>
      <c r="Q763" s="533"/>
      <c r="R763" s="920"/>
      <c r="S763" s="534"/>
      <c r="T763" s="920"/>
      <c r="U763" s="920"/>
      <c r="V763" s="920"/>
      <c r="W763" s="535"/>
      <c r="X763" s="687"/>
      <c r="Y763" s="687"/>
      <c r="Z763" s="687"/>
      <c r="AA763" s="678"/>
      <c r="AB763" s="543"/>
      <c r="AC763" s="3"/>
      <c r="AD763" s="533"/>
      <c r="AE763" s="3"/>
      <c r="AF763" s="4"/>
      <c r="AG763" s="4"/>
      <c r="AH763" s="4"/>
      <c r="AI763" s="4"/>
      <c r="AJ763" s="4"/>
      <c r="AK763" s="4"/>
      <c r="AL763" s="4"/>
      <c r="AM763" s="4"/>
      <c r="AN763" s="4"/>
      <c r="AO763" s="4"/>
      <c r="AP763" s="4"/>
      <c r="AQ763" s="4"/>
      <c r="AR763" s="4"/>
      <c r="AS763" s="4"/>
      <c r="AT763" s="4"/>
      <c r="AU763" s="4"/>
      <c r="AV763" s="537"/>
      <c r="AW763" s="537"/>
      <c r="AX763" s="4"/>
      <c r="AY763" s="4"/>
      <c r="AZ763" s="4"/>
      <c r="BA763" s="4"/>
      <c r="BB763" s="4"/>
      <c r="BC763" s="4"/>
      <c r="BD763" s="4"/>
      <c r="BE763" s="4"/>
      <c r="BF763" s="4"/>
      <c r="BG763" s="4"/>
      <c r="BH763" s="4"/>
      <c r="BI763" s="4"/>
      <c r="BJ763" s="4"/>
      <c r="BK763" s="4"/>
      <c r="BL763" s="4"/>
      <c r="BM763" s="4"/>
      <c r="BN763" s="4"/>
      <c r="BO763" s="4"/>
      <c r="BP763" s="4"/>
      <c r="BQ763" s="4"/>
      <c r="BR763" s="4"/>
    </row>
    <row r="764" spans="1:70" ht="27" customHeight="1" x14ac:dyDescent="0.2">
      <c r="A764" s="532"/>
      <c r="B764" s="917"/>
      <c r="C764" s="4"/>
      <c r="D764" s="917"/>
      <c r="E764" s="4"/>
      <c r="F764" s="917"/>
      <c r="G764" s="4"/>
      <c r="H764" s="920"/>
      <c r="I764" s="3"/>
      <c r="J764" s="920"/>
      <c r="K764" s="3"/>
      <c r="L764" s="920"/>
      <c r="M764" s="3"/>
      <c r="N764" s="920"/>
      <c r="O764" s="3"/>
      <c r="P764" s="3"/>
      <c r="Q764" s="533"/>
      <c r="R764" s="920"/>
      <c r="S764" s="534"/>
      <c r="T764" s="920"/>
      <c r="U764" s="920"/>
      <c r="V764" s="920"/>
      <c r="W764" s="535"/>
      <c r="X764" s="687"/>
      <c r="Y764" s="687"/>
      <c r="Z764" s="687"/>
      <c r="AA764" s="678"/>
      <c r="AB764" s="543"/>
      <c r="AC764" s="3"/>
      <c r="AD764" s="533"/>
      <c r="AE764" s="3"/>
      <c r="AF764" s="4"/>
      <c r="AG764" s="4"/>
      <c r="AH764" s="4"/>
      <c r="AI764" s="4"/>
      <c r="AJ764" s="4"/>
      <c r="AK764" s="4"/>
      <c r="AL764" s="4"/>
      <c r="AM764" s="4"/>
      <c r="AN764" s="4"/>
      <c r="AO764" s="4"/>
      <c r="AP764" s="4"/>
      <c r="AQ764" s="4"/>
      <c r="AR764" s="4"/>
      <c r="AS764" s="4"/>
      <c r="AT764" s="4"/>
      <c r="AU764" s="4"/>
      <c r="AV764" s="537"/>
      <c r="AW764" s="537"/>
      <c r="AX764" s="4"/>
      <c r="AY764" s="4"/>
      <c r="AZ764" s="4"/>
      <c r="BA764" s="4"/>
      <c r="BB764" s="4"/>
      <c r="BC764" s="4"/>
      <c r="BD764" s="4"/>
      <c r="BE764" s="4"/>
      <c r="BF764" s="4"/>
      <c r="BG764" s="4"/>
      <c r="BH764" s="4"/>
      <c r="BI764" s="4"/>
      <c r="BJ764" s="4"/>
      <c r="BK764" s="4"/>
      <c r="BL764" s="4"/>
      <c r="BM764" s="4"/>
      <c r="BN764" s="4"/>
      <c r="BO764" s="4"/>
      <c r="BP764" s="4"/>
      <c r="BQ764" s="4"/>
      <c r="BR764" s="4"/>
    </row>
    <row r="765" spans="1:70" ht="27" customHeight="1" x14ac:dyDescent="0.2">
      <c r="A765" s="532"/>
      <c r="B765" s="917"/>
      <c r="C765" s="4"/>
      <c r="D765" s="917"/>
      <c r="E765" s="4"/>
      <c r="F765" s="917"/>
      <c r="G765" s="4"/>
      <c r="H765" s="920"/>
      <c r="I765" s="3"/>
      <c r="J765" s="920"/>
      <c r="K765" s="3"/>
      <c r="L765" s="920"/>
      <c r="M765" s="3"/>
      <c r="N765" s="920"/>
      <c r="O765" s="3"/>
      <c r="P765" s="3"/>
      <c r="Q765" s="533"/>
      <c r="R765" s="920"/>
      <c r="S765" s="534"/>
      <c r="T765" s="920"/>
      <c r="U765" s="920"/>
      <c r="V765" s="920"/>
      <c r="W765" s="535"/>
      <c r="X765" s="687"/>
      <c r="Y765" s="687"/>
      <c r="Z765" s="687"/>
      <c r="AA765" s="678"/>
      <c r="AB765" s="543"/>
      <c r="AC765" s="3"/>
      <c r="AD765" s="533"/>
      <c r="AE765" s="3"/>
      <c r="AF765" s="4"/>
      <c r="AG765" s="4"/>
      <c r="AH765" s="4"/>
      <c r="AI765" s="4"/>
      <c r="AJ765" s="4"/>
      <c r="AK765" s="4"/>
      <c r="AL765" s="4"/>
      <c r="AM765" s="4"/>
      <c r="AN765" s="4"/>
      <c r="AO765" s="4"/>
      <c r="AP765" s="4"/>
      <c r="AQ765" s="4"/>
      <c r="AR765" s="4"/>
      <c r="AS765" s="4"/>
      <c r="AT765" s="4"/>
      <c r="AU765" s="4"/>
      <c r="AV765" s="537"/>
      <c r="AW765" s="537"/>
      <c r="AX765" s="4"/>
      <c r="AY765" s="4"/>
      <c r="AZ765" s="4"/>
      <c r="BA765" s="4"/>
      <c r="BB765" s="4"/>
      <c r="BC765" s="4"/>
      <c r="BD765" s="4"/>
      <c r="BE765" s="4"/>
      <c r="BF765" s="4"/>
      <c r="BG765" s="4"/>
      <c r="BH765" s="4"/>
      <c r="BI765" s="4"/>
      <c r="BJ765" s="4"/>
      <c r="BK765" s="4"/>
      <c r="BL765" s="4"/>
      <c r="BM765" s="4"/>
      <c r="BN765" s="4"/>
      <c r="BO765" s="4"/>
      <c r="BP765" s="4"/>
      <c r="BQ765" s="4"/>
      <c r="BR765" s="4"/>
    </row>
    <row r="766" spans="1:70" ht="27" customHeight="1" x14ac:dyDescent="0.2">
      <c r="A766" s="532"/>
      <c r="B766" s="917"/>
      <c r="C766" s="4"/>
      <c r="D766" s="917"/>
      <c r="E766" s="4"/>
      <c r="F766" s="917"/>
      <c r="G766" s="4"/>
      <c r="H766" s="920"/>
      <c r="I766" s="3"/>
      <c r="J766" s="920"/>
      <c r="K766" s="3"/>
      <c r="L766" s="920"/>
      <c r="M766" s="3"/>
      <c r="N766" s="920"/>
      <c r="O766" s="3"/>
      <c r="P766" s="3"/>
      <c r="Q766" s="533"/>
      <c r="R766" s="920"/>
      <c r="S766" s="534"/>
      <c r="T766" s="920"/>
      <c r="U766" s="920"/>
      <c r="V766" s="920"/>
      <c r="W766" s="535"/>
      <c r="X766" s="687"/>
      <c r="Y766" s="687"/>
      <c r="Z766" s="687"/>
      <c r="AA766" s="678"/>
      <c r="AB766" s="543"/>
      <c r="AC766" s="3"/>
      <c r="AD766" s="533"/>
      <c r="AE766" s="3"/>
      <c r="AF766" s="4"/>
      <c r="AG766" s="4"/>
      <c r="AH766" s="4"/>
      <c r="AI766" s="4"/>
      <c r="AJ766" s="4"/>
      <c r="AK766" s="4"/>
      <c r="AL766" s="4"/>
      <c r="AM766" s="4"/>
      <c r="AN766" s="4"/>
      <c r="AO766" s="4"/>
      <c r="AP766" s="4"/>
      <c r="AQ766" s="4"/>
      <c r="AR766" s="4"/>
      <c r="AS766" s="4"/>
      <c r="AT766" s="4"/>
      <c r="AU766" s="4"/>
      <c r="AV766" s="537"/>
      <c r="AW766" s="537"/>
      <c r="AX766" s="4"/>
      <c r="AY766" s="4"/>
      <c r="AZ766" s="4"/>
      <c r="BA766" s="4"/>
      <c r="BB766" s="4"/>
      <c r="BC766" s="4"/>
      <c r="BD766" s="4"/>
      <c r="BE766" s="4"/>
      <c r="BF766" s="4"/>
      <c r="BG766" s="4"/>
      <c r="BH766" s="4"/>
      <c r="BI766" s="4"/>
      <c r="BJ766" s="4"/>
      <c r="BK766" s="4"/>
      <c r="BL766" s="4"/>
      <c r="BM766" s="4"/>
      <c r="BN766" s="4"/>
      <c r="BO766" s="4"/>
      <c r="BP766" s="4"/>
      <c r="BQ766" s="4"/>
      <c r="BR766" s="4"/>
    </row>
    <row r="767" spans="1:70" ht="27" customHeight="1" x14ac:dyDescent="0.2">
      <c r="A767" s="532"/>
      <c r="B767" s="917"/>
      <c r="C767" s="4"/>
      <c r="D767" s="917"/>
      <c r="E767" s="4"/>
      <c r="F767" s="917"/>
      <c r="G767" s="4"/>
      <c r="H767" s="920"/>
      <c r="I767" s="3"/>
      <c r="J767" s="920"/>
      <c r="K767" s="3"/>
      <c r="L767" s="920"/>
      <c r="M767" s="3"/>
      <c r="N767" s="920"/>
      <c r="O767" s="3"/>
      <c r="P767" s="3"/>
      <c r="Q767" s="533"/>
      <c r="R767" s="920"/>
      <c r="S767" s="534"/>
      <c r="T767" s="920"/>
      <c r="U767" s="920"/>
      <c r="V767" s="920"/>
      <c r="W767" s="535"/>
      <c r="X767" s="687"/>
      <c r="Y767" s="687"/>
      <c r="Z767" s="687"/>
      <c r="AA767" s="678"/>
      <c r="AB767" s="543"/>
      <c r="AC767" s="3"/>
      <c r="AD767" s="533"/>
      <c r="AE767" s="3"/>
      <c r="AF767" s="4"/>
      <c r="AG767" s="4"/>
      <c r="AH767" s="4"/>
      <c r="AI767" s="4"/>
      <c r="AJ767" s="4"/>
      <c r="AK767" s="4"/>
      <c r="AL767" s="4"/>
      <c r="AM767" s="4"/>
      <c r="AN767" s="4"/>
      <c r="AO767" s="4"/>
      <c r="AP767" s="4"/>
      <c r="AQ767" s="4"/>
      <c r="AR767" s="4"/>
      <c r="AS767" s="4"/>
      <c r="AT767" s="4"/>
      <c r="AU767" s="4"/>
      <c r="AV767" s="537"/>
      <c r="AW767" s="537"/>
      <c r="AX767" s="4"/>
      <c r="AY767" s="4"/>
      <c r="AZ767" s="4"/>
      <c r="BA767" s="4"/>
      <c r="BB767" s="4"/>
      <c r="BC767" s="4"/>
      <c r="BD767" s="4"/>
      <c r="BE767" s="4"/>
      <c r="BF767" s="4"/>
      <c r="BG767" s="4"/>
      <c r="BH767" s="4"/>
      <c r="BI767" s="4"/>
      <c r="BJ767" s="4"/>
      <c r="BK767" s="4"/>
      <c r="BL767" s="4"/>
      <c r="BM767" s="4"/>
      <c r="BN767" s="4"/>
      <c r="BO767" s="4"/>
      <c r="BP767" s="4"/>
      <c r="BQ767" s="4"/>
      <c r="BR767" s="4"/>
    </row>
    <row r="768" spans="1:70" ht="27" customHeight="1" x14ac:dyDescent="0.2">
      <c r="A768" s="532"/>
      <c r="B768" s="917"/>
      <c r="C768" s="4"/>
      <c r="D768" s="917"/>
      <c r="E768" s="4"/>
      <c r="F768" s="917"/>
      <c r="G768" s="4"/>
      <c r="H768" s="920"/>
      <c r="I768" s="3"/>
      <c r="J768" s="920"/>
      <c r="K768" s="3"/>
      <c r="L768" s="920"/>
      <c r="M768" s="3"/>
      <c r="N768" s="920"/>
      <c r="O768" s="3"/>
      <c r="P768" s="3"/>
      <c r="Q768" s="533"/>
      <c r="R768" s="920"/>
      <c r="S768" s="534"/>
      <c r="T768" s="920"/>
      <c r="U768" s="920"/>
      <c r="V768" s="920"/>
      <c r="W768" s="535"/>
      <c r="X768" s="687"/>
      <c r="Y768" s="687"/>
      <c r="Z768" s="687"/>
      <c r="AA768" s="678"/>
      <c r="AB768" s="543"/>
      <c r="AC768" s="3"/>
      <c r="AD768" s="533"/>
      <c r="AE768" s="3"/>
      <c r="AF768" s="4"/>
      <c r="AG768" s="4"/>
      <c r="AH768" s="4"/>
      <c r="AI768" s="4"/>
      <c r="AJ768" s="4"/>
      <c r="AK768" s="4"/>
      <c r="AL768" s="4"/>
      <c r="AM768" s="4"/>
      <c r="AN768" s="4"/>
      <c r="AO768" s="4"/>
      <c r="AP768" s="4"/>
      <c r="AQ768" s="4"/>
      <c r="AR768" s="4"/>
      <c r="AS768" s="4"/>
      <c r="AT768" s="4"/>
      <c r="AU768" s="4"/>
      <c r="AV768" s="537"/>
      <c r="AW768" s="537"/>
      <c r="AX768" s="4"/>
      <c r="AY768" s="4"/>
      <c r="AZ768" s="4"/>
      <c r="BA768" s="4"/>
      <c r="BB768" s="4"/>
      <c r="BC768" s="4"/>
      <c r="BD768" s="4"/>
      <c r="BE768" s="4"/>
      <c r="BF768" s="4"/>
      <c r="BG768" s="4"/>
      <c r="BH768" s="4"/>
      <c r="BI768" s="4"/>
      <c r="BJ768" s="4"/>
      <c r="BK768" s="4"/>
      <c r="BL768" s="4"/>
      <c r="BM768" s="4"/>
      <c r="BN768" s="4"/>
      <c r="BO768" s="4"/>
      <c r="BP768" s="4"/>
      <c r="BQ768" s="4"/>
      <c r="BR768" s="4"/>
    </row>
    <row r="769" spans="1:70" ht="27" customHeight="1" x14ac:dyDescent="0.2">
      <c r="A769" s="532"/>
      <c r="B769" s="917"/>
      <c r="C769" s="4"/>
      <c r="D769" s="917"/>
      <c r="E769" s="4"/>
      <c r="F769" s="917"/>
      <c r="G769" s="4"/>
      <c r="H769" s="920"/>
      <c r="I769" s="3"/>
      <c r="J769" s="920"/>
      <c r="K769" s="3"/>
      <c r="L769" s="920"/>
      <c r="M769" s="3"/>
      <c r="N769" s="920"/>
      <c r="O769" s="3"/>
      <c r="P769" s="3"/>
      <c r="Q769" s="533"/>
      <c r="R769" s="920"/>
      <c r="S769" s="534"/>
      <c r="T769" s="920"/>
      <c r="U769" s="920"/>
      <c r="V769" s="920"/>
      <c r="W769" s="535"/>
      <c r="X769" s="687"/>
      <c r="Y769" s="687"/>
      <c r="Z769" s="687"/>
      <c r="AA769" s="678"/>
      <c r="AB769" s="543"/>
      <c r="AC769" s="3"/>
      <c r="AD769" s="533"/>
      <c r="AE769" s="3"/>
      <c r="AF769" s="4"/>
      <c r="AG769" s="4"/>
      <c r="AH769" s="4"/>
      <c r="AI769" s="4"/>
      <c r="AJ769" s="4"/>
      <c r="AK769" s="4"/>
      <c r="AL769" s="4"/>
      <c r="AM769" s="4"/>
      <c r="AN769" s="4"/>
      <c r="AO769" s="4"/>
      <c r="AP769" s="4"/>
      <c r="AQ769" s="4"/>
      <c r="AR769" s="4"/>
      <c r="AS769" s="4"/>
      <c r="AT769" s="4"/>
      <c r="AU769" s="4"/>
      <c r="AV769" s="537"/>
      <c r="AW769" s="537"/>
      <c r="AX769" s="4"/>
      <c r="AY769" s="4"/>
      <c r="AZ769" s="4"/>
      <c r="BA769" s="4"/>
      <c r="BB769" s="4"/>
      <c r="BC769" s="4"/>
      <c r="BD769" s="4"/>
      <c r="BE769" s="4"/>
      <c r="BF769" s="4"/>
      <c r="BG769" s="4"/>
      <c r="BH769" s="4"/>
      <c r="BI769" s="4"/>
      <c r="BJ769" s="4"/>
      <c r="BK769" s="4"/>
      <c r="BL769" s="4"/>
      <c r="BM769" s="4"/>
      <c r="BN769" s="4"/>
      <c r="BO769" s="4"/>
      <c r="BP769" s="4"/>
      <c r="BQ769" s="4"/>
      <c r="BR769" s="4"/>
    </row>
    <row r="770" spans="1:70" ht="27" customHeight="1" x14ac:dyDescent="0.2">
      <c r="A770" s="532"/>
      <c r="B770" s="917"/>
      <c r="C770" s="4"/>
      <c r="D770" s="917"/>
      <c r="E770" s="4"/>
      <c r="F770" s="917"/>
      <c r="G770" s="4"/>
      <c r="H770" s="920"/>
      <c r="I770" s="3"/>
      <c r="J770" s="920"/>
      <c r="K770" s="3"/>
      <c r="L770" s="920"/>
      <c r="M770" s="3"/>
      <c r="N770" s="920"/>
      <c r="O770" s="3"/>
      <c r="P770" s="3"/>
      <c r="Q770" s="533"/>
      <c r="R770" s="920"/>
      <c r="S770" s="534"/>
      <c r="T770" s="920"/>
      <c r="U770" s="920"/>
      <c r="V770" s="920"/>
      <c r="W770" s="535"/>
      <c r="X770" s="687"/>
      <c r="Y770" s="687"/>
      <c r="Z770" s="687"/>
      <c r="AA770" s="678"/>
      <c r="AB770" s="543"/>
      <c r="AC770" s="3"/>
      <c r="AD770" s="533"/>
      <c r="AE770" s="3"/>
      <c r="AF770" s="4"/>
      <c r="AG770" s="4"/>
      <c r="AH770" s="4"/>
      <c r="AI770" s="4"/>
      <c r="AJ770" s="4"/>
      <c r="AK770" s="4"/>
      <c r="AL770" s="4"/>
      <c r="AM770" s="4"/>
      <c r="AN770" s="4"/>
      <c r="AO770" s="4"/>
      <c r="AP770" s="4"/>
      <c r="AQ770" s="4"/>
      <c r="AR770" s="4"/>
      <c r="AS770" s="4"/>
      <c r="AT770" s="4"/>
      <c r="AU770" s="4"/>
      <c r="AV770" s="537"/>
      <c r="AW770" s="537"/>
      <c r="AX770" s="4"/>
      <c r="AY770" s="4"/>
      <c r="AZ770" s="4"/>
      <c r="BA770" s="4"/>
      <c r="BB770" s="4"/>
      <c r="BC770" s="4"/>
      <c r="BD770" s="4"/>
      <c r="BE770" s="4"/>
      <c r="BF770" s="4"/>
      <c r="BG770" s="4"/>
      <c r="BH770" s="4"/>
      <c r="BI770" s="4"/>
      <c r="BJ770" s="4"/>
      <c r="BK770" s="4"/>
      <c r="BL770" s="4"/>
      <c r="BM770" s="4"/>
      <c r="BN770" s="4"/>
      <c r="BO770" s="4"/>
      <c r="BP770" s="4"/>
      <c r="BQ770" s="4"/>
      <c r="BR770" s="4"/>
    </row>
    <row r="771" spans="1:70" ht="27" customHeight="1" x14ac:dyDescent="0.2">
      <c r="A771" s="532"/>
      <c r="B771" s="917"/>
      <c r="C771" s="4"/>
      <c r="D771" s="917"/>
      <c r="E771" s="4"/>
      <c r="F771" s="917"/>
      <c r="G771" s="4"/>
      <c r="H771" s="920"/>
      <c r="I771" s="3"/>
      <c r="J771" s="920"/>
      <c r="K771" s="3"/>
      <c r="L771" s="920"/>
      <c r="M771" s="3"/>
      <c r="N771" s="920"/>
      <c r="O771" s="3"/>
      <c r="P771" s="3"/>
      <c r="Q771" s="533"/>
      <c r="R771" s="920"/>
      <c r="S771" s="534"/>
      <c r="T771" s="920"/>
      <c r="U771" s="920"/>
      <c r="V771" s="920"/>
      <c r="W771" s="535"/>
      <c r="X771" s="687"/>
      <c r="Y771" s="687"/>
      <c r="Z771" s="687"/>
      <c r="AA771" s="678"/>
      <c r="AB771" s="543"/>
      <c r="AC771" s="3"/>
      <c r="AD771" s="533"/>
      <c r="AE771" s="3"/>
      <c r="AF771" s="4"/>
      <c r="AG771" s="4"/>
      <c r="AH771" s="4"/>
      <c r="AI771" s="4"/>
      <c r="AJ771" s="4"/>
      <c r="AK771" s="4"/>
      <c r="AL771" s="4"/>
      <c r="AM771" s="4"/>
      <c r="AN771" s="4"/>
      <c r="AO771" s="4"/>
      <c r="AP771" s="4"/>
      <c r="AQ771" s="4"/>
      <c r="AR771" s="4"/>
      <c r="AS771" s="4"/>
      <c r="AT771" s="4"/>
      <c r="AU771" s="4"/>
      <c r="AV771" s="537"/>
      <c r="AW771" s="537"/>
      <c r="AX771" s="4"/>
      <c r="AY771" s="4"/>
      <c r="AZ771" s="4"/>
      <c r="BA771" s="4"/>
      <c r="BB771" s="4"/>
      <c r="BC771" s="4"/>
      <c r="BD771" s="4"/>
      <c r="BE771" s="4"/>
      <c r="BF771" s="4"/>
      <c r="BG771" s="4"/>
      <c r="BH771" s="4"/>
      <c r="BI771" s="4"/>
      <c r="BJ771" s="4"/>
      <c r="BK771" s="4"/>
      <c r="BL771" s="4"/>
      <c r="BM771" s="4"/>
      <c r="BN771" s="4"/>
      <c r="BO771" s="4"/>
      <c r="BP771" s="4"/>
      <c r="BQ771" s="4"/>
      <c r="BR771" s="4"/>
    </row>
    <row r="772" spans="1:70" ht="27" customHeight="1" x14ac:dyDescent="0.2">
      <c r="A772" s="532"/>
      <c r="B772" s="917"/>
      <c r="C772" s="4"/>
      <c r="D772" s="917"/>
      <c r="E772" s="4"/>
      <c r="F772" s="917"/>
      <c r="G772" s="4"/>
      <c r="H772" s="920"/>
      <c r="I772" s="3"/>
      <c r="J772" s="920"/>
      <c r="K772" s="3"/>
      <c r="L772" s="920"/>
      <c r="M772" s="3"/>
      <c r="N772" s="920"/>
      <c r="O772" s="3"/>
      <c r="P772" s="3"/>
      <c r="Q772" s="533"/>
      <c r="R772" s="920"/>
      <c r="S772" s="534"/>
      <c r="T772" s="920"/>
      <c r="U772" s="920"/>
      <c r="V772" s="920"/>
      <c r="W772" s="535"/>
      <c r="X772" s="687"/>
      <c r="Y772" s="687"/>
      <c r="Z772" s="687"/>
      <c r="AA772" s="678"/>
      <c r="AB772" s="543"/>
      <c r="AC772" s="3"/>
      <c r="AD772" s="533"/>
      <c r="AE772" s="3"/>
      <c r="AF772" s="4"/>
      <c r="AG772" s="4"/>
      <c r="AH772" s="4"/>
      <c r="AI772" s="4"/>
      <c r="AJ772" s="4"/>
      <c r="AK772" s="4"/>
      <c r="AL772" s="4"/>
      <c r="AM772" s="4"/>
      <c r="AN772" s="4"/>
      <c r="AO772" s="4"/>
      <c r="AP772" s="4"/>
      <c r="AQ772" s="4"/>
      <c r="AR772" s="4"/>
      <c r="AS772" s="4"/>
      <c r="AT772" s="4"/>
      <c r="AU772" s="4"/>
      <c r="AV772" s="537"/>
      <c r="AW772" s="537"/>
      <c r="AX772" s="4"/>
      <c r="AY772" s="4"/>
      <c r="AZ772" s="4"/>
      <c r="BA772" s="4"/>
      <c r="BB772" s="4"/>
      <c r="BC772" s="4"/>
      <c r="BD772" s="4"/>
      <c r="BE772" s="4"/>
      <c r="BF772" s="4"/>
      <c r="BG772" s="4"/>
      <c r="BH772" s="4"/>
      <c r="BI772" s="4"/>
      <c r="BJ772" s="4"/>
      <c r="BK772" s="4"/>
      <c r="BL772" s="4"/>
      <c r="BM772" s="4"/>
      <c r="BN772" s="4"/>
      <c r="BO772" s="4"/>
      <c r="BP772" s="4"/>
      <c r="BQ772" s="4"/>
      <c r="BR772" s="4"/>
    </row>
    <row r="773" spans="1:70" ht="27" customHeight="1" x14ac:dyDescent="0.2">
      <c r="A773" s="532"/>
      <c r="B773" s="917"/>
      <c r="C773" s="4"/>
      <c r="D773" s="917"/>
      <c r="E773" s="4"/>
      <c r="F773" s="917"/>
      <c r="G773" s="4"/>
      <c r="H773" s="920"/>
      <c r="I773" s="3"/>
      <c r="J773" s="920"/>
      <c r="K773" s="3"/>
      <c r="L773" s="920"/>
      <c r="M773" s="3"/>
      <c r="N773" s="920"/>
      <c r="O773" s="3"/>
      <c r="P773" s="3"/>
      <c r="Q773" s="533"/>
      <c r="R773" s="920"/>
      <c r="S773" s="534"/>
      <c r="T773" s="920"/>
      <c r="U773" s="920"/>
      <c r="V773" s="920"/>
      <c r="W773" s="535"/>
      <c r="X773" s="687"/>
      <c r="Y773" s="687"/>
      <c r="Z773" s="687"/>
      <c r="AA773" s="678"/>
      <c r="AB773" s="543"/>
      <c r="AC773" s="3"/>
      <c r="AD773" s="533"/>
      <c r="AE773" s="3"/>
      <c r="AF773" s="4"/>
      <c r="AG773" s="4"/>
      <c r="AH773" s="4"/>
      <c r="AI773" s="4"/>
      <c r="AJ773" s="4"/>
      <c r="AK773" s="4"/>
      <c r="AL773" s="4"/>
      <c r="AM773" s="4"/>
      <c r="AN773" s="4"/>
      <c r="AO773" s="4"/>
      <c r="AP773" s="4"/>
      <c r="AQ773" s="4"/>
      <c r="AR773" s="4"/>
      <c r="AS773" s="4"/>
      <c r="AT773" s="4"/>
      <c r="AU773" s="4"/>
      <c r="AV773" s="537"/>
      <c r="AW773" s="537"/>
      <c r="AX773" s="4"/>
      <c r="AY773" s="4"/>
      <c r="AZ773" s="4"/>
      <c r="BA773" s="4"/>
      <c r="BB773" s="4"/>
      <c r="BC773" s="4"/>
      <c r="BD773" s="4"/>
      <c r="BE773" s="4"/>
      <c r="BF773" s="4"/>
      <c r="BG773" s="4"/>
      <c r="BH773" s="4"/>
      <c r="BI773" s="4"/>
      <c r="BJ773" s="4"/>
      <c r="BK773" s="4"/>
      <c r="BL773" s="4"/>
      <c r="BM773" s="4"/>
      <c r="BN773" s="4"/>
      <c r="BO773" s="4"/>
      <c r="BP773" s="4"/>
      <c r="BQ773" s="4"/>
      <c r="BR773" s="4"/>
    </row>
    <row r="774" spans="1:70" ht="27" customHeight="1" x14ac:dyDescent="0.2">
      <c r="A774" s="532"/>
      <c r="B774" s="917"/>
      <c r="C774" s="4"/>
      <c r="D774" s="917"/>
      <c r="E774" s="4"/>
      <c r="F774" s="917"/>
      <c r="G774" s="4"/>
      <c r="H774" s="920"/>
      <c r="I774" s="3"/>
      <c r="J774" s="920"/>
      <c r="K774" s="3"/>
      <c r="L774" s="920"/>
      <c r="M774" s="3"/>
      <c r="N774" s="920"/>
      <c r="O774" s="3"/>
      <c r="P774" s="3"/>
      <c r="Q774" s="533"/>
      <c r="R774" s="920"/>
      <c r="S774" s="534"/>
      <c r="T774" s="920"/>
      <c r="U774" s="920"/>
      <c r="V774" s="920"/>
      <c r="W774" s="535"/>
      <c r="X774" s="687"/>
      <c r="Y774" s="687"/>
      <c r="Z774" s="687"/>
      <c r="AA774" s="678"/>
      <c r="AB774" s="543"/>
      <c r="AC774" s="3"/>
      <c r="AD774" s="533"/>
      <c r="AE774" s="3"/>
      <c r="AF774" s="4"/>
      <c r="AG774" s="4"/>
      <c r="AH774" s="4"/>
      <c r="AI774" s="4"/>
      <c r="AJ774" s="4"/>
      <c r="AK774" s="4"/>
      <c r="AL774" s="4"/>
      <c r="AM774" s="4"/>
      <c r="AN774" s="4"/>
      <c r="AO774" s="4"/>
      <c r="AP774" s="4"/>
      <c r="AQ774" s="4"/>
      <c r="AR774" s="4"/>
      <c r="AS774" s="4"/>
      <c r="AT774" s="4"/>
      <c r="AU774" s="4"/>
      <c r="AV774" s="537"/>
      <c r="AW774" s="537"/>
      <c r="AX774" s="4"/>
      <c r="AY774" s="4"/>
      <c r="AZ774" s="4"/>
      <c r="BA774" s="4"/>
      <c r="BB774" s="4"/>
      <c r="BC774" s="4"/>
      <c r="BD774" s="4"/>
      <c r="BE774" s="4"/>
      <c r="BF774" s="4"/>
      <c r="BG774" s="4"/>
      <c r="BH774" s="4"/>
      <c r="BI774" s="4"/>
      <c r="BJ774" s="4"/>
      <c r="BK774" s="4"/>
      <c r="BL774" s="4"/>
      <c r="BM774" s="4"/>
      <c r="BN774" s="4"/>
      <c r="BO774" s="4"/>
      <c r="BP774" s="4"/>
      <c r="BQ774" s="4"/>
      <c r="BR774" s="4"/>
    </row>
    <row r="775" spans="1:70" ht="27" customHeight="1" x14ac:dyDescent="0.2">
      <c r="A775" s="532"/>
      <c r="B775" s="917"/>
      <c r="C775" s="4"/>
      <c r="D775" s="917"/>
      <c r="E775" s="4"/>
      <c r="F775" s="917"/>
      <c r="G775" s="4"/>
      <c r="H775" s="920"/>
      <c r="I775" s="3"/>
      <c r="J775" s="920"/>
      <c r="K775" s="3"/>
      <c r="L775" s="920"/>
      <c r="M775" s="3"/>
      <c r="N775" s="920"/>
      <c r="O775" s="3"/>
      <c r="P775" s="3"/>
      <c r="Q775" s="533"/>
      <c r="R775" s="920"/>
      <c r="S775" s="534"/>
      <c r="T775" s="920"/>
      <c r="U775" s="920"/>
      <c r="V775" s="920"/>
      <c r="W775" s="535"/>
      <c r="X775" s="687"/>
      <c r="Y775" s="687"/>
      <c r="Z775" s="687"/>
      <c r="AA775" s="678"/>
      <c r="AB775" s="543"/>
      <c r="AC775" s="3"/>
      <c r="AD775" s="533"/>
      <c r="AE775" s="3"/>
      <c r="AF775" s="4"/>
      <c r="AG775" s="4"/>
      <c r="AH775" s="4"/>
      <c r="AI775" s="4"/>
      <c r="AJ775" s="4"/>
      <c r="AK775" s="4"/>
      <c r="AL775" s="4"/>
      <c r="AM775" s="4"/>
      <c r="AN775" s="4"/>
      <c r="AO775" s="4"/>
      <c r="AP775" s="4"/>
      <c r="AQ775" s="4"/>
      <c r="AR775" s="4"/>
      <c r="AS775" s="4"/>
      <c r="AT775" s="4"/>
      <c r="AU775" s="4"/>
      <c r="AV775" s="537"/>
      <c r="AW775" s="537"/>
      <c r="AX775" s="4"/>
      <c r="AY775" s="4"/>
      <c r="AZ775" s="4"/>
      <c r="BA775" s="4"/>
      <c r="BB775" s="4"/>
      <c r="BC775" s="4"/>
      <c r="BD775" s="4"/>
      <c r="BE775" s="4"/>
      <c r="BF775" s="4"/>
      <c r="BG775" s="4"/>
      <c r="BH775" s="4"/>
      <c r="BI775" s="4"/>
      <c r="BJ775" s="4"/>
      <c r="BK775" s="4"/>
      <c r="BL775" s="4"/>
      <c r="BM775" s="4"/>
      <c r="BN775" s="4"/>
      <c r="BO775" s="4"/>
      <c r="BP775" s="4"/>
      <c r="BQ775" s="4"/>
      <c r="BR775" s="4"/>
    </row>
    <row r="776" spans="1:70" ht="27" customHeight="1" x14ac:dyDescent="0.2">
      <c r="A776" s="532"/>
      <c r="B776" s="917"/>
      <c r="C776" s="4"/>
      <c r="D776" s="917"/>
      <c r="E776" s="4"/>
      <c r="F776" s="917"/>
      <c r="G776" s="4"/>
      <c r="H776" s="920"/>
      <c r="I776" s="3"/>
      <c r="J776" s="920"/>
      <c r="K776" s="3"/>
      <c r="L776" s="920"/>
      <c r="M776" s="3"/>
      <c r="N776" s="920"/>
      <c r="O776" s="3"/>
      <c r="P776" s="3"/>
      <c r="Q776" s="533"/>
      <c r="R776" s="920"/>
      <c r="S776" s="534"/>
      <c r="T776" s="920"/>
      <c r="U776" s="920"/>
      <c r="V776" s="920"/>
      <c r="W776" s="535"/>
      <c r="X776" s="687"/>
      <c r="Y776" s="687"/>
      <c r="Z776" s="687"/>
      <c r="AA776" s="678"/>
      <c r="AB776" s="543"/>
      <c r="AC776" s="3"/>
      <c r="AD776" s="533"/>
      <c r="AE776" s="3"/>
      <c r="AF776" s="4"/>
      <c r="AG776" s="4"/>
      <c r="AH776" s="4"/>
      <c r="AI776" s="4"/>
      <c r="AJ776" s="4"/>
      <c r="AK776" s="4"/>
      <c r="AL776" s="4"/>
      <c r="AM776" s="4"/>
      <c r="AN776" s="4"/>
      <c r="AO776" s="4"/>
      <c r="AP776" s="4"/>
      <c r="AQ776" s="4"/>
      <c r="AR776" s="4"/>
      <c r="AS776" s="4"/>
      <c r="AT776" s="4"/>
      <c r="AU776" s="4"/>
      <c r="AV776" s="537"/>
      <c r="AW776" s="537"/>
      <c r="AX776" s="4"/>
      <c r="AY776" s="4"/>
      <c r="AZ776" s="4"/>
      <c r="BA776" s="4"/>
      <c r="BB776" s="4"/>
      <c r="BC776" s="4"/>
      <c r="BD776" s="4"/>
      <c r="BE776" s="4"/>
      <c r="BF776" s="4"/>
      <c r="BG776" s="4"/>
      <c r="BH776" s="4"/>
      <c r="BI776" s="4"/>
      <c r="BJ776" s="4"/>
      <c r="BK776" s="4"/>
      <c r="BL776" s="4"/>
      <c r="BM776" s="4"/>
      <c r="BN776" s="4"/>
      <c r="BO776" s="4"/>
      <c r="BP776" s="4"/>
      <c r="BQ776" s="4"/>
      <c r="BR776" s="4"/>
    </row>
    <row r="777" spans="1:70" ht="27" customHeight="1" x14ac:dyDescent="0.2">
      <c r="A777" s="532"/>
      <c r="B777" s="917"/>
      <c r="C777" s="4"/>
      <c r="D777" s="917"/>
      <c r="E777" s="4"/>
      <c r="F777" s="917"/>
      <c r="G777" s="4"/>
      <c r="H777" s="920"/>
      <c r="I777" s="3"/>
      <c r="J777" s="920"/>
      <c r="K777" s="3"/>
      <c r="L777" s="920"/>
      <c r="M777" s="3"/>
      <c r="N777" s="920"/>
      <c r="O777" s="3"/>
      <c r="P777" s="3"/>
      <c r="Q777" s="533"/>
      <c r="R777" s="920"/>
      <c r="S777" s="534"/>
      <c r="T777" s="920"/>
      <c r="U777" s="920"/>
      <c r="V777" s="920"/>
      <c r="W777" s="535"/>
      <c r="X777" s="687"/>
      <c r="Y777" s="687"/>
      <c r="Z777" s="687"/>
      <c r="AA777" s="678"/>
      <c r="AB777" s="543"/>
      <c r="AC777" s="3"/>
      <c r="AD777" s="533"/>
      <c r="AE777" s="3"/>
      <c r="AF777" s="4"/>
      <c r="AG777" s="4"/>
      <c r="AH777" s="4"/>
      <c r="AI777" s="4"/>
      <c r="AJ777" s="4"/>
      <c r="AK777" s="4"/>
      <c r="AL777" s="4"/>
      <c r="AM777" s="4"/>
      <c r="AN777" s="4"/>
      <c r="AO777" s="4"/>
      <c r="AP777" s="4"/>
      <c r="AQ777" s="4"/>
      <c r="AR777" s="4"/>
      <c r="AS777" s="4"/>
      <c r="AT777" s="4"/>
      <c r="AU777" s="4"/>
      <c r="AV777" s="537"/>
      <c r="AW777" s="537"/>
      <c r="AX777" s="4"/>
      <c r="AY777" s="4"/>
      <c r="AZ777" s="4"/>
      <c r="BA777" s="4"/>
      <c r="BB777" s="4"/>
      <c r="BC777" s="4"/>
      <c r="BD777" s="4"/>
      <c r="BE777" s="4"/>
      <c r="BF777" s="4"/>
      <c r="BG777" s="4"/>
      <c r="BH777" s="4"/>
      <c r="BI777" s="4"/>
      <c r="BJ777" s="4"/>
      <c r="BK777" s="4"/>
      <c r="BL777" s="4"/>
      <c r="BM777" s="4"/>
      <c r="BN777" s="4"/>
      <c r="BO777" s="4"/>
      <c r="BP777" s="4"/>
      <c r="BQ777" s="4"/>
      <c r="BR777" s="4"/>
    </row>
    <row r="778" spans="1:70" ht="27" customHeight="1" x14ac:dyDescent="0.2">
      <c r="A778" s="532"/>
      <c r="B778" s="917"/>
      <c r="C778" s="4"/>
      <c r="D778" s="917"/>
      <c r="E778" s="4"/>
      <c r="F778" s="917"/>
      <c r="G778" s="4"/>
      <c r="H778" s="920"/>
      <c r="I778" s="3"/>
      <c r="J778" s="920"/>
      <c r="K778" s="3"/>
      <c r="L778" s="920"/>
      <c r="M778" s="3"/>
      <c r="N778" s="920"/>
      <c r="O778" s="3"/>
      <c r="P778" s="3"/>
      <c r="Q778" s="533"/>
      <c r="R778" s="920"/>
      <c r="S778" s="534"/>
      <c r="T778" s="920"/>
      <c r="U778" s="920"/>
      <c r="V778" s="920"/>
      <c r="W778" s="535"/>
      <c r="X778" s="687"/>
      <c r="Y778" s="687"/>
      <c r="Z778" s="687"/>
      <c r="AA778" s="678"/>
      <c r="AB778" s="543"/>
      <c r="AC778" s="3"/>
      <c r="AD778" s="533"/>
      <c r="AE778" s="3"/>
      <c r="AF778" s="4"/>
      <c r="AG778" s="4"/>
      <c r="AH778" s="4"/>
      <c r="AI778" s="4"/>
      <c r="AJ778" s="4"/>
      <c r="AK778" s="4"/>
      <c r="AL778" s="4"/>
      <c r="AM778" s="4"/>
      <c r="AN778" s="4"/>
      <c r="AO778" s="4"/>
      <c r="AP778" s="4"/>
      <c r="AQ778" s="4"/>
      <c r="AR778" s="4"/>
      <c r="AS778" s="4"/>
      <c r="AT778" s="4"/>
      <c r="AU778" s="4"/>
      <c r="AV778" s="537"/>
      <c r="AW778" s="537"/>
      <c r="AX778" s="4"/>
      <c r="AY778" s="4"/>
      <c r="AZ778" s="4"/>
      <c r="BA778" s="4"/>
      <c r="BB778" s="4"/>
      <c r="BC778" s="4"/>
      <c r="BD778" s="4"/>
      <c r="BE778" s="4"/>
      <c r="BF778" s="4"/>
      <c r="BG778" s="4"/>
      <c r="BH778" s="4"/>
      <c r="BI778" s="4"/>
      <c r="BJ778" s="4"/>
      <c r="BK778" s="4"/>
      <c r="BL778" s="4"/>
      <c r="BM778" s="4"/>
      <c r="BN778" s="4"/>
      <c r="BO778" s="4"/>
      <c r="BP778" s="4"/>
      <c r="BQ778" s="4"/>
      <c r="BR778" s="4"/>
    </row>
    <row r="779" spans="1:70" ht="27" customHeight="1" x14ac:dyDescent="0.2">
      <c r="A779" s="532"/>
      <c r="B779" s="917"/>
      <c r="C779" s="4"/>
      <c r="D779" s="917"/>
      <c r="E779" s="4"/>
      <c r="F779" s="917"/>
      <c r="G779" s="4"/>
      <c r="H779" s="920"/>
      <c r="I779" s="3"/>
      <c r="J779" s="920"/>
      <c r="K779" s="3"/>
      <c r="L779" s="920"/>
      <c r="M779" s="3"/>
      <c r="N779" s="920"/>
      <c r="O779" s="3"/>
      <c r="P779" s="3"/>
      <c r="Q779" s="533"/>
      <c r="R779" s="920"/>
      <c r="S779" s="534"/>
      <c r="T779" s="920"/>
      <c r="U779" s="920"/>
      <c r="V779" s="920"/>
      <c r="W779" s="535"/>
      <c r="X779" s="687"/>
      <c r="Y779" s="687"/>
      <c r="Z779" s="687"/>
      <c r="AA779" s="678"/>
      <c r="AB779" s="543"/>
      <c r="AC779" s="3"/>
      <c r="AD779" s="533"/>
      <c r="AE779" s="3"/>
      <c r="AF779" s="4"/>
      <c r="AG779" s="4"/>
      <c r="AH779" s="4"/>
      <c r="AI779" s="4"/>
      <c r="AJ779" s="4"/>
      <c r="AK779" s="4"/>
      <c r="AL779" s="4"/>
      <c r="AM779" s="4"/>
      <c r="AN779" s="4"/>
      <c r="AO779" s="4"/>
      <c r="AP779" s="4"/>
      <c r="AQ779" s="4"/>
      <c r="AR779" s="4"/>
      <c r="AS779" s="4"/>
      <c r="AT779" s="4"/>
      <c r="AU779" s="4"/>
      <c r="AV779" s="537"/>
      <c r="AW779" s="537"/>
      <c r="AX779" s="4"/>
      <c r="AY779" s="4"/>
      <c r="AZ779" s="4"/>
      <c r="BA779" s="4"/>
      <c r="BB779" s="4"/>
      <c r="BC779" s="4"/>
      <c r="BD779" s="4"/>
      <c r="BE779" s="4"/>
      <c r="BF779" s="4"/>
      <c r="BG779" s="4"/>
      <c r="BH779" s="4"/>
      <c r="BI779" s="4"/>
      <c r="BJ779" s="4"/>
      <c r="BK779" s="4"/>
      <c r="BL779" s="4"/>
      <c r="BM779" s="4"/>
      <c r="BN779" s="4"/>
      <c r="BO779" s="4"/>
      <c r="BP779" s="4"/>
      <c r="BQ779" s="4"/>
      <c r="BR779" s="4"/>
    </row>
    <row r="780" spans="1:70" ht="27" customHeight="1" x14ac:dyDescent="0.2">
      <c r="A780" s="532"/>
      <c r="B780" s="917"/>
      <c r="C780" s="4"/>
      <c r="D780" s="917"/>
      <c r="E780" s="4"/>
      <c r="F780" s="917"/>
      <c r="G780" s="4"/>
      <c r="H780" s="920"/>
      <c r="I780" s="3"/>
      <c r="J780" s="920"/>
      <c r="K780" s="3"/>
      <c r="L780" s="920"/>
      <c r="M780" s="3"/>
      <c r="N780" s="920"/>
      <c r="O780" s="3"/>
      <c r="P780" s="3"/>
      <c r="Q780" s="533"/>
      <c r="R780" s="920"/>
      <c r="S780" s="534"/>
      <c r="T780" s="920"/>
      <c r="U780" s="920"/>
      <c r="V780" s="920"/>
      <c r="W780" s="535"/>
      <c r="X780" s="687"/>
      <c r="Y780" s="687"/>
      <c r="Z780" s="687"/>
      <c r="AA780" s="678"/>
      <c r="AB780" s="543"/>
      <c r="AC780" s="3"/>
      <c r="AD780" s="533"/>
      <c r="AE780" s="3"/>
      <c r="AF780" s="4"/>
      <c r="AG780" s="4"/>
      <c r="AH780" s="4"/>
      <c r="AI780" s="4"/>
      <c r="AJ780" s="4"/>
      <c r="AK780" s="4"/>
      <c r="AL780" s="4"/>
      <c r="AM780" s="4"/>
      <c r="AN780" s="4"/>
      <c r="AO780" s="4"/>
      <c r="AP780" s="4"/>
      <c r="AQ780" s="4"/>
      <c r="AR780" s="4"/>
      <c r="AS780" s="4"/>
      <c r="AT780" s="4"/>
      <c r="AU780" s="4"/>
      <c r="AV780" s="537"/>
      <c r="AW780" s="537"/>
      <c r="AX780" s="4"/>
      <c r="AY780" s="4"/>
      <c r="AZ780" s="4"/>
      <c r="BA780" s="4"/>
      <c r="BB780" s="4"/>
      <c r="BC780" s="4"/>
      <c r="BD780" s="4"/>
      <c r="BE780" s="4"/>
      <c r="BF780" s="4"/>
      <c r="BG780" s="4"/>
      <c r="BH780" s="4"/>
      <c r="BI780" s="4"/>
      <c r="BJ780" s="4"/>
      <c r="BK780" s="4"/>
      <c r="BL780" s="4"/>
      <c r="BM780" s="4"/>
      <c r="BN780" s="4"/>
      <c r="BO780" s="4"/>
      <c r="BP780" s="4"/>
      <c r="BQ780" s="4"/>
      <c r="BR780" s="4"/>
    </row>
    <row r="781" spans="1:70" ht="27" customHeight="1" x14ac:dyDescent="0.2">
      <c r="A781" s="532"/>
      <c r="B781" s="917"/>
      <c r="C781" s="4"/>
      <c r="D781" s="917"/>
      <c r="E781" s="4"/>
      <c r="F781" s="917"/>
      <c r="G781" s="4"/>
      <c r="H781" s="920"/>
      <c r="I781" s="3"/>
      <c r="J781" s="920"/>
      <c r="K781" s="3"/>
      <c r="L781" s="920"/>
      <c r="M781" s="3"/>
      <c r="N781" s="920"/>
      <c r="O781" s="3"/>
      <c r="P781" s="3"/>
      <c r="Q781" s="533"/>
      <c r="R781" s="920"/>
      <c r="S781" s="534"/>
      <c r="T781" s="920"/>
      <c r="U781" s="920"/>
      <c r="V781" s="920"/>
      <c r="W781" s="535"/>
      <c r="X781" s="687"/>
      <c r="Y781" s="687"/>
      <c r="Z781" s="687"/>
      <c r="AA781" s="678"/>
      <c r="AB781" s="543"/>
      <c r="AC781" s="3"/>
      <c r="AD781" s="533"/>
      <c r="AE781" s="3"/>
      <c r="AF781" s="4"/>
      <c r="AG781" s="4"/>
      <c r="AH781" s="4"/>
      <c r="AI781" s="4"/>
      <c r="AJ781" s="4"/>
      <c r="AK781" s="4"/>
      <c r="AL781" s="4"/>
      <c r="AM781" s="4"/>
      <c r="AN781" s="4"/>
      <c r="AO781" s="4"/>
      <c r="AP781" s="4"/>
      <c r="AQ781" s="4"/>
      <c r="AR781" s="4"/>
      <c r="AS781" s="4"/>
      <c r="AT781" s="4"/>
      <c r="AU781" s="4"/>
      <c r="AV781" s="537"/>
      <c r="AW781" s="537"/>
      <c r="AX781" s="4"/>
      <c r="AY781" s="4"/>
      <c r="AZ781" s="4"/>
      <c r="BA781" s="4"/>
      <c r="BB781" s="4"/>
      <c r="BC781" s="4"/>
      <c r="BD781" s="4"/>
      <c r="BE781" s="4"/>
      <c r="BF781" s="4"/>
      <c r="BG781" s="4"/>
      <c r="BH781" s="4"/>
      <c r="BI781" s="4"/>
      <c r="BJ781" s="4"/>
      <c r="BK781" s="4"/>
      <c r="BL781" s="4"/>
      <c r="BM781" s="4"/>
      <c r="BN781" s="4"/>
      <c r="BO781" s="4"/>
      <c r="BP781" s="4"/>
      <c r="BQ781" s="4"/>
      <c r="BR781" s="4"/>
    </row>
    <row r="782" spans="1:70" ht="27" customHeight="1" x14ac:dyDescent="0.2">
      <c r="A782" s="532"/>
      <c r="B782" s="917"/>
      <c r="C782" s="4"/>
      <c r="D782" s="917"/>
      <c r="E782" s="4"/>
      <c r="F782" s="917"/>
      <c r="G782" s="4"/>
      <c r="H782" s="920"/>
      <c r="I782" s="3"/>
      <c r="J782" s="920"/>
      <c r="K782" s="3"/>
      <c r="L782" s="920"/>
      <c r="M782" s="3"/>
      <c r="N782" s="920"/>
      <c r="O782" s="3"/>
      <c r="P782" s="3"/>
      <c r="Q782" s="533"/>
      <c r="R782" s="920"/>
      <c r="S782" s="534"/>
      <c r="T782" s="920"/>
      <c r="U782" s="920"/>
      <c r="V782" s="920"/>
      <c r="W782" s="535"/>
      <c r="X782" s="687"/>
      <c r="Y782" s="687"/>
      <c r="Z782" s="687"/>
      <c r="AA782" s="678"/>
      <c r="AB782" s="543"/>
      <c r="AC782" s="3"/>
      <c r="AD782" s="533"/>
      <c r="AE782" s="3"/>
      <c r="AF782" s="4"/>
      <c r="AG782" s="4"/>
      <c r="AH782" s="4"/>
      <c r="AI782" s="4"/>
      <c r="AJ782" s="4"/>
      <c r="AK782" s="4"/>
      <c r="AL782" s="4"/>
      <c r="AM782" s="4"/>
      <c r="AN782" s="4"/>
      <c r="AO782" s="4"/>
      <c r="AP782" s="4"/>
      <c r="AQ782" s="4"/>
      <c r="AR782" s="4"/>
      <c r="AS782" s="4"/>
      <c r="AT782" s="4"/>
      <c r="AU782" s="4"/>
      <c r="AV782" s="537"/>
      <c r="AW782" s="537"/>
      <c r="AX782" s="4"/>
      <c r="AY782" s="4"/>
      <c r="AZ782" s="4"/>
      <c r="BA782" s="4"/>
      <c r="BB782" s="4"/>
      <c r="BC782" s="4"/>
      <c r="BD782" s="4"/>
      <c r="BE782" s="4"/>
      <c r="BF782" s="4"/>
      <c r="BG782" s="4"/>
      <c r="BH782" s="4"/>
      <c r="BI782" s="4"/>
      <c r="BJ782" s="4"/>
      <c r="BK782" s="4"/>
      <c r="BL782" s="4"/>
      <c r="BM782" s="4"/>
      <c r="BN782" s="4"/>
      <c r="BO782" s="4"/>
      <c r="BP782" s="4"/>
      <c r="BQ782" s="4"/>
      <c r="BR782" s="4"/>
    </row>
    <row r="783" spans="1:70" ht="27" customHeight="1" x14ac:dyDescent="0.2">
      <c r="A783" s="532"/>
      <c r="B783" s="917"/>
      <c r="C783" s="4"/>
      <c r="D783" s="917"/>
      <c r="E783" s="4"/>
      <c r="F783" s="917"/>
      <c r="G783" s="4"/>
      <c r="H783" s="920"/>
      <c r="I783" s="3"/>
      <c r="J783" s="920"/>
      <c r="K783" s="3"/>
      <c r="L783" s="920"/>
      <c r="M783" s="3"/>
      <c r="N783" s="920"/>
      <c r="O783" s="3"/>
      <c r="P783" s="3"/>
      <c r="Q783" s="533"/>
      <c r="R783" s="920"/>
      <c r="S783" s="534"/>
      <c r="T783" s="920"/>
      <c r="U783" s="920"/>
      <c r="V783" s="920"/>
      <c r="W783" s="535"/>
      <c r="X783" s="687"/>
      <c r="Y783" s="687"/>
      <c r="Z783" s="687"/>
      <c r="AA783" s="678"/>
      <c r="AB783" s="543"/>
      <c r="AC783" s="3"/>
      <c r="AD783" s="533"/>
      <c r="AE783" s="3"/>
      <c r="AF783" s="4"/>
      <c r="AG783" s="4"/>
      <c r="AH783" s="4"/>
      <c r="AI783" s="4"/>
      <c r="AJ783" s="4"/>
      <c r="AK783" s="4"/>
      <c r="AL783" s="4"/>
      <c r="AM783" s="4"/>
      <c r="AN783" s="4"/>
      <c r="AO783" s="4"/>
      <c r="AP783" s="4"/>
      <c r="AQ783" s="4"/>
      <c r="AR783" s="4"/>
      <c r="AS783" s="4"/>
      <c r="AT783" s="4"/>
      <c r="AU783" s="4"/>
      <c r="AV783" s="537"/>
      <c r="AW783" s="537"/>
      <c r="AX783" s="4"/>
      <c r="AY783" s="4"/>
      <c r="AZ783" s="4"/>
      <c r="BA783" s="4"/>
      <c r="BB783" s="4"/>
      <c r="BC783" s="4"/>
      <c r="BD783" s="4"/>
      <c r="BE783" s="4"/>
      <c r="BF783" s="4"/>
      <c r="BG783" s="4"/>
      <c r="BH783" s="4"/>
      <c r="BI783" s="4"/>
      <c r="BJ783" s="4"/>
      <c r="BK783" s="4"/>
      <c r="BL783" s="4"/>
      <c r="BM783" s="4"/>
      <c r="BN783" s="4"/>
      <c r="BO783" s="4"/>
      <c r="BP783" s="4"/>
      <c r="BQ783" s="4"/>
      <c r="BR783" s="4"/>
    </row>
    <row r="784" spans="1:70" ht="27" customHeight="1" x14ac:dyDescent="0.2">
      <c r="A784" s="532"/>
      <c r="B784" s="917"/>
      <c r="C784" s="4"/>
      <c r="D784" s="917"/>
      <c r="E784" s="4"/>
      <c r="F784" s="917"/>
      <c r="G784" s="4"/>
      <c r="H784" s="920"/>
      <c r="I784" s="3"/>
      <c r="J784" s="920"/>
      <c r="K784" s="3"/>
      <c r="L784" s="920"/>
      <c r="M784" s="3"/>
      <c r="N784" s="920"/>
      <c r="O784" s="3"/>
      <c r="P784" s="3"/>
      <c r="Q784" s="533"/>
      <c r="R784" s="920"/>
      <c r="S784" s="534"/>
      <c r="T784" s="920"/>
      <c r="U784" s="920"/>
      <c r="V784" s="920"/>
      <c r="W784" s="535"/>
      <c r="X784" s="687"/>
      <c r="Y784" s="687"/>
      <c r="Z784" s="687"/>
      <c r="AA784" s="678"/>
      <c r="AB784" s="543"/>
      <c r="AC784" s="3"/>
      <c r="AD784" s="533"/>
      <c r="AE784" s="3"/>
      <c r="AF784" s="4"/>
      <c r="AG784" s="4"/>
      <c r="AH784" s="4"/>
      <c r="AI784" s="4"/>
      <c r="AJ784" s="4"/>
      <c r="AK784" s="4"/>
      <c r="AL784" s="4"/>
      <c r="AM784" s="4"/>
      <c r="AN784" s="4"/>
      <c r="AO784" s="4"/>
      <c r="AP784" s="4"/>
      <c r="AQ784" s="4"/>
      <c r="AR784" s="4"/>
      <c r="AS784" s="4"/>
      <c r="AT784" s="4"/>
      <c r="AU784" s="4"/>
      <c r="AV784" s="537"/>
      <c r="AW784" s="537"/>
      <c r="AX784" s="4"/>
      <c r="AY784" s="4"/>
      <c r="AZ784" s="4"/>
      <c r="BA784" s="4"/>
      <c r="BB784" s="4"/>
      <c r="BC784" s="4"/>
      <c r="BD784" s="4"/>
      <c r="BE784" s="4"/>
      <c r="BF784" s="4"/>
      <c r="BG784" s="4"/>
      <c r="BH784" s="4"/>
      <c r="BI784" s="4"/>
      <c r="BJ784" s="4"/>
      <c r="BK784" s="4"/>
      <c r="BL784" s="4"/>
      <c r="BM784" s="4"/>
      <c r="BN784" s="4"/>
      <c r="BO784" s="4"/>
      <c r="BP784" s="4"/>
      <c r="BQ784" s="4"/>
      <c r="BR784" s="4"/>
    </row>
    <row r="785" spans="1:70" ht="27" customHeight="1" x14ac:dyDescent="0.2">
      <c r="A785" s="532"/>
      <c r="B785" s="917"/>
      <c r="C785" s="4"/>
      <c r="D785" s="917"/>
      <c r="E785" s="4"/>
      <c r="F785" s="917"/>
      <c r="G785" s="4"/>
      <c r="H785" s="920"/>
      <c r="I785" s="3"/>
      <c r="J785" s="920"/>
      <c r="K785" s="3"/>
      <c r="L785" s="920"/>
      <c r="M785" s="3"/>
      <c r="N785" s="920"/>
      <c r="O785" s="3"/>
      <c r="P785" s="3"/>
      <c r="Q785" s="533"/>
      <c r="R785" s="920"/>
      <c r="S785" s="534"/>
      <c r="T785" s="920"/>
      <c r="U785" s="920"/>
      <c r="V785" s="920"/>
      <c r="W785" s="535"/>
      <c r="X785" s="687"/>
      <c r="Y785" s="687"/>
      <c r="Z785" s="687"/>
      <c r="AA785" s="678"/>
      <c r="AB785" s="543"/>
      <c r="AC785" s="3"/>
      <c r="AD785" s="533"/>
      <c r="AE785" s="3"/>
      <c r="AF785" s="4"/>
      <c r="AG785" s="4"/>
      <c r="AH785" s="4"/>
      <c r="AI785" s="4"/>
      <c r="AJ785" s="4"/>
      <c r="AK785" s="4"/>
      <c r="AL785" s="4"/>
      <c r="AM785" s="4"/>
      <c r="AN785" s="4"/>
      <c r="AO785" s="4"/>
      <c r="AP785" s="4"/>
      <c r="AQ785" s="4"/>
      <c r="AR785" s="4"/>
      <c r="AS785" s="4"/>
      <c r="AT785" s="4"/>
      <c r="AU785" s="4"/>
      <c r="AV785" s="537"/>
      <c r="AW785" s="537"/>
      <c r="AX785" s="4"/>
      <c r="AY785" s="4"/>
      <c r="AZ785" s="4"/>
      <c r="BA785" s="4"/>
      <c r="BB785" s="4"/>
      <c r="BC785" s="4"/>
      <c r="BD785" s="4"/>
      <c r="BE785" s="4"/>
      <c r="BF785" s="4"/>
      <c r="BG785" s="4"/>
      <c r="BH785" s="4"/>
      <c r="BI785" s="4"/>
      <c r="BJ785" s="4"/>
      <c r="BK785" s="4"/>
      <c r="BL785" s="4"/>
      <c r="BM785" s="4"/>
      <c r="BN785" s="4"/>
      <c r="BO785" s="4"/>
      <c r="BP785" s="4"/>
      <c r="BQ785" s="4"/>
      <c r="BR785" s="4"/>
    </row>
    <row r="786" spans="1:70" ht="27" customHeight="1" x14ac:dyDescent="0.2">
      <c r="A786" s="532"/>
      <c r="B786" s="917"/>
      <c r="C786" s="4"/>
      <c r="D786" s="917"/>
      <c r="E786" s="4"/>
      <c r="F786" s="917"/>
      <c r="G786" s="4"/>
      <c r="H786" s="920"/>
      <c r="I786" s="3"/>
      <c r="J786" s="920"/>
      <c r="K786" s="3"/>
      <c r="L786" s="920"/>
      <c r="M786" s="3"/>
      <c r="N786" s="920"/>
      <c r="O786" s="3"/>
      <c r="P786" s="3"/>
      <c r="Q786" s="533"/>
      <c r="R786" s="920"/>
      <c r="S786" s="534"/>
      <c r="T786" s="920"/>
      <c r="U786" s="920"/>
      <c r="V786" s="920"/>
      <c r="W786" s="535"/>
      <c r="X786" s="687"/>
      <c r="Y786" s="687"/>
      <c r="Z786" s="687"/>
      <c r="AA786" s="678"/>
      <c r="AB786" s="543"/>
      <c r="AC786" s="3"/>
      <c r="AD786" s="533"/>
      <c r="AE786" s="3"/>
      <c r="AF786" s="4"/>
      <c r="AG786" s="4"/>
      <c r="AH786" s="4"/>
      <c r="AI786" s="4"/>
      <c r="AJ786" s="4"/>
      <c r="AK786" s="4"/>
      <c r="AL786" s="4"/>
      <c r="AM786" s="4"/>
      <c r="AN786" s="4"/>
      <c r="AO786" s="4"/>
      <c r="AP786" s="4"/>
      <c r="AQ786" s="4"/>
      <c r="AR786" s="4"/>
      <c r="AS786" s="4"/>
      <c r="AT786" s="4"/>
      <c r="AU786" s="4"/>
      <c r="AV786" s="537"/>
      <c r="AW786" s="537"/>
      <c r="AX786" s="4"/>
      <c r="AY786" s="4"/>
      <c r="AZ786" s="4"/>
      <c r="BA786" s="4"/>
      <c r="BB786" s="4"/>
      <c r="BC786" s="4"/>
      <c r="BD786" s="4"/>
      <c r="BE786" s="4"/>
      <c r="BF786" s="4"/>
      <c r="BG786" s="4"/>
      <c r="BH786" s="4"/>
      <c r="BI786" s="4"/>
      <c r="BJ786" s="4"/>
      <c r="BK786" s="4"/>
      <c r="BL786" s="4"/>
      <c r="BM786" s="4"/>
      <c r="BN786" s="4"/>
      <c r="BO786" s="4"/>
      <c r="BP786" s="4"/>
      <c r="BQ786" s="4"/>
      <c r="BR786" s="4"/>
    </row>
    <row r="787" spans="1:70" ht="27" customHeight="1" x14ac:dyDescent="0.2">
      <c r="A787" s="532"/>
      <c r="B787" s="917"/>
      <c r="C787" s="4"/>
      <c r="D787" s="917"/>
      <c r="E787" s="4"/>
      <c r="F787" s="917"/>
      <c r="G787" s="4"/>
      <c r="H787" s="920"/>
      <c r="I787" s="3"/>
      <c r="J787" s="920"/>
      <c r="K787" s="3"/>
      <c r="L787" s="920"/>
      <c r="M787" s="3"/>
      <c r="N787" s="920"/>
      <c r="O787" s="3"/>
      <c r="P787" s="3"/>
      <c r="Q787" s="533"/>
      <c r="R787" s="920"/>
      <c r="S787" s="534"/>
      <c r="T787" s="920"/>
      <c r="U787" s="920"/>
      <c r="V787" s="920"/>
      <c r="W787" s="535"/>
      <c r="X787" s="687"/>
      <c r="Y787" s="687"/>
      <c r="Z787" s="687"/>
      <c r="AA787" s="678"/>
      <c r="AB787" s="543"/>
      <c r="AC787" s="3"/>
      <c r="AD787" s="533"/>
      <c r="AE787" s="3"/>
      <c r="AF787" s="4"/>
      <c r="AG787" s="4"/>
      <c r="AH787" s="4"/>
      <c r="AI787" s="4"/>
      <c r="AJ787" s="4"/>
      <c r="AK787" s="4"/>
      <c r="AL787" s="4"/>
      <c r="AM787" s="4"/>
      <c r="AN787" s="4"/>
      <c r="AO787" s="4"/>
      <c r="AP787" s="4"/>
      <c r="AQ787" s="4"/>
      <c r="AR787" s="4"/>
      <c r="AS787" s="4"/>
      <c r="AT787" s="4"/>
      <c r="AU787" s="4"/>
      <c r="AV787" s="537"/>
      <c r="AW787" s="537"/>
      <c r="AX787" s="4"/>
      <c r="AY787" s="4"/>
      <c r="AZ787" s="4"/>
      <c r="BA787" s="4"/>
      <c r="BB787" s="4"/>
      <c r="BC787" s="4"/>
      <c r="BD787" s="4"/>
      <c r="BE787" s="4"/>
      <c r="BF787" s="4"/>
      <c r="BG787" s="4"/>
      <c r="BH787" s="4"/>
      <c r="BI787" s="4"/>
      <c r="BJ787" s="4"/>
      <c r="BK787" s="4"/>
      <c r="BL787" s="4"/>
      <c r="BM787" s="4"/>
      <c r="BN787" s="4"/>
      <c r="BO787" s="4"/>
      <c r="BP787" s="4"/>
      <c r="BQ787" s="4"/>
      <c r="BR787" s="4"/>
    </row>
    <row r="788" spans="1:70" ht="27" customHeight="1" x14ac:dyDescent="0.2">
      <c r="A788" s="532"/>
      <c r="B788" s="917"/>
      <c r="C788" s="4"/>
      <c r="D788" s="917"/>
      <c r="E788" s="4"/>
      <c r="F788" s="917"/>
      <c r="G788" s="4"/>
      <c r="H788" s="920"/>
      <c r="I788" s="3"/>
      <c r="J788" s="920"/>
      <c r="K788" s="3"/>
      <c r="L788" s="920"/>
      <c r="M788" s="3"/>
      <c r="N788" s="920"/>
      <c r="O788" s="3"/>
      <c r="P788" s="3"/>
      <c r="Q788" s="533"/>
      <c r="R788" s="920"/>
      <c r="S788" s="534"/>
      <c r="T788" s="920"/>
      <c r="U788" s="920"/>
      <c r="V788" s="920"/>
      <c r="W788" s="535"/>
      <c r="X788" s="687"/>
      <c r="Y788" s="687"/>
      <c r="Z788" s="687"/>
      <c r="AA788" s="678"/>
      <c r="AB788" s="543"/>
      <c r="AC788" s="3"/>
      <c r="AD788" s="533"/>
      <c r="AE788" s="3"/>
      <c r="AF788" s="4"/>
      <c r="AG788" s="4"/>
      <c r="AH788" s="4"/>
      <c r="AI788" s="4"/>
      <c r="AJ788" s="4"/>
      <c r="AK788" s="4"/>
      <c r="AL788" s="4"/>
      <c r="AM788" s="4"/>
      <c r="AN788" s="4"/>
      <c r="AO788" s="4"/>
      <c r="AP788" s="4"/>
      <c r="AQ788" s="4"/>
      <c r="AR788" s="4"/>
      <c r="AS788" s="4"/>
      <c r="AT788" s="4"/>
      <c r="AU788" s="4"/>
      <c r="AV788" s="537"/>
      <c r="AW788" s="537"/>
      <c r="AX788" s="4"/>
      <c r="AY788" s="4"/>
      <c r="AZ788" s="4"/>
      <c r="BA788" s="4"/>
      <c r="BB788" s="4"/>
      <c r="BC788" s="4"/>
      <c r="BD788" s="4"/>
      <c r="BE788" s="4"/>
      <c r="BF788" s="4"/>
      <c r="BG788" s="4"/>
      <c r="BH788" s="4"/>
      <c r="BI788" s="4"/>
      <c r="BJ788" s="4"/>
      <c r="BK788" s="4"/>
      <c r="BL788" s="4"/>
      <c r="BM788" s="4"/>
      <c r="BN788" s="4"/>
      <c r="BO788" s="4"/>
      <c r="BP788" s="4"/>
      <c r="BQ788" s="4"/>
      <c r="BR788" s="4"/>
    </row>
    <row r="789" spans="1:70" ht="27" customHeight="1" x14ac:dyDescent="0.2">
      <c r="A789" s="532"/>
      <c r="B789" s="917"/>
      <c r="C789" s="4"/>
      <c r="D789" s="917"/>
      <c r="E789" s="4"/>
      <c r="F789" s="917"/>
      <c r="G789" s="4"/>
      <c r="H789" s="920"/>
      <c r="I789" s="3"/>
      <c r="J789" s="920"/>
      <c r="K789" s="3"/>
      <c r="L789" s="920"/>
      <c r="M789" s="3"/>
      <c r="N789" s="920"/>
      <c r="O789" s="3"/>
      <c r="P789" s="3"/>
      <c r="Q789" s="533"/>
      <c r="R789" s="920"/>
      <c r="S789" s="534"/>
      <c r="T789" s="920"/>
      <c r="U789" s="920"/>
      <c r="V789" s="920"/>
      <c r="W789" s="535"/>
      <c r="X789" s="687"/>
      <c r="Y789" s="687"/>
      <c r="Z789" s="687"/>
      <c r="AA789" s="678"/>
      <c r="AB789" s="543"/>
      <c r="AC789" s="3"/>
      <c r="AD789" s="533"/>
      <c r="AE789" s="3"/>
      <c r="AF789" s="4"/>
      <c r="AG789" s="4"/>
      <c r="AH789" s="4"/>
      <c r="AI789" s="4"/>
      <c r="AJ789" s="4"/>
      <c r="AK789" s="4"/>
      <c r="AL789" s="4"/>
      <c r="AM789" s="4"/>
      <c r="AN789" s="4"/>
      <c r="AO789" s="4"/>
      <c r="AP789" s="4"/>
      <c r="AQ789" s="4"/>
      <c r="AR789" s="4"/>
      <c r="AS789" s="4"/>
      <c r="AT789" s="4"/>
      <c r="AU789" s="4"/>
      <c r="AV789" s="537"/>
      <c r="AW789" s="537"/>
      <c r="AX789" s="4"/>
      <c r="AY789" s="4"/>
      <c r="AZ789" s="4"/>
      <c r="BA789" s="4"/>
      <c r="BB789" s="4"/>
      <c r="BC789" s="4"/>
      <c r="BD789" s="4"/>
      <c r="BE789" s="4"/>
      <c r="BF789" s="4"/>
      <c r="BG789" s="4"/>
      <c r="BH789" s="4"/>
      <c r="BI789" s="4"/>
      <c r="BJ789" s="4"/>
      <c r="BK789" s="4"/>
      <c r="BL789" s="4"/>
      <c r="BM789" s="4"/>
      <c r="BN789" s="4"/>
      <c r="BO789" s="4"/>
      <c r="BP789" s="4"/>
      <c r="BQ789" s="4"/>
      <c r="BR789" s="4"/>
    </row>
    <row r="790" spans="1:70" ht="27" customHeight="1" x14ac:dyDescent="0.2">
      <c r="A790" s="532"/>
      <c r="B790" s="917"/>
      <c r="C790" s="4"/>
      <c r="D790" s="917"/>
      <c r="E790" s="4"/>
      <c r="F790" s="917"/>
      <c r="G790" s="4"/>
      <c r="H790" s="920"/>
      <c r="I790" s="3"/>
      <c r="J790" s="920"/>
      <c r="K790" s="3"/>
      <c r="L790" s="920"/>
      <c r="M790" s="3"/>
      <c r="N790" s="920"/>
      <c r="O790" s="3"/>
      <c r="P790" s="3"/>
      <c r="Q790" s="533"/>
      <c r="R790" s="920"/>
      <c r="S790" s="534"/>
      <c r="T790" s="920"/>
      <c r="U790" s="920"/>
      <c r="V790" s="920"/>
      <c r="W790" s="535"/>
      <c r="X790" s="687"/>
      <c r="Y790" s="687"/>
      <c r="Z790" s="687"/>
      <c r="AA790" s="678"/>
      <c r="AB790" s="543"/>
      <c r="AC790" s="3"/>
      <c r="AD790" s="533"/>
      <c r="AE790" s="3"/>
      <c r="AF790" s="4"/>
      <c r="AG790" s="4"/>
      <c r="AH790" s="4"/>
      <c r="AI790" s="4"/>
      <c r="AJ790" s="4"/>
      <c r="AK790" s="4"/>
      <c r="AL790" s="4"/>
      <c r="AM790" s="4"/>
      <c r="AN790" s="4"/>
      <c r="AO790" s="4"/>
      <c r="AP790" s="4"/>
      <c r="AQ790" s="4"/>
      <c r="AR790" s="4"/>
      <c r="AS790" s="4"/>
      <c r="AT790" s="4"/>
      <c r="AU790" s="4"/>
      <c r="AV790" s="537"/>
      <c r="AW790" s="537"/>
      <c r="AX790" s="4"/>
      <c r="AY790" s="4"/>
      <c r="AZ790" s="4"/>
      <c r="BA790" s="4"/>
      <c r="BB790" s="4"/>
      <c r="BC790" s="4"/>
      <c r="BD790" s="4"/>
      <c r="BE790" s="4"/>
      <c r="BF790" s="4"/>
      <c r="BG790" s="4"/>
      <c r="BH790" s="4"/>
      <c r="BI790" s="4"/>
      <c r="BJ790" s="4"/>
      <c r="BK790" s="4"/>
      <c r="BL790" s="4"/>
      <c r="BM790" s="4"/>
      <c r="BN790" s="4"/>
      <c r="BO790" s="4"/>
      <c r="BP790" s="4"/>
      <c r="BQ790" s="4"/>
      <c r="BR790" s="4"/>
    </row>
    <row r="791" spans="1:70" ht="27" customHeight="1" x14ac:dyDescent="0.2">
      <c r="A791" s="532"/>
      <c r="B791" s="917"/>
      <c r="C791" s="4"/>
      <c r="D791" s="917"/>
      <c r="E791" s="4"/>
      <c r="F791" s="917"/>
      <c r="G791" s="4"/>
      <c r="H791" s="920"/>
      <c r="I791" s="3"/>
      <c r="J791" s="920"/>
      <c r="K791" s="3"/>
      <c r="L791" s="920"/>
      <c r="M791" s="3"/>
      <c r="N791" s="920"/>
      <c r="O791" s="3"/>
      <c r="P791" s="3"/>
      <c r="Q791" s="533"/>
      <c r="R791" s="920"/>
      <c r="S791" s="534"/>
      <c r="T791" s="920"/>
      <c r="U791" s="920"/>
      <c r="V791" s="920"/>
      <c r="W791" s="535"/>
      <c r="X791" s="687"/>
      <c r="Y791" s="687"/>
      <c r="Z791" s="687"/>
      <c r="AA791" s="678"/>
      <c r="AB791" s="543"/>
      <c r="AC791" s="3"/>
      <c r="AD791" s="533"/>
      <c r="AE791" s="3"/>
      <c r="AF791" s="4"/>
      <c r="AG791" s="4"/>
      <c r="AH791" s="4"/>
      <c r="AI791" s="4"/>
      <c r="AJ791" s="4"/>
      <c r="AK791" s="4"/>
      <c r="AL791" s="4"/>
      <c r="AM791" s="4"/>
      <c r="AN791" s="4"/>
      <c r="AO791" s="4"/>
      <c r="AP791" s="4"/>
      <c r="AQ791" s="4"/>
      <c r="AR791" s="4"/>
      <c r="AS791" s="4"/>
      <c r="AT791" s="4"/>
      <c r="AU791" s="4"/>
      <c r="AV791" s="537"/>
      <c r="AW791" s="537"/>
      <c r="AX791" s="4"/>
      <c r="AY791" s="4"/>
      <c r="AZ791" s="4"/>
      <c r="BA791" s="4"/>
      <c r="BB791" s="4"/>
      <c r="BC791" s="4"/>
      <c r="BD791" s="4"/>
      <c r="BE791" s="4"/>
      <c r="BF791" s="4"/>
      <c r="BG791" s="4"/>
      <c r="BH791" s="4"/>
      <c r="BI791" s="4"/>
      <c r="BJ791" s="4"/>
      <c r="BK791" s="4"/>
      <c r="BL791" s="4"/>
      <c r="BM791" s="4"/>
      <c r="BN791" s="4"/>
      <c r="BO791" s="4"/>
      <c r="BP791" s="4"/>
      <c r="BQ791" s="4"/>
      <c r="BR791" s="4"/>
    </row>
    <row r="792" spans="1:70" ht="27" customHeight="1" x14ac:dyDescent="0.2">
      <c r="A792" s="532"/>
      <c r="B792" s="917"/>
      <c r="C792" s="4"/>
      <c r="D792" s="917"/>
      <c r="E792" s="4"/>
      <c r="F792" s="917"/>
      <c r="G792" s="4"/>
      <c r="H792" s="920"/>
      <c r="I792" s="3"/>
      <c r="J792" s="920"/>
      <c r="K792" s="3"/>
      <c r="L792" s="920"/>
      <c r="M792" s="3"/>
      <c r="N792" s="920"/>
      <c r="O792" s="3"/>
      <c r="P792" s="3"/>
      <c r="Q792" s="533"/>
      <c r="R792" s="920"/>
      <c r="S792" s="534"/>
      <c r="T792" s="920"/>
      <c r="U792" s="920"/>
      <c r="V792" s="920"/>
      <c r="W792" s="535"/>
      <c r="X792" s="687"/>
      <c r="Y792" s="687"/>
      <c r="Z792" s="687"/>
      <c r="AA792" s="678"/>
      <c r="AB792" s="543"/>
      <c r="AC792" s="3"/>
      <c r="AD792" s="533"/>
      <c r="AE792" s="3"/>
      <c r="AF792" s="4"/>
      <c r="AG792" s="4"/>
      <c r="AH792" s="4"/>
      <c r="AI792" s="4"/>
      <c r="AJ792" s="4"/>
      <c r="AK792" s="4"/>
      <c r="AL792" s="4"/>
      <c r="AM792" s="4"/>
      <c r="AN792" s="4"/>
      <c r="AO792" s="4"/>
      <c r="AP792" s="4"/>
      <c r="AQ792" s="4"/>
      <c r="AR792" s="4"/>
      <c r="AS792" s="4"/>
      <c r="AT792" s="4"/>
      <c r="AU792" s="4"/>
      <c r="AV792" s="537"/>
      <c r="AW792" s="537"/>
      <c r="AX792" s="4"/>
      <c r="AY792" s="4"/>
      <c r="AZ792" s="4"/>
      <c r="BA792" s="4"/>
      <c r="BB792" s="4"/>
      <c r="BC792" s="4"/>
      <c r="BD792" s="4"/>
      <c r="BE792" s="4"/>
      <c r="BF792" s="4"/>
      <c r="BG792" s="4"/>
      <c r="BH792" s="4"/>
      <c r="BI792" s="4"/>
      <c r="BJ792" s="4"/>
      <c r="BK792" s="4"/>
      <c r="BL792" s="4"/>
      <c r="BM792" s="4"/>
      <c r="BN792" s="4"/>
      <c r="BO792" s="4"/>
      <c r="BP792" s="4"/>
      <c r="BQ792" s="4"/>
      <c r="BR792" s="4"/>
    </row>
    <row r="793" spans="1:70" ht="27" customHeight="1" x14ac:dyDescent="0.2">
      <c r="A793" s="532"/>
      <c r="B793" s="917"/>
      <c r="C793" s="4"/>
      <c r="D793" s="917"/>
      <c r="E793" s="4"/>
      <c r="F793" s="917"/>
      <c r="G793" s="4"/>
      <c r="H793" s="920"/>
      <c r="I793" s="3"/>
      <c r="J793" s="920"/>
      <c r="K793" s="3"/>
      <c r="L793" s="920"/>
      <c r="M793" s="3"/>
      <c r="N793" s="920"/>
      <c r="O793" s="3"/>
      <c r="P793" s="3"/>
      <c r="Q793" s="533"/>
      <c r="R793" s="920"/>
      <c r="S793" s="534"/>
      <c r="T793" s="920"/>
      <c r="U793" s="920"/>
      <c r="V793" s="920"/>
      <c r="W793" s="535"/>
      <c r="X793" s="687"/>
      <c r="Y793" s="687"/>
      <c r="Z793" s="687"/>
      <c r="AA793" s="678"/>
      <c r="AB793" s="543"/>
      <c r="AC793" s="3"/>
      <c r="AD793" s="533"/>
      <c r="AE793" s="3"/>
      <c r="AF793" s="4"/>
      <c r="AG793" s="4"/>
      <c r="AH793" s="4"/>
      <c r="AI793" s="4"/>
      <c r="AJ793" s="4"/>
      <c r="AK793" s="4"/>
      <c r="AL793" s="4"/>
      <c r="AM793" s="4"/>
      <c r="AN793" s="4"/>
      <c r="AO793" s="4"/>
      <c r="AP793" s="4"/>
      <c r="AQ793" s="4"/>
      <c r="AR793" s="4"/>
      <c r="AS793" s="4"/>
      <c r="AT793" s="4"/>
      <c r="AU793" s="4"/>
      <c r="AV793" s="537"/>
      <c r="AW793" s="537"/>
      <c r="AX793" s="4"/>
      <c r="AY793" s="4"/>
      <c r="AZ793" s="4"/>
      <c r="BA793" s="4"/>
      <c r="BB793" s="4"/>
      <c r="BC793" s="4"/>
      <c r="BD793" s="4"/>
      <c r="BE793" s="4"/>
      <c r="BF793" s="4"/>
      <c r="BG793" s="4"/>
      <c r="BH793" s="4"/>
      <c r="BI793" s="4"/>
      <c r="BJ793" s="4"/>
      <c r="BK793" s="4"/>
      <c r="BL793" s="4"/>
      <c r="BM793" s="4"/>
      <c r="BN793" s="4"/>
      <c r="BO793" s="4"/>
      <c r="BP793" s="4"/>
      <c r="BQ793" s="4"/>
      <c r="BR793" s="4"/>
    </row>
    <row r="794" spans="1:70" ht="27" customHeight="1" x14ac:dyDescent="0.2">
      <c r="A794" s="532"/>
      <c r="B794" s="917"/>
      <c r="C794" s="4"/>
      <c r="D794" s="917"/>
      <c r="E794" s="4"/>
      <c r="F794" s="917"/>
      <c r="G794" s="4"/>
      <c r="H794" s="920"/>
      <c r="I794" s="3"/>
      <c r="J794" s="920"/>
      <c r="K794" s="3"/>
      <c r="L794" s="920"/>
      <c r="M794" s="3"/>
      <c r="N794" s="920"/>
      <c r="O794" s="3"/>
      <c r="P794" s="3"/>
      <c r="Q794" s="533"/>
      <c r="R794" s="920"/>
      <c r="S794" s="534"/>
      <c r="T794" s="920"/>
      <c r="U794" s="920"/>
      <c r="V794" s="920"/>
      <c r="W794" s="535"/>
      <c r="X794" s="687"/>
      <c r="Y794" s="687"/>
      <c r="Z794" s="687"/>
      <c r="AA794" s="678"/>
      <c r="AB794" s="543"/>
      <c r="AC794" s="3"/>
      <c r="AD794" s="533"/>
      <c r="AE794" s="3"/>
      <c r="AF794" s="4"/>
      <c r="AG794" s="4"/>
      <c r="AH794" s="4"/>
      <c r="AI794" s="4"/>
      <c r="AJ794" s="4"/>
      <c r="AK794" s="4"/>
      <c r="AL794" s="4"/>
      <c r="AM794" s="4"/>
      <c r="AN794" s="4"/>
      <c r="AO794" s="4"/>
      <c r="AP794" s="4"/>
      <c r="AQ794" s="4"/>
      <c r="AR794" s="4"/>
      <c r="AS794" s="4"/>
      <c r="AT794" s="4"/>
      <c r="AU794" s="4"/>
      <c r="AV794" s="537"/>
      <c r="AW794" s="537"/>
      <c r="AX794" s="4"/>
      <c r="AY794" s="4"/>
      <c r="AZ794" s="4"/>
      <c r="BA794" s="4"/>
      <c r="BB794" s="4"/>
      <c r="BC794" s="4"/>
      <c r="BD794" s="4"/>
      <c r="BE794" s="4"/>
      <c r="BF794" s="4"/>
      <c r="BG794" s="4"/>
      <c r="BH794" s="4"/>
      <c r="BI794" s="4"/>
      <c r="BJ794" s="4"/>
      <c r="BK794" s="4"/>
      <c r="BL794" s="4"/>
      <c r="BM794" s="4"/>
      <c r="BN794" s="4"/>
      <c r="BO794" s="4"/>
      <c r="BP794" s="4"/>
      <c r="BQ794" s="4"/>
      <c r="BR794" s="4"/>
    </row>
    <row r="795" spans="1:70" ht="27" customHeight="1" x14ac:dyDescent="0.2">
      <c r="A795" s="532"/>
      <c r="B795" s="917"/>
      <c r="C795" s="4"/>
      <c r="D795" s="917"/>
      <c r="E795" s="4"/>
      <c r="F795" s="917"/>
      <c r="G795" s="4"/>
      <c r="H795" s="920"/>
      <c r="I795" s="3"/>
      <c r="J795" s="920"/>
      <c r="K795" s="3"/>
      <c r="L795" s="920"/>
      <c r="M795" s="3"/>
      <c r="N795" s="920"/>
      <c r="O795" s="3"/>
      <c r="P795" s="3"/>
      <c r="Q795" s="533"/>
      <c r="R795" s="920"/>
      <c r="S795" s="534"/>
      <c r="T795" s="920"/>
      <c r="U795" s="920"/>
      <c r="V795" s="920"/>
      <c r="W795" s="535"/>
      <c r="X795" s="687"/>
      <c r="Y795" s="687"/>
      <c r="Z795" s="687"/>
      <c r="AA795" s="678"/>
      <c r="AB795" s="543"/>
      <c r="AC795" s="3"/>
      <c r="AD795" s="533"/>
      <c r="AE795" s="3"/>
      <c r="AF795" s="4"/>
      <c r="AG795" s="4"/>
      <c r="AH795" s="4"/>
      <c r="AI795" s="4"/>
      <c r="AJ795" s="4"/>
      <c r="AK795" s="4"/>
      <c r="AL795" s="4"/>
      <c r="AM795" s="4"/>
      <c r="AN795" s="4"/>
      <c r="AO795" s="4"/>
      <c r="AP795" s="4"/>
      <c r="AQ795" s="4"/>
      <c r="AR795" s="4"/>
      <c r="AS795" s="4"/>
      <c r="AT795" s="4"/>
      <c r="AU795" s="4"/>
      <c r="AV795" s="537"/>
      <c r="AW795" s="537"/>
      <c r="AX795" s="4"/>
      <c r="AY795" s="4"/>
      <c r="AZ795" s="4"/>
      <c r="BA795" s="4"/>
      <c r="BB795" s="4"/>
      <c r="BC795" s="4"/>
      <c r="BD795" s="4"/>
      <c r="BE795" s="4"/>
      <c r="BF795" s="4"/>
      <c r="BG795" s="4"/>
      <c r="BH795" s="4"/>
      <c r="BI795" s="4"/>
      <c r="BJ795" s="4"/>
      <c r="BK795" s="4"/>
      <c r="BL795" s="4"/>
      <c r="BM795" s="4"/>
      <c r="BN795" s="4"/>
      <c r="BO795" s="4"/>
      <c r="BP795" s="4"/>
      <c r="BQ795" s="4"/>
      <c r="BR795" s="4"/>
    </row>
    <row r="796" spans="1:70" ht="27" customHeight="1" x14ac:dyDescent="0.2">
      <c r="A796" s="532"/>
      <c r="B796" s="917"/>
      <c r="C796" s="4"/>
      <c r="D796" s="917"/>
      <c r="E796" s="4"/>
      <c r="F796" s="917"/>
      <c r="G796" s="4"/>
      <c r="H796" s="920"/>
      <c r="I796" s="3"/>
      <c r="J796" s="920"/>
      <c r="K796" s="3"/>
      <c r="L796" s="920"/>
      <c r="M796" s="3"/>
      <c r="N796" s="920"/>
      <c r="O796" s="3"/>
      <c r="P796" s="3"/>
      <c r="Q796" s="533"/>
      <c r="R796" s="920"/>
      <c r="S796" s="534"/>
      <c r="T796" s="920"/>
      <c r="U796" s="920"/>
      <c r="V796" s="920"/>
      <c r="W796" s="535"/>
      <c r="X796" s="687"/>
      <c r="Y796" s="687"/>
      <c r="Z796" s="687"/>
      <c r="AA796" s="678"/>
      <c r="AB796" s="543"/>
      <c r="AC796" s="3"/>
      <c r="AD796" s="533"/>
      <c r="AE796" s="3"/>
      <c r="AF796" s="4"/>
      <c r="AG796" s="4"/>
      <c r="AH796" s="4"/>
      <c r="AI796" s="4"/>
      <c r="AJ796" s="4"/>
      <c r="AK796" s="4"/>
      <c r="AL796" s="4"/>
      <c r="AM796" s="4"/>
      <c r="AN796" s="4"/>
      <c r="AO796" s="4"/>
      <c r="AP796" s="4"/>
      <c r="AQ796" s="4"/>
      <c r="AR796" s="4"/>
      <c r="AS796" s="4"/>
      <c r="AT796" s="4"/>
      <c r="AU796" s="4"/>
      <c r="AV796" s="537"/>
      <c r="AW796" s="537"/>
      <c r="AX796" s="4"/>
      <c r="AY796" s="4"/>
      <c r="AZ796" s="4"/>
      <c r="BA796" s="4"/>
      <c r="BB796" s="4"/>
      <c r="BC796" s="4"/>
      <c r="BD796" s="4"/>
      <c r="BE796" s="4"/>
      <c r="BF796" s="4"/>
      <c r="BG796" s="4"/>
      <c r="BH796" s="4"/>
      <c r="BI796" s="4"/>
      <c r="BJ796" s="4"/>
      <c r="BK796" s="4"/>
      <c r="BL796" s="4"/>
      <c r="BM796" s="4"/>
      <c r="BN796" s="4"/>
      <c r="BO796" s="4"/>
      <c r="BP796" s="4"/>
      <c r="BQ796" s="4"/>
      <c r="BR796" s="4"/>
    </row>
    <row r="797" spans="1:70" ht="27" customHeight="1" x14ac:dyDescent="0.2">
      <c r="A797" s="532"/>
      <c r="B797" s="917"/>
      <c r="C797" s="4"/>
      <c r="D797" s="917"/>
      <c r="E797" s="4"/>
      <c r="F797" s="917"/>
      <c r="G797" s="4"/>
      <c r="H797" s="920"/>
      <c r="I797" s="3"/>
      <c r="J797" s="920"/>
      <c r="K797" s="3"/>
      <c r="L797" s="920"/>
      <c r="M797" s="3"/>
      <c r="N797" s="920"/>
      <c r="O797" s="3"/>
      <c r="P797" s="3"/>
      <c r="Q797" s="533"/>
      <c r="R797" s="920"/>
      <c r="S797" s="534"/>
      <c r="T797" s="920"/>
      <c r="U797" s="920"/>
      <c r="V797" s="920"/>
      <c r="W797" s="535"/>
      <c r="X797" s="687"/>
      <c r="Y797" s="687"/>
      <c r="Z797" s="687"/>
      <c r="AA797" s="678"/>
      <c r="AB797" s="543"/>
      <c r="AC797" s="3"/>
      <c r="AD797" s="533"/>
      <c r="AE797" s="3"/>
      <c r="AF797" s="4"/>
      <c r="AG797" s="4"/>
      <c r="AH797" s="4"/>
      <c r="AI797" s="4"/>
      <c r="AJ797" s="4"/>
      <c r="AK797" s="4"/>
      <c r="AL797" s="4"/>
      <c r="AM797" s="4"/>
      <c r="AN797" s="4"/>
      <c r="AO797" s="4"/>
      <c r="AP797" s="4"/>
      <c r="AQ797" s="4"/>
      <c r="AR797" s="4"/>
      <c r="AS797" s="4"/>
      <c r="AT797" s="4"/>
      <c r="AU797" s="4"/>
      <c r="AV797" s="537"/>
      <c r="AW797" s="537"/>
      <c r="AX797" s="4"/>
      <c r="AY797" s="4"/>
      <c r="AZ797" s="4"/>
      <c r="BA797" s="4"/>
      <c r="BB797" s="4"/>
      <c r="BC797" s="4"/>
      <c r="BD797" s="4"/>
      <c r="BE797" s="4"/>
      <c r="BF797" s="4"/>
      <c r="BG797" s="4"/>
      <c r="BH797" s="4"/>
      <c r="BI797" s="4"/>
      <c r="BJ797" s="4"/>
      <c r="BK797" s="4"/>
      <c r="BL797" s="4"/>
      <c r="BM797" s="4"/>
      <c r="BN797" s="4"/>
      <c r="BO797" s="4"/>
      <c r="BP797" s="4"/>
      <c r="BQ797" s="4"/>
      <c r="BR797" s="4"/>
    </row>
    <row r="798" spans="1:70" ht="27" customHeight="1" x14ac:dyDescent="0.2">
      <c r="A798" s="532"/>
      <c r="B798" s="917"/>
      <c r="C798" s="4"/>
      <c r="D798" s="917"/>
      <c r="E798" s="4"/>
      <c r="F798" s="917"/>
      <c r="G798" s="4"/>
      <c r="H798" s="920"/>
      <c r="I798" s="3"/>
      <c r="J798" s="920"/>
      <c r="K798" s="3"/>
      <c r="L798" s="920"/>
      <c r="M798" s="3"/>
      <c r="N798" s="920"/>
      <c r="O798" s="3"/>
      <c r="P798" s="3"/>
      <c r="Q798" s="533"/>
      <c r="R798" s="920"/>
      <c r="S798" s="534"/>
      <c r="T798" s="920"/>
      <c r="U798" s="920"/>
      <c r="V798" s="920"/>
      <c r="W798" s="535"/>
      <c r="X798" s="687"/>
      <c r="Y798" s="687"/>
      <c r="Z798" s="687"/>
      <c r="AA798" s="678"/>
      <c r="AB798" s="543"/>
      <c r="AC798" s="3"/>
      <c r="AD798" s="533"/>
      <c r="AE798" s="3"/>
      <c r="AF798" s="4"/>
      <c r="AG798" s="4"/>
      <c r="AH798" s="4"/>
      <c r="AI798" s="4"/>
      <c r="AJ798" s="4"/>
      <c r="AK798" s="4"/>
      <c r="AL798" s="4"/>
      <c r="AM798" s="4"/>
      <c r="AN798" s="4"/>
      <c r="AO798" s="4"/>
      <c r="AP798" s="4"/>
      <c r="AQ798" s="4"/>
      <c r="AR798" s="4"/>
      <c r="AS798" s="4"/>
      <c r="AT798" s="4"/>
      <c r="AU798" s="4"/>
      <c r="AV798" s="537"/>
      <c r="AW798" s="537"/>
      <c r="AX798" s="4"/>
      <c r="AY798" s="4"/>
      <c r="AZ798" s="4"/>
      <c r="BA798" s="4"/>
      <c r="BB798" s="4"/>
      <c r="BC798" s="4"/>
      <c r="BD798" s="4"/>
      <c r="BE798" s="4"/>
      <c r="BF798" s="4"/>
      <c r="BG798" s="4"/>
      <c r="BH798" s="4"/>
      <c r="BI798" s="4"/>
      <c r="BJ798" s="4"/>
      <c r="BK798" s="4"/>
      <c r="BL798" s="4"/>
      <c r="BM798" s="4"/>
      <c r="BN798" s="4"/>
      <c r="BO798" s="4"/>
      <c r="BP798" s="4"/>
      <c r="BQ798" s="4"/>
      <c r="BR798" s="4"/>
    </row>
    <row r="799" spans="1:70" ht="27" customHeight="1" x14ac:dyDescent="0.2">
      <c r="A799" s="532"/>
      <c r="B799" s="917"/>
      <c r="C799" s="4"/>
      <c r="D799" s="917"/>
      <c r="E799" s="4"/>
      <c r="F799" s="917"/>
      <c r="G799" s="4"/>
      <c r="H799" s="920"/>
      <c r="I799" s="3"/>
      <c r="J799" s="920"/>
      <c r="K799" s="3"/>
      <c r="L799" s="920"/>
      <c r="M799" s="3"/>
      <c r="N799" s="920"/>
      <c r="O799" s="3"/>
      <c r="P799" s="3"/>
      <c r="Q799" s="533"/>
      <c r="R799" s="920"/>
      <c r="S799" s="534"/>
      <c r="T799" s="920"/>
      <c r="U799" s="920"/>
      <c r="V799" s="920"/>
      <c r="W799" s="535"/>
      <c r="X799" s="687"/>
      <c r="Y799" s="687"/>
      <c r="Z799" s="687"/>
      <c r="AA799" s="678"/>
      <c r="AB799" s="543"/>
      <c r="AC799" s="3"/>
      <c r="AD799" s="533"/>
      <c r="AE799" s="3"/>
      <c r="AF799" s="4"/>
      <c r="AG799" s="4"/>
      <c r="AH799" s="4"/>
      <c r="AI799" s="4"/>
      <c r="AJ799" s="4"/>
      <c r="AK799" s="4"/>
      <c r="AL799" s="4"/>
      <c r="AM799" s="4"/>
      <c r="AN799" s="4"/>
      <c r="AO799" s="4"/>
      <c r="AP799" s="4"/>
      <c r="AQ799" s="4"/>
      <c r="AR799" s="4"/>
      <c r="AS799" s="4"/>
      <c r="AT799" s="4"/>
      <c r="AU799" s="4"/>
      <c r="AV799" s="537"/>
      <c r="AW799" s="537"/>
      <c r="AX799" s="4"/>
      <c r="AY799" s="4"/>
      <c r="AZ799" s="4"/>
      <c r="BA799" s="4"/>
      <c r="BB799" s="4"/>
      <c r="BC799" s="4"/>
      <c r="BD799" s="4"/>
      <c r="BE799" s="4"/>
      <c r="BF799" s="4"/>
      <c r="BG799" s="4"/>
      <c r="BH799" s="4"/>
      <c r="BI799" s="4"/>
      <c r="BJ799" s="4"/>
      <c r="BK799" s="4"/>
      <c r="BL799" s="4"/>
      <c r="BM799" s="4"/>
      <c r="BN799" s="4"/>
      <c r="BO799" s="4"/>
      <c r="BP799" s="4"/>
      <c r="BQ799" s="4"/>
      <c r="BR799" s="4"/>
    </row>
    <row r="800" spans="1:70" ht="27" customHeight="1" x14ac:dyDescent="0.2">
      <c r="A800" s="532"/>
      <c r="B800" s="917"/>
      <c r="C800" s="4"/>
      <c r="D800" s="917"/>
      <c r="E800" s="4"/>
      <c r="F800" s="917"/>
      <c r="G800" s="4"/>
      <c r="H800" s="920"/>
      <c r="I800" s="3"/>
      <c r="J800" s="920"/>
      <c r="K800" s="3"/>
      <c r="L800" s="920"/>
      <c r="M800" s="3"/>
      <c r="N800" s="920"/>
      <c r="O800" s="3"/>
      <c r="P800" s="3"/>
      <c r="Q800" s="533"/>
      <c r="R800" s="920"/>
      <c r="S800" s="534"/>
      <c r="T800" s="920"/>
      <c r="U800" s="920"/>
      <c r="V800" s="920"/>
      <c r="W800" s="535"/>
      <c r="X800" s="687"/>
      <c r="Y800" s="687"/>
      <c r="Z800" s="687"/>
      <c r="AA800" s="678"/>
      <c r="AB800" s="543"/>
      <c r="AC800" s="3"/>
      <c r="AD800" s="533"/>
      <c r="AE800" s="3"/>
      <c r="AF800" s="4"/>
      <c r="AG800" s="4"/>
      <c r="AH800" s="4"/>
      <c r="AI800" s="4"/>
      <c r="AJ800" s="4"/>
      <c r="AK800" s="4"/>
      <c r="AL800" s="4"/>
      <c r="AM800" s="4"/>
      <c r="AN800" s="4"/>
      <c r="AO800" s="4"/>
      <c r="AP800" s="4"/>
      <c r="AQ800" s="4"/>
      <c r="AR800" s="4"/>
      <c r="AS800" s="4"/>
      <c r="AT800" s="4"/>
      <c r="AU800" s="4"/>
      <c r="AV800" s="537"/>
      <c r="AW800" s="537"/>
      <c r="AX800" s="4"/>
      <c r="AY800" s="4"/>
      <c r="AZ800" s="4"/>
      <c r="BA800" s="4"/>
      <c r="BB800" s="4"/>
      <c r="BC800" s="4"/>
      <c r="BD800" s="4"/>
      <c r="BE800" s="4"/>
      <c r="BF800" s="4"/>
      <c r="BG800" s="4"/>
      <c r="BH800" s="4"/>
      <c r="BI800" s="4"/>
      <c r="BJ800" s="4"/>
      <c r="BK800" s="4"/>
      <c r="BL800" s="4"/>
      <c r="BM800" s="4"/>
      <c r="BN800" s="4"/>
      <c r="BO800" s="4"/>
      <c r="BP800" s="4"/>
      <c r="BQ800" s="4"/>
      <c r="BR800" s="4"/>
    </row>
    <row r="801" spans="1:70" ht="27" customHeight="1" x14ac:dyDescent="0.2">
      <c r="A801" s="532"/>
      <c r="B801" s="917"/>
      <c r="C801" s="4"/>
      <c r="D801" s="917"/>
      <c r="E801" s="4"/>
      <c r="F801" s="917"/>
      <c r="G801" s="4"/>
      <c r="H801" s="920"/>
      <c r="I801" s="3"/>
      <c r="J801" s="920"/>
      <c r="K801" s="3"/>
      <c r="L801" s="920"/>
      <c r="M801" s="3"/>
      <c r="N801" s="920"/>
      <c r="O801" s="3"/>
      <c r="P801" s="3"/>
      <c r="Q801" s="533"/>
      <c r="R801" s="920"/>
      <c r="S801" s="534"/>
      <c r="T801" s="920"/>
      <c r="U801" s="920"/>
      <c r="V801" s="920"/>
      <c r="W801" s="535"/>
      <c r="X801" s="687"/>
      <c r="Y801" s="687"/>
      <c r="Z801" s="687"/>
      <c r="AA801" s="678"/>
      <c r="AB801" s="543"/>
      <c r="AC801" s="3"/>
      <c r="AD801" s="533"/>
      <c r="AE801" s="3"/>
      <c r="AF801" s="4"/>
      <c r="AG801" s="4"/>
      <c r="AH801" s="4"/>
      <c r="AI801" s="4"/>
      <c r="AJ801" s="4"/>
      <c r="AK801" s="4"/>
      <c r="AL801" s="4"/>
      <c r="AM801" s="4"/>
      <c r="AN801" s="4"/>
      <c r="AO801" s="4"/>
      <c r="AP801" s="4"/>
      <c r="AQ801" s="4"/>
      <c r="AR801" s="4"/>
      <c r="AS801" s="4"/>
      <c r="AT801" s="4"/>
      <c r="AU801" s="4"/>
      <c r="AV801" s="537"/>
      <c r="AW801" s="537"/>
      <c r="AX801" s="4"/>
      <c r="AY801" s="4"/>
      <c r="AZ801" s="4"/>
      <c r="BA801" s="4"/>
      <c r="BB801" s="4"/>
      <c r="BC801" s="4"/>
      <c r="BD801" s="4"/>
      <c r="BE801" s="4"/>
      <c r="BF801" s="4"/>
      <c r="BG801" s="4"/>
      <c r="BH801" s="4"/>
      <c r="BI801" s="4"/>
      <c r="BJ801" s="4"/>
      <c r="BK801" s="4"/>
      <c r="BL801" s="4"/>
      <c r="BM801" s="4"/>
      <c r="BN801" s="4"/>
      <c r="BO801" s="4"/>
      <c r="BP801" s="4"/>
      <c r="BQ801" s="4"/>
      <c r="BR801" s="4"/>
    </row>
    <row r="802" spans="1:70" ht="27" customHeight="1" x14ac:dyDescent="0.2">
      <c r="A802" s="532"/>
      <c r="B802" s="917"/>
      <c r="C802" s="4"/>
      <c r="D802" s="917"/>
      <c r="E802" s="4"/>
      <c r="F802" s="917"/>
      <c r="G802" s="4"/>
      <c r="H802" s="920"/>
      <c r="I802" s="3"/>
      <c r="J802" s="920"/>
      <c r="K802" s="3"/>
      <c r="L802" s="920"/>
      <c r="M802" s="3"/>
      <c r="N802" s="920"/>
      <c r="O802" s="3"/>
      <c r="P802" s="3"/>
      <c r="Q802" s="533"/>
      <c r="R802" s="920"/>
      <c r="S802" s="534"/>
      <c r="T802" s="920"/>
      <c r="U802" s="920"/>
      <c r="V802" s="920"/>
      <c r="W802" s="535"/>
      <c r="X802" s="687"/>
      <c r="Y802" s="687"/>
      <c r="Z802" s="687"/>
      <c r="AA802" s="678"/>
      <c r="AB802" s="543"/>
      <c r="AC802" s="3"/>
      <c r="AD802" s="533"/>
      <c r="AE802" s="3"/>
      <c r="AF802" s="4"/>
      <c r="AG802" s="4"/>
      <c r="AH802" s="4"/>
      <c r="AI802" s="4"/>
      <c r="AJ802" s="4"/>
      <c r="AK802" s="4"/>
      <c r="AL802" s="4"/>
      <c r="AM802" s="4"/>
      <c r="AN802" s="4"/>
      <c r="AO802" s="4"/>
      <c r="AP802" s="4"/>
      <c r="AQ802" s="4"/>
      <c r="AR802" s="4"/>
      <c r="AS802" s="4"/>
      <c r="AT802" s="4"/>
      <c r="AU802" s="4"/>
      <c r="AV802" s="537"/>
      <c r="AW802" s="537"/>
      <c r="AX802" s="4"/>
      <c r="AY802" s="4"/>
      <c r="AZ802" s="4"/>
      <c r="BA802" s="4"/>
      <c r="BB802" s="4"/>
      <c r="BC802" s="4"/>
      <c r="BD802" s="4"/>
      <c r="BE802" s="4"/>
      <c r="BF802" s="4"/>
      <c r="BG802" s="4"/>
      <c r="BH802" s="4"/>
      <c r="BI802" s="4"/>
      <c r="BJ802" s="4"/>
      <c r="BK802" s="4"/>
      <c r="BL802" s="4"/>
      <c r="BM802" s="4"/>
      <c r="BN802" s="4"/>
      <c r="BO802" s="4"/>
      <c r="BP802" s="4"/>
      <c r="BQ802" s="4"/>
      <c r="BR802" s="4"/>
    </row>
    <row r="803" spans="1:70" ht="27" customHeight="1" x14ac:dyDescent="0.2">
      <c r="A803" s="532"/>
      <c r="B803" s="917"/>
      <c r="C803" s="4"/>
      <c r="D803" s="917"/>
      <c r="E803" s="4"/>
      <c r="F803" s="917"/>
      <c r="G803" s="4"/>
      <c r="H803" s="920"/>
      <c r="I803" s="3"/>
      <c r="J803" s="920"/>
      <c r="K803" s="3"/>
      <c r="L803" s="920"/>
      <c r="M803" s="3"/>
      <c r="N803" s="920"/>
      <c r="O803" s="3"/>
      <c r="P803" s="3"/>
      <c r="Q803" s="533"/>
      <c r="R803" s="920"/>
      <c r="S803" s="534"/>
      <c r="T803" s="920"/>
      <c r="U803" s="920"/>
      <c r="V803" s="920"/>
      <c r="W803" s="535"/>
      <c r="X803" s="687"/>
      <c r="Y803" s="687"/>
      <c r="Z803" s="687"/>
      <c r="AA803" s="678"/>
      <c r="AB803" s="543"/>
      <c r="AC803" s="3"/>
      <c r="AD803" s="533"/>
      <c r="AE803" s="3"/>
      <c r="AF803" s="4"/>
      <c r="AG803" s="4"/>
      <c r="AH803" s="4"/>
      <c r="AI803" s="4"/>
      <c r="AJ803" s="4"/>
      <c r="AK803" s="4"/>
      <c r="AL803" s="4"/>
      <c r="AM803" s="4"/>
      <c r="AN803" s="4"/>
      <c r="AO803" s="4"/>
      <c r="AP803" s="4"/>
      <c r="AQ803" s="4"/>
      <c r="AR803" s="4"/>
      <c r="AS803" s="4"/>
      <c r="AT803" s="4"/>
      <c r="AU803" s="4"/>
      <c r="AV803" s="537"/>
      <c r="AW803" s="537"/>
      <c r="AX803" s="4"/>
      <c r="AY803" s="4"/>
      <c r="AZ803" s="4"/>
      <c r="BA803" s="4"/>
      <c r="BB803" s="4"/>
      <c r="BC803" s="4"/>
      <c r="BD803" s="4"/>
      <c r="BE803" s="4"/>
      <c r="BF803" s="4"/>
      <c r="BG803" s="4"/>
      <c r="BH803" s="4"/>
      <c r="BI803" s="4"/>
      <c r="BJ803" s="4"/>
      <c r="BK803" s="4"/>
      <c r="BL803" s="4"/>
      <c r="BM803" s="4"/>
      <c r="BN803" s="4"/>
      <c r="BO803" s="4"/>
      <c r="BP803" s="4"/>
      <c r="BQ803" s="4"/>
      <c r="BR803" s="4"/>
    </row>
    <row r="804" spans="1:70" ht="27" customHeight="1" x14ac:dyDescent="0.2">
      <c r="A804" s="532"/>
      <c r="B804" s="917"/>
      <c r="C804" s="4"/>
      <c r="D804" s="917"/>
      <c r="E804" s="4"/>
      <c r="F804" s="917"/>
      <c r="G804" s="4"/>
      <c r="H804" s="920"/>
      <c r="I804" s="3"/>
      <c r="J804" s="920"/>
      <c r="K804" s="3"/>
      <c r="L804" s="920"/>
      <c r="M804" s="3"/>
      <c r="N804" s="920"/>
      <c r="O804" s="3"/>
      <c r="P804" s="3"/>
      <c r="Q804" s="533"/>
      <c r="R804" s="920"/>
      <c r="S804" s="534"/>
      <c r="T804" s="920"/>
      <c r="U804" s="920"/>
      <c r="V804" s="920"/>
      <c r="W804" s="535"/>
      <c r="X804" s="687"/>
      <c r="Y804" s="687"/>
      <c r="Z804" s="687"/>
      <c r="AA804" s="678"/>
      <c r="AB804" s="543"/>
      <c r="AC804" s="3"/>
      <c r="AD804" s="533"/>
      <c r="AE804" s="3"/>
      <c r="AF804" s="4"/>
      <c r="AG804" s="4"/>
      <c r="AH804" s="4"/>
      <c r="AI804" s="4"/>
      <c r="AJ804" s="4"/>
      <c r="AK804" s="4"/>
      <c r="AL804" s="4"/>
      <c r="AM804" s="4"/>
      <c r="AN804" s="4"/>
      <c r="AO804" s="4"/>
      <c r="AP804" s="4"/>
      <c r="AQ804" s="4"/>
      <c r="AR804" s="4"/>
      <c r="AS804" s="4"/>
      <c r="AT804" s="4"/>
      <c r="AU804" s="4"/>
      <c r="AV804" s="537"/>
      <c r="AW804" s="537"/>
      <c r="AX804" s="4"/>
      <c r="AY804" s="4"/>
      <c r="AZ804" s="4"/>
      <c r="BA804" s="4"/>
      <c r="BB804" s="4"/>
      <c r="BC804" s="4"/>
      <c r="BD804" s="4"/>
      <c r="BE804" s="4"/>
      <c r="BF804" s="4"/>
      <c r="BG804" s="4"/>
      <c r="BH804" s="4"/>
      <c r="BI804" s="4"/>
      <c r="BJ804" s="4"/>
      <c r="BK804" s="4"/>
      <c r="BL804" s="4"/>
      <c r="BM804" s="4"/>
      <c r="BN804" s="4"/>
      <c r="BO804" s="4"/>
      <c r="BP804" s="4"/>
      <c r="BQ804" s="4"/>
      <c r="BR804" s="4"/>
    </row>
    <row r="805" spans="1:70" ht="27" customHeight="1" x14ac:dyDescent="0.2">
      <c r="A805" s="532"/>
      <c r="B805" s="917"/>
      <c r="C805" s="4"/>
      <c r="D805" s="917"/>
      <c r="E805" s="4"/>
      <c r="F805" s="917"/>
      <c r="G805" s="4"/>
      <c r="H805" s="920"/>
      <c r="I805" s="3"/>
      <c r="J805" s="920"/>
      <c r="K805" s="3"/>
      <c r="L805" s="920"/>
      <c r="M805" s="3"/>
      <c r="N805" s="920"/>
      <c r="O805" s="3"/>
      <c r="P805" s="3"/>
      <c r="Q805" s="533"/>
      <c r="R805" s="920"/>
      <c r="S805" s="534"/>
      <c r="T805" s="920"/>
      <c r="U805" s="920"/>
      <c r="V805" s="920"/>
      <c r="W805" s="535"/>
      <c r="X805" s="687"/>
      <c r="Y805" s="687"/>
      <c r="Z805" s="687"/>
      <c r="AA805" s="678"/>
      <c r="AB805" s="543"/>
      <c r="AC805" s="3"/>
      <c r="AD805" s="533"/>
      <c r="AE805" s="3"/>
      <c r="AF805" s="4"/>
      <c r="AG805" s="4"/>
      <c r="AH805" s="4"/>
      <c r="AI805" s="4"/>
      <c r="AJ805" s="4"/>
      <c r="AK805" s="4"/>
      <c r="AL805" s="4"/>
      <c r="AM805" s="4"/>
      <c r="AN805" s="4"/>
      <c r="AO805" s="4"/>
      <c r="AP805" s="4"/>
      <c r="AQ805" s="4"/>
      <c r="AR805" s="4"/>
      <c r="AS805" s="4"/>
      <c r="AT805" s="4"/>
      <c r="AU805" s="4"/>
      <c r="AV805" s="537"/>
      <c r="AW805" s="537"/>
      <c r="AX805" s="4"/>
      <c r="AY805" s="4"/>
      <c r="AZ805" s="4"/>
      <c r="BA805" s="4"/>
      <c r="BB805" s="4"/>
      <c r="BC805" s="4"/>
      <c r="BD805" s="4"/>
      <c r="BE805" s="4"/>
      <c r="BF805" s="4"/>
      <c r="BG805" s="4"/>
      <c r="BH805" s="4"/>
      <c r="BI805" s="4"/>
      <c r="BJ805" s="4"/>
      <c r="BK805" s="4"/>
      <c r="BL805" s="4"/>
      <c r="BM805" s="4"/>
      <c r="BN805" s="4"/>
      <c r="BO805" s="4"/>
      <c r="BP805" s="4"/>
      <c r="BQ805" s="4"/>
      <c r="BR805" s="4"/>
    </row>
    <row r="806" spans="1:70" ht="27" customHeight="1" x14ac:dyDescent="0.2">
      <c r="A806" s="532"/>
      <c r="B806" s="917"/>
      <c r="C806" s="4"/>
      <c r="D806" s="917"/>
      <c r="E806" s="4"/>
      <c r="F806" s="917"/>
      <c r="G806" s="4"/>
      <c r="H806" s="920"/>
      <c r="I806" s="3"/>
      <c r="J806" s="920"/>
      <c r="K806" s="3"/>
      <c r="L806" s="920"/>
      <c r="M806" s="3"/>
      <c r="N806" s="920"/>
      <c r="O806" s="3"/>
      <c r="P806" s="3"/>
      <c r="Q806" s="533"/>
      <c r="R806" s="920"/>
      <c r="S806" s="534"/>
      <c r="T806" s="920"/>
      <c r="U806" s="920"/>
      <c r="V806" s="920"/>
      <c r="W806" s="535"/>
      <c r="X806" s="687"/>
      <c r="Y806" s="687"/>
      <c r="Z806" s="687"/>
      <c r="AA806" s="678"/>
      <c r="AB806" s="543"/>
      <c r="AC806" s="3"/>
      <c r="AD806" s="533"/>
      <c r="AE806" s="3"/>
      <c r="AF806" s="4"/>
      <c r="AG806" s="4"/>
      <c r="AH806" s="4"/>
      <c r="AI806" s="4"/>
      <c r="AJ806" s="4"/>
      <c r="AK806" s="4"/>
      <c r="AL806" s="4"/>
      <c r="AM806" s="4"/>
      <c r="AN806" s="4"/>
      <c r="AO806" s="4"/>
      <c r="AP806" s="4"/>
      <c r="AQ806" s="4"/>
      <c r="AR806" s="4"/>
      <c r="AS806" s="4"/>
      <c r="AT806" s="4"/>
      <c r="AU806" s="4"/>
      <c r="AV806" s="537"/>
      <c r="AW806" s="537"/>
      <c r="AX806" s="4"/>
      <c r="AY806" s="4"/>
      <c r="AZ806" s="4"/>
      <c r="BA806" s="4"/>
      <c r="BB806" s="4"/>
      <c r="BC806" s="4"/>
      <c r="BD806" s="4"/>
      <c r="BE806" s="4"/>
      <c r="BF806" s="4"/>
      <c r="BG806" s="4"/>
      <c r="BH806" s="4"/>
      <c r="BI806" s="4"/>
      <c r="BJ806" s="4"/>
      <c r="BK806" s="4"/>
      <c r="BL806" s="4"/>
      <c r="BM806" s="4"/>
      <c r="BN806" s="4"/>
      <c r="BO806" s="4"/>
      <c r="BP806" s="4"/>
      <c r="BQ806" s="4"/>
      <c r="BR806" s="4"/>
    </row>
    <row r="807" spans="1:70" ht="27" customHeight="1" x14ac:dyDescent="0.2">
      <c r="A807" s="532"/>
      <c r="B807" s="917"/>
      <c r="C807" s="4"/>
      <c r="D807" s="917"/>
      <c r="E807" s="4"/>
      <c r="F807" s="917"/>
      <c r="G807" s="4"/>
      <c r="H807" s="920"/>
      <c r="I807" s="3"/>
      <c r="J807" s="920"/>
      <c r="K807" s="3"/>
      <c r="L807" s="920"/>
      <c r="M807" s="3"/>
      <c r="N807" s="920"/>
      <c r="O807" s="3"/>
      <c r="P807" s="3"/>
      <c r="Q807" s="533"/>
      <c r="R807" s="920"/>
      <c r="S807" s="534"/>
      <c r="T807" s="920"/>
      <c r="U807" s="920"/>
      <c r="V807" s="920"/>
      <c r="W807" s="535"/>
      <c r="X807" s="687"/>
      <c r="Y807" s="687"/>
      <c r="Z807" s="687"/>
      <c r="AA807" s="678"/>
      <c r="AB807" s="543"/>
      <c r="AC807" s="3"/>
      <c r="AD807" s="533"/>
      <c r="AE807" s="3"/>
      <c r="AF807" s="4"/>
      <c r="AG807" s="4"/>
      <c r="AH807" s="4"/>
      <c r="AI807" s="4"/>
      <c r="AJ807" s="4"/>
      <c r="AK807" s="4"/>
      <c r="AL807" s="4"/>
      <c r="AM807" s="4"/>
      <c r="AN807" s="4"/>
      <c r="AO807" s="4"/>
      <c r="AP807" s="4"/>
      <c r="AQ807" s="4"/>
      <c r="AR807" s="4"/>
      <c r="AS807" s="4"/>
      <c r="AT807" s="4"/>
      <c r="AU807" s="4"/>
      <c r="AV807" s="537"/>
      <c r="AW807" s="537"/>
      <c r="AX807" s="4"/>
      <c r="AY807" s="4"/>
      <c r="AZ807" s="4"/>
      <c r="BA807" s="4"/>
      <c r="BB807" s="4"/>
      <c r="BC807" s="4"/>
      <c r="BD807" s="4"/>
      <c r="BE807" s="4"/>
      <c r="BF807" s="4"/>
      <c r="BG807" s="4"/>
      <c r="BH807" s="4"/>
      <c r="BI807" s="4"/>
      <c r="BJ807" s="4"/>
      <c r="BK807" s="4"/>
      <c r="BL807" s="4"/>
      <c r="BM807" s="4"/>
      <c r="BN807" s="4"/>
      <c r="BO807" s="4"/>
      <c r="BP807" s="4"/>
      <c r="BQ807" s="4"/>
      <c r="BR807" s="4"/>
    </row>
    <row r="808" spans="1:70" ht="27" customHeight="1" x14ac:dyDescent="0.2">
      <c r="A808" s="532"/>
      <c r="B808" s="917"/>
      <c r="C808" s="4"/>
      <c r="D808" s="917"/>
      <c r="E808" s="4"/>
      <c r="F808" s="917"/>
      <c r="G808" s="4"/>
      <c r="H808" s="920"/>
      <c r="I808" s="3"/>
      <c r="J808" s="920"/>
      <c r="K808" s="3"/>
      <c r="L808" s="920"/>
      <c r="M808" s="3"/>
      <c r="N808" s="920"/>
      <c r="O808" s="3"/>
      <c r="P808" s="3"/>
      <c r="Q808" s="533"/>
      <c r="R808" s="920"/>
      <c r="S808" s="534"/>
      <c r="T808" s="920"/>
      <c r="U808" s="920"/>
      <c r="V808" s="920"/>
      <c r="W808" s="535"/>
      <c r="X808" s="687"/>
      <c r="Y808" s="687"/>
      <c r="Z808" s="687"/>
      <c r="AA808" s="678"/>
      <c r="AB808" s="543"/>
      <c r="AC808" s="3"/>
      <c r="AD808" s="533"/>
      <c r="AE808" s="3"/>
      <c r="AF808" s="4"/>
      <c r="AG808" s="4"/>
      <c r="AH808" s="4"/>
      <c r="AI808" s="4"/>
      <c r="AJ808" s="4"/>
      <c r="AK808" s="4"/>
      <c r="AL808" s="4"/>
      <c r="AM808" s="4"/>
      <c r="AN808" s="4"/>
      <c r="AO808" s="4"/>
      <c r="AP808" s="4"/>
      <c r="AQ808" s="4"/>
      <c r="AR808" s="4"/>
      <c r="AS808" s="4"/>
      <c r="AT808" s="4"/>
      <c r="AU808" s="4"/>
      <c r="AV808" s="537"/>
      <c r="AW808" s="537"/>
      <c r="AX808" s="4"/>
      <c r="AY808" s="4"/>
      <c r="AZ808" s="4"/>
      <c r="BA808" s="4"/>
      <c r="BB808" s="4"/>
      <c r="BC808" s="4"/>
      <c r="BD808" s="4"/>
      <c r="BE808" s="4"/>
      <c r="BF808" s="4"/>
      <c r="BG808" s="4"/>
      <c r="BH808" s="4"/>
      <c r="BI808" s="4"/>
      <c r="BJ808" s="4"/>
      <c r="BK808" s="4"/>
      <c r="BL808" s="4"/>
      <c r="BM808" s="4"/>
      <c r="BN808" s="4"/>
      <c r="BO808" s="4"/>
      <c r="BP808" s="4"/>
      <c r="BQ808" s="4"/>
      <c r="BR808" s="4"/>
    </row>
    <row r="809" spans="1:70" ht="27" customHeight="1" x14ac:dyDescent="0.2">
      <c r="A809" s="532"/>
      <c r="B809" s="917"/>
      <c r="C809" s="4"/>
      <c r="D809" s="917"/>
      <c r="E809" s="4"/>
      <c r="F809" s="917"/>
      <c r="G809" s="4"/>
      <c r="H809" s="920"/>
      <c r="I809" s="3"/>
      <c r="J809" s="920"/>
      <c r="K809" s="3"/>
      <c r="L809" s="920"/>
      <c r="M809" s="3"/>
      <c r="N809" s="920"/>
      <c r="O809" s="3"/>
      <c r="P809" s="3"/>
      <c r="Q809" s="533"/>
      <c r="R809" s="920"/>
      <c r="S809" s="534"/>
      <c r="T809" s="920"/>
      <c r="U809" s="920"/>
      <c r="V809" s="920"/>
      <c r="W809" s="535"/>
      <c r="X809" s="687"/>
      <c r="Y809" s="687"/>
      <c r="Z809" s="687"/>
      <c r="AA809" s="678"/>
      <c r="AB809" s="543"/>
      <c r="AC809" s="3"/>
      <c r="AD809" s="533"/>
      <c r="AE809" s="3"/>
      <c r="AF809" s="4"/>
      <c r="AG809" s="4"/>
      <c r="AH809" s="4"/>
      <c r="AI809" s="4"/>
      <c r="AJ809" s="4"/>
      <c r="AK809" s="4"/>
      <c r="AL809" s="4"/>
      <c r="AM809" s="4"/>
      <c r="AN809" s="4"/>
      <c r="AO809" s="4"/>
      <c r="AP809" s="4"/>
      <c r="AQ809" s="4"/>
      <c r="AR809" s="4"/>
      <c r="AS809" s="4"/>
      <c r="AT809" s="4"/>
      <c r="AU809" s="4"/>
      <c r="AV809" s="537"/>
      <c r="AW809" s="537"/>
      <c r="AX809" s="4"/>
      <c r="AY809" s="4"/>
      <c r="AZ809" s="4"/>
      <c r="BA809" s="4"/>
      <c r="BB809" s="4"/>
      <c r="BC809" s="4"/>
      <c r="BD809" s="4"/>
      <c r="BE809" s="4"/>
      <c r="BF809" s="4"/>
      <c r="BG809" s="4"/>
      <c r="BH809" s="4"/>
      <c r="BI809" s="4"/>
      <c r="BJ809" s="4"/>
      <c r="BK809" s="4"/>
      <c r="BL809" s="4"/>
      <c r="BM809" s="4"/>
      <c r="BN809" s="4"/>
      <c r="BO809" s="4"/>
      <c r="BP809" s="4"/>
      <c r="BQ809" s="4"/>
      <c r="BR809" s="4"/>
    </row>
    <row r="810" spans="1:70" ht="27" customHeight="1" x14ac:dyDescent="0.2">
      <c r="A810" s="532"/>
      <c r="B810" s="917"/>
      <c r="C810" s="4"/>
      <c r="D810" s="917"/>
      <c r="E810" s="4"/>
      <c r="F810" s="917"/>
      <c r="G810" s="4"/>
      <c r="H810" s="920"/>
      <c r="I810" s="3"/>
      <c r="J810" s="920"/>
      <c r="K810" s="3"/>
      <c r="L810" s="920"/>
      <c r="M810" s="3"/>
      <c r="N810" s="920"/>
      <c r="O810" s="3"/>
      <c r="P810" s="3"/>
      <c r="Q810" s="533"/>
      <c r="R810" s="920"/>
      <c r="S810" s="534"/>
      <c r="T810" s="920"/>
      <c r="U810" s="920"/>
      <c r="V810" s="920"/>
      <c r="W810" s="535"/>
      <c r="X810" s="687"/>
      <c r="Y810" s="687"/>
      <c r="Z810" s="687"/>
      <c r="AA810" s="678"/>
      <c r="AB810" s="543"/>
      <c r="AC810" s="3"/>
      <c r="AD810" s="533"/>
      <c r="AE810" s="3"/>
      <c r="AF810" s="4"/>
      <c r="AG810" s="4"/>
      <c r="AH810" s="4"/>
      <c r="AI810" s="4"/>
      <c r="AJ810" s="4"/>
      <c r="AK810" s="4"/>
      <c r="AL810" s="4"/>
      <c r="AM810" s="4"/>
      <c r="AN810" s="4"/>
      <c r="AO810" s="4"/>
      <c r="AP810" s="4"/>
      <c r="AQ810" s="4"/>
      <c r="AR810" s="4"/>
      <c r="AS810" s="4"/>
      <c r="AT810" s="4"/>
      <c r="AU810" s="4"/>
      <c r="AV810" s="537"/>
      <c r="AW810" s="537"/>
      <c r="AX810" s="4"/>
      <c r="AY810" s="4"/>
      <c r="AZ810" s="4"/>
      <c r="BA810" s="4"/>
      <c r="BB810" s="4"/>
      <c r="BC810" s="4"/>
      <c r="BD810" s="4"/>
      <c r="BE810" s="4"/>
      <c r="BF810" s="4"/>
      <c r="BG810" s="4"/>
      <c r="BH810" s="4"/>
      <c r="BI810" s="4"/>
      <c r="BJ810" s="4"/>
      <c r="BK810" s="4"/>
      <c r="BL810" s="4"/>
      <c r="BM810" s="4"/>
      <c r="BN810" s="4"/>
      <c r="BO810" s="4"/>
      <c r="BP810" s="4"/>
      <c r="BQ810" s="4"/>
      <c r="BR810" s="4"/>
    </row>
    <row r="811" spans="1:70" ht="27" customHeight="1" x14ac:dyDescent="0.2">
      <c r="A811" s="532"/>
      <c r="B811" s="917"/>
      <c r="C811" s="4"/>
      <c r="D811" s="917"/>
      <c r="E811" s="4"/>
      <c r="F811" s="917"/>
      <c r="G811" s="4"/>
      <c r="H811" s="920"/>
      <c r="I811" s="3"/>
      <c r="J811" s="920"/>
      <c r="K811" s="3"/>
      <c r="L811" s="920"/>
      <c r="M811" s="3"/>
      <c r="N811" s="920"/>
      <c r="O811" s="3"/>
      <c r="P811" s="3"/>
      <c r="Q811" s="533"/>
      <c r="R811" s="920"/>
      <c r="S811" s="534"/>
      <c r="T811" s="920"/>
      <c r="U811" s="920"/>
      <c r="V811" s="920"/>
      <c r="W811" s="535"/>
      <c r="X811" s="687"/>
      <c r="Y811" s="687"/>
      <c r="Z811" s="687"/>
      <c r="AA811" s="678"/>
      <c r="AB811" s="543"/>
      <c r="AC811" s="3"/>
      <c r="AD811" s="533"/>
      <c r="AE811" s="3"/>
      <c r="AF811" s="4"/>
      <c r="AG811" s="4"/>
      <c r="AH811" s="4"/>
      <c r="AI811" s="4"/>
      <c r="AJ811" s="4"/>
      <c r="AK811" s="4"/>
      <c r="AL811" s="4"/>
      <c r="AM811" s="4"/>
      <c r="AN811" s="4"/>
      <c r="AO811" s="4"/>
      <c r="AP811" s="4"/>
      <c r="AQ811" s="4"/>
      <c r="AR811" s="4"/>
      <c r="AS811" s="4"/>
      <c r="AT811" s="4"/>
      <c r="AU811" s="4"/>
      <c r="AV811" s="537"/>
      <c r="AW811" s="537"/>
      <c r="AX811" s="4"/>
      <c r="AY811" s="4"/>
      <c r="AZ811" s="4"/>
      <c r="BA811" s="4"/>
      <c r="BB811" s="4"/>
      <c r="BC811" s="4"/>
      <c r="BD811" s="4"/>
      <c r="BE811" s="4"/>
      <c r="BF811" s="4"/>
      <c r="BG811" s="4"/>
      <c r="BH811" s="4"/>
      <c r="BI811" s="4"/>
      <c r="BJ811" s="4"/>
      <c r="BK811" s="4"/>
      <c r="BL811" s="4"/>
      <c r="BM811" s="4"/>
      <c r="BN811" s="4"/>
      <c r="BO811" s="4"/>
      <c r="BP811" s="4"/>
      <c r="BQ811" s="4"/>
      <c r="BR811" s="4"/>
    </row>
    <row r="812" spans="1:70" ht="27" customHeight="1" x14ac:dyDescent="0.2">
      <c r="A812" s="532"/>
      <c r="B812" s="917"/>
      <c r="C812" s="4"/>
      <c r="D812" s="917"/>
      <c r="E812" s="4"/>
      <c r="F812" s="917"/>
      <c r="G812" s="4"/>
      <c r="H812" s="920"/>
      <c r="I812" s="3"/>
      <c r="J812" s="920"/>
      <c r="K812" s="3"/>
      <c r="L812" s="920"/>
      <c r="M812" s="3"/>
      <c r="N812" s="920"/>
      <c r="O812" s="3"/>
      <c r="P812" s="3"/>
      <c r="Q812" s="533"/>
      <c r="R812" s="920"/>
      <c r="S812" s="534"/>
      <c r="T812" s="920"/>
      <c r="U812" s="920"/>
      <c r="V812" s="920"/>
      <c r="W812" s="535"/>
      <c r="X812" s="687"/>
      <c r="Y812" s="687"/>
      <c r="Z812" s="687"/>
      <c r="AA812" s="678"/>
      <c r="AB812" s="543"/>
      <c r="AC812" s="3"/>
      <c r="AD812" s="533"/>
      <c r="AE812" s="3"/>
      <c r="AF812" s="4"/>
      <c r="AG812" s="4"/>
      <c r="AH812" s="4"/>
      <c r="AI812" s="4"/>
      <c r="AJ812" s="4"/>
      <c r="AK812" s="4"/>
      <c r="AL812" s="4"/>
      <c r="AM812" s="4"/>
      <c r="AN812" s="4"/>
      <c r="AO812" s="4"/>
      <c r="AP812" s="4"/>
      <c r="AQ812" s="4"/>
      <c r="AR812" s="4"/>
      <c r="AS812" s="4"/>
      <c r="AT812" s="4"/>
      <c r="AU812" s="4"/>
      <c r="AV812" s="537"/>
      <c r="AW812" s="537"/>
      <c r="AX812" s="4"/>
      <c r="AY812" s="4"/>
      <c r="AZ812" s="4"/>
      <c r="BA812" s="4"/>
      <c r="BB812" s="4"/>
      <c r="BC812" s="4"/>
      <c r="BD812" s="4"/>
      <c r="BE812" s="4"/>
      <c r="BF812" s="4"/>
      <c r="BG812" s="4"/>
      <c r="BH812" s="4"/>
      <c r="BI812" s="4"/>
      <c r="BJ812" s="4"/>
      <c r="BK812" s="4"/>
      <c r="BL812" s="4"/>
      <c r="BM812" s="4"/>
      <c r="BN812" s="4"/>
      <c r="BO812" s="4"/>
      <c r="BP812" s="4"/>
      <c r="BQ812" s="4"/>
      <c r="BR812" s="4"/>
    </row>
    <row r="813" spans="1:70" ht="27" customHeight="1" x14ac:dyDescent="0.2">
      <c r="A813" s="532"/>
      <c r="B813" s="917"/>
      <c r="C813" s="4"/>
      <c r="D813" s="917"/>
      <c r="E813" s="4"/>
      <c r="F813" s="917"/>
      <c r="G813" s="4"/>
      <c r="H813" s="920"/>
      <c r="I813" s="3"/>
      <c r="J813" s="920"/>
      <c r="K813" s="3"/>
      <c r="L813" s="920"/>
      <c r="M813" s="3"/>
      <c r="N813" s="920"/>
      <c r="O813" s="3"/>
      <c r="P813" s="3"/>
      <c r="Q813" s="533"/>
      <c r="R813" s="920"/>
      <c r="S813" s="534"/>
      <c r="T813" s="920"/>
      <c r="U813" s="920"/>
      <c r="V813" s="920"/>
      <c r="W813" s="535"/>
      <c r="X813" s="687"/>
      <c r="Y813" s="687"/>
      <c r="Z813" s="687"/>
      <c r="AA813" s="678"/>
      <c r="AB813" s="543"/>
      <c r="AC813" s="3"/>
      <c r="AD813" s="533"/>
      <c r="AE813" s="3"/>
      <c r="AF813" s="4"/>
      <c r="AG813" s="4"/>
      <c r="AH813" s="4"/>
      <c r="AI813" s="4"/>
      <c r="AJ813" s="4"/>
      <c r="AK813" s="4"/>
      <c r="AL813" s="4"/>
      <c r="AM813" s="4"/>
      <c r="AN813" s="4"/>
      <c r="AO813" s="4"/>
      <c r="AP813" s="4"/>
      <c r="AQ813" s="4"/>
      <c r="AR813" s="4"/>
      <c r="AS813" s="4"/>
      <c r="AT813" s="4"/>
      <c r="AU813" s="4"/>
      <c r="AV813" s="537"/>
      <c r="AW813" s="537"/>
      <c r="AX813" s="4"/>
      <c r="AY813" s="4"/>
      <c r="AZ813" s="4"/>
      <c r="BA813" s="4"/>
      <c r="BB813" s="4"/>
      <c r="BC813" s="4"/>
      <c r="BD813" s="4"/>
      <c r="BE813" s="4"/>
      <c r="BF813" s="4"/>
      <c r="BG813" s="4"/>
      <c r="BH813" s="4"/>
      <c r="BI813" s="4"/>
      <c r="BJ813" s="4"/>
      <c r="BK813" s="4"/>
      <c r="BL813" s="4"/>
      <c r="BM813" s="4"/>
      <c r="BN813" s="4"/>
      <c r="BO813" s="4"/>
      <c r="BP813" s="4"/>
      <c r="BQ813" s="4"/>
      <c r="BR813" s="4"/>
    </row>
    <row r="814" spans="1:70" ht="27" customHeight="1" x14ac:dyDescent="0.2">
      <c r="A814" s="532"/>
      <c r="B814" s="917"/>
      <c r="C814" s="4"/>
      <c r="D814" s="917"/>
      <c r="E814" s="4"/>
      <c r="F814" s="917"/>
      <c r="G814" s="4"/>
      <c r="H814" s="920"/>
      <c r="I814" s="3"/>
      <c r="J814" s="920"/>
      <c r="K814" s="3"/>
      <c r="L814" s="920"/>
      <c r="M814" s="3"/>
      <c r="N814" s="920"/>
      <c r="O814" s="3"/>
      <c r="P814" s="3"/>
      <c r="Q814" s="533"/>
      <c r="R814" s="920"/>
      <c r="S814" s="534"/>
      <c r="T814" s="920"/>
      <c r="U814" s="920"/>
      <c r="V814" s="920"/>
      <c r="W814" s="535"/>
      <c r="X814" s="687"/>
      <c r="Y814" s="687"/>
      <c r="Z814" s="687"/>
      <c r="AA814" s="678"/>
      <c r="AB814" s="543"/>
      <c r="AC814" s="3"/>
      <c r="AD814" s="533"/>
      <c r="AE814" s="3"/>
      <c r="AF814" s="4"/>
      <c r="AG814" s="4"/>
      <c r="AH814" s="4"/>
      <c r="AI814" s="4"/>
      <c r="AJ814" s="4"/>
      <c r="AK814" s="4"/>
      <c r="AL814" s="4"/>
      <c r="AM814" s="4"/>
      <c r="AN814" s="4"/>
      <c r="AO814" s="4"/>
      <c r="AP814" s="4"/>
      <c r="AQ814" s="4"/>
      <c r="AR814" s="4"/>
      <c r="AS814" s="4"/>
      <c r="AT814" s="4"/>
      <c r="AU814" s="4"/>
      <c r="AV814" s="537"/>
      <c r="AW814" s="537"/>
      <c r="AX814" s="4"/>
      <c r="AY814" s="4"/>
      <c r="AZ814" s="4"/>
      <c r="BA814" s="4"/>
      <c r="BB814" s="4"/>
      <c r="BC814" s="4"/>
      <c r="BD814" s="4"/>
      <c r="BE814" s="4"/>
      <c r="BF814" s="4"/>
      <c r="BG814" s="4"/>
      <c r="BH814" s="4"/>
      <c r="BI814" s="4"/>
      <c r="BJ814" s="4"/>
      <c r="BK814" s="4"/>
      <c r="BL814" s="4"/>
      <c r="BM814" s="4"/>
      <c r="BN814" s="4"/>
      <c r="BO814" s="4"/>
      <c r="BP814" s="4"/>
      <c r="BQ814" s="4"/>
      <c r="BR814" s="4"/>
    </row>
    <row r="815" spans="1:70" ht="27" customHeight="1" x14ac:dyDescent="0.2">
      <c r="A815" s="532"/>
      <c r="B815" s="917"/>
      <c r="C815" s="4"/>
      <c r="D815" s="917"/>
      <c r="E815" s="4"/>
      <c r="F815" s="917"/>
      <c r="G815" s="4"/>
      <c r="H815" s="920"/>
      <c r="I815" s="3"/>
      <c r="J815" s="920"/>
      <c r="K815" s="3"/>
      <c r="L815" s="920"/>
      <c r="M815" s="3"/>
      <c r="N815" s="920"/>
      <c r="O815" s="3"/>
      <c r="P815" s="3"/>
      <c r="Q815" s="533"/>
      <c r="R815" s="920"/>
      <c r="S815" s="534"/>
      <c r="T815" s="920"/>
      <c r="U815" s="920"/>
      <c r="V815" s="920"/>
      <c r="W815" s="535"/>
      <c r="X815" s="687"/>
      <c r="Y815" s="687"/>
      <c r="Z815" s="687"/>
      <c r="AA815" s="678"/>
      <c r="AB815" s="543"/>
      <c r="AC815" s="3"/>
      <c r="AD815" s="533"/>
      <c r="AE815" s="3"/>
      <c r="AF815" s="4"/>
      <c r="AG815" s="4"/>
      <c r="AH815" s="4"/>
      <c r="AI815" s="4"/>
      <c r="AJ815" s="4"/>
      <c r="AK815" s="4"/>
      <c r="AL815" s="4"/>
      <c r="AM815" s="4"/>
      <c r="AN815" s="4"/>
      <c r="AO815" s="4"/>
      <c r="AP815" s="4"/>
      <c r="AQ815" s="4"/>
      <c r="AR815" s="4"/>
      <c r="AS815" s="4"/>
      <c r="AT815" s="4"/>
      <c r="AU815" s="4"/>
      <c r="AV815" s="537"/>
      <c r="AW815" s="537"/>
      <c r="AX815" s="4"/>
      <c r="AY815" s="4"/>
      <c r="AZ815" s="4"/>
      <c r="BA815" s="4"/>
      <c r="BB815" s="4"/>
      <c r="BC815" s="4"/>
      <c r="BD815" s="4"/>
      <c r="BE815" s="4"/>
      <c r="BF815" s="4"/>
      <c r="BG815" s="4"/>
      <c r="BH815" s="4"/>
      <c r="BI815" s="4"/>
      <c r="BJ815" s="4"/>
      <c r="BK815" s="4"/>
      <c r="BL815" s="4"/>
      <c r="BM815" s="4"/>
      <c r="BN815" s="4"/>
      <c r="BO815" s="4"/>
      <c r="BP815" s="4"/>
      <c r="BQ815" s="4"/>
      <c r="BR815" s="4"/>
    </row>
    <row r="816" spans="1:70" ht="27" customHeight="1" x14ac:dyDescent="0.2">
      <c r="A816" s="532"/>
      <c r="B816" s="917"/>
      <c r="C816" s="4"/>
      <c r="D816" s="917"/>
      <c r="E816" s="4"/>
      <c r="F816" s="917"/>
      <c r="G816" s="4"/>
      <c r="H816" s="920"/>
      <c r="I816" s="3"/>
      <c r="J816" s="920"/>
      <c r="K816" s="3"/>
      <c r="L816" s="920"/>
      <c r="M816" s="3"/>
      <c r="N816" s="920"/>
      <c r="O816" s="3"/>
      <c r="P816" s="3"/>
      <c r="Q816" s="533"/>
      <c r="R816" s="920"/>
      <c r="S816" s="534"/>
      <c r="T816" s="920"/>
      <c r="U816" s="920"/>
      <c r="V816" s="920"/>
      <c r="W816" s="535"/>
      <c r="X816" s="687"/>
      <c r="Y816" s="687"/>
      <c r="Z816" s="687"/>
      <c r="AA816" s="678"/>
      <c r="AB816" s="543"/>
      <c r="AC816" s="3"/>
      <c r="AD816" s="533"/>
      <c r="AE816" s="3"/>
      <c r="AF816" s="4"/>
      <c r="AG816" s="4"/>
      <c r="AH816" s="4"/>
      <c r="AI816" s="4"/>
      <c r="AJ816" s="4"/>
      <c r="AK816" s="4"/>
      <c r="AL816" s="4"/>
      <c r="AM816" s="4"/>
      <c r="AN816" s="4"/>
      <c r="AO816" s="4"/>
      <c r="AP816" s="4"/>
      <c r="AQ816" s="4"/>
      <c r="AR816" s="4"/>
      <c r="AS816" s="4"/>
      <c r="AT816" s="4"/>
      <c r="AU816" s="4"/>
      <c r="AV816" s="537"/>
      <c r="AW816" s="537"/>
      <c r="AX816" s="4"/>
      <c r="AY816" s="4"/>
      <c r="AZ816" s="4"/>
      <c r="BA816" s="4"/>
      <c r="BB816" s="4"/>
      <c r="BC816" s="4"/>
      <c r="BD816" s="4"/>
      <c r="BE816" s="4"/>
      <c r="BF816" s="4"/>
      <c r="BG816" s="4"/>
      <c r="BH816" s="4"/>
      <c r="BI816" s="4"/>
      <c r="BJ816" s="4"/>
      <c r="BK816" s="4"/>
      <c r="BL816" s="4"/>
      <c r="BM816" s="4"/>
      <c r="BN816" s="4"/>
      <c r="BO816" s="4"/>
      <c r="BP816" s="4"/>
      <c r="BQ816" s="4"/>
      <c r="BR816" s="4"/>
    </row>
    <row r="817" spans="1:70" ht="27" customHeight="1" x14ac:dyDescent="0.2">
      <c r="A817" s="532"/>
      <c r="B817" s="917"/>
      <c r="C817" s="4"/>
      <c r="D817" s="917"/>
      <c r="E817" s="4"/>
      <c r="F817" s="917"/>
      <c r="G817" s="4"/>
      <c r="H817" s="920"/>
      <c r="I817" s="3"/>
      <c r="J817" s="920"/>
      <c r="K817" s="3"/>
      <c r="L817" s="920"/>
      <c r="M817" s="3"/>
      <c r="N817" s="920"/>
      <c r="O817" s="3"/>
      <c r="P817" s="3"/>
      <c r="Q817" s="533"/>
      <c r="R817" s="920"/>
      <c r="S817" s="534"/>
      <c r="T817" s="920"/>
      <c r="U817" s="920"/>
      <c r="V817" s="920"/>
      <c r="W817" s="535"/>
      <c r="X817" s="687"/>
      <c r="Y817" s="687"/>
      <c r="Z817" s="687"/>
      <c r="AA817" s="678"/>
      <c r="AB817" s="543"/>
      <c r="AC817" s="3"/>
      <c r="AD817" s="533"/>
      <c r="AE817" s="3"/>
      <c r="AF817" s="4"/>
      <c r="AG817" s="4"/>
      <c r="AH817" s="4"/>
      <c r="AI817" s="4"/>
      <c r="AJ817" s="4"/>
      <c r="AK817" s="4"/>
      <c r="AL817" s="4"/>
      <c r="AM817" s="4"/>
      <c r="AN817" s="4"/>
      <c r="AO817" s="4"/>
      <c r="AP817" s="4"/>
      <c r="AQ817" s="4"/>
      <c r="AR817" s="4"/>
      <c r="AS817" s="4"/>
      <c r="AT817" s="4"/>
      <c r="AU817" s="4"/>
      <c r="AV817" s="537"/>
      <c r="AW817" s="537"/>
      <c r="AX817" s="4"/>
      <c r="AY817" s="4"/>
      <c r="AZ817" s="4"/>
      <c r="BA817" s="4"/>
      <c r="BB817" s="4"/>
      <c r="BC817" s="4"/>
      <c r="BD817" s="4"/>
      <c r="BE817" s="4"/>
      <c r="BF817" s="4"/>
      <c r="BG817" s="4"/>
      <c r="BH817" s="4"/>
      <c r="BI817" s="4"/>
      <c r="BJ817" s="4"/>
      <c r="BK817" s="4"/>
      <c r="BL817" s="4"/>
      <c r="BM817" s="4"/>
      <c r="BN817" s="4"/>
      <c r="BO817" s="4"/>
      <c r="BP817" s="4"/>
      <c r="BQ817" s="4"/>
      <c r="BR817" s="4"/>
    </row>
    <row r="818" spans="1:70" ht="27" customHeight="1" x14ac:dyDescent="0.2">
      <c r="A818" s="532"/>
      <c r="B818" s="917"/>
      <c r="C818" s="4"/>
      <c r="D818" s="917"/>
      <c r="E818" s="4"/>
      <c r="F818" s="917"/>
      <c r="G818" s="4"/>
      <c r="H818" s="920"/>
      <c r="I818" s="3"/>
      <c r="J818" s="920"/>
      <c r="K818" s="3"/>
      <c r="L818" s="920"/>
      <c r="M818" s="3"/>
      <c r="N818" s="920"/>
      <c r="O818" s="3"/>
      <c r="P818" s="3"/>
      <c r="Q818" s="533"/>
      <c r="R818" s="920"/>
      <c r="S818" s="534"/>
      <c r="T818" s="920"/>
      <c r="U818" s="920"/>
      <c r="V818" s="920"/>
      <c r="W818" s="535"/>
      <c r="X818" s="687"/>
      <c r="Y818" s="687"/>
      <c r="Z818" s="687"/>
      <c r="AA818" s="678"/>
      <c r="AB818" s="543"/>
      <c r="AC818" s="3"/>
      <c r="AD818" s="533"/>
      <c r="AE818" s="3"/>
      <c r="AF818" s="4"/>
      <c r="AG818" s="4"/>
      <c r="AH818" s="4"/>
      <c r="AI818" s="4"/>
      <c r="AJ818" s="4"/>
      <c r="AK818" s="4"/>
      <c r="AL818" s="4"/>
      <c r="AM818" s="4"/>
      <c r="AN818" s="4"/>
      <c r="AO818" s="4"/>
      <c r="AP818" s="4"/>
      <c r="AQ818" s="4"/>
      <c r="AR818" s="4"/>
      <c r="AS818" s="4"/>
      <c r="AT818" s="4"/>
      <c r="AU818" s="4"/>
      <c r="AV818" s="537"/>
      <c r="AW818" s="537"/>
      <c r="AX818" s="4"/>
      <c r="AY818" s="4"/>
      <c r="AZ818" s="4"/>
      <c r="BA818" s="4"/>
      <c r="BB818" s="4"/>
      <c r="BC818" s="4"/>
      <c r="BD818" s="4"/>
      <c r="BE818" s="4"/>
      <c r="BF818" s="4"/>
      <c r="BG818" s="4"/>
      <c r="BH818" s="4"/>
      <c r="BI818" s="4"/>
      <c r="BJ818" s="4"/>
      <c r="BK818" s="4"/>
      <c r="BL818" s="4"/>
      <c r="BM818" s="4"/>
      <c r="BN818" s="4"/>
      <c r="BO818" s="4"/>
      <c r="BP818" s="4"/>
      <c r="BQ818" s="4"/>
      <c r="BR818" s="4"/>
    </row>
    <row r="819" spans="1:70" ht="27" customHeight="1" x14ac:dyDescent="0.2">
      <c r="A819" s="532"/>
      <c r="B819" s="917"/>
      <c r="C819" s="4"/>
      <c r="D819" s="917"/>
      <c r="E819" s="4"/>
      <c r="F819" s="917"/>
      <c r="G819" s="4"/>
      <c r="H819" s="920"/>
      <c r="I819" s="3"/>
      <c r="J819" s="920"/>
      <c r="K819" s="3"/>
      <c r="L819" s="920"/>
      <c r="M819" s="3"/>
      <c r="N819" s="920"/>
      <c r="O819" s="3"/>
      <c r="P819" s="3"/>
      <c r="Q819" s="533"/>
      <c r="R819" s="920"/>
      <c r="S819" s="534"/>
      <c r="T819" s="920"/>
      <c r="U819" s="920"/>
      <c r="V819" s="920"/>
      <c r="W819" s="535"/>
      <c r="X819" s="687"/>
      <c r="Y819" s="687"/>
      <c r="Z819" s="687"/>
      <c r="AA819" s="678"/>
      <c r="AB819" s="543"/>
      <c r="AC819" s="3"/>
      <c r="AD819" s="533"/>
      <c r="AE819" s="3"/>
      <c r="AF819" s="4"/>
      <c r="AG819" s="4"/>
      <c r="AH819" s="4"/>
      <c r="AI819" s="4"/>
      <c r="AJ819" s="4"/>
      <c r="AK819" s="4"/>
      <c r="AL819" s="4"/>
      <c r="AM819" s="4"/>
      <c r="AN819" s="4"/>
      <c r="AO819" s="4"/>
      <c r="AP819" s="4"/>
      <c r="AQ819" s="4"/>
      <c r="AR819" s="4"/>
      <c r="AS819" s="4"/>
      <c r="AT819" s="4"/>
      <c r="AU819" s="4"/>
      <c r="AV819" s="537"/>
      <c r="AW819" s="537"/>
      <c r="AX819" s="4"/>
      <c r="AY819" s="4"/>
      <c r="AZ819" s="4"/>
      <c r="BA819" s="4"/>
      <c r="BB819" s="4"/>
      <c r="BC819" s="4"/>
      <c r="BD819" s="4"/>
      <c r="BE819" s="4"/>
      <c r="BF819" s="4"/>
      <c r="BG819" s="4"/>
      <c r="BH819" s="4"/>
      <c r="BI819" s="4"/>
      <c r="BJ819" s="4"/>
      <c r="BK819" s="4"/>
      <c r="BL819" s="4"/>
      <c r="BM819" s="4"/>
      <c r="BN819" s="4"/>
      <c r="BO819" s="4"/>
      <c r="BP819" s="4"/>
      <c r="BQ819" s="4"/>
      <c r="BR819" s="4"/>
    </row>
    <row r="820" spans="1:70" ht="27" customHeight="1" x14ac:dyDescent="0.2">
      <c r="A820" s="532"/>
      <c r="B820" s="917"/>
      <c r="C820" s="4"/>
      <c r="D820" s="917"/>
      <c r="E820" s="4"/>
      <c r="F820" s="917"/>
      <c r="G820" s="4"/>
      <c r="H820" s="920"/>
      <c r="I820" s="3"/>
      <c r="J820" s="920"/>
      <c r="K820" s="3"/>
      <c r="L820" s="920"/>
      <c r="M820" s="3"/>
      <c r="N820" s="920"/>
      <c r="O820" s="3"/>
      <c r="P820" s="3"/>
      <c r="Q820" s="533"/>
      <c r="R820" s="920"/>
      <c r="S820" s="534"/>
      <c r="T820" s="920"/>
      <c r="U820" s="920"/>
      <c r="V820" s="920"/>
      <c r="W820" s="535"/>
      <c r="X820" s="687"/>
      <c r="Y820" s="687"/>
      <c r="Z820" s="687"/>
      <c r="AA820" s="678"/>
      <c r="AB820" s="543"/>
      <c r="AC820" s="3"/>
      <c r="AD820" s="533"/>
      <c r="AE820" s="3"/>
      <c r="AF820" s="4"/>
      <c r="AG820" s="4"/>
      <c r="AH820" s="4"/>
      <c r="AI820" s="4"/>
      <c r="AJ820" s="4"/>
      <c r="AK820" s="4"/>
      <c r="AL820" s="4"/>
      <c r="AM820" s="4"/>
      <c r="AN820" s="4"/>
      <c r="AO820" s="4"/>
      <c r="AP820" s="4"/>
      <c r="AQ820" s="4"/>
      <c r="AR820" s="4"/>
      <c r="AS820" s="4"/>
      <c r="AT820" s="4"/>
      <c r="AU820" s="4"/>
      <c r="AV820" s="537"/>
      <c r="AW820" s="537"/>
      <c r="AX820" s="4"/>
      <c r="AY820" s="4"/>
      <c r="AZ820" s="4"/>
      <c r="BA820" s="4"/>
      <c r="BB820" s="4"/>
      <c r="BC820" s="4"/>
      <c r="BD820" s="4"/>
      <c r="BE820" s="4"/>
      <c r="BF820" s="4"/>
      <c r="BG820" s="4"/>
      <c r="BH820" s="4"/>
      <c r="BI820" s="4"/>
      <c r="BJ820" s="4"/>
      <c r="BK820" s="4"/>
      <c r="BL820" s="4"/>
      <c r="BM820" s="4"/>
      <c r="BN820" s="4"/>
      <c r="BO820" s="4"/>
      <c r="BP820" s="4"/>
      <c r="BQ820" s="4"/>
      <c r="BR820" s="4"/>
    </row>
    <row r="821" spans="1:70" ht="27" customHeight="1" x14ac:dyDescent="0.2">
      <c r="A821" s="532"/>
      <c r="B821" s="917"/>
      <c r="C821" s="4"/>
      <c r="D821" s="917"/>
      <c r="E821" s="4"/>
      <c r="F821" s="917"/>
      <c r="G821" s="4"/>
      <c r="H821" s="920"/>
      <c r="I821" s="3"/>
      <c r="J821" s="920"/>
      <c r="K821" s="3"/>
      <c r="L821" s="920"/>
      <c r="M821" s="3"/>
      <c r="N821" s="920"/>
      <c r="O821" s="3"/>
      <c r="P821" s="3"/>
      <c r="Q821" s="533"/>
      <c r="R821" s="920"/>
      <c r="S821" s="534"/>
      <c r="T821" s="920"/>
      <c r="U821" s="920"/>
      <c r="V821" s="920"/>
      <c r="W821" s="535"/>
      <c r="X821" s="687"/>
      <c r="Y821" s="687"/>
      <c r="Z821" s="687"/>
      <c r="AA821" s="678"/>
      <c r="AB821" s="543"/>
      <c r="AC821" s="3"/>
      <c r="AD821" s="533"/>
      <c r="AE821" s="3"/>
      <c r="AF821" s="4"/>
      <c r="AG821" s="4"/>
      <c r="AH821" s="4"/>
      <c r="AI821" s="4"/>
      <c r="AJ821" s="4"/>
      <c r="AK821" s="4"/>
      <c r="AL821" s="4"/>
      <c r="AM821" s="4"/>
      <c r="AN821" s="4"/>
      <c r="AO821" s="4"/>
      <c r="AP821" s="4"/>
      <c r="AQ821" s="4"/>
      <c r="AR821" s="4"/>
      <c r="AS821" s="4"/>
      <c r="AT821" s="4"/>
      <c r="AU821" s="4"/>
      <c r="AV821" s="537"/>
      <c r="AW821" s="537"/>
      <c r="AX821" s="4"/>
      <c r="AY821" s="4"/>
      <c r="AZ821" s="4"/>
      <c r="BA821" s="4"/>
      <c r="BB821" s="4"/>
      <c r="BC821" s="4"/>
      <c r="BD821" s="4"/>
      <c r="BE821" s="4"/>
      <c r="BF821" s="4"/>
      <c r="BG821" s="4"/>
      <c r="BH821" s="4"/>
      <c r="BI821" s="4"/>
      <c r="BJ821" s="4"/>
      <c r="BK821" s="4"/>
      <c r="BL821" s="4"/>
      <c r="BM821" s="4"/>
      <c r="BN821" s="4"/>
      <c r="BO821" s="4"/>
      <c r="BP821" s="4"/>
      <c r="BQ821" s="4"/>
      <c r="BR821" s="4"/>
    </row>
    <row r="822" spans="1:70" ht="27" customHeight="1" x14ac:dyDescent="0.2">
      <c r="A822" s="532"/>
      <c r="B822" s="917"/>
      <c r="C822" s="4"/>
      <c r="D822" s="917"/>
      <c r="E822" s="4"/>
      <c r="F822" s="917"/>
      <c r="G822" s="4"/>
      <c r="H822" s="920"/>
      <c r="I822" s="3"/>
      <c r="J822" s="920"/>
      <c r="K822" s="3"/>
      <c r="L822" s="920"/>
      <c r="M822" s="3"/>
      <c r="N822" s="920"/>
      <c r="O822" s="3"/>
      <c r="P822" s="3"/>
      <c r="Q822" s="533"/>
      <c r="R822" s="920"/>
      <c r="S822" s="534"/>
      <c r="T822" s="920"/>
      <c r="U822" s="920"/>
      <c r="V822" s="920"/>
      <c r="W822" s="535"/>
      <c r="X822" s="687"/>
      <c r="Y822" s="687"/>
      <c r="Z822" s="687"/>
      <c r="AA822" s="678"/>
      <c r="AB822" s="543"/>
      <c r="AC822" s="3"/>
      <c r="AD822" s="533"/>
      <c r="AE822" s="3"/>
      <c r="AF822" s="4"/>
      <c r="AG822" s="4"/>
      <c r="AH822" s="4"/>
      <c r="AI822" s="4"/>
      <c r="AJ822" s="4"/>
      <c r="AK822" s="4"/>
      <c r="AL822" s="4"/>
      <c r="AM822" s="4"/>
      <c r="AN822" s="4"/>
      <c r="AO822" s="4"/>
      <c r="AP822" s="4"/>
      <c r="AQ822" s="4"/>
      <c r="AR822" s="4"/>
      <c r="AS822" s="4"/>
      <c r="AT822" s="4"/>
      <c r="AU822" s="4"/>
      <c r="AV822" s="537"/>
      <c r="AW822" s="537"/>
      <c r="AX822" s="4"/>
      <c r="AY822" s="4"/>
      <c r="AZ822" s="4"/>
      <c r="BA822" s="4"/>
      <c r="BB822" s="4"/>
      <c r="BC822" s="4"/>
      <c r="BD822" s="4"/>
      <c r="BE822" s="4"/>
      <c r="BF822" s="4"/>
      <c r="BG822" s="4"/>
      <c r="BH822" s="4"/>
      <c r="BI822" s="4"/>
      <c r="BJ822" s="4"/>
      <c r="BK822" s="4"/>
      <c r="BL822" s="4"/>
      <c r="BM822" s="4"/>
      <c r="BN822" s="4"/>
      <c r="BO822" s="4"/>
      <c r="BP822" s="4"/>
      <c r="BQ822" s="4"/>
      <c r="BR822" s="4"/>
    </row>
    <row r="823" spans="1:70" ht="27" customHeight="1" x14ac:dyDescent="0.2">
      <c r="A823" s="532"/>
      <c r="B823" s="917"/>
      <c r="C823" s="4"/>
      <c r="D823" s="917"/>
      <c r="E823" s="4"/>
      <c r="F823" s="917"/>
      <c r="G823" s="4"/>
      <c r="H823" s="920"/>
      <c r="I823" s="3"/>
      <c r="J823" s="920"/>
      <c r="K823" s="3"/>
      <c r="L823" s="920"/>
      <c r="M823" s="3"/>
      <c r="N823" s="920"/>
      <c r="O823" s="3"/>
      <c r="P823" s="3"/>
      <c r="Q823" s="533"/>
      <c r="R823" s="920"/>
      <c r="S823" s="534"/>
      <c r="T823" s="920"/>
      <c r="U823" s="920"/>
      <c r="V823" s="920"/>
      <c r="W823" s="535"/>
      <c r="X823" s="687"/>
      <c r="Y823" s="687"/>
      <c r="Z823" s="687"/>
      <c r="AA823" s="678"/>
      <c r="AB823" s="543"/>
      <c r="AC823" s="3"/>
      <c r="AD823" s="533"/>
      <c r="AE823" s="3"/>
      <c r="AF823" s="4"/>
      <c r="AG823" s="4"/>
      <c r="AH823" s="4"/>
      <c r="AI823" s="4"/>
      <c r="AJ823" s="4"/>
      <c r="AK823" s="4"/>
      <c r="AL823" s="4"/>
      <c r="AM823" s="4"/>
      <c r="AN823" s="4"/>
      <c r="AO823" s="4"/>
      <c r="AP823" s="4"/>
      <c r="AQ823" s="4"/>
      <c r="AR823" s="4"/>
      <c r="AS823" s="4"/>
      <c r="AT823" s="4"/>
      <c r="AU823" s="4"/>
      <c r="AV823" s="537"/>
      <c r="AW823" s="537"/>
      <c r="AX823" s="4"/>
      <c r="AY823" s="4"/>
      <c r="AZ823" s="4"/>
      <c r="BA823" s="4"/>
      <c r="BB823" s="4"/>
      <c r="BC823" s="4"/>
      <c r="BD823" s="4"/>
      <c r="BE823" s="4"/>
      <c r="BF823" s="4"/>
      <c r="BG823" s="4"/>
      <c r="BH823" s="4"/>
      <c r="BI823" s="4"/>
      <c r="BJ823" s="4"/>
      <c r="BK823" s="4"/>
      <c r="BL823" s="4"/>
      <c r="BM823" s="4"/>
      <c r="BN823" s="4"/>
      <c r="BO823" s="4"/>
      <c r="BP823" s="4"/>
      <c r="BQ823" s="4"/>
      <c r="BR823" s="4"/>
    </row>
    <row r="824" spans="1:70" ht="27" customHeight="1" x14ac:dyDescent="0.2">
      <c r="A824" s="532"/>
      <c r="B824" s="917"/>
      <c r="C824" s="4"/>
      <c r="D824" s="917"/>
      <c r="E824" s="4"/>
      <c r="F824" s="917"/>
      <c r="G824" s="4"/>
      <c r="H824" s="920"/>
      <c r="I824" s="3"/>
      <c r="J824" s="920"/>
      <c r="K824" s="3"/>
      <c r="L824" s="920"/>
      <c r="M824" s="3"/>
      <c r="N824" s="920"/>
      <c r="O824" s="3"/>
      <c r="P824" s="3"/>
      <c r="Q824" s="533"/>
      <c r="R824" s="920"/>
      <c r="S824" s="534"/>
      <c r="T824" s="920"/>
      <c r="U824" s="920"/>
      <c r="V824" s="920"/>
      <c r="W824" s="535"/>
      <c r="X824" s="687"/>
      <c r="Y824" s="687"/>
      <c r="Z824" s="687"/>
      <c r="AA824" s="678"/>
      <c r="AB824" s="543"/>
      <c r="AC824" s="3"/>
      <c r="AD824" s="533"/>
      <c r="AE824" s="3"/>
      <c r="AF824" s="4"/>
      <c r="AG824" s="4"/>
      <c r="AH824" s="4"/>
      <c r="AI824" s="4"/>
      <c r="AJ824" s="4"/>
      <c r="AK824" s="4"/>
      <c r="AL824" s="4"/>
      <c r="AM824" s="4"/>
      <c r="AN824" s="4"/>
      <c r="AO824" s="4"/>
      <c r="AP824" s="4"/>
      <c r="AQ824" s="4"/>
      <c r="AR824" s="4"/>
      <c r="AS824" s="4"/>
      <c r="AT824" s="4"/>
      <c r="AU824" s="4"/>
      <c r="AV824" s="537"/>
      <c r="AW824" s="537"/>
      <c r="AX824" s="4"/>
      <c r="AY824" s="4"/>
      <c r="AZ824" s="4"/>
      <c r="BA824" s="4"/>
      <c r="BB824" s="4"/>
      <c r="BC824" s="4"/>
      <c r="BD824" s="4"/>
      <c r="BE824" s="4"/>
      <c r="BF824" s="4"/>
      <c r="BG824" s="4"/>
      <c r="BH824" s="4"/>
      <c r="BI824" s="4"/>
      <c r="BJ824" s="4"/>
      <c r="BK824" s="4"/>
      <c r="BL824" s="4"/>
      <c r="BM824" s="4"/>
      <c r="BN824" s="4"/>
      <c r="BO824" s="4"/>
      <c r="BP824" s="4"/>
      <c r="BQ824" s="4"/>
      <c r="BR824" s="4"/>
    </row>
    <row r="825" spans="1:70" ht="27" customHeight="1" x14ac:dyDescent="0.2">
      <c r="A825" s="532"/>
      <c r="B825" s="917"/>
      <c r="C825" s="4"/>
      <c r="D825" s="917"/>
      <c r="E825" s="4"/>
      <c r="F825" s="917"/>
      <c r="G825" s="4"/>
      <c r="H825" s="920"/>
      <c r="I825" s="3"/>
      <c r="J825" s="920"/>
      <c r="K825" s="3"/>
      <c r="L825" s="920"/>
      <c r="M825" s="3"/>
      <c r="N825" s="920"/>
      <c r="O825" s="3"/>
      <c r="P825" s="3"/>
      <c r="Q825" s="533"/>
      <c r="R825" s="920"/>
      <c r="S825" s="534"/>
      <c r="T825" s="920"/>
      <c r="U825" s="920"/>
      <c r="V825" s="920"/>
      <c r="W825" s="535"/>
      <c r="X825" s="687"/>
      <c r="Y825" s="687"/>
      <c r="Z825" s="687"/>
      <c r="AA825" s="678"/>
      <c r="AB825" s="543"/>
      <c r="AC825" s="3"/>
      <c r="AD825" s="533"/>
      <c r="AE825" s="3"/>
      <c r="AF825" s="4"/>
      <c r="AG825" s="4"/>
      <c r="AH825" s="4"/>
      <c r="AI825" s="4"/>
      <c r="AJ825" s="4"/>
      <c r="AK825" s="4"/>
      <c r="AL825" s="4"/>
      <c r="AM825" s="4"/>
      <c r="AN825" s="4"/>
      <c r="AO825" s="4"/>
      <c r="AP825" s="4"/>
      <c r="AQ825" s="4"/>
      <c r="AR825" s="4"/>
      <c r="AS825" s="4"/>
      <c r="AT825" s="4"/>
      <c r="AU825" s="4"/>
      <c r="AV825" s="537"/>
      <c r="AW825" s="537"/>
      <c r="AX825" s="4"/>
      <c r="AY825" s="4"/>
      <c r="AZ825" s="4"/>
      <c r="BA825" s="4"/>
      <c r="BB825" s="4"/>
      <c r="BC825" s="4"/>
      <c r="BD825" s="4"/>
      <c r="BE825" s="4"/>
      <c r="BF825" s="4"/>
      <c r="BG825" s="4"/>
      <c r="BH825" s="4"/>
      <c r="BI825" s="4"/>
      <c r="BJ825" s="4"/>
      <c r="BK825" s="4"/>
      <c r="BL825" s="4"/>
      <c r="BM825" s="4"/>
      <c r="BN825" s="4"/>
      <c r="BO825" s="4"/>
      <c r="BP825" s="4"/>
      <c r="BQ825" s="4"/>
      <c r="BR825" s="4"/>
    </row>
    <row r="826" spans="1:70" ht="27" customHeight="1" x14ac:dyDescent="0.2">
      <c r="A826" s="532"/>
      <c r="B826" s="917"/>
      <c r="C826" s="4"/>
      <c r="D826" s="917"/>
      <c r="E826" s="4"/>
      <c r="F826" s="917"/>
      <c r="G826" s="4"/>
      <c r="H826" s="920"/>
      <c r="I826" s="3"/>
      <c r="J826" s="920"/>
      <c r="K826" s="3"/>
      <c r="L826" s="920"/>
      <c r="M826" s="3"/>
      <c r="N826" s="920"/>
      <c r="O826" s="3"/>
      <c r="P826" s="3"/>
      <c r="Q826" s="533"/>
      <c r="R826" s="920"/>
      <c r="S826" s="534"/>
      <c r="T826" s="920"/>
      <c r="U826" s="920"/>
      <c r="V826" s="920"/>
      <c r="W826" s="535"/>
      <c r="X826" s="687"/>
      <c r="Y826" s="687"/>
      <c r="Z826" s="687"/>
      <c r="AA826" s="678"/>
      <c r="AB826" s="543"/>
      <c r="AC826" s="3"/>
      <c r="AD826" s="533"/>
      <c r="AE826" s="3"/>
      <c r="AF826" s="4"/>
      <c r="AG826" s="4"/>
      <c r="AH826" s="4"/>
      <c r="AI826" s="4"/>
      <c r="AJ826" s="4"/>
      <c r="AK826" s="4"/>
      <c r="AL826" s="4"/>
      <c r="AM826" s="4"/>
      <c r="AN826" s="4"/>
      <c r="AO826" s="4"/>
      <c r="AP826" s="4"/>
      <c r="AQ826" s="4"/>
      <c r="AR826" s="4"/>
      <c r="AS826" s="4"/>
      <c r="AT826" s="4"/>
      <c r="AU826" s="4"/>
      <c r="AV826" s="537"/>
      <c r="AW826" s="537"/>
      <c r="AX826" s="4"/>
      <c r="AY826" s="4"/>
      <c r="AZ826" s="4"/>
      <c r="BA826" s="4"/>
      <c r="BB826" s="4"/>
      <c r="BC826" s="4"/>
      <c r="BD826" s="4"/>
      <c r="BE826" s="4"/>
      <c r="BF826" s="4"/>
      <c r="BG826" s="4"/>
      <c r="BH826" s="4"/>
      <c r="BI826" s="4"/>
      <c r="BJ826" s="4"/>
      <c r="BK826" s="4"/>
      <c r="BL826" s="4"/>
      <c r="BM826" s="4"/>
      <c r="BN826" s="4"/>
      <c r="BO826" s="4"/>
      <c r="BP826" s="4"/>
      <c r="BQ826" s="4"/>
      <c r="BR826" s="4"/>
    </row>
    <row r="827" spans="1:70" ht="27" customHeight="1" x14ac:dyDescent="0.2">
      <c r="A827" s="532"/>
      <c r="B827" s="917"/>
      <c r="C827" s="4"/>
      <c r="D827" s="917"/>
      <c r="E827" s="4"/>
      <c r="F827" s="917"/>
      <c r="G827" s="4"/>
      <c r="H827" s="920"/>
      <c r="I827" s="3"/>
      <c r="J827" s="920"/>
      <c r="K827" s="3"/>
      <c r="L827" s="920"/>
      <c r="M827" s="3"/>
      <c r="N827" s="920"/>
      <c r="O827" s="3"/>
      <c r="P827" s="3"/>
      <c r="Q827" s="533"/>
      <c r="R827" s="920"/>
      <c r="S827" s="534"/>
      <c r="T827" s="920"/>
      <c r="U827" s="920"/>
      <c r="V827" s="920"/>
      <c r="W827" s="535"/>
      <c r="X827" s="687"/>
      <c r="Y827" s="687"/>
      <c r="Z827" s="687"/>
      <c r="AA827" s="678"/>
      <c r="AB827" s="543"/>
      <c r="AC827" s="3"/>
      <c r="AD827" s="533"/>
      <c r="AE827" s="3"/>
      <c r="AF827" s="4"/>
      <c r="AG827" s="4"/>
      <c r="AH827" s="4"/>
      <c r="AI827" s="4"/>
      <c r="AJ827" s="4"/>
      <c r="AK827" s="4"/>
      <c r="AL827" s="4"/>
      <c r="AM827" s="4"/>
      <c r="AN827" s="4"/>
      <c r="AO827" s="4"/>
      <c r="AP827" s="4"/>
      <c r="AQ827" s="4"/>
      <c r="AR827" s="4"/>
      <c r="AS827" s="4"/>
      <c r="AT827" s="4"/>
      <c r="AU827" s="4"/>
      <c r="AV827" s="537"/>
      <c r="AW827" s="537"/>
      <c r="AX827" s="4"/>
      <c r="AY827" s="4"/>
      <c r="AZ827" s="4"/>
      <c r="BA827" s="4"/>
      <c r="BB827" s="4"/>
      <c r="BC827" s="4"/>
      <c r="BD827" s="4"/>
      <c r="BE827" s="4"/>
      <c r="BF827" s="4"/>
      <c r="BG827" s="4"/>
      <c r="BH827" s="4"/>
      <c r="BI827" s="4"/>
      <c r="BJ827" s="4"/>
      <c r="BK827" s="4"/>
      <c r="BL827" s="4"/>
      <c r="BM827" s="4"/>
      <c r="BN827" s="4"/>
      <c r="BO827" s="4"/>
      <c r="BP827" s="4"/>
      <c r="BQ827" s="4"/>
      <c r="BR827" s="4"/>
    </row>
    <row r="828" spans="1:70" ht="27" customHeight="1" x14ac:dyDescent="0.2">
      <c r="A828" s="532"/>
      <c r="B828" s="917"/>
      <c r="C828" s="4"/>
      <c r="D828" s="917"/>
      <c r="E828" s="4"/>
      <c r="F828" s="917"/>
      <c r="G828" s="4"/>
      <c r="H828" s="920"/>
      <c r="I828" s="3"/>
      <c r="J828" s="920"/>
      <c r="K828" s="3"/>
      <c r="L828" s="920"/>
      <c r="M828" s="3"/>
      <c r="N828" s="920"/>
      <c r="O828" s="3"/>
      <c r="P828" s="3"/>
      <c r="Q828" s="533"/>
      <c r="R828" s="920"/>
      <c r="S828" s="534"/>
      <c r="T828" s="920"/>
      <c r="U828" s="920"/>
      <c r="V828" s="920"/>
      <c r="W828" s="535"/>
      <c r="X828" s="687"/>
      <c r="Y828" s="687"/>
      <c r="Z828" s="687"/>
      <c r="AA828" s="678"/>
      <c r="AB828" s="543"/>
      <c r="AC828" s="3"/>
      <c r="AD828" s="533"/>
      <c r="AE828" s="3"/>
      <c r="AF828" s="4"/>
      <c r="AG828" s="4"/>
      <c r="AH828" s="4"/>
      <c r="AI828" s="4"/>
      <c r="AJ828" s="4"/>
      <c r="AK828" s="4"/>
      <c r="AL828" s="4"/>
      <c r="AM828" s="4"/>
      <c r="AN828" s="4"/>
      <c r="AO828" s="4"/>
      <c r="AP828" s="4"/>
      <c r="AQ828" s="4"/>
      <c r="AR828" s="4"/>
      <c r="AS828" s="4"/>
      <c r="AT828" s="4"/>
      <c r="AU828" s="4"/>
      <c r="AV828" s="537"/>
      <c r="AW828" s="537"/>
      <c r="AX828" s="4"/>
      <c r="AY828" s="4"/>
      <c r="AZ828" s="4"/>
      <c r="BA828" s="4"/>
      <c r="BB828" s="4"/>
      <c r="BC828" s="4"/>
      <c r="BD828" s="4"/>
      <c r="BE828" s="4"/>
      <c r="BF828" s="4"/>
      <c r="BG828" s="4"/>
      <c r="BH828" s="4"/>
      <c r="BI828" s="4"/>
      <c r="BJ828" s="4"/>
      <c r="BK828" s="4"/>
      <c r="BL828" s="4"/>
      <c r="BM828" s="4"/>
      <c r="BN828" s="4"/>
      <c r="BO828" s="4"/>
      <c r="BP828" s="4"/>
      <c r="BQ828" s="4"/>
      <c r="BR828" s="4"/>
    </row>
    <row r="829" spans="1:70" ht="27" customHeight="1" x14ac:dyDescent="0.2">
      <c r="A829" s="532"/>
      <c r="B829" s="917"/>
      <c r="C829" s="4"/>
      <c r="D829" s="917"/>
      <c r="E829" s="4"/>
      <c r="F829" s="917"/>
      <c r="G829" s="4"/>
      <c r="H829" s="920"/>
      <c r="I829" s="3"/>
      <c r="J829" s="920"/>
      <c r="K829" s="3"/>
      <c r="L829" s="920"/>
      <c r="M829" s="3"/>
      <c r="N829" s="920"/>
      <c r="O829" s="3"/>
      <c r="P829" s="3"/>
      <c r="Q829" s="533"/>
      <c r="R829" s="920"/>
      <c r="S829" s="534"/>
      <c r="T829" s="920"/>
      <c r="U829" s="920"/>
      <c r="V829" s="920"/>
      <c r="W829" s="535"/>
      <c r="X829" s="687"/>
      <c r="Y829" s="687"/>
      <c r="Z829" s="687"/>
      <c r="AA829" s="678"/>
      <c r="AB829" s="543"/>
      <c r="AC829" s="3"/>
      <c r="AD829" s="533"/>
      <c r="AE829" s="3"/>
      <c r="AF829" s="4"/>
      <c r="AG829" s="4"/>
      <c r="AH829" s="4"/>
      <c r="AI829" s="4"/>
      <c r="AJ829" s="4"/>
      <c r="AK829" s="4"/>
      <c r="AL829" s="4"/>
      <c r="AM829" s="4"/>
      <c r="AN829" s="4"/>
      <c r="AO829" s="4"/>
      <c r="AP829" s="4"/>
      <c r="AQ829" s="4"/>
      <c r="AR829" s="4"/>
      <c r="AS829" s="4"/>
      <c r="AT829" s="4"/>
      <c r="AU829" s="4"/>
      <c r="AV829" s="537"/>
      <c r="AW829" s="537"/>
      <c r="AX829" s="4"/>
      <c r="AY829" s="4"/>
      <c r="AZ829" s="4"/>
      <c r="BA829" s="4"/>
      <c r="BB829" s="4"/>
      <c r="BC829" s="4"/>
      <c r="BD829" s="4"/>
      <c r="BE829" s="4"/>
      <c r="BF829" s="4"/>
      <c r="BG829" s="4"/>
      <c r="BH829" s="4"/>
      <c r="BI829" s="4"/>
      <c r="BJ829" s="4"/>
      <c r="BK829" s="4"/>
      <c r="BL829" s="4"/>
      <c r="BM829" s="4"/>
      <c r="BN829" s="4"/>
      <c r="BO829" s="4"/>
      <c r="BP829" s="4"/>
      <c r="BQ829" s="4"/>
      <c r="BR829" s="4"/>
    </row>
    <row r="830" spans="1:70" ht="27" customHeight="1" x14ac:dyDescent="0.2">
      <c r="A830" s="532"/>
      <c r="B830" s="917"/>
      <c r="C830" s="4"/>
      <c r="D830" s="917"/>
      <c r="E830" s="4"/>
      <c r="F830" s="917"/>
      <c r="G830" s="4"/>
      <c r="H830" s="920"/>
      <c r="I830" s="3"/>
      <c r="J830" s="920"/>
      <c r="K830" s="3"/>
      <c r="L830" s="920"/>
      <c r="M830" s="3"/>
      <c r="N830" s="920"/>
      <c r="O830" s="3"/>
      <c r="P830" s="3"/>
      <c r="Q830" s="533"/>
      <c r="R830" s="920"/>
      <c r="S830" s="534"/>
      <c r="T830" s="920"/>
      <c r="U830" s="920"/>
      <c r="V830" s="920"/>
      <c r="W830" s="535"/>
      <c r="X830" s="687"/>
      <c r="Y830" s="687"/>
      <c r="Z830" s="687"/>
      <c r="AA830" s="678"/>
      <c r="AB830" s="543"/>
      <c r="AC830" s="3"/>
      <c r="AD830" s="533"/>
      <c r="AE830" s="3"/>
      <c r="AF830" s="4"/>
      <c r="AG830" s="4"/>
      <c r="AH830" s="4"/>
      <c r="AI830" s="4"/>
      <c r="AJ830" s="4"/>
      <c r="AK830" s="4"/>
      <c r="AL830" s="4"/>
      <c r="AM830" s="4"/>
      <c r="AN830" s="4"/>
      <c r="AO830" s="4"/>
      <c r="AP830" s="4"/>
      <c r="AQ830" s="4"/>
      <c r="AR830" s="4"/>
      <c r="AS830" s="4"/>
      <c r="AT830" s="4"/>
      <c r="AU830" s="4"/>
      <c r="AV830" s="537"/>
      <c r="AW830" s="537"/>
      <c r="AX830" s="4"/>
      <c r="AY830" s="4"/>
      <c r="AZ830" s="4"/>
      <c r="BA830" s="4"/>
      <c r="BB830" s="4"/>
      <c r="BC830" s="4"/>
      <c r="BD830" s="4"/>
      <c r="BE830" s="4"/>
      <c r="BF830" s="4"/>
      <c r="BG830" s="4"/>
      <c r="BH830" s="4"/>
      <c r="BI830" s="4"/>
      <c r="BJ830" s="4"/>
      <c r="BK830" s="4"/>
      <c r="BL830" s="4"/>
      <c r="BM830" s="4"/>
      <c r="BN830" s="4"/>
      <c r="BO830" s="4"/>
      <c r="BP830" s="4"/>
      <c r="BQ830" s="4"/>
      <c r="BR830" s="4"/>
    </row>
    <row r="831" spans="1:70" ht="27" customHeight="1" x14ac:dyDescent="0.2">
      <c r="A831" s="532"/>
      <c r="B831" s="917"/>
      <c r="C831" s="4"/>
      <c r="D831" s="917"/>
      <c r="E831" s="4"/>
      <c r="F831" s="917"/>
      <c r="G831" s="4"/>
      <c r="H831" s="920"/>
      <c r="I831" s="3"/>
      <c r="J831" s="920"/>
      <c r="K831" s="3"/>
      <c r="L831" s="920"/>
      <c r="M831" s="3"/>
      <c r="N831" s="920"/>
      <c r="O831" s="3"/>
      <c r="P831" s="3"/>
      <c r="Q831" s="533"/>
      <c r="R831" s="920"/>
      <c r="S831" s="534"/>
      <c r="T831" s="920"/>
      <c r="U831" s="920"/>
      <c r="V831" s="920"/>
      <c r="W831" s="535"/>
      <c r="X831" s="687"/>
      <c r="Y831" s="687"/>
      <c r="Z831" s="687"/>
      <c r="AA831" s="678"/>
      <c r="AB831" s="543"/>
      <c r="AC831" s="3"/>
      <c r="AD831" s="533"/>
      <c r="AE831" s="3"/>
      <c r="AF831" s="4"/>
      <c r="AG831" s="4"/>
      <c r="AH831" s="4"/>
      <c r="AI831" s="4"/>
      <c r="AJ831" s="4"/>
      <c r="AK831" s="4"/>
      <c r="AL831" s="4"/>
      <c r="AM831" s="4"/>
      <c r="AN831" s="4"/>
      <c r="AO831" s="4"/>
      <c r="AP831" s="4"/>
      <c r="AQ831" s="4"/>
      <c r="AR831" s="4"/>
      <c r="AS831" s="4"/>
      <c r="AT831" s="4"/>
      <c r="AU831" s="4"/>
      <c r="AV831" s="537"/>
      <c r="AW831" s="537"/>
      <c r="AX831" s="4"/>
      <c r="AY831" s="4"/>
      <c r="AZ831" s="4"/>
      <c r="BA831" s="4"/>
      <c r="BB831" s="4"/>
      <c r="BC831" s="4"/>
      <c r="BD831" s="4"/>
      <c r="BE831" s="4"/>
      <c r="BF831" s="4"/>
      <c r="BG831" s="4"/>
      <c r="BH831" s="4"/>
      <c r="BI831" s="4"/>
      <c r="BJ831" s="4"/>
      <c r="BK831" s="4"/>
      <c r="BL831" s="4"/>
      <c r="BM831" s="4"/>
      <c r="BN831" s="4"/>
      <c r="BO831" s="4"/>
      <c r="BP831" s="4"/>
      <c r="BQ831" s="4"/>
      <c r="BR831" s="4"/>
    </row>
    <row r="832" spans="1:70" ht="27" customHeight="1" x14ac:dyDescent="0.2">
      <c r="A832" s="532"/>
      <c r="B832" s="917"/>
      <c r="C832" s="4"/>
      <c r="D832" s="917"/>
      <c r="E832" s="4"/>
      <c r="F832" s="917"/>
      <c r="G832" s="4"/>
      <c r="H832" s="920"/>
      <c r="I832" s="3"/>
      <c r="J832" s="920"/>
      <c r="K832" s="3"/>
      <c r="L832" s="920"/>
      <c r="M832" s="3"/>
      <c r="N832" s="920"/>
      <c r="O832" s="3"/>
      <c r="P832" s="3"/>
      <c r="Q832" s="533"/>
      <c r="R832" s="920"/>
      <c r="S832" s="534"/>
      <c r="T832" s="920"/>
      <c r="U832" s="920"/>
      <c r="V832" s="920"/>
      <c r="W832" s="535"/>
      <c r="X832" s="687"/>
      <c r="Y832" s="687"/>
      <c r="Z832" s="687"/>
      <c r="AA832" s="678"/>
      <c r="AB832" s="543"/>
      <c r="AC832" s="3"/>
      <c r="AD832" s="533"/>
      <c r="AE832" s="3"/>
      <c r="AF832" s="4"/>
      <c r="AG832" s="4"/>
      <c r="AH832" s="4"/>
      <c r="AI832" s="4"/>
      <c r="AJ832" s="4"/>
      <c r="AK832" s="4"/>
      <c r="AL832" s="4"/>
      <c r="AM832" s="4"/>
      <c r="AN832" s="4"/>
      <c r="AO832" s="4"/>
      <c r="AP832" s="4"/>
      <c r="AQ832" s="4"/>
      <c r="AR832" s="4"/>
      <c r="AS832" s="4"/>
      <c r="AT832" s="4"/>
      <c r="AU832" s="4"/>
      <c r="AV832" s="537"/>
      <c r="AW832" s="537"/>
      <c r="AX832" s="4"/>
      <c r="AY832" s="4"/>
      <c r="AZ832" s="4"/>
      <c r="BA832" s="4"/>
      <c r="BB832" s="4"/>
      <c r="BC832" s="4"/>
      <c r="BD832" s="4"/>
      <c r="BE832" s="4"/>
      <c r="BF832" s="4"/>
      <c r="BG832" s="4"/>
      <c r="BH832" s="4"/>
      <c r="BI832" s="4"/>
      <c r="BJ832" s="4"/>
      <c r="BK832" s="4"/>
      <c r="BL832" s="4"/>
      <c r="BM832" s="4"/>
      <c r="BN832" s="4"/>
      <c r="BO832" s="4"/>
      <c r="BP832" s="4"/>
      <c r="BQ832" s="4"/>
      <c r="BR832" s="4"/>
    </row>
    <row r="833" spans="1:70" ht="27" customHeight="1" x14ac:dyDescent="0.2">
      <c r="A833" s="532"/>
      <c r="B833" s="917"/>
      <c r="C833" s="4"/>
      <c r="D833" s="917"/>
      <c r="E833" s="4"/>
      <c r="F833" s="917"/>
      <c r="G833" s="4"/>
      <c r="H833" s="920"/>
      <c r="I833" s="3"/>
      <c r="J833" s="920"/>
      <c r="K833" s="3"/>
      <c r="L833" s="920"/>
      <c r="M833" s="3"/>
      <c r="N833" s="920"/>
      <c r="O833" s="3"/>
      <c r="P833" s="3"/>
      <c r="Q833" s="533"/>
      <c r="R833" s="920"/>
      <c r="S833" s="534"/>
      <c r="T833" s="920"/>
      <c r="U833" s="920"/>
      <c r="V833" s="920"/>
      <c r="W833" s="535"/>
      <c r="X833" s="687"/>
      <c r="Y833" s="687"/>
      <c r="Z833" s="687"/>
      <c r="AA833" s="678"/>
      <c r="AB833" s="543"/>
      <c r="AC833" s="3"/>
      <c r="AD833" s="533"/>
      <c r="AE833" s="3"/>
      <c r="AF833" s="4"/>
      <c r="AG833" s="4"/>
      <c r="AH833" s="4"/>
      <c r="AI833" s="4"/>
      <c r="AJ833" s="4"/>
      <c r="AK833" s="4"/>
      <c r="AL833" s="4"/>
      <c r="AM833" s="4"/>
      <c r="AN833" s="4"/>
      <c r="AO833" s="4"/>
      <c r="AP833" s="4"/>
      <c r="AQ833" s="4"/>
      <c r="AR833" s="4"/>
      <c r="AS833" s="4"/>
      <c r="AT833" s="4"/>
      <c r="AU833" s="4"/>
      <c r="AV833" s="537"/>
      <c r="AW833" s="537"/>
      <c r="AX833" s="4"/>
      <c r="AY833" s="4"/>
      <c r="AZ833" s="4"/>
      <c r="BA833" s="4"/>
      <c r="BB833" s="4"/>
      <c r="BC833" s="4"/>
      <c r="BD833" s="4"/>
      <c r="BE833" s="4"/>
      <c r="BF833" s="4"/>
      <c r="BG833" s="4"/>
      <c r="BH833" s="4"/>
      <c r="BI833" s="4"/>
      <c r="BJ833" s="4"/>
      <c r="BK833" s="4"/>
      <c r="BL833" s="4"/>
      <c r="BM833" s="4"/>
      <c r="BN833" s="4"/>
      <c r="BO833" s="4"/>
      <c r="BP833" s="4"/>
      <c r="BQ833" s="4"/>
      <c r="BR833" s="4"/>
    </row>
    <row r="834" spans="1:70" ht="27" customHeight="1" x14ac:dyDescent="0.2">
      <c r="A834" s="532"/>
      <c r="B834" s="917"/>
      <c r="C834" s="4"/>
      <c r="D834" s="917"/>
      <c r="E834" s="4"/>
      <c r="F834" s="917"/>
      <c r="G834" s="4"/>
      <c r="H834" s="920"/>
      <c r="I834" s="3"/>
      <c r="J834" s="920"/>
      <c r="K834" s="3"/>
      <c r="L834" s="920"/>
      <c r="M834" s="3"/>
      <c r="N834" s="920"/>
      <c r="O834" s="3"/>
      <c r="P834" s="3"/>
      <c r="Q834" s="533"/>
      <c r="R834" s="920"/>
      <c r="S834" s="534"/>
      <c r="T834" s="920"/>
      <c r="U834" s="920"/>
      <c r="V834" s="920"/>
      <c r="W834" s="535"/>
      <c r="X834" s="687"/>
      <c r="Y834" s="687"/>
      <c r="Z834" s="687"/>
      <c r="AA834" s="678"/>
      <c r="AB834" s="543"/>
      <c r="AC834" s="3"/>
      <c r="AD834" s="533"/>
      <c r="AE834" s="3"/>
      <c r="AF834" s="4"/>
      <c r="AG834" s="4"/>
      <c r="AH834" s="4"/>
      <c r="AI834" s="4"/>
      <c r="AJ834" s="4"/>
      <c r="AK834" s="4"/>
      <c r="AL834" s="4"/>
      <c r="AM834" s="4"/>
      <c r="AN834" s="4"/>
      <c r="AO834" s="4"/>
      <c r="AP834" s="4"/>
      <c r="AQ834" s="4"/>
      <c r="AR834" s="4"/>
      <c r="AS834" s="4"/>
      <c r="AT834" s="4"/>
      <c r="AU834" s="4"/>
      <c r="AV834" s="537"/>
      <c r="AW834" s="537"/>
      <c r="AX834" s="4"/>
      <c r="AY834" s="4"/>
      <c r="AZ834" s="4"/>
      <c r="BA834" s="4"/>
      <c r="BB834" s="4"/>
      <c r="BC834" s="4"/>
      <c r="BD834" s="4"/>
      <c r="BE834" s="4"/>
      <c r="BF834" s="4"/>
      <c r="BG834" s="4"/>
      <c r="BH834" s="4"/>
      <c r="BI834" s="4"/>
      <c r="BJ834" s="4"/>
      <c r="BK834" s="4"/>
      <c r="BL834" s="4"/>
      <c r="BM834" s="4"/>
      <c r="BN834" s="4"/>
      <c r="BO834" s="4"/>
      <c r="BP834" s="4"/>
      <c r="BQ834" s="4"/>
      <c r="BR834" s="4"/>
    </row>
    <row r="835" spans="1:70" ht="27" customHeight="1" x14ac:dyDescent="0.2">
      <c r="A835" s="532"/>
      <c r="B835" s="917"/>
      <c r="C835" s="4"/>
      <c r="D835" s="917"/>
      <c r="E835" s="4"/>
      <c r="F835" s="917"/>
      <c r="G835" s="4"/>
      <c r="H835" s="920"/>
      <c r="I835" s="3"/>
      <c r="J835" s="920"/>
      <c r="K835" s="3"/>
      <c r="L835" s="920"/>
      <c r="M835" s="3"/>
      <c r="N835" s="920"/>
      <c r="O835" s="3"/>
      <c r="P835" s="3"/>
      <c r="Q835" s="533"/>
      <c r="R835" s="920"/>
      <c r="S835" s="534"/>
      <c r="T835" s="920"/>
      <c r="U835" s="920"/>
      <c r="V835" s="920"/>
      <c r="W835" s="535"/>
      <c r="X835" s="687"/>
      <c r="Y835" s="687"/>
      <c r="Z835" s="687"/>
      <c r="AA835" s="678"/>
      <c r="AB835" s="543"/>
      <c r="AC835" s="3"/>
      <c r="AD835" s="533"/>
      <c r="AE835" s="3"/>
      <c r="AF835" s="4"/>
      <c r="AG835" s="4"/>
      <c r="AH835" s="4"/>
      <c r="AI835" s="4"/>
      <c r="AJ835" s="4"/>
      <c r="AK835" s="4"/>
      <c r="AL835" s="4"/>
      <c r="AM835" s="4"/>
      <c r="AN835" s="4"/>
      <c r="AO835" s="4"/>
      <c r="AP835" s="4"/>
      <c r="AQ835" s="4"/>
      <c r="AR835" s="4"/>
      <c r="AS835" s="4"/>
      <c r="AT835" s="4"/>
      <c r="AU835" s="4"/>
      <c r="AV835" s="537"/>
      <c r="AW835" s="537"/>
      <c r="AX835" s="4"/>
      <c r="AY835" s="4"/>
      <c r="AZ835" s="4"/>
      <c r="BA835" s="4"/>
      <c r="BB835" s="4"/>
      <c r="BC835" s="4"/>
      <c r="BD835" s="4"/>
      <c r="BE835" s="4"/>
      <c r="BF835" s="4"/>
      <c r="BG835" s="4"/>
      <c r="BH835" s="4"/>
      <c r="BI835" s="4"/>
      <c r="BJ835" s="4"/>
      <c r="BK835" s="4"/>
      <c r="BL835" s="4"/>
      <c r="BM835" s="4"/>
      <c r="BN835" s="4"/>
      <c r="BO835" s="4"/>
      <c r="BP835" s="4"/>
      <c r="BQ835" s="4"/>
      <c r="BR835" s="4"/>
    </row>
    <row r="836" spans="1:70" ht="27" customHeight="1" x14ac:dyDescent="0.2">
      <c r="A836" s="532"/>
      <c r="B836" s="917"/>
      <c r="C836" s="4"/>
      <c r="D836" s="917"/>
      <c r="E836" s="4"/>
      <c r="F836" s="917"/>
      <c r="G836" s="4"/>
      <c r="H836" s="920"/>
      <c r="I836" s="3"/>
      <c r="J836" s="920"/>
      <c r="K836" s="3"/>
      <c r="L836" s="920"/>
      <c r="M836" s="3"/>
      <c r="N836" s="920"/>
      <c r="O836" s="3"/>
      <c r="P836" s="3"/>
      <c r="Q836" s="533"/>
      <c r="R836" s="920"/>
      <c r="S836" s="534"/>
      <c r="T836" s="920"/>
      <c r="U836" s="920"/>
      <c r="V836" s="920"/>
      <c r="W836" s="535"/>
      <c r="X836" s="687"/>
      <c r="Y836" s="687"/>
      <c r="Z836" s="687"/>
      <c r="AA836" s="678"/>
      <c r="AB836" s="543"/>
      <c r="AC836" s="3"/>
      <c r="AD836" s="533"/>
      <c r="AE836" s="3"/>
      <c r="AF836" s="4"/>
      <c r="AG836" s="4"/>
      <c r="AH836" s="4"/>
      <c r="AI836" s="4"/>
      <c r="AJ836" s="4"/>
      <c r="AK836" s="4"/>
      <c r="AL836" s="4"/>
      <c r="AM836" s="4"/>
      <c r="AN836" s="4"/>
      <c r="AO836" s="4"/>
      <c r="AP836" s="4"/>
      <c r="AQ836" s="4"/>
      <c r="AR836" s="4"/>
      <c r="AS836" s="4"/>
      <c r="AT836" s="4"/>
      <c r="AU836" s="4"/>
      <c r="AV836" s="537"/>
      <c r="AW836" s="537"/>
      <c r="AX836" s="4"/>
      <c r="AY836" s="4"/>
      <c r="AZ836" s="4"/>
      <c r="BA836" s="4"/>
      <c r="BB836" s="4"/>
      <c r="BC836" s="4"/>
      <c r="BD836" s="4"/>
      <c r="BE836" s="4"/>
      <c r="BF836" s="4"/>
      <c r="BG836" s="4"/>
      <c r="BH836" s="4"/>
      <c r="BI836" s="4"/>
      <c r="BJ836" s="4"/>
      <c r="BK836" s="4"/>
      <c r="BL836" s="4"/>
      <c r="BM836" s="4"/>
      <c r="BN836" s="4"/>
      <c r="BO836" s="4"/>
      <c r="BP836" s="4"/>
      <c r="BQ836" s="4"/>
      <c r="BR836" s="4"/>
    </row>
    <row r="837" spans="1:70" ht="27" customHeight="1" x14ac:dyDescent="0.2">
      <c r="A837" s="532"/>
      <c r="B837" s="917"/>
      <c r="C837" s="4"/>
      <c r="D837" s="917"/>
      <c r="E837" s="4"/>
      <c r="F837" s="917"/>
      <c r="G837" s="4"/>
      <c r="H837" s="920"/>
      <c r="I837" s="3"/>
      <c r="J837" s="920"/>
      <c r="K837" s="3"/>
      <c r="L837" s="920"/>
      <c r="M837" s="3"/>
      <c r="N837" s="920"/>
      <c r="O837" s="3"/>
      <c r="P837" s="3"/>
      <c r="Q837" s="533"/>
      <c r="R837" s="920"/>
      <c r="S837" s="534"/>
      <c r="T837" s="920"/>
      <c r="U837" s="920"/>
      <c r="V837" s="920"/>
      <c r="W837" s="535"/>
      <c r="X837" s="687"/>
      <c r="Y837" s="687"/>
      <c r="Z837" s="687"/>
      <c r="AA837" s="678"/>
      <c r="AB837" s="543"/>
      <c r="AC837" s="3"/>
      <c r="AD837" s="533"/>
      <c r="AE837" s="3"/>
      <c r="AF837" s="4"/>
      <c r="AG837" s="4"/>
      <c r="AH837" s="4"/>
      <c r="AI837" s="4"/>
      <c r="AJ837" s="4"/>
      <c r="AK837" s="4"/>
      <c r="AL837" s="4"/>
      <c r="AM837" s="4"/>
      <c r="AN837" s="4"/>
      <c r="AO837" s="4"/>
      <c r="AP837" s="4"/>
      <c r="AQ837" s="4"/>
      <c r="AR837" s="4"/>
      <c r="AS837" s="4"/>
      <c r="AT837" s="4"/>
      <c r="AU837" s="4"/>
      <c r="AV837" s="537"/>
      <c r="AW837" s="537"/>
      <c r="AX837" s="4"/>
      <c r="AY837" s="4"/>
      <c r="AZ837" s="4"/>
      <c r="BA837" s="4"/>
      <c r="BB837" s="4"/>
      <c r="BC837" s="4"/>
      <c r="BD837" s="4"/>
      <c r="BE837" s="4"/>
      <c r="BF837" s="4"/>
      <c r="BG837" s="4"/>
      <c r="BH837" s="4"/>
      <c r="BI837" s="4"/>
      <c r="BJ837" s="4"/>
      <c r="BK837" s="4"/>
      <c r="BL837" s="4"/>
      <c r="BM837" s="4"/>
      <c r="BN837" s="4"/>
      <c r="BO837" s="4"/>
      <c r="BP837" s="4"/>
      <c r="BQ837" s="4"/>
      <c r="BR837" s="4"/>
    </row>
    <row r="838" spans="1:70" ht="27" customHeight="1" x14ac:dyDescent="0.2">
      <c r="A838" s="532"/>
      <c r="B838" s="917"/>
      <c r="C838" s="4"/>
      <c r="D838" s="917"/>
      <c r="E838" s="4"/>
      <c r="F838" s="917"/>
      <c r="G838" s="4"/>
      <c r="H838" s="920"/>
      <c r="I838" s="3"/>
      <c r="J838" s="920"/>
      <c r="K838" s="3"/>
      <c r="L838" s="920"/>
      <c r="M838" s="3"/>
      <c r="N838" s="920"/>
      <c r="O838" s="3"/>
      <c r="P838" s="3"/>
      <c r="Q838" s="533"/>
      <c r="R838" s="920"/>
      <c r="S838" s="534"/>
      <c r="T838" s="920"/>
      <c r="U838" s="920"/>
      <c r="V838" s="920"/>
      <c r="W838" s="535"/>
      <c r="X838" s="687"/>
      <c r="Y838" s="687"/>
      <c r="Z838" s="687"/>
      <c r="AA838" s="678"/>
      <c r="AB838" s="543"/>
      <c r="AC838" s="3"/>
      <c r="AD838" s="533"/>
      <c r="AE838" s="3"/>
      <c r="AF838" s="4"/>
      <c r="AG838" s="4"/>
      <c r="AH838" s="4"/>
      <c r="AI838" s="4"/>
      <c r="AJ838" s="4"/>
      <c r="AK838" s="4"/>
      <c r="AL838" s="4"/>
      <c r="AM838" s="4"/>
      <c r="AN838" s="4"/>
      <c r="AO838" s="4"/>
      <c r="AP838" s="4"/>
      <c r="AQ838" s="4"/>
      <c r="AR838" s="4"/>
      <c r="AS838" s="4"/>
      <c r="AT838" s="4"/>
      <c r="AU838" s="4"/>
      <c r="AV838" s="537"/>
      <c r="AW838" s="537"/>
      <c r="AX838" s="4"/>
      <c r="AY838" s="4"/>
      <c r="AZ838" s="4"/>
      <c r="BA838" s="4"/>
      <c r="BB838" s="4"/>
      <c r="BC838" s="4"/>
      <c r="BD838" s="4"/>
      <c r="BE838" s="4"/>
      <c r="BF838" s="4"/>
      <c r="BG838" s="4"/>
      <c r="BH838" s="4"/>
      <c r="BI838" s="4"/>
      <c r="BJ838" s="4"/>
      <c r="BK838" s="4"/>
      <c r="BL838" s="4"/>
      <c r="BM838" s="4"/>
      <c r="BN838" s="4"/>
      <c r="BO838" s="4"/>
      <c r="BP838" s="4"/>
      <c r="BQ838" s="4"/>
      <c r="BR838" s="4"/>
    </row>
    <row r="839" spans="1:70" ht="27" customHeight="1" x14ac:dyDescent="0.2">
      <c r="A839" s="532"/>
      <c r="B839" s="917"/>
      <c r="C839" s="4"/>
      <c r="D839" s="917"/>
      <c r="E839" s="4"/>
      <c r="F839" s="917"/>
      <c r="G839" s="4"/>
      <c r="H839" s="920"/>
      <c r="I839" s="3"/>
      <c r="J839" s="920"/>
      <c r="K839" s="3"/>
      <c r="L839" s="920"/>
      <c r="M839" s="3"/>
      <c r="N839" s="920"/>
      <c r="O839" s="3"/>
      <c r="P839" s="3"/>
      <c r="Q839" s="533"/>
      <c r="R839" s="920"/>
      <c r="S839" s="534"/>
      <c r="T839" s="920"/>
      <c r="U839" s="920"/>
      <c r="V839" s="920"/>
      <c r="W839" s="535"/>
      <c r="X839" s="687"/>
      <c r="Y839" s="687"/>
      <c r="Z839" s="687"/>
      <c r="AA839" s="678"/>
      <c r="AB839" s="543"/>
      <c r="AC839" s="3"/>
      <c r="AD839" s="533"/>
      <c r="AE839" s="3"/>
      <c r="AF839" s="4"/>
      <c r="AG839" s="4"/>
      <c r="AH839" s="4"/>
      <c r="AI839" s="4"/>
      <c r="AJ839" s="4"/>
      <c r="AK839" s="4"/>
      <c r="AL839" s="4"/>
      <c r="AM839" s="4"/>
      <c r="AN839" s="4"/>
      <c r="AO839" s="4"/>
      <c r="AP839" s="4"/>
      <c r="AQ839" s="4"/>
      <c r="AR839" s="4"/>
      <c r="AS839" s="4"/>
      <c r="AT839" s="4"/>
      <c r="AU839" s="4"/>
      <c r="AV839" s="537"/>
      <c r="AW839" s="537"/>
      <c r="AX839" s="4"/>
      <c r="AY839" s="4"/>
      <c r="AZ839" s="4"/>
      <c r="BA839" s="4"/>
      <c r="BB839" s="4"/>
      <c r="BC839" s="4"/>
      <c r="BD839" s="4"/>
      <c r="BE839" s="4"/>
      <c r="BF839" s="4"/>
      <c r="BG839" s="4"/>
      <c r="BH839" s="4"/>
      <c r="BI839" s="4"/>
      <c r="BJ839" s="4"/>
      <c r="BK839" s="4"/>
      <c r="BL839" s="4"/>
      <c r="BM839" s="4"/>
      <c r="BN839" s="4"/>
      <c r="BO839" s="4"/>
      <c r="BP839" s="4"/>
      <c r="BQ839" s="4"/>
      <c r="BR839" s="4"/>
    </row>
    <row r="840" spans="1:70" ht="27" customHeight="1" x14ac:dyDescent="0.2">
      <c r="A840" s="532"/>
      <c r="B840" s="917"/>
      <c r="C840" s="4"/>
      <c r="D840" s="917"/>
      <c r="E840" s="4"/>
      <c r="F840" s="917"/>
      <c r="G840" s="4"/>
      <c r="H840" s="920"/>
      <c r="I840" s="3"/>
      <c r="J840" s="920"/>
      <c r="K840" s="3"/>
      <c r="L840" s="920"/>
      <c r="M840" s="3"/>
      <c r="N840" s="920"/>
      <c r="O840" s="3"/>
      <c r="P840" s="3"/>
      <c r="Q840" s="533"/>
      <c r="R840" s="920"/>
      <c r="S840" s="534"/>
      <c r="T840" s="920"/>
      <c r="U840" s="920"/>
      <c r="V840" s="920"/>
      <c r="W840" s="535"/>
      <c r="X840" s="687"/>
      <c r="Y840" s="687"/>
      <c r="Z840" s="687"/>
      <c r="AA840" s="678"/>
      <c r="AB840" s="543"/>
      <c r="AC840" s="3"/>
      <c r="AD840" s="533"/>
      <c r="AE840" s="3"/>
      <c r="AF840" s="4"/>
      <c r="AG840" s="4"/>
      <c r="AH840" s="4"/>
      <c r="AI840" s="4"/>
      <c r="AJ840" s="4"/>
      <c r="AK840" s="4"/>
      <c r="AL840" s="4"/>
      <c r="AM840" s="4"/>
      <c r="AN840" s="4"/>
      <c r="AO840" s="4"/>
      <c r="AP840" s="4"/>
      <c r="AQ840" s="4"/>
      <c r="AR840" s="4"/>
      <c r="AS840" s="4"/>
      <c r="AT840" s="4"/>
      <c r="AU840" s="4"/>
      <c r="AV840" s="537"/>
      <c r="AW840" s="537"/>
      <c r="AX840" s="4"/>
      <c r="AY840" s="4"/>
      <c r="AZ840" s="4"/>
      <c r="BA840" s="4"/>
      <c r="BB840" s="4"/>
      <c r="BC840" s="4"/>
      <c r="BD840" s="4"/>
      <c r="BE840" s="4"/>
      <c r="BF840" s="4"/>
      <c r="BG840" s="4"/>
      <c r="BH840" s="4"/>
      <c r="BI840" s="4"/>
      <c r="BJ840" s="4"/>
      <c r="BK840" s="4"/>
      <c r="BL840" s="4"/>
      <c r="BM840" s="4"/>
      <c r="BN840" s="4"/>
      <c r="BO840" s="4"/>
      <c r="BP840" s="4"/>
      <c r="BQ840" s="4"/>
      <c r="BR840" s="4"/>
    </row>
    <row r="841" spans="1:70" ht="27" customHeight="1" x14ac:dyDescent="0.2">
      <c r="A841" s="532"/>
      <c r="B841" s="917"/>
      <c r="C841" s="4"/>
      <c r="D841" s="917"/>
      <c r="E841" s="4"/>
      <c r="F841" s="917"/>
      <c r="G841" s="4"/>
      <c r="H841" s="920"/>
      <c r="I841" s="3"/>
      <c r="J841" s="920"/>
      <c r="K841" s="3"/>
      <c r="L841" s="920"/>
      <c r="M841" s="3"/>
      <c r="N841" s="920"/>
      <c r="O841" s="3"/>
      <c r="P841" s="3"/>
      <c r="Q841" s="533"/>
      <c r="R841" s="920"/>
      <c r="S841" s="534"/>
      <c r="T841" s="920"/>
      <c r="U841" s="920"/>
      <c r="V841" s="920"/>
      <c r="W841" s="535"/>
      <c r="X841" s="687"/>
      <c r="Y841" s="687"/>
      <c r="Z841" s="687"/>
      <c r="AA841" s="678"/>
      <c r="AB841" s="543"/>
      <c r="AC841" s="3"/>
      <c r="AD841" s="533"/>
      <c r="AE841" s="3"/>
      <c r="AF841" s="4"/>
      <c r="AG841" s="4"/>
      <c r="AH841" s="4"/>
      <c r="AI841" s="4"/>
      <c r="AJ841" s="4"/>
      <c r="AK841" s="4"/>
      <c r="AL841" s="4"/>
      <c r="AM841" s="4"/>
      <c r="AN841" s="4"/>
      <c r="AO841" s="4"/>
      <c r="AP841" s="4"/>
      <c r="AQ841" s="4"/>
      <c r="AR841" s="4"/>
      <c r="AS841" s="4"/>
      <c r="AT841" s="4"/>
      <c r="AU841" s="4"/>
      <c r="AV841" s="537"/>
      <c r="AW841" s="537"/>
      <c r="AX841" s="4"/>
      <c r="AY841" s="4"/>
      <c r="AZ841" s="4"/>
      <c r="BA841" s="4"/>
      <c r="BB841" s="4"/>
      <c r="BC841" s="4"/>
      <c r="BD841" s="4"/>
      <c r="BE841" s="4"/>
      <c r="BF841" s="4"/>
      <c r="BG841" s="4"/>
      <c r="BH841" s="4"/>
      <c r="BI841" s="4"/>
      <c r="BJ841" s="4"/>
      <c r="BK841" s="4"/>
      <c r="BL841" s="4"/>
      <c r="BM841" s="4"/>
      <c r="BN841" s="4"/>
      <c r="BO841" s="4"/>
      <c r="BP841" s="4"/>
      <c r="BQ841" s="4"/>
      <c r="BR841" s="4"/>
    </row>
    <row r="842" spans="1:70" ht="27" customHeight="1" x14ac:dyDescent="0.2">
      <c r="A842" s="532"/>
      <c r="B842" s="917"/>
      <c r="C842" s="4"/>
      <c r="D842" s="917"/>
      <c r="E842" s="4"/>
      <c r="F842" s="917"/>
      <c r="G842" s="4"/>
      <c r="H842" s="920"/>
      <c r="I842" s="3"/>
      <c r="J842" s="920"/>
      <c r="K842" s="3"/>
      <c r="L842" s="920"/>
      <c r="M842" s="3"/>
      <c r="N842" s="920"/>
      <c r="O842" s="3"/>
      <c r="P842" s="3"/>
      <c r="Q842" s="533"/>
      <c r="R842" s="920"/>
      <c r="S842" s="534"/>
      <c r="T842" s="920"/>
      <c r="U842" s="920"/>
      <c r="V842" s="920"/>
      <c r="W842" s="535"/>
      <c r="X842" s="687"/>
      <c r="Y842" s="687"/>
      <c r="Z842" s="687"/>
      <c r="AA842" s="678"/>
      <c r="AB842" s="543"/>
      <c r="AC842" s="3"/>
      <c r="AD842" s="533"/>
      <c r="AE842" s="3"/>
      <c r="AF842" s="4"/>
      <c r="AG842" s="4"/>
      <c r="AH842" s="4"/>
      <c r="AI842" s="4"/>
      <c r="AJ842" s="4"/>
      <c r="AK842" s="4"/>
      <c r="AL842" s="4"/>
      <c r="AM842" s="4"/>
      <c r="AN842" s="4"/>
      <c r="AO842" s="4"/>
      <c r="AP842" s="4"/>
      <c r="AQ842" s="4"/>
      <c r="AR842" s="4"/>
      <c r="AS842" s="4"/>
      <c r="AT842" s="4"/>
      <c r="AU842" s="4"/>
      <c r="AV842" s="537"/>
      <c r="AW842" s="537"/>
      <c r="AX842" s="4"/>
      <c r="AY842" s="4"/>
      <c r="AZ842" s="4"/>
      <c r="BA842" s="4"/>
      <c r="BB842" s="4"/>
      <c r="BC842" s="4"/>
      <c r="BD842" s="4"/>
      <c r="BE842" s="4"/>
      <c r="BF842" s="4"/>
      <c r="BG842" s="4"/>
      <c r="BH842" s="4"/>
      <c r="BI842" s="4"/>
      <c r="BJ842" s="4"/>
      <c r="BK842" s="4"/>
      <c r="BL842" s="4"/>
      <c r="BM842" s="4"/>
      <c r="BN842" s="4"/>
      <c r="BO842" s="4"/>
      <c r="BP842" s="4"/>
      <c r="BQ842" s="4"/>
      <c r="BR842" s="4"/>
    </row>
    <row r="843" spans="1:70" ht="27" customHeight="1" x14ac:dyDescent="0.2">
      <c r="A843" s="532"/>
      <c r="B843" s="917"/>
      <c r="C843" s="4"/>
      <c r="D843" s="917"/>
      <c r="E843" s="4"/>
      <c r="F843" s="917"/>
      <c r="G843" s="4"/>
      <c r="H843" s="920"/>
      <c r="I843" s="3"/>
      <c r="J843" s="920"/>
      <c r="K843" s="3"/>
      <c r="L843" s="920"/>
      <c r="M843" s="3"/>
      <c r="N843" s="920"/>
      <c r="O843" s="3"/>
      <c r="P843" s="3"/>
      <c r="Q843" s="533"/>
      <c r="R843" s="920"/>
      <c r="S843" s="534"/>
      <c r="T843" s="920"/>
      <c r="U843" s="920"/>
      <c r="V843" s="920"/>
      <c r="W843" s="535"/>
      <c r="X843" s="687"/>
      <c r="Y843" s="687"/>
      <c r="Z843" s="687"/>
      <c r="AA843" s="678"/>
      <c r="AB843" s="543"/>
      <c r="AC843" s="3"/>
      <c r="AD843" s="533"/>
      <c r="AE843" s="3"/>
      <c r="AF843" s="4"/>
      <c r="AG843" s="4"/>
      <c r="AH843" s="4"/>
      <c r="AI843" s="4"/>
      <c r="AJ843" s="4"/>
      <c r="AK843" s="4"/>
      <c r="AL843" s="4"/>
      <c r="AM843" s="4"/>
      <c r="AN843" s="4"/>
      <c r="AO843" s="4"/>
      <c r="AP843" s="4"/>
      <c r="AQ843" s="4"/>
      <c r="AR843" s="4"/>
      <c r="AS843" s="4"/>
      <c r="AT843" s="4"/>
      <c r="AU843" s="4"/>
      <c r="AV843" s="537"/>
      <c r="AW843" s="537"/>
      <c r="AX843" s="4"/>
      <c r="AY843" s="4"/>
      <c r="AZ843" s="4"/>
      <c r="BA843" s="4"/>
      <c r="BB843" s="4"/>
      <c r="BC843" s="4"/>
      <c r="BD843" s="4"/>
      <c r="BE843" s="4"/>
      <c r="BF843" s="4"/>
      <c r="BG843" s="4"/>
      <c r="BH843" s="4"/>
      <c r="BI843" s="4"/>
      <c r="BJ843" s="4"/>
      <c r="BK843" s="4"/>
      <c r="BL843" s="4"/>
      <c r="BM843" s="4"/>
      <c r="BN843" s="4"/>
      <c r="BO843" s="4"/>
      <c r="BP843" s="4"/>
      <c r="BQ843" s="4"/>
      <c r="BR843" s="4"/>
    </row>
    <row r="844" spans="1:70" ht="27" customHeight="1" x14ac:dyDescent="0.2">
      <c r="A844" s="532"/>
      <c r="B844" s="917"/>
      <c r="C844" s="4"/>
      <c r="D844" s="917"/>
      <c r="E844" s="4"/>
      <c r="F844" s="917"/>
      <c r="G844" s="4"/>
      <c r="H844" s="920"/>
      <c r="I844" s="3"/>
      <c r="J844" s="920"/>
      <c r="K844" s="3"/>
      <c r="L844" s="920"/>
      <c r="M844" s="3"/>
      <c r="N844" s="920"/>
      <c r="O844" s="3"/>
      <c r="P844" s="3"/>
      <c r="Q844" s="533"/>
      <c r="R844" s="920"/>
      <c r="S844" s="534"/>
      <c r="T844" s="920"/>
      <c r="U844" s="920"/>
      <c r="V844" s="920"/>
      <c r="W844" s="535"/>
      <c r="X844" s="687"/>
      <c r="Y844" s="687"/>
      <c r="Z844" s="687"/>
      <c r="AA844" s="678"/>
      <c r="AB844" s="543"/>
      <c r="AC844" s="3"/>
      <c r="AD844" s="533"/>
      <c r="AE844" s="3"/>
      <c r="AF844" s="4"/>
      <c r="AG844" s="4"/>
      <c r="AH844" s="4"/>
      <c r="AI844" s="4"/>
      <c r="AJ844" s="4"/>
      <c r="AK844" s="4"/>
      <c r="AL844" s="4"/>
      <c r="AM844" s="4"/>
      <c r="AN844" s="4"/>
      <c r="AO844" s="4"/>
      <c r="AP844" s="4"/>
      <c r="AQ844" s="4"/>
      <c r="AR844" s="4"/>
      <c r="AS844" s="4"/>
      <c r="AT844" s="4"/>
      <c r="AU844" s="4"/>
      <c r="AV844" s="537"/>
      <c r="AW844" s="537"/>
      <c r="AX844" s="4"/>
      <c r="AY844" s="4"/>
      <c r="AZ844" s="4"/>
      <c r="BA844" s="4"/>
      <c r="BB844" s="4"/>
      <c r="BC844" s="4"/>
      <c r="BD844" s="4"/>
      <c r="BE844" s="4"/>
      <c r="BF844" s="4"/>
      <c r="BG844" s="4"/>
      <c r="BH844" s="4"/>
      <c r="BI844" s="4"/>
      <c r="BJ844" s="4"/>
      <c r="BK844" s="4"/>
      <c r="BL844" s="4"/>
      <c r="BM844" s="4"/>
      <c r="BN844" s="4"/>
      <c r="BO844" s="4"/>
      <c r="BP844" s="4"/>
      <c r="BQ844" s="4"/>
      <c r="BR844" s="4"/>
    </row>
    <row r="845" spans="1:70" ht="27" customHeight="1" x14ac:dyDescent="0.2">
      <c r="A845" s="532"/>
      <c r="B845" s="917"/>
      <c r="C845" s="4"/>
      <c r="D845" s="917"/>
      <c r="E845" s="4"/>
      <c r="F845" s="917"/>
      <c r="G845" s="4"/>
      <c r="H845" s="920"/>
      <c r="I845" s="3"/>
      <c r="J845" s="920"/>
      <c r="K845" s="3"/>
      <c r="L845" s="920"/>
      <c r="M845" s="3"/>
      <c r="N845" s="920"/>
      <c r="O845" s="3"/>
      <c r="P845" s="3"/>
      <c r="Q845" s="533"/>
      <c r="R845" s="920"/>
      <c r="S845" s="534"/>
      <c r="T845" s="920"/>
      <c r="U845" s="920"/>
      <c r="V845" s="920"/>
      <c r="W845" s="535"/>
      <c r="X845" s="687"/>
      <c r="Y845" s="687"/>
      <c r="Z845" s="687"/>
      <c r="AA845" s="678"/>
      <c r="AB845" s="543"/>
      <c r="AC845" s="3"/>
      <c r="AD845" s="533"/>
      <c r="AE845" s="3"/>
      <c r="AF845" s="4"/>
      <c r="AG845" s="4"/>
      <c r="AH845" s="4"/>
      <c r="AI845" s="4"/>
      <c r="AJ845" s="4"/>
      <c r="AK845" s="4"/>
      <c r="AL845" s="4"/>
      <c r="AM845" s="4"/>
      <c r="AN845" s="4"/>
      <c r="AO845" s="4"/>
      <c r="AP845" s="4"/>
      <c r="AQ845" s="4"/>
      <c r="AR845" s="4"/>
      <c r="AS845" s="4"/>
      <c r="AT845" s="4"/>
      <c r="AU845" s="4"/>
      <c r="AV845" s="537"/>
      <c r="AW845" s="537"/>
      <c r="AX845" s="4"/>
      <c r="AY845" s="4"/>
      <c r="AZ845" s="4"/>
      <c r="BA845" s="4"/>
      <c r="BB845" s="4"/>
      <c r="BC845" s="4"/>
      <c r="BD845" s="4"/>
      <c r="BE845" s="4"/>
      <c r="BF845" s="4"/>
      <c r="BG845" s="4"/>
      <c r="BH845" s="4"/>
      <c r="BI845" s="4"/>
      <c r="BJ845" s="4"/>
      <c r="BK845" s="4"/>
      <c r="BL845" s="4"/>
      <c r="BM845" s="4"/>
      <c r="BN845" s="4"/>
      <c r="BO845" s="4"/>
      <c r="BP845" s="4"/>
      <c r="BQ845" s="4"/>
      <c r="BR845" s="4"/>
    </row>
    <row r="846" spans="1:70" ht="27" customHeight="1" x14ac:dyDescent="0.2">
      <c r="A846" s="532"/>
      <c r="B846" s="917"/>
      <c r="C846" s="4"/>
      <c r="D846" s="917"/>
      <c r="E846" s="4"/>
      <c r="F846" s="917"/>
      <c r="G846" s="4"/>
      <c r="H846" s="920"/>
      <c r="I846" s="3"/>
      <c r="J846" s="920"/>
      <c r="K846" s="3"/>
      <c r="L846" s="920"/>
      <c r="M846" s="3"/>
      <c r="N846" s="920"/>
      <c r="O846" s="3"/>
      <c r="P846" s="3"/>
      <c r="Q846" s="533"/>
      <c r="R846" s="920"/>
      <c r="S846" s="534"/>
      <c r="T846" s="920"/>
      <c r="U846" s="920"/>
      <c r="V846" s="920"/>
      <c r="W846" s="535"/>
      <c r="X846" s="687"/>
      <c r="Y846" s="687"/>
      <c r="Z846" s="687"/>
      <c r="AA846" s="678"/>
      <c r="AB846" s="543"/>
      <c r="AC846" s="3"/>
      <c r="AD846" s="533"/>
      <c r="AE846" s="3"/>
      <c r="AF846" s="4"/>
      <c r="AG846" s="4"/>
      <c r="AH846" s="4"/>
      <c r="AI846" s="4"/>
      <c r="AJ846" s="4"/>
      <c r="AK846" s="4"/>
      <c r="AL846" s="4"/>
      <c r="AM846" s="4"/>
      <c r="AN846" s="4"/>
      <c r="AO846" s="4"/>
      <c r="AP846" s="4"/>
      <c r="AQ846" s="4"/>
      <c r="AR846" s="4"/>
      <c r="AS846" s="4"/>
      <c r="AT846" s="4"/>
      <c r="AU846" s="4"/>
      <c r="AV846" s="537"/>
      <c r="AW846" s="537"/>
      <c r="AX846" s="4"/>
      <c r="AY846" s="4"/>
      <c r="AZ846" s="4"/>
      <c r="BA846" s="4"/>
      <c r="BB846" s="4"/>
      <c r="BC846" s="4"/>
      <c r="BD846" s="4"/>
      <c r="BE846" s="4"/>
      <c r="BF846" s="4"/>
      <c r="BG846" s="4"/>
      <c r="BH846" s="4"/>
      <c r="BI846" s="4"/>
      <c r="BJ846" s="4"/>
      <c r="BK846" s="4"/>
      <c r="BL846" s="4"/>
      <c r="BM846" s="4"/>
      <c r="BN846" s="4"/>
      <c r="BO846" s="4"/>
      <c r="BP846" s="4"/>
      <c r="BQ846" s="4"/>
      <c r="BR846" s="4"/>
    </row>
    <row r="847" spans="1:70" ht="27" customHeight="1" x14ac:dyDescent="0.2">
      <c r="A847" s="532"/>
      <c r="B847" s="917"/>
      <c r="C847" s="4"/>
      <c r="D847" s="917"/>
      <c r="E847" s="4"/>
      <c r="F847" s="917"/>
      <c r="G847" s="4"/>
      <c r="H847" s="920"/>
      <c r="I847" s="3"/>
      <c r="J847" s="920"/>
      <c r="K847" s="3"/>
      <c r="L847" s="920"/>
      <c r="M847" s="3"/>
      <c r="N847" s="920"/>
      <c r="O847" s="3"/>
      <c r="P847" s="3"/>
      <c r="Q847" s="533"/>
      <c r="R847" s="920"/>
      <c r="S847" s="534"/>
      <c r="T847" s="920"/>
      <c r="U847" s="920"/>
      <c r="V847" s="920"/>
      <c r="W847" s="535"/>
      <c r="X847" s="687"/>
      <c r="Y847" s="687"/>
      <c r="Z847" s="687"/>
      <c r="AA847" s="678"/>
      <c r="AB847" s="543"/>
      <c r="AC847" s="3"/>
      <c r="AD847" s="533"/>
      <c r="AE847" s="3"/>
      <c r="AF847" s="4"/>
      <c r="AG847" s="4"/>
      <c r="AH847" s="4"/>
      <c r="AI847" s="4"/>
      <c r="AJ847" s="4"/>
      <c r="AK847" s="4"/>
      <c r="AL847" s="4"/>
      <c r="AM847" s="4"/>
      <c r="AN847" s="4"/>
      <c r="AO847" s="4"/>
      <c r="AP847" s="4"/>
      <c r="AQ847" s="4"/>
      <c r="AR847" s="4"/>
      <c r="AS847" s="4"/>
      <c r="AT847" s="4"/>
      <c r="AU847" s="4"/>
      <c r="AV847" s="537"/>
      <c r="AW847" s="537"/>
      <c r="AX847" s="4"/>
      <c r="AY847" s="4"/>
      <c r="AZ847" s="4"/>
      <c r="BA847" s="4"/>
      <c r="BB847" s="4"/>
      <c r="BC847" s="4"/>
      <c r="BD847" s="4"/>
      <c r="BE847" s="4"/>
      <c r="BF847" s="4"/>
      <c r="BG847" s="4"/>
      <c r="BH847" s="4"/>
      <c r="BI847" s="4"/>
      <c r="BJ847" s="4"/>
      <c r="BK847" s="4"/>
      <c r="BL847" s="4"/>
      <c r="BM847" s="4"/>
      <c r="BN847" s="4"/>
      <c r="BO847" s="4"/>
      <c r="BP847" s="4"/>
      <c r="BQ847" s="4"/>
      <c r="BR847" s="4"/>
    </row>
    <row r="848" spans="1:70" ht="27" customHeight="1" x14ac:dyDescent="0.2">
      <c r="A848" s="532"/>
      <c r="B848" s="917"/>
      <c r="C848" s="4"/>
      <c r="D848" s="917"/>
      <c r="E848" s="4"/>
      <c r="F848" s="917"/>
      <c r="G848" s="4"/>
      <c r="H848" s="920"/>
      <c r="I848" s="3"/>
      <c r="J848" s="920"/>
      <c r="K848" s="3"/>
      <c r="L848" s="920"/>
      <c r="M848" s="3"/>
      <c r="N848" s="920"/>
      <c r="O848" s="3"/>
      <c r="P848" s="3"/>
      <c r="Q848" s="533"/>
      <c r="R848" s="920"/>
      <c r="S848" s="534"/>
      <c r="T848" s="920"/>
      <c r="U848" s="920"/>
      <c r="V848" s="920"/>
      <c r="W848" s="535"/>
      <c r="X848" s="687"/>
      <c r="Y848" s="687"/>
      <c r="Z848" s="687"/>
      <c r="AA848" s="678"/>
      <c r="AB848" s="543"/>
      <c r="AC848" s="3"/>
      <c r="AD848" s="533"/>
      <c r="AE848" s="3"/>
      <c r="AF848" s="4"/>
      <c r="AG848" s="4"/>
      <c r="AH848" s="4"/>
      <c r="AI848" s="4"/>
      <c r="AJ848" s="4"/>
      <c r="AK848" s="4"/>
      <c r="AL848" s="4"/>
      <c r="AM848" s="4"/>
      <c r="AN848" s="4"/>
      <c r="AO848" s="4"/>
      <c r="AP848" s="4"/>
      <c r="AQ848" s="4"/>
      <c r="AR848" s="4"/>
      <c r="AS848" s="4"/>
      <c r="AT848" s="4"/>
      <c r="AU848" s="4"/>
      <c r="AV848" s="537"/>
      <c r="AW848" s="537"/>
      <c r="AX848" s="4"/>
      <c r="AY848" s="4"/>
      <c r="AZ848" s="4"/>
      <c r="BA848" s="4"/>
      <c r="BB848" s="4"/>
      <c r="BC848" s="4"/>
      <c r="BD848" s="4"/>
      <c r="BE848" s="4"/>
      <c r="BF848" s="4"/>
      <c r="BG848" s="4"/>
      <c r="BH848" s="4"/>
      <c r="BI848" s="4"/>
      <c r="BJ848" s="4"/>
      <c r="BK848" s="4"/>
      <c r="BL848" s="4"/>
      <c r="BM848" s="4"/>
      <c r="BN848" s="4"/>
      <c r="BO848" s="4"/>
      <c r="BP848" s="4"/>
      <c r="BQ848" s="4"/>
      <c r="BR848" s="4"/>
    </row>
    <row r="849" spans="1:70" ht="27" customHeight="1" x14ac:dyDescent="0.2">
      <c r="A849" s="532"/>
      <c r="B849" s="917"/>
      <c r="C849" s="4"/>
      <c r="D849" s="917"/>
      <c r="E849" s="4"/>
      <c r="F849" s="917"/>
      <c r="G849" s="4"/>
      <c r="H849" s="920"/>
      <c r="I849" s="3"/>
      <c r="J849" s="920"/>
      <c r="K849" s="3"/>
      <c r="L849" s="920"/>
      <c r="M849" s="3"/>
      <c r="N849" s="920"/>
      <c r="O849" s="3"/>
      <c r="P849" s="3"/>
      <c r="Q849" s="533"/>
      <c r="R849" s="920"/>
      <c r="S849" s="534"/>
      <c r="T849" s="920"/>
      <c r="U849" s="920"/>
      <c r="V849" s="920"/>
      <c r="W849" s="535"/>
      <c r="X849" s="687"/>
      <c r="Y849" s="687"/>
      <c r="Z849" s="687"/>
      <c r="AA849" s="678"/>
      <c r="AB849" s="543"/>
      <c r="AC849" s="3"/>
      <c r="AD849" s="533"/>
      <c r="AE849" s="3"/>
      <c r="AF849" s="4"/>
      <c r="AG849" s="4"/>
      <c r="AH849" s="4"/>
      <c r="AI849" s="4"/>
      <c r="AJ849" s="4"/>
      <c r="AK849" s="4"/>
      <c r="AL849" s="4"/>
      <c r="AM849" s="4"/>
      <c r="AN849" s="4"/>
      <c r="AO849" s="4"/>
      <c r="AP849" s="4"/>
      <c r="AQ849" s="4"/>
      <c r="AR849" s="4"/>
      <c r="AS849" s="4"/>
      <c r="AT849" s="4"/>
      <c r="AU849" s="4"/>
      <c r="AV849" s="537"/>
      <c r="AW849" s="537"/>
      <c r="AX849" s="4"/>
      <c r="AY849" s="4"/>
      <c r="AZ849" s="4"/>
      <c r="BA849" s="4"/>
      <c r="BB849" s="4"/>
      <c r="BC849" s="4"/>
      <c r="BD849" s="4"/>
      <c r="BE849" s="4"/>
      <c r="BF849" s="4"/>
      <c r="BG849" s="4"/>
      <c r="BH849" s="4"/>
      <c r="BI849" s="4"/>
      <c r="BJ849" s="4"/>
      <c r="BK849" s="4"/>
      <c r="BL849" s="4"/>
      <c r="BM849" s="4"/>
      <c r="BN849" s="4"/>
      <c r="BO849" s="4"/>
      <c r="BP849" s="4"/>
      <c r="BQ849" s="4"/>
      <c r="BR849" s="4"/>
    </row>
    <row r="850" spans="1:70" ht="27" customHeight="1" x14ac:dyDescent="0.2">
      <c r="A850" s="532"/>
      <c r="B850" s="917"/>
      <c r="C850" s="4"/>
      <c r="D850" s="917"/>
      <c r="E850" s="4"/>
      <c r="F850" s="917"/>
      <c r="G850" s="4"/>
      <c r="H850" s="920"/>
      <c r="I850" s="3"/>
      <c r="J850" s="920"/>
      <c r="K850" s="3"/>
      <c r="L850" s="920"/>
      <c r="M850" s="3"/>
      <c r="N850" s="920"/>
      <c r="O850" s="3"/>
      <c r="P850" s="3"/>
      <c r="Q850" s="533"/>
      <c r="R850" s="920"/>
      <c r="S850" s="534"/>
      <c r="T850" s="920"/>
      <c r="U850" s="920"/>
      <c r="V850" s="920"/>
      <c r="W850" s="535"/>
      <c r="X850" s="687"/>
      <c r="Y850" s="687"/>
      <c r="Z850" s="687"/>
      <c r="AA850" s="678"/>
      <c r="AB850" s="543"/>
      <c r="AC850" s="3"/>
      <c r="AD850" s="533"/>
      <c r="AE850" s="3"/>
      <c r="AF850" s="4"/>
      <c r="AG850" s="4"/>
      <c r="AH850" s="4"/>
      <c r="AI850" s="4"/>
      <c r="AJ850" s="4"/>
      <c r="AK850" s="4"/>
      <c r="AL850" s="4"/>
      <c r="AM850" s="4"/>
      <c r="AN850" s="4"/>
      <c r="AO850" s="4"/>
      <c r="AP850" s="4"/>
      <c r="AQ850" s="4"/>
      <c r="AR850" s="4"/>
      <c r="AS850" s="4"/>
      <c r="AT850" s="4"/>
      <c r="AU850" s="4"/>
      <c r="AV850" s="537"/>
      <c r="AW850" s="537"/>
      <c r="AX850" s="4"/>
      <c r="AY850" s="4"/>
      <c r="AZ850" s="4"/>
      <c r="BA850" s="4"/>
      <c r="BB850" s="4"/>
      <c r="BC850" s="4"/>
      <c r="BD850" s="4"/>
      <c r="BE850" s="4"/>
      <c r="BF850" s="4"/>
      <c r="BG850" s="4"/>
      <c r="BH850" s="4"/>
      <c r="BI850" s="4"/>
      <c r="BJ850" s="4"/>
      <c r="BK850" s="4"/>
      <c r="BL850" s="4"/>
      <c r="BM850" s="4"/>
      <c r="BN850" s="4"/>
      <c r="BO850" s="4"/>
      <c r="BP850" s="4"/>
      <c r="BQ850" s="4"/>
      <c r="BR850" s="4"/>
    </row>
    <row r="851" spans="1:70" ht="27" customHeight="1" x14ac:dyDescent="0.2">
      <c r="A851" s="532"/>
      <c r="B851" s="917"/>
      <c r="C851" s="4"/>
      <c r="D851" s="917"/>
      <c r="E851" s="4"/>
      <c r="F851" s="917"/>
      <c r="G851" s="4"/>
      <c r="H851" s="920"/>
      <c r="I851" s="3"/>
      <c r="J851" s="920"/>
      <c r="K851" s="3"/>
      <c r="L851" s="920"/>
      <c r="M851" s="3"/>
      <c r="N851" s="920"/>
      <c r="O851" s="3"/>
      <c r="P851" s="3"/>
      <c r="Q851" s="533"/>
      <c r="R851" s="920"/>
      <c r="S851" s="534"/>
      <c r="T851" s="920"/>
      <c r="U851" s="920"/>
      <c r="V851" s="920"/>
      <c r="W851" s="535"/>
      <c r="X851" s="687"/>
      <c r="Y851" s="687"/>
      <c r="Z851" s="687"/>
      <c r="AA851" s="678"/>
      <c r="AB851" s="543"/>
      <c r="AC851" s="3"/>
      <c r="AD851" s="533"/>
      <c r="AE851" s="3"/>
      <c r="AF851" s="4"/>
      <c r="AG851" s="4"/>
      <c r="AH851" s="4"/>
      <c r="AI851" s="4"/>
      <c r="AJ851" s="4"/>
      <c r="AK851" s="4"/>
      <c r="AL851" s="4"/>
      <c r="AM851" s="4"/>
      <c r="AN851" s="4"/>
      <c r="AO851" s="4"/>
      <c r="AP851" s="4"/>
      <c r="AQ851" s="4"/>
      <c r="AR851" s="4"/>
      <c r="AS851" s="4"/>
      <c r="AT851" s="4"/>
      <c r="AU851" s="4"/>
      <c r="AV851" s="537"/>
      <c r="AW851" s="537"/>
      <c r="AX851" s="4"/>
      <c r="AY851" s="4"/>
      <c r="AZ851" s="4"/>
      <c r="BA851" s="4"/>
      <c r="BB851" s="4"/>
      <c r="BC851" s="4"/>
      <c r="BD851" s="4"/>
      <c r="BE851" s="4"/>
      <c r="BF851" s="4"/>
      <c r="BG851" s="4"/>
      <c r="BH851" s="4"/>
      <c r="BI851" s="4"/>
      <c r="BJ851" s="4"/>
      <c r="BK851" s="4"/>
      <c r="BL851" s="4"/>
      <c r="BM851" s="4"/>
      <c r="BN851" s="4"/>
      <c r="BO851" s="4"/>
      <c r="BP851" s="4"/>
      <c r="BQ851" s="4"/>
      <c r="BR851" s="4"/>
    </row>
    <row r="852" spans="1:70" ht="27" customHeight="1" x14ac:dyDescent="0.2">
      <c r="A852" s="532"/>
      <c r="B852" s="917"/>
      <c r="C852" s="4"/>
      <c r="D852" s="917"/>
      <c r="E852" s="4"/>
      <c r="F852" s="917"/>
      <c r="G852" s="4"/>
      <c r="H852" s="920"/>
      <c r="I852" s="3"/>
      <c r="J852" s="920"/>
      <c r="K852" s="3"/>
      <c r="L852" s="920"/>
      <c r="M852" s="3"/>
      <c r="N852" s="920"/>
      <c r="O852" s="3"/>
      <c r="P852" s="3"/>
      <c r="Q852" s="533"/>
      <c r="R852" s="920"/>
      <c r="S852" s="534"/>
      <c r="T852" s="920"/>
      <c r="U852" s="920"/>
      <c r="V852" s="920"/>
      <c r="W852" s="535"/>
      <c r="X852" s="687"/>
      <c r="Y852" s="687"/>
      <c r="Z852" s="687"/>
      <c r="AA852" s="678"/>
      <c r="AB852" s="543"/>
      <c r="AC852" s="3"/>
      <c r="AD852" s="533"/>
      <c r="AE852" s="3"/>
      <c r="AF852" s="4"/>
      <c r="AG852" s="4"/>
      <c r="AH852" s="4"/>
      <c r="AI852" s="4"/>
      <c r="AJ852" s="4"/>
      <c r="AK852" s="4"/>
      <c r="AL852" s="4"/>
      <c r="AM852" s="4"/>
      <c r="AN852" s="4"/>
      <c r="AO852" s="4"/>
      <c r="AP852" s="4"/>
      <c r="AQ852" s="4"/>
      <c r="AR852" s="4"/>
      <c r="AS852" s="4"/>
      <c r="AT852" s="4"/>
      <c r="AU852" s="4"/>
      <c r="AV852" s="537"/>
      <c r="AW852" s="537"/>
      <c r="AX852" s="4"/>
      <c r="AY852" s="4"/>
      <c r="AZ852" s="4"/>
      <c r="BA852" s="4"/>
      <c r="BB852" s="4"/>
      <c r="BC852" s="4"/>
      <c r="BD852" s="4"/>
      <c r="BE852" s="4"/>
      <c r="BF852" s="4"/>
      <c r="BG852" s="4"/>
      <c r="BH852" s="4"/>
      <c r="BI852" s="4"/>
      <c r="BJ852" s="4"/>
      <c r="BK852" s="4"/>
      <c r="BL852" s="4"/>
      <c r="BM852" s="4"/>
      <c r="BN852" s="4"/>
      <c r="BO852" s="4"/>
      <c r="BP852" s="4"/>
      <c r="BQ852" s="4"/>
      <c r="BR852" s="4"/>
    </row>
    <row r="853" spans="1:70" ht="27" customHeight="1" x14ac:dyDescent="0.2">
      <c r="A853" s="532"/>
      <c r="B853" s="917"/>
      <c r="C853" s="4"/>
      <c r="D853" s="917"/>
      <c r="E853" s="4"/>
      <c r="F853" s="917"/>
      <c r="G853" s="4"/>
      <c r="H853" s="920"/>
      <c r="I853" s="3"/>
      <c r="J853" s="920"/>
      <c r="K853" s="3"/>
      <c r="L853" s="920"/>
      <c r="M853" s="3"/>
      <c r="N853" s="920"/>
      <c r="O853" s="3"/>
      <c r="P853" s="3"/>
      <c r="Q853" s="533"/>
      <c r="R853" s="920"/>
      <c r="S853" s="534"/>
      <c r="T853" s="920"/>
      <c r="U853" s="920"/>
      <c r="V853" s="920"/>
      <c r="W853" s="535"/>
      <c r="X853" s="687"/>
      <c r="Y853" s="687"/>
      <c r="Z853" s="687"/>
      <c r="AA853" s="678"/>
      <c r="AB853" s="543"/>
      <c r="AC853" s="3"/>
      <c r="AD853" s="533"/>
      <c r="AE853" s="3"/>
      <c r="AF853" s="4"/>
      <c r="AG853" s="4"/>
      <c r="AH853" s="4"/>
      <c r="AI853" s="4"/>
      <c r="AJ853" s="4"/>
      <c r="AK853" s="4"/>
      <c r="AL853" s="4"/>
      <c r="AM853" s="4"/>
      <c r="AN853" s="4"/>
      <c r="AO853" s="4"/>
      <c r="AP853" s="4"/>
      <c r="AQ853" s="4"/>
      <c r="AR853" s="4"/>
      <c r="AS853" s="4"/>
      <c r="AT853" s="4"/>
      <c r="AU853" s="4"/>
      <c r="AV853" s="537"/>
      <c r="AW853" s="537"/>
      <c r="AX853" s="4"/>
      <c r="AY853" s="4"/>
      <c r="AZ853" s="4"/>
      <c r="BA853" s="4"/>
      <c r="BB853" s="4"/>
      <c r="BC853" s="4"/>
      <c r="BD853" s="4"/>
      <c r="BE853" s="4"/>
      <c r="BF853" s="4"/>
      <c r="BG853" s="4"/>
      <c r="BH853" s="4"/>
      <c r="BI853" s="4"/>
      <c r="BJ853" s="4"/>
      <c r="BK853" s="4"/>
      <c r="BL853" s="4"/>
      <c r="BM853" s="4"/>
      <c r="BN853" s="4"/>
      <c r="BO853" s="4"/>
      <c r="BP853" s="4"/>
      <c r="BQ853" s="4"/>
      <c r="BR853" s="4"/>
    </row>
    <row r="854" spans="1:70" ht="27" customHeight="1" x14ac:dyDescent="0.2">
      <c r="A854" s="532"/>
      <c r="B854" s="917"/>
      <c r="C854" s="4"/>
      <c r="D854" s="917"/>
      <c r="E854" s="4"/>
      <c r="F854" s="917"/>
      <c r="G854" s="4"/>
      <c r="H854" s="920"/>
      <c r="I854" s="3"/>
      <c r="J854" s="920"/>
      <c r="K854" s="3"/>
      <c r="L854" s="920"/>
      <c r="M854" s="3"/>
      <c r="N854" s="920"/>
      <c r="O854" s="3"/>
      <c r="P854" s="3"/>
      <c r="Q854" s="533"/>
      <c r="R854" s="920"/>
      <c r="S854" s="534"/>
      <c r="T854" s="920"/>
      <c r="U854" s="920"/>
      <c r="V854" s="920"/>
      <c r="W854" s="535"/>
      <c r="X854" s="687"/>
      <c r="Y854" s="687"/>
      <c r="Z854" s="687"/>
      <c r="AA854" s="678"/>
      <c r="AB854" s="543"/>
      <c r="AC854" s="3"/>
      <c r="AD854" s="533"/>
      <c r="AE854" s="3"/>
      <c r="AF854" s="4"/>
      <c r="AG854" s="4"/>
      <c r="AH854" s="4"/>
      <c r="AI854" s="4"/>
      <c r="AJ854" s="4"/>
      <c r="AK854" s="4"/>
      <c r="AL854" s="4"/>
      <c r="AM854" s="4"/>
      <c r="AN854" s="4"/>
      <c r="AO854" s="4"/>
      <c r="AP854" s="4"/>
      <c r="AQ854" s="4"/>
      <c r="AR854" s="4"/>
      <c r="AS854" s="4"/>
      <c r="AT854" s="4"/>
      <c r="AU854" s="4"/>
      <c r="AV854" s="537"/>
      <c r="AW854" s="537"/>
      <c r="AX854" s="4"/>
      <c r="AY854" s="4"/>
      <c r="AZ854" s="4"/>
      <c r="BA854" s="4"/>
      <c r="BB854" s="4"/>
      <c r="BC854" s="4"/>
      <c r="BD854" s="4"/>
      <c r="BE854" s="4"/>
      <c r="BF854" s="4"/>
      <c r="BG854" s="4"/>
      <c r="BH854" s="4"/>
      <c r="BI854" s="4"/>
      <c r="BJ854" s="4"/>
      <c r="BK854" s="4"/>
      <c r="BL854" s="4"/>
      <c r="BM854" s="4"/>
      <c r="BN854" s="4"/>
      <c r="BO854" s="4"/>
      <c r="BP854" s="4"/>
      <c r="BQ854" s="4"/>
      <c r="BR854" s="4"/>
    </row>
    <row r="855" spans="1:70" ht="27" customHeight="1" x14ac:dyDescent="0.2">
      <c r="A855" s="532"/>
      <c r="B855" s="917"/>
      <c r="C855" s="4"/>
      <c r="D855" s="917"/>
      <c r="E855" s="4"/>
      <c r="F855" s="917"/>
      <c r="G855" s="4"/>
      <c r="H855" s="920"/>
      <c r="I855" s="3"/>
      <c r="J855" s="920"/>
      <c r="K855" s="3"/>
      <c r="L855" s="920"/>
      <c r="M855" s="3"/>
      <c r="N855" s="920"/>
      <c r="O855" s="3"/>
      <c r="P855" s="3"/>
      <c r="Q855" s="533"/>
      <c r="R855" s="920"/>
      <c r="S855" s="534"/>
      <c r="T855" s="920"/>
      <c r="U855" s="920"/>
      <c r="V855" s="920"/>
      <c r="W855" s="535"/>
      <c r="X855" s="687"/>
      <c r="Y855" s="687"/>
      <c r="Z855" s="687"/>
      <c r="AA855" s="678"/>
      <c r="AB855" s="543"/>
      <c r="AC855" s="3"/>
      <c r="AD855" s="533"/>
      <c r="AE855" s="3"/>
      <c r="AF855" s="4"/>
      <c r="AG855" s="4"/>
      <c r="AH855" s="4"/>
      <c r="AI855" s="4"/>
      <c r="AJ855" s="4"/>
      <c r="AK855" s="4"/>
      <c r="AL855" s="4"/>
      <c r="AM855" s="4"/>
      <c r="AN855" s="4"/>
      <c r="AO855" s="4"/>
      <c r="AP855" s="4"/>
      <c r="AQ855" s="4"/>
      <c r="AR855" s="4"/>
      <c r="AS855" s="4"/>
      <c r="AT855" s="4"/>
      <c r="AU855" s="4"/>
      <c r="AV855" s="537"/>
      <c r="AW855" s="537"/>
      <c r="AX855" s="4"/>
      <c r="AY855" s="4"/>
      <c r="AZ855" s="4"/>
      <c r="BA855" s="4"/>
      <c r="BB855" s="4"/>
      <c r="BC855" s="4"/>
      <c r="BD855" s="4"/>
      <c r="BE855" s="4"/>
      <c r="BF855" s="4"/>
      <c r="BG855" s="4"/>
      <c r="BH855" s="4"/>
      <c r="BI855" s="4"/>
      <c r="BJ855" s="4"/>
      <c r="BK855" s="4"/>
      <c r="BL855" s="4"/>
      <c r="BM855" s="4"/>
      <c r="BN855" s="4"/>
      <c r="BO855" s="4"/>
      <c r="BP855" s="4"/>
      <c r="BQ855" s="4"/>
      <c r="BR855" s="4"/>
    </row>
    <row r="856" spans="1:70" ht="27" customHeight="1" x14ac:dyDescent="0.2">
      <c r="A856" s="532"/>
      <c r="B856" s="917"/>
      <c r="C856" s="4"/>
      <c r="D856" s="917"/>
      <c r="E856" s="4"/>
      <c r="F856" s="917"/>
      <c r="G856" s="4"/>
      <c r="H856" s="920"/>
      <c r="I856" s="3"/>
      <c r="J856" s="920"/>
      <c r="K856" s="3"/>
      <c r="L856" s="920"/>
      <c r="M856" s="3"/>
      <c r="N856" s="920"/>
      <c r="O856" s="3"/>
      <c r="P856" s="3"/>
      <c r="Q856" s="533"/>
      <c r="R856" s="920"/>
      <c r="S856" s="534"/>
      <c r="T856" s="920"/>
      <c r="U856" s="920"/>
      <c r="V856" s="920"/>
      <c r="W856" s="535"/>
      <c r="X856" s="687"/>
      <c r="Y856" s="687"/>
      <c r="Z856" s="687"/>
      <c r="AA856" s="678"/>
      <c r="AB856" s="543"/>
      <c r="AC856" s="3"/>
      <c r="AD856" s="533"/>
      <c r="AE856" s="3"/>
      <c r="AF856" s="4"/>
      <c r="AG856" s="4"/>
      <c r="AH856" s="4"/>
      <c r="AI856" s="4"/>
      <c r="AJ856" s="4"/>
      <c r="AK856" s="4"/>
      <c r="AL856" s="4"/>
      <c r="AM856" s="4"/>
      <c r="AN856" s="4"/>
      <c r="AO856" s="4"/>
      <c r="AP856" s="4"/>
      <c r="AQ856" s="4"/>
      <c r="AR856" s="4"/>
      <c r="AS856" s="4"/>
      <c r="AT856" s="4"/>
      <c r="AU856" s="4"/>
      <c r="AV856" s="537"/>
      <c r="AW856" s="537"/>
      <c r="AX856" s="4"/>
      <c r="AY856" s="4"/>
      <c r="AZ856" s="4"/>
      <c r="BA856" s="4"/>
      <c r="BB856" s="4"/>
      <c r="BC856" s="4"/>
      <c r="BD856" s="4"/>
      <c r="BE856" s="4"/>
      <c r="BF856" s="4"/>
      <c r="BG856" s="4"/>
      <c r="BH856" s="4"/>
      <c r="BI856" s="4"/>
      <c r="BJ856" s="4"/>
      <c r="BK856" s="4"/>
      <c r="BL856" s="4"/>
      <c r="BM856" s="4"/>
      <c r="BN856" s="4"/>
      <c r="BO856" s="4"/>
      <c r="BP856" s="4"/>
      <c r="BQ856" s="4"/>
      <c r="BR856" s="4"/>
    </row>
    <row r="857" spans="1:70" ht="27" customHeight="1" x14ac:dyDescent="0.2">
      <c r="A857" s="532"/>
      <c r="B857" s="917"/>
      <c r="C857" s="4"/>
      <c r="D857" s="917"/>
      <c r="E857" s="4"/>
      <c r="F857" s="917"/>
      <c r="G857" s="4"/>
      <c r="H857" s="920"/>
      <c r="I857" s="3"/>
      <c r="J857" s="920"/>
      <c r="K857" s="3"/>
      <c r="L857" s="920"/>
      <c r="M857" s="3"/>
      <c r="N857" s="920"/>
      <c r="O857" s="3"/>
      <c r="P857" s="3"/>
      <c r="Q857" s="533"/>
      <c r="R857" s="920"/>
      <c r="S857" s="534"/>
      <c r="T857" s="920"/>
      <c r="U857" s="920"/>
      <c r="V857" s="920"/>
      <c r="W857" s="535"/>
      <c r="X857" s="687"/>
      <c r="Y857" s="687"/>
      <c r="Z857" s="687"/>
      <c r="AA857" s="678"/>
      <c r="AB857" s="543"/>
      <c r="AC857" s="3"/>
      <c r="AD857" s="533"/>
      <c r="AE857" s="3"/>
      <c r="AF857" s="4"/>
      <c r="AG857" s="4"/>
      <c r="AH857" s="4"/>
      <c r="AI857" s="4"/>
      <c r="AJ857" s="4"/>
      <c r="AK857" s="4"/>
      <c r="AL857" s="4"/>
      <c r="AM857" s="4"/>
      <c r="AN857" s="4"/>
      <c r="AO857" s="4"/>
      <c r="AP857" s="4"/>
      <c r="AQ857" s="4"/>
      <c r="AR857" s="4"/>
      <c r="AS857" s="4"/>
      <c r="AT857" s="4"/>
      <c r="AU857" s="4"/>
      <c r="AV857" s="537"/>
      <c r="AW857" s="537"/>
      <c r="AX857" s="4"/>
      <c r="AY857" s="4"/>
      <c r="AZ857" s="4"/>
      <c r="BA857" s="4"/>
      <c r="BB857" s="4"/>
      <c r="BC857" s="4"/>
      <c r="BD857" s="4"/>
      <c r="BE857" s="4"/>
      <c r="BF857" s="4"/>
      <c r="BG857" s="4"/>
      <c r="BH857" s="4"/>
      <c r="BI857" s="4"/>
      <c r="BJ857" s="4"/>
      <c r="BK857" s="4"/>
      <c r="BL857" s="4"/>
      <c r="BM857" s="4"/>
      <c r="BN857" s="4"/>
      <c r="BO857" s="4"/>
      <c r="BP857" s="4"/>
      <c r="BQ857" s="4"/>
      <c r="BR857" s="4"/>
    </row>
    <row r="858" spans="1:70" ht="27" customHeight="1" x14ac:dyDescent="0.2">
      <c r="A858" s="532"/>
      <c r="B858" s="917"/>
      <c r="C858" s="4"/>
      <c r="D858" s="917"/>
      <c r="E858" s="4"/>
      <c r="F858" s="917"/>
      <c r="G858" s="4"/>
      <c r="H858" s="920"/>
      <c r="I858" s="3"/>
      <c r="J858" s="920"/>
      <c r="K858" s="3"/>
      <c r="L858" s="920"/>
      <c r="M858" s="3"/>
      <c r="N858" s="920"/>
      <c r="O858" s="3"/>
      <c r="P858" s="3"/>
      <c r="Q858" s="533"/>
      <c r="R858" s="920"/>
      <c r="S858" s="534"/>
      <c r="T858" s="920"/>
      <c r="U858" s="920"/>
      <c r="V858" s="920"/>
      <c r="W858" s="535"/>
      <c r="X858" s="687"/>
      <c r="Y858" s="687"/>
      <c r="Z858" s="687"/>
      <c r="AA858" s="678"/>
      <c r="AB858" s="543"/>
      <c r="AC858" s="3"/>
      <c r="AD858" s="533"/>
      <c r="AE858" s="3"/>
      <c r="AF858" s="4"/>
      <c r="AG858" s="4"/>
      <c r="AH858" s="4"/>
      <c r="AI858" s="4"/>
      <c r="AJ858" s="4"/>
      <c r="AK858" s="4"/>
      <c r="AL858" s="4"/>
      <c r="AM858" s="4"/>
      <c r="AN858" s="4"/>
      <c r="AO858" s="4"/>
      <c r="AP858" s="4"/>
      <c r="AQ858" s="4"/>
      <c r="AR858" s="4"/>
      <c r="AS858" s="4"/>
      <c r="AT858" s="4"/>
      <c r="AU858" s="4"/>
      <c r="AV858" s="537"/>
      <c r="AW858" s="537"/>
      <c r="AX858" s="4"/>
      <c r="AY858" s="4"/>
      <c r="AZ858" s="4"/>
      <c r="BA858" s="4"/>
      <c r="BB858" s="4"/>
      <c r="BC858" s="4"/>
      <c r="BD858" s="4"/>
      <c r="BE858" s="4"/>
      <c r="BF858" s="4"/>
      <c r="BG858" s="4"/>
      <c r="BH858" s="4"/>
      <c r="BI858" s="4"/>
      <c r="BJ858" s="4"/>
      <c r="BK858" s="4"/>
      <c r="BL858" s="4"/>
      <c r="BM858" s="4"/>
      <c r="BN858" s="4"/>
      <c r="BO858" s="4"/>
      <c r="BP858" s="4"/>
      <c r="BQ858" s="4"/>
      <c r="BR858" s="4"/>
    </row>
    <row r="859" spans="1:70" ht="27" customHeight="1" x14ac:dyDescent="0.2">
      <c r="A859" s="532"/>
      <c r="B859" s="917"/>
      <c r="C859" s="4"/>
      <c r="D859" s="917"/>
      <c r="E859" s="4"/>
      <c r="F859" s="917"/>
      <c r="G859" s="4"/>
      <c r="H859" s="920"/>
      <c r="I859" s="3"/>
      <c r="J859" s="920"/>
      <c r="K859" s="3"/>
      <c r="L859" s="920"/>
      <c r="M859" s="3"/>
      <c r="N859" s="920"/>
      <c r="O859" s="3"/>
      <c r="P859" s="3"/>
      <c r="Q859" s="533"/>
      <c r="R859" s="920"/>
      <c r="S859" s="534"/>
      <c r="T859" s="920"/>
      <c r="U859" s="920"/>
      <c r="V859" s="920"/>
      <c r="W859" s="535"/>
      <c r="X859" s="687"/>
      <c r="Y859" s="687"/>
      <c r="Z859" s="687"/>
      <c r="AA859" s="678"/>
      <c r="AB859" s="543"/>
      <c r="AC859" s="3"/>
      <c r="AD859" s="533"/>
      <c r="AE859" s="3"/>
      <c r="AF859" s="4"/>
      <c r="AG859" s="4"/>
      <c r="AH859" s="4"/>
      <c r="AI859" s="4"/>
      <c r="AJ859" s="4"/>
      <c r="AK859" s="4"/>
      <c r="AL859" s="4"/>
      <c r="AM859" s="4"/>
      <c r="AN859" s="4"/>
      <c r="AO859" s="4"/>
      <c r="AP859" s="4"/>
      <c r="AQ859" s="4"/>
      <c r="AR859" s="4"/>
      <c r="AS859" s="4"/>
      <c r="AT859" s="4"/>
      <c r="AU859" s="4"/>
      <c r="AV859" s="537"/>
      <c r="AW859" s="537"/>
      <c r="AX859" s="4"/>
      <c r="AY859" s="4"/>
      <c r="AZ859" s="4"/>
      <c r="BA859" s="4"/>
      <c r="BB859" s="4"/>
      <c r="BC859" s="4"/>
      <c r="BD859" s="4"/>
      <c r="BE859" s="4"/>
      <c r="BF859" s="4"/>
      <c r="BG859" s="4"/>
      <c r="BH859" s="4"/>
      <c r="BI859" s="4"/>
      <c r="BJ859" s="4"/>
      <c r="BK859" s="4"/>
      <c r="BL859" s="4"/>
      <c r="BM859" s="4"/>
      <c r="BN859" s="4"/>
      <c r="BO859" s="4"/>
      <c r="BP859" s="4"/>
      <c r="BQ859" s="4"/>
      <c r="BR859" s="4"/>
    </row>
    <row r="860" spans="1:70" ht="27" customHeight="1" x14ac:dyDescent="0.2">
      <c r="A860" s="532"/>
      <c r="B860" s="917"/>
      <c r="C860" s="4"/>
      <c r="D860" s="917"/>
      <c r="E860" s="4"/>
      <c r="F860" s="917"/>
      <c r="G860" s="4"/>
      <c r="H860" s="920"/>
      <c r="I860" s="3"/>
      <c r="J860" s="920"/>
      <c r="K860" s="3"/>
      <c r="L860" s="920"/>
      <c r="M860" s="3"/>
      <c r="N860" s="920"/>
      <c r="O860" s="3"/>
      <c r="P860" s="3"/>
      <c r="Q860" s="533"/>
      <c r="R860" s="920"/>
      <c r="S860" s="534"/>
      <c r="T860" s="920"/>
      <c r="U860" s="920"/>
      <c r="V860" s="920"/>
      <c r="W860" s="535"/>
      <c r="X860" s="687"/>
      <c r="Y860" s="687"/>
      <c r="Z860" s="687"/>
      <c r="AA860" s="678"/>
      <c r="AB860" s="543"/>
      <c r="AC860" s="3"/>
      <c r="AD860" s="533"/>
      <c r="AE860" s="3"/>
      <c r="AF860" s="4"/>
      <c r="AG860" s="4"/>
      <c r="AH860" s="4"/>
      <c r="AI860" s="4"/>
      <c r="AJ860" s="4"/>
      <c r="AK860" s="4"/>
      <c r="AL860" s="4"/>
      <c r="AM860" s="4"/>
      <c r="AN860" s="4"/>
      <c r="AO860" s="4"/>
      <c r="AP860" s="4"/>
      <c r="AQ860" s="4"/>
      <c r="AR860" s="4"/>
      <c r="AS860" s="4"/>
      <c r="AT860" s="4"/>
      <c r="AU860" s="4"/>
      <c r="AV860" s="537"/>
      <c r="AW860" s="537"/>
      <c r="AX860" s="4"/>
      <c r="AY860" s="4"/>
      <c r="AZ860" s="4"/>
      <c r="BA860" s="4"/>
      <c r="BB860" s="4"/>
      <c r="BC860" s="4"/>
      <c r="BD860" s="4"/>
      <c r="BE860" s="4"/>
      <c r="BF860" s="4"/>
      <c r="BG860" s="4"/>
      <c r="BH860" s="4"/>
      <c r="BI860" s="4"/>
      <c r="BJ860" s="4"/>
      <c r="BK860" s="4"/>
      <c r="BL860" s="4"/>
      <c r="BM860" s="4"/>
      <c r="BN860" s="4"/>
      <c r="BO860" s="4"/>
      <c r="BP860" s="4"/>
      <c r="BQ860" s="4"/>
      <c r="BR860" s="4"/>
    </row>
    <row r="861" spans="1:70" ht="27" customHeight="1" x14ac:dyDescent="0.2">
      <c r="A861" s="532"/>
      <c r="B861" s="917"/>
      <c r="C861" s="4"/>
      <c r="D861" s="917"/>
      <c r="E861" s="4"/>
      <c r="F861" s="917"/>
      <c r="G861" s="4"/>
      <c r="H861" s="920"/>
      <c r="I861" s="3"/>
      <c r="J861" s="920"/>
      <c r="K861" s="3"/>
      <c r="L861" s="920"/>
      <c r="M861" s="3"/>
      <c r="N861" s="920"/>
      <c r="O861" s="3"/>
      <c r="P861" s="3"/>
      <c r="Q861" s="533"/>
      <c r="R861" s="920"/>
      <c r="S861" s="534"/>
      <c r="T861" s="920"/>
      <c r="U861" s="920"/>
      <c r="V861" s="920"/>
      <c r="W861" s="535"/>
      <c r="X861" s="687"/>
      <c r="Y861" s="687"/>
      <c r="Z861" s="687"/>
      <c r="AA861" s="678"/>
      <c r="AB861" s="543"/>
      <c r="AC861" s="3"/>
      <c r="AD861" s="533"/>
      <c r="AE861" s="3"/>
      <c r="AF861" s="4"/>
      <c r="AG861" s="4"/>
      <c r="AH861" s="4"/>
      <c r="AI861" s="4"/>
      <c r="AJ861" s="4"/>
      <c r="AK861" s="4"/>
      <c r="AL861" s="4"/>
      <c r="AM861" s="4"/>
      <c r="AN861" s="4"/>
      <c r="AO861" s="4"/>
      <c r="AP861" s="4"/>
      <c r="AQ861" s="4"/>
      <c r="AR861" s="4"/>
      <c r="AS861" s="4"/>
      <c r="AT861" s="4"/>
      <c r="AU861" s="4"/>
      <c r="AV861" s="537"/>
      <c r="AW861" s="537"/>
      <c r="AX861" s="4"/>
      <c r="AY861" s="4"/>
      <c r="AZ861" s="4"/>
      <c r="BA861" s="4"/>
      <c r="BB861" s="4"/>
      <c r="BC861" s="4"/>
      <c r="BD861" s="4"/>
      <c r="BE861" s="4"/>
      <c r="BF861" s="4"/>
      <c r="BG861" s="4"/>
      <c r="BH861" s="4"/>
      <c r="BI861" s="4"/>
      <c r="BJ861" s="4"/>
      <c r="BK861" s="4"/>
      <c r="BL861" s="4"/>
      <c r="BM861" s="4"/>
      <c r="BN861" s="4"/>
      <c r="BO861" s="4"/>
      <c r="BP861" s="4"/>
      <c r="BQ861" s="4"/>
      <c r="BR861" s="4"/>
    </row>
    <row r="862" spans="1:70" ht="27" customHeight="1" x14ac:dyDescent="0.2">
      <c r="A862" s="532"/>
      <c r="B862" s="917"/>
      <c r="C862" s="4"/>
      <c r="D862" s="917"/>
      <c r="E862" s="4"/>
      <c r="F862" s="917"/>
      <c r="G862" s="4"/>
      <c r="H862" s="920"/>
      <c r="I862" s="3"/>
      <c r="J862" s="920"/>
      <c r="K862" s="3"/>
      <c r="L862" s="920"/>
      <c r="M862" s="3"/>
      <c r="N862" s="920"/>
      <c r="O862" s="3"/>
      <c r="P862" s="3"/>
      <c r="Q862" s="533"/>
      <c r="R862" s="920"/>
      <c r="S862" s="534"/>
      <c r="T862" s="920"/>
      <c r="U862" s="920"/>
      <c r="V862" s="920"/>
      <c r="W862" s="535"/>
      <c r="X862" s="687"/>
      <c r="Y862" s="687"/>
      <c r="Z862" s="687"/>
      <c r="AA862" s="678"/>
      <c r="AB862" s="543"/>
      <c r="AC862" s="3"/>
      <c r="AD862" s="533"/>
      <c r="AE862" s="3"/>
      <c r="AF862" s="4"/>
      <c r="AG862" s="4"/>
      <c r="AH862" s="4"/>
      <c r="AI862" s="4"/>
      <c r="AJ862" s="4"/>
      <c r="AK862" s="4"/>
      <c r="AL862" s="4"/>
      <c r="AM862" s="4"/>
      <c r="AN862" s="4"/>
      <c r="AO862" s="4"/>
      <c r="AP862" s="4"/>
      <c r="AQ862" s="4"/>
      <c r="AR862" s="4"/>
      <c r="AS862" s="4"/>
      <c r="AT862" s="4"/>
      <c r="AU862" s="4"/>
      <c r="AV862" s="537"/>
      <c r="AW862" s="537"/>
      <c r="AX862" s="4"/>
      <c r="AY862" s="4"/>
      <c r="AZ862" s="4"/>
      <c r="BA862" s="4"/>
      <c r="BB862" s="4"/>
      <c r="BC862" s="4"/>
      <c r="BD862" s="4"/>
      <c r="BE862" s="4"/>
      <c r="BF862" s="4"/>
      <c r="BG862" s="4"/>
      <c r="BH862" s="4"/>
      <c r="BI862" s="4"/>
      <c r="BJ862" s="4"/>
      <c r="BK862" s="4"/>
      <c r="BL862" s="4"/>
      <c r="BM862" s="4"/>
      <c r="BN862" s="4"/>
      <c r="BO862" s="4"/>
      <c r="BP862" s="4"/>
      <c r="BQ862" s="4"/>
      <c r="BR862" s="4"/>
    </row>
    <row r="863" spans="1:70" ht="27" customHeight="1" x14ac:dyDescent="0.2">
      <c r="A863" s="532"/>
      <c r="B863" s="917"/>
      <c r="C863" s="4"/>
      <c r="D863" s="917"/>
      <c r="E863" s="4"/>
      <c r="F863" s="917"/>
      <c r="G863" s="4"/>
      <c r="H863" s="920"/>
      <c r="I863" s="3"/>
      <c r="J863" s="920"/>
      <c r="K863" s="3"/>
      <c r="L863" s="920"/>
      <c r="M863" s="3"/>
      <c r="N863" s="920"/>
      <c r="O863" s="3"/>
      <c r="P863" s="3"/>
      <c r="Q863" s="533"/>
      <c r="R863" s="920"/>
      <c r="S863" s="534"/>
      <c r="T863" s="920"/>
      <c r="U863" s="920"/>
      <c r="V863" s="920"/>
      <c r="W863" s="535"/>
      <c r="X863" s="687"/>
      <c r="Y863" s="687"/>
      <c r="Z863" s="687"/>
      <c r="AA863" s="678"/>
      <c r="AB863" s="543"/>
      <c r="AC863" s="3"/>
      <c r="AD863" s="533"/>
      <c r="AE863" s="3"/>
      <c r="AF863" s="4"/>
      <c r="AG863" s="4"/>
      <c r="AH863" s="4"/>
      <c r="AI863" s="4"/>
      <c r="AJ863" s="4"/>
      <c r="AK863" s="4"/>
      <c r="AL863" s="4"/>
      <c r="AM863" s="4"/>
      <c r="AN863" s="4"/>
      <c r="AO863" s="4"/>
      <c r="AP863" s="4"/>
      <c r="AQ863" s="4"/>
      <c r="AR863" s="4"/>
      <c r="AS863" s="4"/>
      <c r="AT863" s="4"/>
      <c r="AU863" s="4"/>
      <c r="AV863" s="537"/>
      <c r="AW863" s="537"/>
      <c r="AX863" s="4"/>
      <c r="AY863" s="4"/>
      <c r="AZ863" s="4"/>
      <c r="BA863" s="4"/>
      <c r="BB863" s="4"/>
      <c r="BC863" s="4"/>
      <c r="BD863" s="4"/>
      <c r="BE863" s="4"/>
      <c r="BF863" s="4"/>
      <c r="BG863" s="4"/>
      <c r="BH863" s="4"/>
      <c r="BI863" s="4"/>
      <c r="BJ863" s="4"/>
      <c r="BK863" s="4"/>
      <c r="BL863" s="4"/>
      <c r="BM863" s="4"/>
      <c r="BN863" s="4"/>
      <c r="BO863" s="4"/>
      <c r="BP863" s="4"/>
      <c r="BQ863" s="4"/>
      <c r="BR863" s="4"/>
    </row>
    <row r="864" spans="1:70" ht="27" customHeight="1" x14ac:dyDescent="0.2">
      <c r="A864" s="532"/>
      <c r="B864" s="917"/>
      <c r="C864" s="4"/>
      <c r="D864" s="917"/>
      <c r="E864" s="4"/>
      <c r="F864" s="917"/>
      <c r="G864" s="4"/>
      <c r="H864" s="920"/>
      <c r="I864" s="3"/>
      <c r="J864" s="920"/>
      <c r="K864" s="3"/>
      <c r="L864" s="920"/>
      <c r="M864" s="3"/>
      <c r="N864" s="920"/>
      <c r="O864" s="3"/>
      <c r="P864" s="3"/>
      <c r="Q864" s="533"/>
      <c r="R864" s="920"/>
      <c r="S864" s="534"/>
      <c r="T864" s="920"/>
      <c r="U864" s="920"/>
      <c r="V864" s="920"/>
      <c r="W864" s="535"/>
      <c r="X864" s="687"/>
      <c r="Y864" s="687"/>
      <c r="Z864" s="687"/>
      <c r="AA864" s="678"/>
      <c r="AB864" s="543"/>
      <c r="AC864" s="3"/>
      <c r="AD864" s="533"/>
      <c r="AE864" s="3"/>
      <c r="AF864" s="4"/>
      <c r="AG864" s="4"/>
      <c r="AH864" s="4"/>
      <c r="AI864" s="4"/>
      <c r="AJ864" s="4"/>
      <c r="AK864" s="4"/>
      <c r="AL864" s="4"/>
      <c r="AM864" s="4"/>
      <c r="AN864" s="4"/>
      <c r="AO864" s="4"/>
      <c r="AP864" s="4"/>
      <c r="AQ864" s="4"/>
      <c r="AR864" s="4"/>
      <c r="AS864" s="4"/>
      <c r="AT864" s="4"/>
      <c r="AU864" s="4"/>
      <c r="AV864" s="537"/>
      <c r="AW864" s="537"/>
      <c r="AX864" s="4"/>
      <c r="AY864" s="4"/>
      <c r="AZ864" s="4"/>
      <c r="BA864" s="4"/>
      <c r="BB864" s="4"/>
      <c r="BC864" s="4"/>
      <c r="BD864" s="4"/>
      <c r="BE864" s="4"/>
      <c r="BF864" s="4"/>
      <c r="BG864" s="4"/>
      <c r="BH864" s="4"/>
      <c r="BI864" s="4"/>
      <c r="BJ864" s="4"/>
      <c r="BK864" s="4"/>
      <c r="BL864" s="4"/>
      <c r="BM864" s="4"/>
      <c r="BN864" s="4"/>
      <c r="BO864" s="4"/>
      <c r="BP864" s="4"/>
      <c r="BQ864" s="4"/>
      <c r="BR864" s="4"/>
    </row>
    <row r="865" spans="1:70" ht="27" customHeight="1" x14ac:dyDescent="0.2">
      <c r="A865" s="532"/>
      <c r="B865" s="917"/>
      <c r="C865" s="4"/>
      <c r="D865" s="917"/>
      <c r="E865" s="4"/>
      <c r="F865" s="917"/>
      <c r="G865" s="4"/>
      <c r="H865" s="920"/>
      <c r="I865" s="3"/>
      <c r="J865" s="920"/>
      <c r="K865" s="3"/>
      <c r="L865" s="920"/>
      <c r="M865" s="3"/>
      <c r="N865" s="920"/>
      <c r="O865" s="3"/>
      <c r="P865" s="3"/>
      <c r="Q865" s="533"/>
      <c r="R865" s="920"/>
      <c r="S865" s="534"/>
      <c r="T865" s="920"/>
      <c r="U865" s="920"/>
      <c r="V865" s="920"/>
      <c r="W865" s="535"/>
      <c r="X865" s="687"/>
      <c r="Y865" s="687"/>
      <c r="Z865" s="687"/>
      <c r="AA865" s="678"/>
      <c r="AB865" s="543"/>
      <c r="AC865" s="3"/>
      <c r="AD865" s="533"/>
      <c r="AE865" s="3"/>
      <c r="AF865" s="4"/>
      <c r="AG865" s="4"/>
      <c r="AH865" s="4"/>
      <c r="AI865" s="4"/>
      <c r="AJ865" s="4"/>
      <c r="AK865" s="4"/>
      <c r="AL865" s="4"/>
      <c r="AM865" s="4"/>
      <c r="AN865" s="4"/>
      <c r="AO865" s="4"/>
      <c r="AP865" s="4"/>
      <c r="AQ865" s="4"/>
      <c r="AR865" s="4"/>
      <c r="AS865" s="4"/>
      <c r="AT865" s="4"/>
      <c r="AU865" s="4"/>
      <c r="AV865" s="537"/>
      <c r="AW865" s="537"/>
      <c r="AX865" s="4"/>
      <c r="AY865" s="4"/>
      <c r="AZ865" s="4"/>
      <c r="BA865" s="4"/>
      <c r="BB865" s="4"/>
      <c r="BC865" s="4"/>
      <c r="BD865" s="4"/>
      <c r="BE865" s="4"/>
      <c r="BF865" s="4"/>
      <c r="BG865" s="4"/>
      <c r="BH865" s="4"/>
      <c r="BI865" s="4"/>
      <c r="BJ865" s="4"/>
      <c r="BK865" s="4"/>
      <c r="BL865" s="4"/>
      <c r="BM865" s="4"/>
      <c r="BN865" s="4"/>
      <c r="BO865" s="4"/>
      <c r="BP865" s="4"/>
      <c r="BQ865" s="4"/>
      <c r="BR865" s="4"/>
    </row>
    <row r="866" spans="1:70" ht="27" customHeight="1" x14ac:dyDescent="0.2">
      <c r="A866" s="532"/>
      <c r="B866" s="917"/>
      <c r="C866" s="4"/>
      <c r="D866" s="917"/>
      <c r="E866" s="4"/>
      <c r="F866" s="917"/>
      <c r="G866" s="4"/>
      <c r="H866" s="920"/>
      <c r="I866" s="3"/>
      <c r="J866" s="920"/>
      <c r="K866" s="3"/>
      <c r="L866" s="920"/>
      <c r="M866" s="3"/>
      <c r="N866" s="920"/>
      <c r="O866" s="3"/>
      <c r="P866" s="3"/>
      <c r="Q866" s="533"/>
      <c r="R866" s="920"/>
      <c r="S866" s="534"/>
      <c r="T866" s="920"/>
      <c r="U866" s="920"/>
      <c r="V866" s="920"/>
      <c r="W866" s="535"/>
      <c r="X866" s="687"/>
      <c r="Y866" s="687"/>
      <c r="Z866" s="687"/>
      <c r="AA866" s="678"/>
      <c r="AB866" s="543"/>
      <c r="AC866" s="3"/>
      <c r="AD866" s="533"/>
      <c r="AE866" s="3"/>
      <c r="AF866" s="4"/>
      <c r="AG866" s="4"/>
      <c r="AH866" s="4"/>
      <c r="AI866" s="4"/>
      <c r="AJ866" s="4"/>
      <c r="AK866" s="4"/>
      <c r="AL866" s="4"/>
      <c r="AM866" s="4"/>
      <c r="AN866" s="4"/>
      <c r="AO866" s="4"/>
      <c r="AP866" s="4"/>
      <c r="AQ866" s="4"/>
      <c r="AR866" s="4"/>
      <c r="AS866" s="4"/>
      <c r="AT866" s="4"/>
      <c r="AU866" s="4"/>
      <c r="AV866" s="537"/>
      <c r="AW866" s="537"/>
      <c r="AX866" s="4"/>
      <c r="AY866" s="4"/>
      <c r="AZ866" s="4"/>
      <c r="BA866" s="4"/>
      <c r="BB866" s="4"/>
      <c r="BC866" s="4"/>
      <c r="BD866" s="4"/>
      <c r="BE866" s="4"/>
      <c r="BF866" s="4"/>
      <c r="BG866" s="4"/>
      <c r="BH866" s="4"/>
      <c r="BI866" s="4"/>
      <c r="BJ866" s="4"/>
      <c r="BK866" s="4"/>
      <c r="BL866" s="4"/>
      <c r="BM866" s="4"/>
      <c r="BN866" s="4"/>
      <c r="BO866" s="4"/>
      <c r="BP866" s="4"/>
      <c r="BQ866" s="4"/>
      <c r="BR866" s="4"/>
    </row>
    <row r="867" spans="1:70" ht="27" customHeight="1" x14ac:dyDescent="0.2">
      <c r="A867" s="532"/>
      <c r="B867" s="917"/>
      <c r="C867" s="4"/>
      <c r="D867" s="917"/>
      <c r="E867" s="4"/>
      <c r="F867" s="917"/>
      <c r="G867" s="4"/>
      <c r="H867" s="920"/>
      <c r="I867" s="3"/>
      <c r="J867" s="920"/>
      <c r="K867" s="3"/>
      <c r="L867" s="920"/>
      <c r="M867" s="3"/>
      <c r="N867" s="920"/>
      <c r="O867" s="3"/>
      <c r="P867" s="3"/>
      <c r="Q867" s="533"/>
      <c r="R867" s="920"/>
      <c r="S867" s="534"/>
      <c r="T867" s="920"/>
      <c r="U867" s="920"/>
      <c r="V867" s="920"/>
      <c r="W867" s="535"/>
      <c r="X867" s="687"/>
      <c r="Y867" s="687"/>
      <c r="Z867" s="687"/>
      <c r="AA867" s="678"/>
      <c r="AB867" s="543"/>
      <c r="AC867" s="3"/>
      <c r="AD867" s="533"/>
      <c r="AE867" s="3"/>
      <c r="AF867" s="4"/>
      <c r="AG867" s="4"/>
      <c r="AH867" s="4"/>
      <c r="AI867" s="4"/>
      <c r="AJ867" s="4"/>
      <c r="AK867" s="4"/>
      <c r="AL867" s="4"/>
      <c r="AM867" s="4"/>
      <c r="AN867" s="4"/>
      <c r="AO867" s="4"/>
      <c r="AP867" s="4"/>
      <c r="AQ867" s="4"/>
      <c r="AR867" s="4"/>
      <c r="AS867" s="4"/>
      <c r="AT867" s="4"/>
      <c r="AU867" s="4"/>
      <c r="AV867" s="537"/>
      <c r="AW867" s="537"/>
      <c r="AX867" s="4"/>
      <c r="AY867" s="4"/>
      <c r="AZ867" s="4"/>
      <c r="BA867" s="4"/>
      <c r="BB867" s="4"/>
      <c r="BC867" s="4"/>
      <c r="BD867" s="4"/>
      <c r="BE867" s="4"/>
      <c r="BF867" s="4"/>
      <c r="BG867" s="4"/>
      <c r="BH867" s="4"/>
      <c r="BI867" s="4"/>
      <c r="BJ867" s="4"/>
      <c r="BK867" s="4"/>
      <c r="BL867" s="4"/>
      <c r="BM867" s="4"/>
      <c r="BN867" s="4"/>
      <c r="BO867" s="4"/>
      <c r="BP867" s="4"/>
      <c r="BQ867" s="4"/>
      <c r="BR867" s="4"/>
    </row>
    <row r="868" spans="1:70" ht="27" customHeight="1" x14ac:dyDescent="0.2">
      <c r="A868" s="532"/>
      <c r="B868" s="917"/>
      <c r="C868" s="4"/>
      <c r="D868" s="917"/>
      <c r="E868" s="4"/>
      <c r="F868" s="917"/>
      <c r="G868" s="4"/>
      <c r="H868" s="920"/>
      <c r="I868" s="3"/>
      <c r="J868" s="920"/>
      <c r="K868" s="3"/>
      <c r="L868" s="920"/>
      <c r="M868" s="3"/>
      <c r="N868" s="920"/>
      <c r="O868" s="3"/>
      <c r="P868" s="3"/>
      <c r="Q868" s="533"/>
      <c r="R868" s="920"/>
      <c r="S868" s="534"/>
      <c r="T868" s="920"/>
      <c r="U868" s="920"/>
      <c r="V868" s="920"/>
      <c r="W868" s="535"/>
      <c r="X868" s="687"/>
      <c r="Y868" s="687"/>
      <c r="Z868" s="687"/>
      <c r="AA868" s="678"/>
      <c r="AB868" s="543"/>
      <c r="AC868" s="3"/>
      <c r="AD868" s="533"/>
      <c r="AE868" s="3"/>
      <c r="AF868" s="4"/>
      <c r="AG868" s="4"/>
      <c r="AH868" s="4"/>
      <c r="AI868" s="4"/>
      <c r="AJ868" s="4"/>
      <c r="AK868" s="4"/>
      <c r="AL868" s="4"/>
      <c r="AM868" s="4"/>
      <c r="AN868" s="4"/>
      <c r="AO868" s="4"/>
      <c r="AP868" s="4"/>
      <c r="AQ868" s="4"/>
      <c r="AR868" s="4"/>
      <c r="AS868" s="4"/>
      <c r="AT868" s="4"/>
      <c r="AU868" s="4"/>
      <c r="AV868" s="537"/>
      <c r="AW868" s="537"/>
      <c r="AX868" s="4"/>
      <c r="AY868" s="4"/>
      <c r="AZ868" s="4"/>
      <c r="BA868" s="4"/>
      <c r="BB868" s="4"/>
      <c r="BC868" s="4"/>
      <c r="BD868" s="4"/>
      <c r="BE868" s="4"/>
      <c r="BF868" s="4"/>
      <c r="BG868" s="4"/>
      <c r="BH868" s="4"/>
      <c r="BI868" s="4"/>
      <c r="BJ868" s="4"/>
      <c r="BK868" s="4"/>
      <c r="BL868" s="4"/>
      <c r="BM868" s="4"/>
      <c r="BN868" s="4"/>
      <c r="BO868" s="4"/>
      <c r="BP868" s="4"/>
      <c r="BQ868" s="4"/>
      <c r="BR868" s="4"/>
    </row>
    <row r="869" spans="1:70" ht="27" customHeight="1" x14ac:dyDescent="0.2">
      <c r="A869" s="532"/>
      <c r="B869" s="917"/>
      <c r="C869" s="4"/>
      <c r="D869" s="917"/>
      <c r="E869" s="4"/>
      <c r="F869" s="917"/>
      <c r="G869" s="4"/>
      <c r="H869" s="920"/>
      <c r="I869" s="3"/>
      <c r="J869" s="920"/>
      <c r="K869" s="3"/>
      <c r="L869" s="920"/>
      <c r="M869" s="3"/>
      <c r="N869" s="920"/>
      <c r="O869" s="3"/>
      <c r="P869" s="3"/>
      <c r="Q869" s="533"/>
      <c r="R869" s="920"/>
      <c r="S869" s="534"/>
      <c r="T869" s="920"/>
      <c r="U869" s="920"/>
      <c r="V869" s="920"/>
      <c r="W869" s="535"/>
      <c r="X869" s="687"/>
      <c r="Y869" s="687"/>
      <c r="Z869" s="687"/>
      <c r="AA869" s="678"/>
      <c r="AB869" s="543"/>
      <c r="AC869" s="3"/>
      <c r="AD869" s="533"/>
      <c r="AE869" s="3"/>
      <c r="AF869" s="4"/>
      <c r="AG869" s="4"/>
      <c r="AH869" s="4"/>
      <c r="AI869" s="4"/>
      <c r="AJ869" s="4"/>
      <c r="AK869" s="4"/>
      <c r="AL869" s="4"/>
      <c r="AM869" s="4"/>
      <c r="AN869" s="4"/>
      <c r="AO869" s="4"/>
      <c r="AP869" s="4"/>
      <c r="AQ869" s="4"/>
      <c r="AR869" s="4"/>
      <c r="AS869" s="4"/>
      <c r="AT869" s="4"/>
      <c r="AU869" s="4"/>
      <c r="AV869" s="537"/>
      <c r="AW869" s="537"/>
      <c r="AX869" s="4"/>
      <c r="AY869" s="4"/>
      <c r="AZ869" s="4"/>
      <c r="BA869" s="4"/>
      <c r="BB869" s="4"/>
      <c r="BC869" s="4"/>
      <c r="BD869" s="4"/>
      <c r="BE869" s="4"/>
      <c r="BF869" s="4"/>
      <c r="BG869" s="4"/>
      <c r="BH869" s="4"/>
      <c r="BI869" s="4"/>
      <c r="BJ869" s="4"/>
      <c r="BK869" s="4"/>
      <c r="BL869" s="4"/>
      <c r="BM869" s="4"/>
      <c r="BN869" s="4"/>
      <c r="BO869" s="4"/>
      <c r="BP869" s="4"/>
      <c r="BQ869" s="4"/>
      <c r="BR869" s="4"/>
    </row>
    <row r="870" spans="1:70" ht="27" customHeight="1" x14ac:dyDescent="0.2">
      <c r="A870" s="532"/>
      <c r="B870" s="917"/>
      <c r="C870" s="4"/>
      <c r="D870" s="917"/>
      <c r="E870" s="4"/>
      <c r="F870" s="917"/>
      <c r="G870" s="4"/>
      <c r="H870" s="920"/>
      <c r="I870" s="3"/>
      <c r="J870" s="920"/>
      <c r="K870" s="3"/>
      <c r="L870" s="920"/>
      <c r="M870" s="3"/>
      <c r="N870" s="920"/>
      <c r="O870" s="3"/>
      <c r="P870" s="3"/>
      <c r="Q870" s="533"/>
      <c r="R870" s="920"/>
      <c r="S870" s="534"/>
      <c r="T870" s="920"/>
      <c r="U870" s="920"/>
      <c r="V870" s="920"/>
      <c r="W870" s="535"/>
      <c r="X870" s="687"/>
      <c r="Y870" s="687"/>
      <c r="Z870" s="687"/>
      <c r="AA870" s="678"/>
      <c r="AB870" s="543"/>
      <c r="AC870" s="3"/>
      <c r="AD870" s="533"/>
      <c r="AE870" s="3"/>
      <c r="AF870" s="4"/>
      <c r="AG870" s="4"/>
      <c r="AH870" s="4"/>
      <c r="AI870" s="4"/>
      <c r="AJ870" s="4"/>
      <c r="AK870" s="4"/>
      <c r="AL870" s="4"/>
      <c r="AM870" s="4"/>
      <c r="AN870" s="4"/>
      <c r="AO870" s="4"/>
      <c r="AP870" s="4"/>
      <c r="AQ870" s="4"/>
      <c r="AR870" s="4"/>
      <c r="AS870" s="4"/>
      <c r="AT870" s="4"/>
      <c r="AU870" s="4"/>
      <c r="AV870" s="537"/>
      <c r="AW870" s="537"/>
      <c r="AX870" s="4"/>
      <c r="AY870" s="4"/>
      <c r="AZ870" s="4"/>
      <c r="BA870" s="4"/>
      <c r="BB870" s="4"/>
      <c r="BC870" s="4"/>
      <c r="BD870" s="4"/>
      <c r="BE870" s="4"/>
      <c r="BF870" s="4"/>
      <c r="BG870" s="4"/>
      <c r="BH870" s="4"/>
      <c r="BI870" s="4"/>
      <c r="BJ870" s="4"/>
      <c r="BK870" s="4"/>
      <c r="BL870" s="4"/>
      <c r="BM870" s="4"/>
      <c r="BN870" s="4"/>
      <c r="BO870" s="4"/>
      <c r="BP870" s="4"/>
      <c r="BQ870" s="4"/>
      <c r="BR870" s="4"/>
    </row>
    <row r="871" spans="1:70" ht="27" customHeight="1" x14ac:dyDescent="0.2">
      <c r="A871" s="532"/>
      <c r="B871" s="917"/>
      <c r="C871" s="4"/>
      <c r="D871" s="917"/>
      <c r="E871" s="4"/>
      <c r="F871" s="917"/>
      <c r="G871" s="4"/>
      <c r="H871" s="920"/>
      <c r="I871" s="3"/>
      <c r="J871" s="920"/>
      <c r="K871" s="3"/>
      <c r="L871" s="920"/>
      <c r="M871" s="3"/>
      <c r="N871" s="920"/>
      <c r="O871" s="3"/>
      <c r="P871" s="3"/>
      <c r="Q871" s="533"/>
      <c r="R871" s="920"/>
      <c r="S871" s="534"/>
      <c r="T871" s="920"/>
      <c r="U871" s="920"/>
      <c r="V871" s="920"/>
      <c r="W871" s="535"/>
      <c r="X871" s="687"/>
      <c r="Y871" s="687"/>
      <c r="Z871" s="687"/>
      <c r="AA871" s="678"/>
      <c r="AB871" s="543"/>
      <c r="AC871" s="3"/>
      <c r="AD871" s="533"/>
      <c r="AE871" s="3"/>
      <c r="AF871" s="4"/>
      <c r="AG871" s="4"/>
      <c r="AH871" s="4"/>
      <c r="AI871" s="4"/>
      <c r="AJ871" s="4"/>
      <c r="AK871" s="4"/>
      <c r="AL871" s="4"/>
      <c r="AM871" s="4"/>
      <c r="AN871" s="4"/>
      <c r="AO871" s="4"/>
      <c r="AP871" s="4"/>
      <c r="AQ871" s="4"/>
      <c r="AR871" s="4"/>
      <c r="AS871" s="4"/>
      <c r="AT871" s="4"/>
      <c r="AU871" s="4"/>
      <c r="AV871" s="537"/>
      <c r="AW871" s="537"/>
      <c r="AX871" s="4"/>
      <c r="AY871" s="4"/>
      <c r="AZ871" s="4"/>
      <c r="BA871" s="4"/>
      <c r="BB871" s="4"/>
      <c r="BC871" s="4"/>
      <c r="BD871" s="4"/>
      <c r="BE871" s="4"/>
      <c r="BF871" s="4"/>
      <c r="BG871" s="4"/>
      <c r="BH871" s="4"/>
      <c r="BI871" s="4"/>
      <c r="BJ871" s="4"/>
      <c r="BK871" s="4"/>
      <c r="BL871" s="4"/>
      <c r="BM871" s="4"/>
      <c r="BN871" s="4"/>
      <c r="BO871" s="4"/>
      <c r="BP871" s="4"/>
      <c r="BQ871" s="4"/>
      <c r="BR871" s="4"/>
    </row>
    <row r="872" spans="1:70" ht="27" customHeight="1" x14ac:dyDescent="0.2">
      <c r="A872" s="532"/>
      <c r="B872" s="917"/>
      <c r="C872" s="4"/>
      <c r="D872" s="917"/>
      <c r="E872" s="4"/>
      <c r="F872" s="917"/>
      <c r="G872" s="4"/>
      <c r="H872" s="920"/>
      <c r="I872" s="3"/>
      <c r="J872" s="920"/>
      <c r="K872" s="3"/>
      <c r="L872" s="920"/>
      <c r="M872" s="3"/>
      <c r="N872" s="920"/>
      <c r="O872" s="3"/>
      <c r="P872" s="3"/>
      <c r="Q872" s="533"/>
      <c r="R872" s="920"/>
      <c r="S872" s="534"/>
      <c r="T872" s="920"/>
      <c r="U872" s="920"/>
      <c r="V872" s="920"/>
      <c r="W872" s="535"/>
      <c r="X872" s="687"/>
      <c r="Y872" s="687"/>
      <c r="Z872" s="687"/>
      <c r="AA872" s="678"/>
      <c r="AB872" s="543"/>
      <c r="AC872" s="3"/>
      <c r="AD872" s="533"/>
      <c r="AE872" s="3"/>
      <c r="AF872" s="4"/>
      <c r="AG872" s="4"/>
      <c r="AH872" s="4"/>
      <c r="AI872" s="4"/>
      <c r="AJ872" s="4"/>
      <c r="AK872" s="4"/>
      <c r="AL872" s="4"/>
      <c r="AM872" s="4"/>
      <c r="AN872" s="4"/>
      <c r="AO872" s="4"/>
      <c r="AP872" s="4"/>
      <c r="AQ872" s="4"/>
      <c r="AR872" s="4"/>
      <c r="AS872" s="4"/>
      <c r="AT872" s="4"/>
      <c r="AU872" s="4"/>
      <c r="AV872" s="537"/>
      <c r="AW872" s="537"/>
      <c r="AX872" s="4"/>
      <c r="AY872" s="4"/>
      <c r="AZ872" s="4"/>
      <c r="BA872" s="4"/>
      <c r="BB872" s="4"/>
      <c r="BC872" s="4"/>
      <c r="BD872" s="4"/>
      <c r="BE872" s="4"/>
      <c r="BF872" s="4"/>
      <c r="BG872" s="4"/>
      <c r="BH872" s="4"/>
      <c r="BI872" s="4"/>
      <c r="BJ872" s="4"/>
      <c r="BK872" s="4"/>
      <c r="BL872" s="4"/>
      <c r="BM872" s="4"/>
      <c r="BN872" s="4"/>
      <c r="BO872" s="4"/>
      <c r="BP872" s="4"/>
      <c r="BQ872" s="4"/>
      <c r="BR872" s="4"/>
    </row>
    <row r="873" spans="1:70" ht="27" customHeight="1" x14ac:dyDescent="0.2">
      <c r="A873" s="532"/>
      <c r="B873" s="917"/>
      <c r="C873" s="4"/>
      <c r="D873" s="917"/>
      <c r="E873" s="4"/>
      <c r="F873" s="917"/>
      <c r="G873" s="4"/>
      <c r="H873" s="920"/>
      <c r="I873" s="3"/>
      <c r="J873" s="920"/>
      <c r="K873" s="3"/>
      <c r="L873" s="920"/>
      <c r="M873" s="3"/>
      <c r="N873" s="920"/>
      <c r="O873" s="3"/>
      <c r="P873" s="3"/>
      <c r="Q873" s="533"/>
      <c r="R873" s="920"/>
      <c r="S873" s="534"/>
      <c r="T873" s="920"/>
      <c r="U873" s="920"/>
      <c r="V873" s="920"/>
      <c r="W873" s="535"/>
      <c r="X873" s="687"/>
      <c r="Y873" s="687"/>
      <c r="Z873" s="687"/>
      <c r="AA873" s="678"/>
      <c r="AB873" s="543"/>
      <c r="AC873" s="3"/>
      <c r="AD873" s="533"/>
      <c r="AE873" s="3"/>
      <c r="AF873" s="4"/>
      <c r="AG873" s="4"/>
      <c r="AH873" s="4"/>
      <c r="AI873" s="4"/>
      <c r="AJ873" s="4"/>
      <c r="AK873" s="4"/>
      <c r="AL873" s="4"/>
      <c r="AM873" s="4"/>
      <c r="AN873" s="4"/>
      <c r="AO873" s="4"/>
      <c r="AP873" s="4"/>
      <c r="AQ873" s="4"/>
      <c r="AR873" s="4"/>
      <c r="AS873" s="4"/>
      <c r="AT873" s="4"/>
      <c r="AU873" s="4"/>
      <c r="AV873" s="537"/>
      <c r="AW873" s="537"/>
      <c r="AX873" s="4"/>
      <c r="AY873" s="4"/>
      <c r="AZ873" s="4"/>
      <c r="BA873" s="4"/>
      <c r="BB873" s="4"/>
      <c r="BC873" s="4"/>
      <c r="BD873" s="4"/>
      <c r="BE873" s="4"/>
      <c r="BF873" s="4"/>
      <c r="BG873" s="4"/>
      <c r="BH873" s="4"/>
      <c r="BI873" s="4"/>
      <c r="BJ873" s="4"/>
      <c r="BK873" s="4"/>
      <c r="BL873" s="4"/>
      <c r="BM873" s="4"/>
      <c r="BN873" s="4"/>
      <c r="BO873" s="4"/>
      <c r="BP873" s="4"/>
      <c r="BQ873" s="4"/>
      <c r="BR873" s="4"/>
    </row>
    <row r="874" spans="1:70" ht="27" customHeight="1" x14ac:dyDescent="0.2">
      <c r="A874" s="532"/>
      <c r="B874" s="917"/>
      <c r="C874" s="4"/>
      <c r="D874" s="917"/>
      <c r="E874" s="4"/>
      <c r="F874" s="917"/>
      <c r="G874" s="4"/>
      <c r="H874" s="920"/>
      <c r="I874" s="3"/>
      <c r="J874" s="920"/>
      <c r="K874" s="3"/>
      <c r="L874" s="920"/>
      <c r="M874" s="3"/>
      <c r="N874" s="920"/>
      <c r="O874" s="3"/>
      <c r="P874" s="3"/>
      <c r="Q874" s="533"/>
      <c r="R874" s="920"/>
      <c r="S874" s="534"/>
      <c r="T874" s="920"/>
      <c r="U874" s="920"/>
      <c r="V874" s="920"/>
      <c r="W874" s="535"/>
      <c r="X874" s="687"/>
      <c r="Y874" s="687"/>
      <c r="Z874" s="687"/>
      <c r="AA874" s="678"/>
      <c r="AB874" s="543"/>
      <c r="AC874" s="3"/>
      <c r="AD874" s="533"/>
      <c r="AE874" s="3"/>
      <c r="AF874" s="4"/>
      <c r="AG874" s="4"/>
      <c r="AH874" s="4"/>
      <c r="AI874" s="4"/>
      <c r="AJ874" s="4"/>
      <c r="AK874" s="4"/>
      <c r="AL874" s="4"/>
      <c r="AM874" s="4"/>
      <c r="AN874" s="4"/>
      <c r="AO874" s="4"/>
      <c r="AP874" s="4"/>
      <c r="AQ874" s="4"/>
      <c r="AR874" s="4"/>
      <c r="AS874" s="4"/>
      <c r="AT874" s="4"/>
      <c r="AU874" s="4"/>
      <c r="AV874" s="537"/>
      <c r="AW874" s="537"/>
      <c r="AX874" s="4"/>
      <c r="AY874" s="4"/>
      <c r="AZ874" s="4"/>
      <c r="BA874" s="4"/>
      <c r="BB874" s="4"/>
      <c r="BC874" s="4"/>
      <c r="BD874" s="4"/>
      <c r="BE874" s="4"/>
      <c r="BF874" s="4"/>
      <c r="BG874" s="4"/>
      <c r="BH874" s="4"/>
      <c r="BI874" s="4"/>
      <c r="BJ874" s="4"/>
      <c r="BK874" s="4"/>
      <c r="BL874" s="4"/>
      <c r="BM874" s="4"/>
      <c r="BN874" s="4"/>
      <c r="BO874" s="4"/>
      <c r="BP874" s="4"/>
      <c r="BQ874" s="4"/>
      <c r="BR874" s="4"/>
    </row>
    <row r="875" spans="1:70" ht="27" customHeight="1" x14ac:dyDescent="0.2">
      <c r="A875" s="532"/>
      <c r="B875" s="917"/>
      <c r="C875" s="4"/>
      <c r="D875" s="917"/>
      <c r="E875" s="4"/>
      <c r="F875" s="917"/>
      <c r="G875" s="4"/>
      <c r="H875" s="920"/>
      <c r="I875" s="3"/>
      <c r="J875" s="920"/>
      <c r="K875" s="3"/>
      <c r="L875" s="920"/>
      <c r="M875" s="3"/>
      <c r="N875" s="920"/>
      <c r="O875" s="3"/>
      <c r="P875" s="3"/>
      <c r="Q875" s="533"/>
      <c r="R875" s="920"/>
      <c r="S875" s="534"/>
      <c r="T875" s="920"/>
      <c r="U875" s="920"/>
      <c r="V875" s="920"/>
      <c r="W875" s="535"/>
      <c r="X875" s="687"/>
      <c r="Y875" s="687"/>
      <c r="Z875" s="687"/>
      <c r="AA875" s="678"/>
      <c r="AB875" s="543"/>
      <c r="AC875" s="3"/>
      <c r="AD875" s="533"/>
      <c r="AE875" s="3"/>
      <c r="AF875" s="4"/>
      <c r="AG875" s="4"/>
      <c r="AH875" s="4"/>
      <c r="AI875" s="4"/>
      <c r="AJ875" s="4"/>
      <c r="AK875" s="4"/>
      <c r="AL875" s="4"/>
      <c r="AM875" s="4"/>
      <c r="AN875" s="4"/>
      <c r="AO875" s="4"/>
      <c r="AP875" s="4"/>
      <c r="AQ875" s="4"/>
      <c r="AR875" s="4"/>
      <c r="AS875" s="4"/>
      <c r="AT875" s="4"/>
      <c r="AU875" s="4"/>
      <c r="AV875" s="537"/>
      <c r="AW875" s="537"/>
      <c r="AX875" s="4"/>
      <c r="AY875" s="4"/>
      <c r="AZ875" s="4"/>
      <c r="BA875" s="4"/>
      <c r="BB875" s="4"/>
      <c r="BC875" s="4"/>
      <c r="BD875" s="4"/>
      <c r="BE875" s="4"/>
      <c r="BF875" s="4"/>
      <c r="BG875" s="4"/>
      <c r="BH875" s="4"/>
      <c r="BI875" s="4"/>
      <c r="BJ875" s="4"/>
      <c r="BK875" s="4"/>
      <c r="BL875" s="4"/>
      <c r="BM875" s="4"/>
      <c r="BN875" s="4"/>
      <c r="BO875" s="4"/>
      <c r="BP875" s="4"/>
      <c r="BQ875" s="4"/>
      <c r="BR875" s="4"/>
    </row>
    <row r="876" spans="1:70" ht="27" customHeight="1" x14ac:dyDescent="0.2">
      <c r="A876" s="532"/>
      <c r="B876" s="917"/>
      <c r="C876" s="4"/>
      <c r="D876" s="917"/>
      <c r="E876" s="4"/>
      <c r="F876" s="917"/>
      <c r="G876" s="4"/>
      <c r="H876" s="920"/>
      <c r="I876" s="3"/>
      <c r="J876" s="920"/>
      <c r="K876" s="3"/>
      <c r="L876" s="920"/>
      <c r="M876" s="3"/>
      <c r="N876" s="920"/>
      <c r="O876" s="3"/>
      <c r="P876" s="3"/>
      <c r="Q876" s="533"/>
      <c r="R876" s="920"/>
      <c r="S876" s="534"/>
      <c r="T876" s="920"/>
      <c r="U876" s="920"/>
      <c r="V876" s="920"/>
      <c r="W876" s="535"/>
      <c r="X876" s="687"/>
      <c r="Y876" s="687"/>
      <c r="Z876" s="687"/>
      <c r="AA876" s="678"/>
      <c r="AB876" s="543"/>
      <c r="AC876" s="3"/>
      <c r="AD876" s="533"/>
      <c r="AE876" s="3"/>
      <c r="AF876" s="4"/>
      <c r="AG876" s="4"/>
      <c r="AH876" s="4"/>
      <c r="AI876" s="4"/>
      <c r="AJ876" s="4"/>
      <c r="AK876" s="4"/>
      <c r="AL876" s="4"/>
      <c r="AM876" s="4"/>
      <c r="AN876" s="4"/>
      <c r="AO876" s="4"/>
      <c r="AP876" s="4"/>
      <c r="AQ876" s="4"/>
      <c r="AR876" s="4"/>
      <c r="AS876" s="4"/>
      <c r="AT876" s="4"/>
      <c r="AU876" s="4"/>
      <c r="AV876" s="537"/>
      <c r="AW876" s="537"/>
      <c r="AX876" s="4"/>
      <c r="AY876" s="4"/>
      <c r="AZ876" s="4"/>
      <c r="BA876" s="4"/>
      <c r="BB876" s="4"/>
      <c r="BC876" s="4"/>
      <c r="BD876" s="4"/>
      <c r="BE876" s="4"/>
      <c r="BF876" s="4"/>
      <c r="BG876" s="4"/>
      <c r="BH876" s="4"/>
      <c r="BI876" s="4"/>
      <c r="BJ876" s="4"/>
      <c r="BK876" s="4"/>
      <c r="BL876" s="4"/>
      <c r="BM876" s="4"/>
      <c r="BN876" s="4"/>
      <c r="BO876" s="4"/>
      <c r="BP876" s="4"/>
      <c r="BQ876" s="4"/>
      <c r="BR876" s="4"/>
    </row>
    <row r="877" spans="1:70" ht="27" customHeight="1" x14ac:dyDescent="0.2">
      <c r="A877" s="532"/>
      <c r="B877" s="917"/>
      <c r="C877" s="4"/>
      <c r="D877" s="917"/>
      <c r="E877" s="4"/>
      <c r="F877" s="917"/>
      <c r="G877" s="4"/>
      <c r="H877" s="920"/>
      <c r="I877" s="3"/>
      <c r="J877" s="920"/>
      <c r="K877" s="3"/>
      <c r="L877" s="920"/>
      <c r="M877" s="3"/>
      <c r="N877" s="920"/>
      <c r="O877" s="3"/>
      <c r="P877" s="3"/>
      <c r="Q877" s="533"/>
      <c r="R877" s="920"/>
      <c r="S877" s="534"/>
      <c r="T877" s="920"/>
      <c r="U877" s="920"/>
      <c r="V877" s="920"/>
      <c r="W877" s="535"/>
      <c r="X877" s="687"/>
      <c r="Y877" s="687"/>
      <c r="Z877" s="687"/>
      <c r="AA877" s="678"/>
      <c r="AB877" s="543"/>
      <c r="AC877" s="3"/>
      <c r="AD877" s="533"/>
      <c r="AE877" s="3"/>
      <c r="AF877" s="4"/>
      <c r="AG877" s="4"/>
      <c r="AH877" s="4"/>
      <c r="AI877" s="4"/>
      <c r="AJ877" s="4"/>
      <c r="AK877" s="4"/>
      <c r="AL877" s="4"/>
      <c r="AM877" s="4"/>
      <c r="AN877" s="4"/>
      <c r="AO877" s="4"/>
      <c r="AP877" s="4"/>
      <c r="AQ877" s="4"/>
      <c r="AR877" s="4"/>
      <c r="AS877" s="4"/>
      <c r="AT877" s="4"/>
      <c r="AU877" s="4"/>
      <c r="AV877" s="537"/>
      <c r="AW877" s="537"/>
      <c r="AX877" s="4"/>
      <c r="AY877" s="4"/>
      <c r="AZ877" s="4"/>
      <c r="BA877" s="4"/>
      <c r="BB877" s="4"/>
      <c r="BC877" s="4"/>
      <c r="BD877" s="4"/>
      <c r="BE877" s="4"/>
      <c r="BF877" s="4"/>
      <c r="BG877" s="4"/>
      <c r="BH877" s="4"/>
      <c r="BI877" s="4"/>
      <c r="BJ877" s="4"/>
      <c r="BK877" s="4"/>
      <c r="BL877" s="4"/>
      <c r="BM877" s="4"/>
      <c r="BN877" s="4"/>
      <c r="BO877" s="4"/>
      <c r="BP877" s="4"/>
      <c r="BQ877" s="4"/>
      <c r="BR877" s="4"/>
    </row>
    <row r="878" spans="1:70" ht="27" customHeight="1" x14ac:dyDescent="0.2">
      <c r="A878" s="532"/>
      <c r="B878" s="917"/>
      <c r="C878" s="4"/>
      <c r="D878" s="917"/>
      <c r="E878" s="4"/>
      <c r="F878" s="917"/>
      <c r="G878" s="4"/>
      <c r="H878" s="920"/>
      <c r="I878" s="3"/>
      <c r="J878" s="920"/>
      <c r="K878" s="3"/>
      <c r="L878" s="920"/>
      <c r="M878" s="3"/>
      <c r="N878" s="920"/>
      <c r="O878" s="3"/>
      <c r="P878" s="3"/>
      <c r="Q878" s="533"/>
      <c r="R878" s="920"/>
      <c r="S878" s="534"/>
      <c r="T878" s="920"/>
      <c r="U878" s="920"/>
      <c r="V878" s="920"/>
      <c r="W878" s="535"/>
      <c r="X878" s="687"/>
      <c r="Y878" s="687"/>
      <c r="Z878" s="687"/>
      <c r="AA878" s="678"/>
      <c r="AB878" s="543"/>
      <c r="AC878" s="3"/>
      <c r="AD878" s="533"/>
      <c r="AE878" s="3"/>
      <c r="AF878" s="4"/>
      <c r="AG878" s="4"/>
      <c r="AH878" s="4"/>
      <c r="AI878" s="4"/>
      <c r="AJ878" s="4"/>
      <c r="AK878" s="4"/>
      <c r="AL878" s="4"/>
      <c r="AM878" s="4"/>
      <c r="AN878" s="4"/>
      <c r="AO878" s="4"/>
      <c r="AP878" s="4"/>
      <c r="AQ878" s="4"/>
      <c r="AR878" s="4"/>
      <c r="AS878" s="4"/>
      <c r="AT878" s="4"/>
      <c r="AU878" s="4"/>
      <c r="AV878" s="537"/>
      <c r="AW878" s="537"/>
      <c r="AX878" s="4"/>
      <c r="AY878" s="4"/>
      <c r="AZ878" s="4"/>
      <c r="BA878" s="4"/>
      <c r="BB878" s="4"/>
      <c r="BC878" s="4"/>
      <c r="BD878" s="4"/>
      <c r="BE878" s="4"/>
      <c r="BF878" s="4"/>
      <c r="BG878" s="4"/>
      <c r="BH878" s="4"/>
      <c r="BI878" s="4"/>
      <c r="BJ878" s="4"/>
      <c r="BK878" s="4"/>
      <c r="BL878" s="4"/>
      <c r="BM878" s="4"/>
      <c r="BN878" s="4"/>
      <c r="BO878" s="4"/>
      <c r="BP878" s="4"/>
      <c r="BQ878" s="4"/>
      <c r="BR878" s="4"/>
    </row>
    <row r="879" spans="1:70" ht="27" customHeight="1" x14ac:dyDescent="0.2">
      <c r="A879" s="532"/>
      <c r="B879" s="917"/>
      <c r="C879" s="4"/>
      <c r="D879" s="917"/>
      <c r="E879" s="4"/>
      <c r="F879" s="917"/>
      <c r="G879" s="4"/>
      <c r="H879" s="920"/>
      <c r="I879" s="3"/>
      <c r="J879" s="920"/>
      <c r="K879" s="3"/>
      <c r="L879" s="920"/>
      <c r="M879" s="3"/>
      <c r="N879" s="920"/>
      <c r="O879" s="3"/>
      <c r="P879" s="3"/>
      <c r="Q879" s="533"/>
      <c r="R879" s="920"/>
      <c r="S879" s="534"/>
      <c r="T879" s="920"/>
      <c r="U879" s="920"/>
      <c r="V879" s="920"/>
      <c r="W879" s="535"/>
      <c r="X879" s="687"/>
      <c r="Y879" s="687"/>
      <c r="Z879" s="687"/>
      <c r="AA879" s="678"/>
      <c r="AB879" s="543"/>
      <c r="AC879" s="3"/>
      <c r="AD879" s="533"/>
      <c r="AE879" s="3"/>
      <c r="AF879" s="4"/>
      <c r="AG879" s="4"/>
      <c r="AH879" s="4"/>
      <c r="AI879" s="4"/>
      <c r="AJ879" s="4"/>
      <c r="AK879" s="4"/>
      <c r="AL879" s="4"/>
      <c r="AM879" s="4"/>
      <c r="AN879" s="4"/>
      <c r="AO879" s="4"/>
      <c r="AP879" s="4"/>
      <c r="AQ879" s="4"/>
      <c r="AR879" s="4"/>
      <c r="AS879" s="4"/>
      <c r="AT879" s="4"/>
      <c r="AU879" s="4"/>
      <c r="AV879" s="537"/>
      <c r="AW879" s="537"/>
      <c r="AX879" s="4"/>
      <c r="AY879" s="4"/>
      <c r="AZ879" s="4"/>
      <c r="BA879" s="4"/>
      <c r="BB879" s="4"/>
      <c r="BC879" s="4"/>
      <c r="BD879" s="4"/>
      <c r="BE879" s="4"/>
      <c r="BF879" s="4"/>
      <c r="BG879" s="4"/>
      <c r="BH879" s="4"/>
      <c r="BI879" s="4"/>
      <c r="BJ879" s="4"/>
      <c r="BK879" s="4"/>
      <c r="BL879" s="4"/>
      <c r="BM879" s="4"/>
      <c r="BN879" s="4"/>
      <c r="BO879" s="4"/>
      <c r="BP879" s="4"/>
      <c r="BQ879" s="4"/>
      <c r="BR879" s="4"/>
    </row>
    <row r="880" spans="1:70" ht="27" customHeight="1" x14ac:dyDescent="0.2">
      <c r="A880" s="532"/>
      <c r="B880" s="917"/>
      <c r="C880" s="4"/>
      <c r="D880" s="917"/>
      <c r="E880" s="4"/>
      <c r="F880" s="917"/>
      <c r="G880" s="4"/>
      <c r="H880" s="920"/>
      <c r="I880" s="3"/>
      <c r="J880" s="920"/>
      <c r="K880" s="3"/>
      <c r="L880" s="920"/>
      <c r="M880" s="3"/>
      <c r="N880" s="920"/>
      <c r="O880" s="3"/>
      <c r="P880" s="3"/>
      <c r="Q880" s="533"/>
      <c r="R880" s="920"/>
      <c r="S880" s="534"/>
      <c r="T880" s="920"/>
      <c r="U880" s="920"/>
      <c r="V880" s="920"/>
      <c r="W880" s="535"/>
      <c r="X880" s="687"/>
      <c r="Y880" s="687"/>
      <c r="Z880" s="687"/>
      <c r="AA880" s="678"/>
      <c r="AB880" s="543"/>
      <c r="AC880" s="3"/>
      <c r="AD880" s="533"/>
      <c r="AE880" s="3"/>
      <c r="AF880" s="4"/>
      <c r="AG880" s="4"/>
      <c r="AH880" s="4"/>
      <c r="AI880" s="4"/>
      <c r="AJ880" s="4"/>
      <c r="AK880" s="4"/>
      <c r="AL880" s="4"/>
      <c r="AM880" s="4"/>
      <c r="AN880" s="4"/>
      <c r="AO880" s="4"/>
      <c r="AP880" s="4"/>
      <c r="AQ880" s="4"/>
      <c r="AR880" s="4"/>
      <c r="AS880" s="4"/>
      <c r="AT880" s="4"/>
      <c r="AU880" s="4"/>
      <c r="AV880" s="537"/>
      <c r="AW880" s="537"/>
      <c r="AX880" s="4"/>
      <c r="AY880" s="4"/>
      <c r="AZ880" s="4"/>
      <c r="BA880" s="4"/>
      <c r="BB880" s="4"/>
      <c r="BC880" s="4"/>
      <c r="BD880" s="4"/>
      <c r="BE880" s="4"/>
      <c r="BF880" s="4"/>
      <c r="BG880" s="4"/>
      <c r="BH880" s="4"/>
      <c r="BI880" s="4"/>
      <c r="BJ880" s="4"/>
      <c r="BK880" s="4"/>
      <c r="BL880" s="4"/>
      <c r="BM880" s="4"/>
      <c r="BN880" s="4"/>
      <c r="BO880" s="4"/>
      <c r="BP880" s="4"/>
      <c r="BQ880" s="4"/>
      <c r="BR880" s="4"/>
    </row>
    <row r="881" spans="1:70" ht="27" customHeight="1" x14ac:dyDescent="0.2">
      <c r="A881" s="532"/>
      <c r="B881" s="917"/>
      <c r="C881" s="4"/>
      <c r="D881" s="917"/>
      <c r="E881" s="4"/>
      <c r="F881" s="917"/>
      <c r="G881" s="4"/>
      <c r="H881" s="920"/>
      <c r="I881" s="3"/>
      <c r="J881" s="920"/>
      <c r="K881" s="3"/>
      <c r="L881" s="920"/>
      <c r="M881" s="3"/>
      <c r="N881" s="920"/>
      <c r="O881" s="3"/>
      <c r="P881" s="3"/>
      <c r="Q881" s="533"/>
      <c r="R881" s="920"/>
      <c r="S881" s="534"/>
      <c r="T881" s="920"/>
      <c r="U881" s="920"/>
      <c r="V881" s="920"/>
      <c r="W881" s="535"/>
      <c r="X881" s="687"/>
      <c r="Y881" s="687"/>
      <c r="Z881" s="687"/>
      <c r="AA881" s="678"/>
      <c r="AB881" s="543"/>
      <c r="AC881" s="3"/>
      <c r="AD881" s="533"/>
      <c r="AE881" s="3"/>
      <c r="AF881" s="4"/>
      <c r="AG881" s="4"/>
      <c r="AH881" s="4"/>
      <c r="AI881" s="4"/>
      <c r="AJ881" s="4"/>
      <c r="AK881" s="4"/>
      <c r="AL881" s="4"/>
      <c r="AM881" s="4"/>
      <c r="AN881" s="4"/>
      <c r="AO881" s="4"/>
      <c r="AP881" s="4"/>
      <c r="AQ881" s="4"/>
      <c r="AR881" s="4"/>
      <c r="AS881" s="4"/>
      <c r="AT881" s="4"/>
      <c r="AU881" s="4"/>
      <c r="AV881" s="537"/>
      <c r="AW881" s="537"/>
      <c r="AX881" s="4"/>
      <c r="AY881" s="4"/>
      <c r="AZ881" s="4"/>
      <c r="BA881" s="4"/>
      <c r="BB881" s="4"/>
      <c r="BC881" s="4"/>
      <c r="BD881" s="4"/>
      <c r="BE881" s="4"/>
      <c r="BF881" s="4"/>
      <c r="BG881" s="4"/>
      <c r="BH881" s="4"/>
      <c r="BI881" s="4"/>
      <c r="BJ881" s="4"/>
      <c r="BK881" s="4"/>
      <c r="BL881" s="4"/>
      <c r="BM881" s="4"/>
      <c r="BN881" s="4"/>
      <c r="BO881" s="4"/>
      <c r="BP881" s="4"/>
      <c r="BQ881" s="4"/>
      <c r="BR881" s="4"/>
    </row>
    <row r="882" spans="1:70" ht="27" customHeight="1" x14ac:dyDescent="0.2">
      <c r="A882" s="532"/>
      <c r="B882" s="917"/>
      <c r="C882" s="4"/>
      <c r="D882" s="917"/>
      <c r="E882" s="4"/>
      <c r="F882" s="917"/>
      <c r="G882" s="4"/>
      <c r="H882" s="920"/>
      <c r="I882" s="3"/>
      <c r="J882" s="920"/>
      <c r="K882" s="3"/>
      <c r="L882" s="920"/>
      <c r="M882" s="3"/>
      <c r="N882" s="920"/>
      <c r="O882" s="3"/>
      <c r="P882" s="3"/>
      <c r="Q882" s="533"/>
      <c r="R882" s="920"/>
      <c r="S882" s="534"/>
      <c r="T882" s="920"/>
      <c r="U882" s="920"/>
      <c r="V882" s="920"/>
      <c r="W882" s="535"/>
      <c r="X882" s="687"/>
      <c r="Y882" s="687"/>
      <c r="Z882" s="687"/>
      <c r="AA882" s="678"/>
      <c r="AB882" s="543"/>
      <c r="AC882" s="3"/>
      <c r="AD882" s="533"/>
      <c r="AE882" s="3"/>
      <c r="AF882" s="4"/>
      <c r="AG882" s="4"/>
      <c r="AH882" s="4"/>
      <c r="AI882" s="4"/>
      <c r="AJ882" s="4"/>
      <c r="AK882" s="4"/>
      <c r="AL882" s="4"/>
      <c r="AM882" s="4"/>
      <c r="AN882" s="4"/>
      <c r="AO882" s="4"/>
      <c r="AP882" s="4"/>
      <c r="AQ882" s="4"/>
      <c r="AR882" s="4"/>
      <c r="AS882" s="4"/>
      <c r="AT882" s="4"/>
      <c r="AU882" s="4"/>
      <c r="AV882" s="537"/>
      <c r="AW882" s="537"/>
      <c r="AX882" s="4"/>
      <c r="AY882" s="4"/>
      <c r="AZ882" s="4"/>
      <c r="BA882" s="4"/>
      <c r="BB882" s="4"/>
      <c r="BC882" s="4"/>
      <c r="BD882" s="4"/>
      <c r="BE882" s="4"/>
      <c r="BF882" s="4"/>
      <c r="BG882" s="4"/>
      <c r="BH882" s="4"/>
      <c r="BI882" s="4"/>
      <c r="BJ882" s="4"/>
      <c r="BK882" s="4"/>
      <c r="BL882" s="4"/>
      <c r="BM882" s="4"/>
      <c r="BN882" s="4"/>
      <c r="BO882" s="4"/>
      <c r="BP882" s="4"/>
      <c r="BQ882" s="4"/>
      <c r="BR882" s="4"/>
    </row>
    <row r="883" spans="1:70" ht="27" customHeight="1" x14ac:dyDescent="0.2">
      <c r="A883" s="532"/>
      <c r="B883" s="917"/>
      <c r="C883" s="4"/>
      <c r="D883" s="917"/>
      <c r="E883" s="4"/>
      <c r="F883" s="917"/>
      <c r="G883" s="4"/>
      <c r="H883" s="920"/>
      <c r="I883" s="3"/>
      <c r="J883" s="920"/>
      <c r="K883" s="3"/>
      <c r="L883" s="920"/>
      <c r="M883" s="3"/>
      <c r="N883" s="920"/>
      <c r="O883" s="3"/>
      <c r="P883" s="3"/>
      <c r="Q883" s="533"/>
      <c r="R883" s="920"/>
      <c r="S883" s="534"/>
      <c r="T883" s="920"/>
      <c r="U883" s="920"/>
      <c r="V883" s="920"/>
      <c r="W883" s="535"/>
      <c r="X883" s="687"/>
      <c r="Y883" s="687"/>
      <c r="Z883" s="687"/>
      <c r="AA883" s="678"/>
      <c r="AB883" s="543"/>
      <c r="AC883" s="3"/>
      <c r="AD883" s="533"/>
      <c r="AE883" s="3"/>
      <c r="AF883" s="4"/>
      <c r="AG883" s="4"/>
      <c r="AH883" s="4"/>
      <c r="AI883" s="4"/>
      <c r="AJ883" s="4"/>
      <c r="AK883" s="4"/>
      <c r="AL883" s="4"/>
      <c r="AM883" s="4"/>
      <c r="AN883" s="4"/>
      <c r="AO883" s="4"/>
      <c r="AP883" s="4"/>
      <c r="AQ883" s="4"/>
      <c r="AR883" s="4"/>
      <c r="AS883" s="4"/>
      <c r="AT883" s="4"/>
      <c r="AU883" s="4"/>
      <c r="AV883" s="537"/>
      <c r="AW883" s="537"/>
      <c r="AX883" s="4"/>
      <c r="AY883" s="4"/>
      <c r="AZ883" s="4"/>
      <c r="BA883" s="4"/>
      <c r="BB883" s="4"/>
      <c r="BC883" s="4"/>
      <c r="BD883" s="4"/>
      <c r="BE883" s="4"/>
      <c r="BF883" s="4"/>
      <c r="BG883" s="4"/>
      <c r="BH883" s="4"/>
      <c r="BI883" s="4"/>
      <c r="BJ883" s="4"/>
      <c r="BK883" s="4"/>
      <c r="BL883" s="4"/>
      <c r="BM883" s="4"/>
      <c r="BN883" s="4"/>
      <c r="BO883" s="4"/>
      <c r="BP883" s="4"/>
      <c r="BQ883" s="4"/>
      <c r="BR883" s="4"/>
    </row>
    <row r="884" spans="1:70" ht="27" customHeight="1" x14ac:dyDescent="0.2">
      <c r="A884" s="532"/>
      <c r="B884" s="917"/>
      <c r="C884" s="4"/>
      <c r="D884" s="917"/>
      <c r="E884" s="4"/>
      <c r="F884" s="917"/>
      <c r="G884" s="4"/>
      <c r="H884" s="920"/>
      <c r="I884" s="3"/>
      <c r="J884" s="920"/>
      <c r="K884" s="3"/>
      <c r="L884" s="920"/>
      <c r="M884" s="3"/>
      <c r="N884" s="920"/>
      <c r="O884" s="3"/>
      <c r="P884" s="3"/>
      <c r="Q884" s="533"/>
      <c r="R884" s="920"/>
      <c r="S884" s="534"/>
      <c r="T884" s="920"/>
      <c r="U884" s="920"/>
      <c r="V884" s="920"/>
      <c r="W884" s="535"/>
      <c r="X884" s="687"/>
      <c r="Y884" s="687"/>
      <c r="Z884" s="687"/>
      <c r="AA884" s="678"/>
      <c r="AB884" s="543"/>
      <c r="AC884" s="3"/>
      <c r="AD884" s="533"/>
      <c r="AE884" s="3"/>
      <c r="AF884" s="4"/>
      <c r="AG884" s="4"/>
      <c r="AH884" s="4"/>
      <c r="AI884" s="4"/>
      <c r="AJ884" s="4"/>
      <c r="AK884" s="4"/>
      <c r="AL884" s="4"/>
      <c r="AM884" s="4"/>
      <c r="AN884" s="4"/>
      <c r="AO884" s="4"/>
      <c r="AP884" s="4"/>
      <c r="AQ884" s="4"/>
      <c r="AR884" s="4"/>
      <c r="AS884" s="4"/>
      <c r="AT884" s="4"/>
      <c r="AU884" s="4"/>
      <c r="AV884" s="537"/>
      <c r="AW884" s="537"/>
      <c r="AX884" s="4"/>
      <c r="AY884" s="4"/>
      <c r="AZ884" s="4"/>
      <c r="BA884" s="4"/>
      <c r="BB884" s="4"/>
      <c r="BC884" s="4"/>
      <c r="BD884" s="4"/>
      <c r="BE884" s="4"/>
      <c r="BF884" s="4"/>
      <c r="BG884" s="4"/>
      <c r="BH884" s="4"/>
      <c r="BI884" s="4"/>
      <c r="BJ884" s="4"/>
      <c r="BK884" s="4"/>
      <c r="BL884" s="4"/>
      <c r="BM884" s="4"/>
      <c r="BN884" s="4"/>
      <c r="BO884" s="4"/>
      <c r="BP884" s="4"/>
      <c r="BQ884" s="4"/>
      <c r="BR884" s="4"/>
    </row>
    <row r="885" spans="1:70" ht="27" customHeight="1" x14ac:dyDescent="0.2">
      <c r="A885" s="532"/>
      <c r="B885" s="917"/>
      <c r="C885" s="4"/>
      <c r="D885" s="917"/>
      <c r="E885" s="4"/>
      <c r="F885" s="917"/>
      <c r="G885" s="4"/>
      <c r="H885" s="920"/>
      <c r="I885" s="3"/>
      <c r="J885" s="920"/>
      <c r="K885" s="3"/>
      <c r="L885" s="920"/>
      <c r="M885" s="3"/>
      <c r="N885" s="920"/>
      <c r="O885" s="3"/>
      <c r="P885" s="3"/>
      <c r="Q885" s="533"/>
      <c r="R885" s="920"/>
      <c r="S885" s="534"/>
      <c r="T885" s="920"/>
      <c r="U885" s="920"/>
      <c r="V885" s="920"/>
      <c r="W885" s="535"/>
      <c r="X885" s="687"/>
      <c r="Y885" s="687"/>
      <c r="Z885" s="687"/>
      <c r="AA885" s="678"/>
      <c r="AB885" s="543"/>
      <c r="AC885" s="3"/>
      <c r="AD885" s="533"/>
      <c r="AE885" s="3"/>
      <c r="AF885" s="4"/>
      <c r="AG885" s="4"/>
      <c r="AH885" s="4"/>
      <c r="AI885" s="4"/>
      <c r="AJ885" s="4"/>
      <c r="AK885" s="4"/>
      <c r="AL885" s="4"/>
      <c r="AM885" s="4"/>
      <c r="AN885" s="4"/>
      <c r="AO885" s="4"/>
      <c r="AP885" s="4"/>
      <c r="AQ885" s="4"/>
      <c r="AR885" s="4"/>
      <c r="AS885" s="4"/>
      <c r="AT885" s="4"/>
      <c r="AU885" s="4"/>
      <c r="AV885" s="537"/>
      <c r="AW885" s="537"/>
      <c r="AX885" s="4"/>
      <c r="AY885" s="4"/>
      <c r="AZ885" s="4"/>
      <c r="BA885" s="4"/>
      <c r="BB885" s="4"/>
      <c r="BC885" s="4"/>
      <c r="BD885" s="4"/>
      <c r="BE885" s="4"/>
      <c r="BF885" s="4"/>
      <c r="BG885" s="4"/>
      <c r="BH885" s="4"/>
      <c r="BI885" s="4"/>
      <c r="BJ885" s="4"/>
      <c r="BK885" s="4"/>
      <c r="BL885" s="4"/>
      <c r="BM885" s="4"/>
      <c r="BN885" s="4"/>
      <c r="BO885" s="4"/>
      <c r="BP885" s="4"/>
      <c r="BQ885" s="4"/>
      <c r="BR885" s="4"/>
    </row>
    <row r="886" spans="1:70" ht="27" customHeight="1" x14ac:dyDescent="0.2">
      <c r="A886" s="532"/>
      <c r="B886" s="917"/>
      <c r="C886" s="4"/>
      <c r="D886" s="917"/>
      <c r="E886" s="4"/>
      <c r="F886" s="917"/>
      <c r="G886" s="4"/>
      <c r="H886" s="920"/>
      <c r="I886" s="3"/>
      <c r="J886" s="920"/>
      <c r="K886" s="3"/>
      <c r="L886" s="920"/>
      <c r="M886" s="3"/>
      <c r="N886" s="920"/>
      <c r="O886" s="3"/>
      <c r="P886" s="3"/>
      <c r="Q886" s="533"/>
      <c r="R886" s="920"/>
      <c r="S886" s="534"/>
      <c r="T886" s="920"/>
      <c r="U886" s="920"/>
      <c r="V886" s="920"/>
      <c r="W886" s="535"/>
      <c r="X886" s="687"/>
      <c r="Y886" s="687"/>
      <c r="Z886" s="687"/>
      <c r="AA886" s="678"/>
      <c r="AB886" s="543"/>
      <c r="AC886" s="3"/>
      <c r="AD886" s="533"/>
      <c r="AE886" s="3"/>
      <c r="AF886" s="4"/>
      <c r="AG886" s="4"/>
      <c r="AH886" s="4"/>
      <c r="AI886" s="4"/>
      <c r="AJ886" s="4"/>
      <c r="AK886" s="4"/>
      <c r="AL886" s="4"/>
      <c r="AM886" s="4"/>
      <c r="AN886" s="4"/>
      <c r="AO886" s="4"/>
      <c r="AP886" s="4"/>
      <c r="AQ886" s="4"/>
      <c r="AR886" s="4"/>
      <c r="AS886" s="4"/>
      <c r="AT886" s="4"/>
      <c r="AU886" s="4"/>
      <c r="AV886" s="537"/>
      <c r="AW886" s="537"/>
      <c r="AX886" s="4"/>
      <c r="AY886" s="4"/>
      <c r="AZ886" s="4"/>
      <c r="BA886" s="4"/>
      <c r="BB886" s="4"/>
      <c r="BC886" s="4"/>
      <c r="BD886" s="4"/>
      <c r="BE886" s="4"/>
      <c r="BF886" s="4"/>
      <c r="BG886" s="4"/>
      <c r="BH886" s="4"/>
      <c r="BI886" s="4"/>
      <c r="BJ886" s="4"/>
      <c r="BK886" s="4"/>
      <c r="BL886" s="4"/>
      <c r="BM886" s="4"/>
      <c r="BN886" s="4"/>
      <c r="BO886" s="4"/>
      <c r="BP886" s="4"/>
      <c r="BQ886" s="4"/>
      <c r="BR886" s="4"/>
    </row>
    <row r="887" spans="1:70" ht="27" customHeight="1" x14ac:dyDescent="0.2">
      <c r="A887" s="532"/>
      <c r="B887" s="917"/>
      <c r="C887" s="4"/>
      <c r="D887" s="917"/>
      <c r="E887" s="4"/>
      <c r="F887" s="917"/>
      <c r="G887" s="4"/>
      <c r="H887" s="920"/>
      <c r="I887" s="3"/>
      <c r="J887" s="920"/>
      <c r="K887" s="3"/>
      <c r="L887" s="920"/>
      <c r="M887" s="3"/>
      <c r="N887" s="920"/>
      <c r="O887" s="3"/>
      <c r="P887" s="3"/>
      <c r="Q887" s="533"/>
      <c r="R887" s="920"/>
      <c r="S887" s="534"/>
      <c r="T887" s="920"/>
      <c r="U887" s="920"/>
      <c r="V887" s="920"/>
      <c r="W887" s="535"/>
      <c r="X887" s="687"/>
      <c r="Y887" s="687"/>
      <c r="Z887" s="687"/>
      <c r="AA887" s="678"/>
      <c r="AB887" s="543"/>
      <c r="AC887" s="3"/>
      <c r="AD887" s="533"/>
      <c r="AE887" s="3"/>
      <c r="AF887" s="4"/>
      <c r="AG887" s="4"/>
      <c r="AH887" s="4"/>
      <c r="AI887" s="4"/>
      <c r="AJ887" s="4"/>
      <c r="AK887" s="4"/>
      <c r="AL887" s="4"/>
      <c r="AM887" s="4"/>
      <c r="AN887" s="4"/>
      <c r="AO887" s="4"/>
      <c r="AP887" s="4"/>
      <c r="AQ887" s="4"/>
      <c r="AR887" s="4"/>
      <c r="AS887" s="4"/>
      <c r="AT887" s="4"/>
      <c r="AU887" s="4"/>
      <c r="AV887" s="537"/>
      <c r="AW887" s="537"/>
      <c r="AX887" s="4"/>
      <c r="AY887" s="4"/>
      <c r="AZ887" s="4"/>
      <c r="BA887" s="4"/>
      <c r="BB887" s="4"/>
      <c r="BC887" s="4"/>
      <c r="BD887" s="4"/>
      <c r="BE887" s="4"/>
      <c r="BF887" s="4"/>
      <c r="BG887" s="4"/>
      <c r="BH887" s="4"/>
      <c r="BI887" s="4"/>
      <c r="BJ887" s="4"/>
      <c r="BK887" s="4"/>
      <c r="BL887" s="4"/>
      <c r="BM887" s="4"/>
      <c r="BN887" s="4"/>
      <c r="BO887" s="4"/>
      <c r="BP887" s="4"/>
      <c r="BQ887" s="4"/>
      <c r="BR887" s="4"/>
    </row>
    <row r="888" spans="1:70" ht="27" customHeight="1" x14ac:dyDescent="0.2">
      <c r="A888" s="532"/>
      <c r="B888" s="917"/>
      <c r="C888" s="4"/>
      <c r="D888" s="917"/>
      <c r="E888" s="4"/>
      <c r="F888" s="917"/>
      <c r="G888" s="4"/>
      <c r="H888" s="920"/>
      <c r="I888" s="3"/>
      <c r="J888" s="920"/>
      <c r="K888" s="3"/>
      <c r="L888" s="920"/>
      <c r="M888" s="3"/>
      <c r="N888" s="920"/>
      <c r="O888" s="3"/>
      <c r="P888" s="3"/>
      <c r="Q888" s="533"/>
      <c r="R888" s="920"/>
      <c r="S888" s="534"/>
      <c r="T888" s="920"/>
      <c r="U888" s="920"/>
      <c r="V888" s="920"/>
      <c r="W888" s="535"/>
      <c r="X888" s="687"/>
      <c r="Y888" s="687"/>
      <c r="Z888" s="687"/>
      <c r="AA888" s="678"/>
      <c r="AB888" s="543"/>
      <c r="AC888" s="3"/>
      <c r="AD888" s="533"/>
      <c r="AE888" s="3"/>
      <c r="AF888" s="4"/>
      <c r="AG888" s="4"/>
      <c r="AH888" s="4"/>
      <c r="AI888" s="4"/>
      <c r="AJ888" s="4"/>
      <c r="AK888" s="4"/>
      <c r="AL888" s="4"/>
      <c r="AM888" s="4"/>
      <c r="AN888" s="4"/>
      <c r="AO888" s="4"/>
      <c r="AP888" s="4"/>
      <c r="AQ888" s="4"/>
      <c r="AR888" s="4"/>
      <c r="AS888" s="4"/>
      <c r="AT888" s="4"/>
      <c r="AU888" s="4"/>
      <c r="AV888" s="537"/>
      <c r="AW888" s="537"/>
      <c r="AX888" s="4"/>
      <c r="AY888" s="4"/>
      <c r="AZ888" s="4"/>
      <c r="BA888" s="4"/>
      <c r="BB888" s="4"/>
      <c r="BC888" s="4"/>
      <c r="BD888" s="4"/>
      <c r="BE888" s="4"/>
      <c r="BF888" s="4"/>
      <c r="BG888" s="4"/>
      <c r="BH888" s="4"/>
      <c r="BI888" s="4"/>
      <c r="BJ888" s="4"/>
      <c r="BK888" s="4"/>
      <c r="BL888" s="4"/>
      <c r="BM888" s="4"/>
      <c r="BN888" s="4"/>
      <c r="BO888" s="4"/>
      <c r="BP888" s="4"/>
      <c r="BQ888" s="4"/>
      <c r="BR888" s="4"/>
    </row>
    <row r="889" spans="1:70" ht="27" customHeight="1" x14ac:dyDescent="0.2">
      <c r="A889" s="532"/>
      <c r="B889" s="917"/>
      <c r="C889" s="4"/>
      <c r="D889" s="917"/>
      <c r="E889" s="4"/>
      <c r="F889" s="917"/>
      <c r="G889" s="4"/>
      <c r="H889" s="920"/>
      <c r="I889" s="3"/>
      <c r="J889" s="920"/>
      <c r="K889" s="3"/>
      <c r="L889" s="920"/>
      <c r="M889" s="3"/>
      <c r="N889" s="920"/>
      <c r="O889" s="3"/>
      <c r="P889" s="3"/>
      <c r="Q889" s="533"/>
      <c r="R889" s="920"/>
      <c r="S889" s="534"/>
      <c r="T889" s="920"/>
      <c r="U889" s="920"/>
      <c r="V889" s="920"/>
      <c r="W889" s="535"/>
      <c r="X889" s="687"/>
      <c r="Y889" s="687"/>
      <c r="Z889" s="687"/>
      <c r="AA889" s="678"/>
      <c r="AB889" s="543"/>
      <c r="AC889" s="3"/>
      <c r="AD889" s="533"/>
      <c r="AE889" s="3"/>
      <c r="AF889" s="4"/>
      <c r="AG889" s="4"/>
      <c r="AH889" s="4"/>
      <c r="AI889" s="4"/>
      <c r="AJ889" s="4"/>
      <c r="AK889" s="4"/>
      <c r="AL889" s="4"/>
      <c r="AM889" s="4"/>
      <c r="AN889" s="4"/>
      <c r="AO889" s="4"/>
      <c r="AP889" s="4"/>
      <c r="AQ889" s="4"/>
      <c r="AR889" s="4"/>
      <c r="AS889" s="4"/>
      <c r="AT889" s="4"/>
      <c r="AU889" s="4"/>
      <c r="AV889" s="537"/>
      <c r="AW889" s="537"/>
      <c r="AX889" s="4"/>
      <c r="AY889" s="4"/>
      <c r="AZ889" s="4"/>
      <c r="BA889" s="4"/>
      <c r="BB889" s="4"/>
      <c r="BC889" s="4"/>
      <c r="BD889" s="4"/>
      <c r="BE889" s="4"/>
      <c r="BF889" s="4"/>
      <c r="BG889" s="4"/>
      <c r="BH889" s="4"/>
      <c r="BI889" s="4"/>
      <c r="BJ889" s="4"/>
      <c r="BK889" s="4"/>
      <c r="BL889" s="4"/>
      <c r="BM889" s="4"/>
      <c r="BN889" s="4"/>
      <c r="BO889" s="4"/>
      <c r="BP889" s="4"/>
      <c r="BQ889" s="4"/>
      <c r="BR889" s="4"/>
    </row>
    <row r="890" spans="1:70" ht="27" customHeight="1" x14ac:dyDescent="0.2">
      <c r="A890" s="532"/>
      <c r="B890" s="917"/>
      <c r="C890" s="4"/>
      <c r="D890" s="917"/>
      <c r="E890" s="4"/>
      <c r="F890" s="917"/>
      <c r="G890" s="4"/>
      <c r="H890" s="920"/>
      <c r="I890" s="3"/>
      <c r="J890" s="920"/>
      <c r="K890" s="3"/>
      <c r="L890" s="920"/>
      <c r="M890" s="3"/>
      <c r="N890" s="920"/>
      <c r="O890" s="3"/>
      <c r="P890" s="3"/>
      <c r="Q890" s="533"/>
      <c r="R890" s="920"/>
      <c r="S890" s="534"/>
      <c r="T890" s="920"/>
      <c r="U890" s="920"/>
      <c r="V890" s="920"/>
      <c r="W890" s="535"/>
      <c r="X890" s="687"/>
      <c r="Y890" s="687"/>
      <c r="Z890" s="687"/>
      <c r="AA890" s="678"/>
      <c r="AB890" s="543"/>
      <c r="AC890" s="3"/>
      <c r="AD890" s="533"/>
      <c r="AE890" s="3"/>
      <c r="AF890" s="4"/>
      <c r="AG890" s="4"/>
      <c r="AH890" s="4"/>
      <c r="AI890" s="4"/>
      <c r="AJ890" s="4"/>
      <c r="AK890" s="4"/>
      <c r="AL890" s="4"/>
      <c r="AM890" s="4"/>
      <c r="AN890" s="4"/>
      <c r="AO890" s="4"/>
      <c r="AP890" s="4"/>
      <c r="AQ890" s="4"/>
      <c r="AR890" s="4"/>
      <c r="AS890" s="4"/>
      <c r="AT890" s="4"/>
      <c r="AU890" s="4"/>
      <c r="AV890" s="537"/>
      <c r="AW890" s="537"/>
      <c r="AX890" s="4"/>
      <c r="AY890" s="4"/>
      <c r="AZ890" s="4"/>
      <c r="BA890" s="4"/>
      <c r="BB890" s="4"/>
      <c r="BC890" s="4"/>
      <c r="BD890" s="4"/>
      <c r="BE890" s="4"/>
      <c r="BF890" s="4"/>
      <c r="BG890" s="4"/>
      <c r="BH890" s="4"/>
      <c r="BI890" s="4"/>
      <c r="BJ890" s="4"/>
      <c r="BK890" s="4"/>
      <c r="BL890" s="4"/>
      <c r="BM890" s="4"/>
      <c r="BN890" s="4"/>
      <c r="BO890" s="4"/>
      <c r="BP890" s="4"/>
      <c r="BQ890" s="4"/>
      <c r="BR890" s="4"/>
    </row>
    <row r="891" spans="1:70" ht="27" customHeight="1" x14ac:dyDescent="0.2">
      <c r="A891" s="532"/>
      <c r="B891" s="917"/>
      <c r="C891" s="4"/>
      <c r="D891" s="917"/>
      <c r="E891" s="4"/>
      <c r="F891" s="917"/>
      <c r="G891" s="4"/>
      <c r="H891" s="920"/>
      <c r="I891" s="3"/>
      <c r="J891" s="920"/>
      <c r="K891" s="3"/>
      <c r="L891" s="920"/>
      <c r="M891" s="3"/>
      <c r="N891" s="920"/>
      <c r="O891" s="3"/>
      <c r="P891" s="3"/>
      <c r="Q891" s="533"/>
      <c r="R891" s="920"/>
      <c r="S891" s="534"/>
      <c r="T891" s="920"/>
      <c r="U891" s="920"/>
      <c r="V891" s="920"/>
      <c r="W891" s="535"/>
      <c r="X891" s="687"/>
      <c r="Y891" s="687"/>
      <c r="Z891" s="687"/>
      <c r="AA891" s="678"/>
      <c r="AB891" s="543"/>
      <c r="AC891" s="3"/>
      <c r="AD891" s="533"/>
      <c r="AE891" s="3"/>
      <c r="AF891" s="4"/>
      <c r="AG891" s="4"/>
      <c r="AH891" s="4"/>
      <c r="AI891" s="4"/>
      <c r="AJ891" s="4"/>
      <c r="AK891" s="4"/>
      <c r="AL891" s="4"/>
      <c r="AM891" s="4"/>
      <c r="AN891" s="4"/>
      <c r="AO891" s="4"/>
      <c r="AP891" s="4"/>
      <c r="AQ891" s="4"/>
      <c r="AR891" s="4"/>
      <c r="AS891" s="4"/>
      <c r="AT891" s="4"/>
      <c r="AU891" s="4"/>
      <c r="AV891" s="537"/>
      <c r="AW891" s="537"/>
      <c r="AX891" s="4"/>
      <c r="AY891" s="4"/>
      <c r="AZ891" s="4"/>
      <c r="BA891" s="4"/>
      <c r="BB891" s="4"/>
      <c r="BC891" s="4"/>
      <c r="BD891" s="4"/>
      <c r="BE891" s="4"/>
      <c r="BF891" s="4"/>
      <c r="BG891" s="4"/>
      <c r="BH891" s="4"/>
      <c r="BI891" s="4"/>
      <c r="BJ891" s="4"/>
      <c r="BK891" s="4"/>
      <c r="BL891" s="4"/>
      <c r="BM891" s="4"/>
      <c r="BN891" s="4"/>
      <c r="BO891" s="4"/>
      <c r="BP891" s="4"/>
      <c r="BQ891" s="4"/>
      <c r="BR891" s="4"/>
    </row>
    <row r="892" spans="1:70" ht="27" customHeight="1" x14ac:dyDescent="0.2">
      <c r="A892" s="532"/>
      <c r="B892" s="917"/>
      <c r="C892" s="4"/>
      <c r="D892" s="917"/>
      <c r="E892" s="4"/>
      <c r="F892" s="917"/>
      <c r="G892" s="4"/>
      <c r="H892" s="920"/>
      <c r="I892" s="3"/>
      <c r="J892" s="920"/>
      <c r="K892" s="3"/>
      <c r="L892" s="920"/>
      <c r="M892" s="3"/>
      <c r="N892" s="920"/>
      <c r="O892" s="3"/>
      <c r="P892" s="3"/>
      <c r="Q892" s="533"/>
      <c r="R892" s="920"/>
      <c r="S892" s="534"/>
      <c r="T892" s="920"/>
      <c r="U892" s="920"/>
      <c r="V892" s="920"/>
      <c r="W892" s="535"/>
      <c r="X892" s="687"/>
      <c r="Y892" s="687"/>
      <c r="Z892" s="687"/>
      <c r="AA892" s="678"/>
      <c r="AB892" s="543"/>
      <c r="AC892" s="3"/>
      <c r="AD892" s="533"/>
      <c r="AE892" s="3"/>
      <c r="AF892" s="4"/>
      <c r="AG892" s="4"/>
      <c r="AH892" s="4"/>
      <c r="AI892" s="4"/>
      <c r="AJ892" s="4"/>
      <c r="AK892" s="4"/>
      <c r="AL892" s="4"/>
      <c r="AM892" s="4"/>
      <c r="AN892" s="4"/>
      <c r="AO892" s="4"/>
      <c r="AP892" s="4"/>
      <c r="AQ892" s="4"/>
      <c r="AR892" s="4"/>
      <c r="AS892" s="4"/>
      <c r="AT892" s="4"/>
      <c r="AU892" s="4"/>
      <c r="AV892" s="537"/>
      <c r="AW892" s="537"/>
      <c r="AX892" s="4"/>
      <c r="AY892" s="4"/>
      <c r="AZ892" s="4"/>
      <c r="BA892" s="4"/>
      <c r="BB892" s="4"/>
      <c r="BC892" s="4"/>
      <c r="BD892" s="4"/>
      <c r="BE892" s="4"/>
      <c r="BF892" s="4"/>
      <c r="BG892" s="4"/>
      <c r="BH892" s="4"/>
      <c r="BI892" s="4"/>
      <c r="BJ892" s="4"/>
      <c r="BK892" s="4"/>
      <c r="BL892" s="4"/>
      <c r="BM892" s="4"/>
      <c r="BN892" s="4"/>
      <c r="BO892" s="4"/>
      <c r="BP892" s="4"/>
      <c r="BQ892" s="4"/>
      <c r="BR892" s="4"/>
    </row>
    <row r="893" spans="1:70" ht="27" customHeight="1" x14ac:dyDescent="0.2">
      <c r="A893" s="532"/>
      <c r="B893" s="917"/>
      <c r="C893" s="4"/>
      <c r="D893" s="917"/>
      <c r="E893" s="4"/>
      <c r="F893" s="917"/>
      <c r="G893" s="4"/>
      <c r="H893" s="920"/>
      <c r="I893" s="3"/>
      <c r="J893" s="920"/>
      <c r="K893" s="3"/>
      <c r="L893" s="920"/>
      <c r="M893" s="3"/>
      <c r="N893" s="920"/>
      <c r="O893" s="3"/>
      <c r="P893" s="3"/>
      <c r="Q893" s="533"/>
      <c r="R893" s="920"/>
      <c r="S893" s="534"/>
      <c r="T893" s="920"/>
      <c r="U893" s="920"/>
      <c r="V893" s="920"/>
      <c r="W893" s="535"/>
      <c r="X893" s="687"/>
      <c r="Y893" s="687"/>
      <c r="Z893" s="687"/>
      <c r="AA893" s="678"/>
      <c r="AB893" s="543"/>
      <c r="AC893" s="3"/>
      <c r="AD893" s="533"/>
      <c r="AE893" s="3"/>
      <c r="AF893" s="4"/>
      <c r="AG893" s="4"/>
      <c r="AH893" s="4"/>
      <c r="AI893" s="4"/>
      <c r="AJ893" s="4"/>
      <c r="AK893" s="4"/>
      <c r="AL893" s="4"/>
      <c r="AM893" s="4"/>
      <c r="AN893" s="4"/>
      <c r="AO893" s="4"/>
      <c r="AP893" s="4"/>
      <c r="AQ893" s="4"/>
      <c r="AR893" s="4"/>
      <c r="AS893" s="4"/>
      <c r="AT893" s="4"/>
      <c r="AU893" s="4"/>
      <c r="AV893" s="537"/>
      <c r="AW893" s="537"/>
      <c r="AX893" s="4"/>
      <c r="AY893" s="4"/>
      <c r="AZ893" s="4"/>
      <c r="BA893" s="4"/>
      <c r="BB893" s="4"/>
      <c r="BC893" s="4"/>
      <c r="BD893" s="4"/>
      <c r="BE893" s="4"/>
      <c r="BF893" s="4"/>
      <c r="BG893" s="4"/>
      <c r="BH893" s="4"/>
      <c r="BI893" s="4"/>
      <c r="BJ893" s="4"/>
      <c r="BK893" s="4"/>
      <c r="BL893" s="4"/>
      <c r="BM893" s="4"/>
      <c r="BN893" s="4"/>
      <c r="BO893" s="4"/>
      <c r="BP893" s="4"/>
      <c r="BQ893" s="4"/>
      <c r="BR893" s="4"/>
    </row>
    <row r="894" spans="1:70" ht="27" customHeight="1" x14ac:dyDescent="0.2">
      <c r="A894" s="532"/>
      <c r="B894" s="917"/>
      <c r="C894" s="4"/>
      <c r="D894" s="917"/>
      <c r="E894" s="4"/>
      <c r="F894" s="917"/>
      <c r="G894" s="4"/>
      <c r="H894" s="920"/>
      <c r="I894" s="3"/>
      <c r="J894" s="920"/>
      <c r="K894" s="3"/>
      <c r="L894" s="920"/>
      <c r="M894" s="3"/>
      <c r="N894" s="920"/>
      <c r="O894" s="3"/>
      <c r="P894" s="3"/>
      <c r="Q894" s="533"/>
      <c r="R894" s="920"/>
      <c r="S894" s="534"/>
      <c r="T894" s="920"/>
      <c r="U894" s="920"/>
      <c r="V894" s="920"/>
      <c r="W894" s="535"/>
      <c r="X894" s="687"/>
      <c r="Y894" s="687"/>
      <c r="Z894" s="687"/>
      <c r="AA894" s="678"/>
      <c r="AB894" s="543"/>
      <c r="AC894" s="3"/>
      <c r="AD894" s="533"/>
      <c r="AE894" s="3"/>
      <c r="AF894" s="4"/>
      <c r="AG894" s="4"/>
      <c r="AH894" s="4"/>
      <c r="AI894" s="4"/>
      <c r="AJ894" s="4"/>
      <c r="AK894" s="4"/>
      <c r="AL894" s="4"/>
      <c r="AM894" s="4"/>
      <c r="AN894" s="4"/>
      <c r="AO894" s="4"/>
      <c r="AP894" s="4"/>
      <c r="AQ894" s="4"/>
      <c r="AR894" s="4"/>
      <c r="AS894" s="4"/>
      <c r="AT894" s="4"/>
      <c r="AU894" s="4"/>
      <c r="AV894" s="537"/>
      <c r="AW894" s="537"/>
      <c r="AX894" s="4"/>
      <c r="AY894" s="4"/>
      <c r="AZ894" s="4"/>
      <c r="BA894" s="4"/>
      <c r="BB894" s="4"/>
      <c r="BC894" s="4"/>
      <c r="BD894" s="4"/>
      <c r="BE894" s="4"/>
      <c r="BF894" s="4"/>
      <c r="BG894" s="4"/>
      <c r="BH894" s="4"/>
      <c r="BI894" s="4"/>
      <c r="BJ894" s="4"/>
      <c r="BK894" s="4"/>
      <c r="BL894" s="4"/>
      <c r="BM894" s="4"/>
      <c r="BN894" s="4"/>
      <c r="BO894" s="4"/>
      <c r="BP894" s="4"/>
      <c r="BQ894" s="4"/>
      <c r="BR894" s="4"/>
    </row>
    <row r="895" spans="1:70" ht="27" customHeight="1" x14ac:dyDescent="0.2">
      <c r="A895" s="532"/>
      <c r="B895" s="917"/>
      <c r="C895" s="4"/>
      <c r="D895" s="917"/>
      <c r="E895" s="4"/>
      <c r="F895" s="917"/>
      <c r="G895" s="4"/>
      <c r="H895" s="920"/>
      <c r="I895" s="3"/>
      <c r="J895" s="920"/>
      <c r="K895" s="3"/>
      <c r="L895" s="920"/>
      <c r="M895" s="3"/>
      <c r="N895" s="920"/>
      <c r="O895" s="3"/>
      <c r="P895" s="3"/>
      <c r="Q895" s="533"/>
      <c r="R895" s="920"/>
      <c r="S895" s="534"/>
      <c r="T895" s="920"/>
      <c r="U895" s="920"/>
      <c r="V895" s="920"/>
      <c r="W895" s="535"/>
      <c r="X895" s="687"/>
      <c r="Y895" s="687"/>
      <c r="Z895" s="687"/>
      <c r="AA895" s="678"/>
      <c r="AB895" s="543"/>
      <c r="AC895" s="3"/>
      <c r="AD895" s="533"/>
      <c r="AE895" s="3"/>
      <c r="AF895" s="4"/>
      <c r="AG895" s="4"/>
      <c r="AH895" s="4"/>
      <c r="AI895" s="4"/>
      <c r="AJ895" s="4"/>
      <c r="AK895" s="4"/>
      <c r="AL895" s="4"/>
      <c r="AM895" s="4"/>
      <c r="AN895" s="4"/>
      <c r="AO895" s="4"/>
      <c r="AP895" s="4"/>
      <c r="AQ895" s="4"/>
      <c r="AR895" s="4"/>
      <c r="AS895" s="4"/>
      <c r="AT895" s="4"/>
      <c r="AU895" s="4"/>
      <c r="AV895" s="537"/>
      <c r="AW895" s="537"/>
      <c r="AX895" s="4"/>
      <c r="AY895" s="4"/>
      <c r="AZ895" s="4"/>
      <c r="BA895" s="4"/>
      <c r="BB895" s="4"/>
      <c r="BC895" s="4"/>
      <c r="BD895" s="4"/>
      <c r="BE895" s="4"/>
      <c r="BF895" s="4"/>
      <c r="BG895" s="4"/>
      <c r="BH895" s="4"/>
      <c r="BI895" s="4"/>
      <c r="BJ895" s="4"/>
      <c r="BK895" s="4"/>
      <c r="BL895" s="4"/>
      <c r="BM895" s="4"/>
      <c r="BN895" s="4"/>
      <c r="BO895" s="4"/>
      <c r="BP895" s="4"/>
      <c r="BQ895" s="4"/>
      <c r="BR895" s="4"/>
    </row>
    <row r="896" spans="1:70" ht="27" customHeight="1" x14ac:dyDescent="0.2">
      <c r="A896" s="532"/>
      <c r="B896" s="917"/>
      <c r="C896" s="4"/>
      <c r="D896" s="917"/>
      <c r="E896" s="4"/>
      <c r="F896" s="917"/>
      <c r="G896" s="4"/>
      <c r="H896" s="920"/>
      <c r="I896" s="3"/>
      <c r="J896" s="920"/>
      <c r="K896" s="3"/>
      <c r="L896" s="920"/>
      <c r="M896" s="3"/>
      <c r="N896" s="920"/>
      <c r="O896" s="3"/>
      <c r="P896" s="3"/>
      <c r="Q896" s="533"/>
      <c r="R896" s="920"/>
      <c r="S896" s="534"/>
      <c r="T896" s="920"/>
      <c r="U896" s="920"/>
      <c r="V896" s="920"/>
      <c r="W896" s="535"/>
      <c r="X896" s="687"/>
      <c r="Y896" s="687"/>
      <c r="Z896" s="687"/>
      <c r="AA896" s="678"/>
      <c r="AB896" s="543"/>
      <c r="AC896" s="3"/>
      <c r="AD896" s="533"/>
      <c r="AE896" s="3"/>
      <c r="AF896" s="4"/>
      <c r="AG896" s="4"/>
      <c r="AH896" s="4"/>
      <c r="AI896" s="4"/>
      <c r="AJ896" s="4"/>
      <c r="AK896" s="4"/>
      <c r="AL896" s="4"/>
      <c r="AM896" s="4"/>
      <c r="AN896" s="4"/>
      <c r="AO896" s="4"/>
      <c r="AP896" s="4"/>
      <c r="AQ896" s="4"/>
      <c r="AR896" s="4"/>
      <c r="AS896" s="4"/>
      <c r="AT896" s="4"/>
      <c r="AU896" s="4"/>
      <c r="AV896" s="537"/>
      <c r="AW896" s="537"/>
      <c r="AX896" s="4"/>
      <c r="AY896" s="4"/>
      <c r="AZ896" s="4"/>
      <c r="BA896" s="4"/>
      <c r="BB896" s="4"/>
      <c r="BC896" s="4"/>
      <c r="BD896" s="4"/>
      <c r="BE896" s="4"/>
      <c r="BF896" s="4"/>
      <c r="BG896" s="4"/>
      <c r="BH896" s="4"/>
      <c r="BI896" s="4"/>
      <c r="BJ896" s="4"/>
      <c r="BK896" s="4"/>
      <c r="BL896" s="4"/>
      <c r="BM896" s="4"/>
      <c r="BN896" s="4"/>
      <c r="BO896" s="4"/>
      <c r="BP896" s="4"/>
      <c r="BQ896" s="4"/>
      <c r="BR896" s="4"/>
    </row>
    <row r="897" spans="1:70" ht="27" customHeight="1" x14ac:dyDescent="0.2">
      <c r="A897" s="532"/>
      <c r="B897" s="917"/>
      <c r="C897" s="4"/>
      <c r="D897" s="917"/>
      <c r="E897" s="4"/>
      <c r="F897" s="917"/>
      <c r="G897" s="4"/>
      <c r="H897" s="920"/>
      <c r="I897" s="3"/>
      <c r="J897" s="920"/>
      <c r="K897" s="3"/>
      <c r="L897" s="920"/>
      <c r="M897" s="3"/>
      <c r="N897" s="920"/>
      <c r="O897" s="3"/>
      <c r="P897" s="3"/>
      <c r="Q897" s="533"/>
      <c r="R897" s="920"/>
      <c r="S897" s="534"/>
      <c r="T897" s="920"/>
      <c r="U897" s="920"/>
      <c r="V897" s="920"/>
      <c r="W897" s="535"/>
      <c r="X897" s="687"/>
      <c r="Y897" s="687"/>
      <c r="Z897" s="687"/>
      <c r="AA897" s="678"/>
      <c r="AB897" s="543"/>
      <c r="AC897" s="3"/>
      <c r="AD897" s="533"/>
      <c r="AE897" s="3"/>
      <c r="AF897" s="4"/>
      <c r="AG897" s="4"/>
      <c r="AH897" s="4"/>
      <c r="AI897" s="4"/>
      <c r="AJ897" s="4"/>
      <c r="AK897" s="4"/>
      <c r="AL897" s="4"/>
      <c r="AM897" s="4"/>
      <c r="AN897" s="4"/>
      <c r="AO897" s="4"/>
      <c r="AP897" s="4"/>
      <c r="AQ897" s="4"/>
      <c r="AR897" s="4"/>
      <c r="AS897" s="4"/>
      <c r="AT897" s="4"/>
      <c r="AU897" s="4"/>
      <c r="AV897" s="537"/>
      <c r="AW897" s="537"/>
      <c r="AX897" s="4"/>
      <c r="AY897" s="4"/>
      <c r="AZ897" s="4"/>
      <c r="BA897" s="4"/>
      <c r="BB897" s="4"/>
      <c r="BC897" s="4"/>
      <c r="BD897" s="4"/>
      <c r="BE897" s="4"/>
      <c r="BF897" s="4"/>
      <c r="BG897" s="4"/>
      <c r="BH897" s="4"/>
      <c r="BI897" s="4"/>
      <c r="BJ897" s="4"/>
      <c r="BK897" s="4"/>
      <c r="BL897" s="4"/>
      <c r="BM897" s="4"/>
      <c r="BN897" s="4"/>
      <c r="BO897" s="4"/>
      <c r="BP897" s="4"/>
      <c r="BQ897" s="4"/>
      <c r="BR897" s="4"/>
    </row>
    <row r="898" spans="1:70" ht="27" customHeight="1" x14ac:dyDescent="0.2">
      <c r="A898" s="532"/>
      <c r="B898" s="917"/>
      <c r="C898" s="4"/>
      <c r="D898" s="917"/>
      <c r="E898" s="4"/>
      <c r="F898" s="917"/>
      <c r="G898" s="4"/>
      <c r="H898" s="920"/>
      <c r="I898" s="3"/>
      <c r="J898" s="920"/>
      <c r="K898" s="3"/>
      <c r="L898" s="920"/>
      <c r="M898" s="3"/>
      <c r="N898" s="920"/>
      <c r="O898" s="3"/>
      <c r="P898" s="3"/>
      <c r="Q898" s="533"/>
      <c r="R898" s="920"/>
      <c r="S898" s="534"/>
      <c r="T898" s="920"/>
      <c r="U898" s="920"/>
      <c r="V898" s="920"/>
      <c r="W898" s="535"/>
      <c r="X898" s="687"/>
      <c r="Y898" s="687"/>
      <c r="Z898" s="687"/>
      <c r="AA898" s="678"/>
      <c r="AB898" s="543"/>
      <c r="AC898" s="3"/>
      <c r="AD898" s="533"/>
      <c r="AE898" s="3"/>
      <c r="AF898" s="4"/>
      <c r="AG898" s="4"/>
      <c r="AH898" s="4"/>
      <c r="AI898" s="4"/>
      <c r="AJ898" s="4"/>
      <c r="AK898" s="4"/>
      <c r="AL898" s="4"/>
      <c r="AM898" s="4"/>
      <c r="AN898" s="4"/>
      <c r="AO898" s="4"/>
      <c r="AP898" s="4"/>
      <c r="AQ898" s="4"/>
      <c r="AR898" s="4"/>
      <c r="AS898" s="4"/>
      <c r="AT898" s="4"/>
      <c r="AU898" s="4"/>
      <c r="AV898" s="537"/>
      <c r="AW898" s="537"/>
      <c r="AX898" s="4"/>
      <c r="AY898" s="4"/>
      <c r="AZ898" s="4"/>
      <c r="BA898" s="4"/>
      <c r="BB898" s="4"/>
      <c r="BC898" s="4"/>
      <c r="BD898" s="4"/>
      <c r="BE898" s="4"/>
      <c r="BF898" s="4"/>
      <c r="BG898" s="4"/>
      <c r="BH898" s="4"/>
      <c r="BI898" s="4"/>
      <c r="BJ898" s="4"/>
      <c r="BK898" s="4"/>
      <c r="BL898" s="4"/>
      <c r="BM898" s="4"/>
      <c r="BN898" s="4"/>
      <c r="BO898" s="4"/>
      <c r="BP898" s="4"/>
      <c r="BQ898" s="4"/>
      <c r="BR898" s="4"/>
    </row>
    <row r="899" spans="1:70" ht="27" customHeight="1" x14ac:dyDescent="0.2">
      <c r="A899" s="532"/>
      <c r="B899" s="917"/>
      <c r="C899" s="4"/>
      <c r="D899" s="917"/>
      <c r="E899" s="4"/>
      <c r="F899" s="917"/>
      <c r="G899" s="4"/>
      <c r="H899" s="920"/>
      <c r="I899" s="3"/>
      <c r="J899" s="920"/>
      <c r="K899" s="3"/>
      <c r="L899" s="920"/>
      <c r="M899" s="3"/>
      <c r="N899" s="920"/>
      <c r="O899" s="3"/>
      <c r="P899" s="3"/>
      <c r="Q899" s="533"/>
      <c r="R899" s="920"/>
      <c r="S899" s="534"/>
      <c r="T899" s="920"/>
      <c r="U899" s="920"/>
      <c r="V899" s="920"/>
      <c r="W899" s="535"/>
      <c r="X899" s="687"/>
      <c r="Y899" s="687"/>
      <c r="Z899" s="687"/>
      <c r="AA899" s="678"/>
      <c r="AB899" s="543"/>
      <c r="AC899" s="3"/>
      <c r="AD899" s="533"/>
      <c r="AE899" s="3"/>
      <c r="AF899" s="4"/>
      <c r="AG899" s="4"/>
      <c r="AH899" s="4"/>
      <c r="AI899" s="4"/>
      <c r="AJ899" s="4"/>
      <c r="AK899" s="4"/>
      <c r="AL899" s="4"/>
      <c r="AM899" s="4"/>
      <c r="AN899" s="4"/>
      <c r="AO899" s="4"/>
      <c r="AP899" s="4"/>
      <c r="AQ899" s="4"/>
      <c r="AR899" s="4"/>
      <c r="AS899" s="4"/>
      <c r="AT899" s="4"/>
      <c r="AU899" s="4"/>
      <c r="AV899" s="537"/>
      <c r="AW899" s="537"/>
      <c r="AX899" s="4"/>
      <c r="AY899" s="4"/>
      <c r="AZ899" s="4"/>
      <c r="BA899" s="4"/>
      <c r="BB899" s="4"/>
      <c r="BC899" s="4"/>
      <c r="BD899" s="4"/>
      <c r="BE899" s="4"/>
      <c r="BF899" s="4"/>
      <c r="BG899" s="4"/>
      <c r="BH899" s="4"/>
      <c r="BI899" s="4"/>
      <c r="BJ899" s="4"/>
      <c r="BK899" s="4"/>
      <c r="BL899" s="4"/>
      <c r="BM899" s="4"/>
      <c r="BN899" s="4"/>
      <c r="BO899" s="4"/>
      <c r="BP899" s="4"/>
      <c r="BQ899" s="4"/>
      <c r="BR899" s="4"/>
    </row>
    <row r="900" spans="1:70" ht="27" customHeight="1" x14ac:dyDescent="0.2">
      <c r="A900" s="532"/>
      <c r="B900" s="917"/>
      <c r="C900" s="4"/>
      <c r="D900" s="917"/>
      <c r="E900" s="4"/>
      <c r="F900" s="917"/>
      <c r="G900" s="4"/>
      <c r="H900" s="920"/>
      <c r="I900" s="3"/>
      <c r="J900" s="920"/>
      <c r="K900" s="3"/>
      <c r="L900" s="920"/>
      <c r="M900" s="3"/>
      <c r="N900" s="920"/>
      <c r="O900" s="3"/>
      <c r="P900" s="3"/>
      <c r="Q900" s="533"/>
      <c r="R900" s="920"/>
      <c r="S900" s="534"/>
      <c r="T900" s="920"/>
      <c r="U900" s="920"/>
      <c r="V900" s="920"/>
      <c r="W900" s="535"/>
      <c r="X900" s="687"/>
      <c r="Y900" s="687"/>
      <c r="Z900" s="687"/>
      <c r="AA900" s="678"/>
      <c r="AB900" s="543"/>
      <c r="AC900" s="3"/>
      <c r="AD900" s="533"/>
      <c r="AE900" s="3"/>
      <c r="AF900" s="4"/>
      <c r="AG900" s="4"/>
      <c r="AH900" s="4"/>
      <c r="AI900" s="4"/>
      <c r="AJ900" s="4"/>
      <c r="AK900" s="4"/>
      <c r="AL900" s="4"/>
      <c r="AM900" s="4"/>
      <c r="AN900" s="4"/>
      <c r="AO900" s="4"/>
      <c r="AP900" s="4"/>
      <c r="AQ900" s="4"/>
      <c r="AR900" s="4"/>
      <c r="AS900" s="4"/>
      <c r="AT900" s="4"/>
      <c r="AU900" s="4"/>
      <c r="AV900" s="537"/>
      <c r="AW900" s="537"/>
      <c r="AX900" s="4"/>
      <c r="AY900" s="4"/>
      <c r="AZ900" s="4"/>
      <c r="BA900" s="4"/>
      <c r="BB900" s="4"/>
      <c r="BC900" s="4"/>
      <c r="BD900" s="4"/>
      <c r="BE900" s="4"/>
      <c r="BF900" s="4"/>
      <c r="BG900" s="4"/>
      <c r="BH900" s="4"/>
      <c r="BI900" s="4"/>
      <c r="BJ900" s="4"/>
      <c r="BK900" s="4"/>
      <c r="BL900" s="4"/>
      <c r="BM900" s="4"/>
      <c r="BN900" s="4"/>
      <c r="BO900" s="4"/>
      <c r="BP900" s="4"/>
      <c r="BQ900" s="4"/>
      <c r="BR900" s="4"/>
    </row>
    <row r="901" spans="1:70" ht="27" customHeight="1" x14ac:dyDescent="0.2">
      <c r="A901" s="532"/>
      <c r="B901" s="917"/>
      <c r="C901" s="4"/>
      <c r="D901" s="917"/>
      <c r="E901" s="4"/>
      <c r="F901" s="917"/>
      <c r="G901" s="4"/>
      <c r="H901" s="920"/>
      <c r="I901" s="3"/>
      <c r="J901" s="920"/>
      <c r="K901" s="3"/>
      <c r="L901" s="920"/>
      <c r="M901" s="3"/>
      <c r="N901" s="920"/>
      <c r="O901" s="3"/>
      <c r="P901" s="3"/>
      <c r="Q901" s="533"/>
      <c r="R901" s="920"/>
      <c r="S901" s="534"/>
      <c r="T901" s="920"/>
      <c r="U901" s="920"/>
      <c r="V901" s="920"/>
      <c r="W901" s="535"/>
      <c r="X901" s="687"/>
      <c r="Y901" s="687"/>
      <c r="Z901" s="687"/>
      <c r="AA901" s="678"/>
      <c r="AB901" s="543"/>
      <c r="AC901" s="3"/>
      <c r="AD901" s="533"/>
      <c r="AE901" s="3"/>
      <c r="AF901" s="4"/>
      <c r="AG901" s="4"/>
      <c r="AH901" s="4"/>
      <c r="AI901" s="4"/>
      <c r="AJ901" s="4"/>
      <c r="AK901" s="4"/>
      <c r="AL901" s="4"/>
      <c r="AM901" s="4"/>
      <c r="AN901" s="4"/>
      <c r="AO901" s="4"/>
      <c r="AP901" s="4"/>
      <c r="AQ901" s="4"/>
      <c r="AR901" s="4"/>
      <c r="AS901" s="4"/>
      <c r="AT901" s="4"/>
      <c r="AU901" s="4"/>
      <c r="AV901" s="537"/>
      <c r="AW901" s="537"/>
      <c r="AX901" s="4"/>
      <c r="AY901" s="4"/>
      <c r="AZ901" s="4"/>
      <c r="BA901" s="4"/>
      <c r="BB901" s="4"/>
      <c r="BC901" s="4"/>
      <c r="BD901" s="4"/>
      <c r="BE901" s="4"/>
      <c r="BF901" s="4"/>
      <c r="BG901" s="4"/>
      <c r="BH901" s="4"/>
      <c r="BI901" s="4"/>
      <c r="BJ901" s="4"/>
      <c r="BK901" s="4"/>
      <c r="BL901" s="4"/>
      <c r="BM901" s="4"/>
      <c r="BN901" s="4"/>
      <c r="BO901" s="4"/>
      <c r="BP901" s="4"/>
      <c r="BQ901" s="4"/>
      <c r="BR901" s="4"/>
    </row>
    <row r="902" spans="1:70" ht="27" customHeight="1" x14ac:dyDescent="0.2">
      <c r="A902" s="532"/>
      <c r="B902" s="917"/>
      <c r="C902" s="4"/>
      <c r="D902" s="917"/>
      <c r="E902" s="4"/>
      <c r="F902" s="917"/>
      <c r="G902" s="4"/>
      <c r="H902" s="920"/>
      <c r="I902" s="3"/>
      <c r="J902" s="920"/>
      <c r="K902" s="3"/>
      <c r="L902" s="920"/>
      <c r="M902" s="3"/>
      <c r="N902" s="920"/>
      <c r="O902" s="3"/>
      <c r="P902" s="3"/>
      <c r="Q902" s="533"/>
      <c r="R902" s="920"/>
      <c r="S902" s="534"/>
      <c r="T902" s="920"/>
      <c r="U902" s="920"/>
      <c r="V902" s="920"/>
      <c r="W902" s="535"/>
      <c r="X902" s="687"/>
      <c r="Y902" s="687"/>
      <c r="Z902" s="687"/>
      <c r="AA902" s="678"/>
      <c r="AB902" s="543"/>
      <c r="AC902" s="3"/>
      <c r="AD902" s="533"/>
      <c r="AE902" s="3"/>
      <c r="AF902" s="4"/>
      <c r="AG902" s="4"/>
      <c r="AH902" s="4"/>
      <c r="AI902" s="4"/>
      <c r="AJ902" s="4"/>
      <c r="AK902" s="4"/>
      <c r="AL902" s="4"/>
      <c r="AM902" s="4"/>
      <c r="AN902" s="4"/>
      <c r="AO902" s="4"/>
      <c r="AP902" s="4"/>
      <c r="AQ902" s="4"/>
      <c r="AR902" s="4"/>
      <c r="AS902" s="4"/>
      <c r="AT902" s="4"/>
      <c r="AU902" s="4"/>
      <c r="AV902" s="537"/>
      <c r="AW902" s="537"/>
      <c r="AX902" s="4"/>
      <c r="AY902" s="4"/>
      <c r="AZ902" s="4"/>
      <c r="BA902" s="4"/>
      <c r="BB902" s="4"/>
      <c r="BC902" s="4"/>
      <c r="BD902" s="4"/>
      <c r="BE902" s="4"/>
      <c r="BF902" s="4"/>
      <c r="BG902" s="4"/>
      <c r="BH902" s="4"/>
      <c r="BI902" s="4"/>
      <c r="BJ902" s="4"/>
      <c r="BK902" s="4"/>
      <c r="BL902" s="4"/>
      <c r="BM902" s="4"/>
      <c r="BN902" s="4"/>
      <c r="BO902" s="4"/>
      <c r="BP902" s="4"/>
      <c r="BQ902" s="4"/>
      <c r="BR902" s="4"/>
    </row>
    <row r="903" spans="1:70" ht="27" customHeight="1" x14ac:dyDescent="0.2">
      <c r="A903" s="532"/>
      <c r="B903" s="917"/>
      <c r="C903" s="4"/>
      <c r="D903" s="917"/>
      <c r="E903" s="4"/>
      <c r="F903" s="917"/>
      <c r="G903" s="4"/>
      <c r="H903" s="920"/>
      <c r="I903" s="3"/>
      <c r="J903" s="920"/>
      <c r="K903" s="3"/>
      <c r="L903" s="920"/>
      <c r="M903" s="3"/>
      <c r="N903" s="920"/>
      <c r="O903" s="3"/>
      <c r="P903" s="3"/>
      <c r="Q903" s="533"/>
      <c r="R903" s="920"/>
      <c r="S903" s="534"/>
      <c r="T903" s="920"/>
      <c r="U903" s="920"/>
      <c r="V903" s="920"/>
      <c r="W903" s="535"/>
      <c r="X903" s="687"/>
      <c r="Y903" s="687"/>
      <c r="Z903" s="687"/>
      <c r="AA903" s="678"/>
      <c r="AB903" s="543"/>
      <c r="AC903" s="3"/>
      <c r="AD903" s="533"/>
      <c r="AE903" s="3"/>
      <c r="AF903" s="4"/>
      <c r="AG903" s="4"/>
      <c r="AH903" s="4"/>
      <c r="AI903" s="4"/>
      <c r="AJ903" s="4"/>
      <c r="AK903" s="4"/>
      <c r="AL903" s="4"/>
      <c r="AM903" s="4"/>
      <c r="AN903" s="4"/>
      <c r="AO903" s="4"/>
      <c r="AP903" s="4"/>
      <c r="AQ903" s="4"/>
      <c r="AR903" s="4"/>
      <c r="AS903" s="4"/>
      <c r="AT903" s="4"/>
      <c r="AU903" s="4"/>
      <c r="AV903" s="537"/>
      <c r="AW903" s="537"/>
      <c r="AX903" s="4"/>
      <c r="AY903" s="4"/>
      <c r="AZ903" s="4"/>
      <c r="BA903" s="4"/>
      <c r="BB903" s="4"/>
      <c r="BC903" s="4"/>
      <c r="BD903" s="4"/>
      <c r="BE903" s="4"/>
      <c r="BF903" s="4"/>
      <c r="BG903" s="4"/>
      <c r="BH903" s="4"/>
      <c r="BI903" s="4"/>
      <c r="BJ903" s="4"/>
      <c r="BK903" s="4"/>
      <c r="BL903" s="4"/>
      <c r="BM903" s="4"/>
      <c r="BN903" s="4"/>
      <c r="BO903" s="4"/>
      <c r="BP903" s="4"/>
      <c r="BQ903" s="4"/>
      <c r="BR903" s="4"/>
    </row>
    <row r="904" spans="1:70" ht="27" customHeight="1" x14ac:dyDescent="0.2">
      <c r="A904" s="532"/>
      <c r="B904" s="917"/>
      <c r="C904" s="4"/>
      <c r="D904" s="917"/>
      <c r="E904" s="4"/>
      <c r="F904" s="917"/>
      <c r="G904" s="4"/>
      <c r="H904" s="920"/>
      <c r="I904" s="3"/>
      <c r="J904" s="920"/>
      <c r="K904" s="3"/>
      <c r="L904" s="920"/>
      <c r="M904" s="3"/>
      <c r="N904" s="920"/>
      <c r="O904" s="3"/>
      <c r="P904" s="3"/>
      <c r="Q904" s="533"/>
      <c r="R904" s="920"/>
      <c r="S904" s="534"/>
      <c r="T904" s="920"/>
      <c r="U904" s="920"/>
      <c r="V904" s="920"/>
      <c r="W904" s="535"/>
      <c r="X904" s="687"/>
      <c r="Y904" s="687"/>
      <c r="Z904" s="687"/>
      <c r="AA904" s="678"/>
      <c r="AB904" s="543"/>
      <c r="AC904" s="3"/>
      <c r="AD904" s="533"/>
      <c r="AE904" s="3"/>
      <c r="AF904" s="4"/>
      <c r="AG904" s="4"/>
      <c r="AH904" s="4"/>
      <c r="AI904" s="4"/>
      <c r="AJ904" s="4"/>
      <c r="AK904" s="4"/>
      <c r="AL904" s="4"/>
      <c r="AM904" s="4"/>
      <c r="AN904" s="4"/>
      <c r="AO904" s="4"/>
      <c r="AP904" s="4"/>
      <c r="AQ904" s="4"/>
      <c r="AR904" s="4"/>
      <c r="AS904" s="4"/>
      <c r="AT904" s="4"/>
      <c r="AU904" s="4"/>
      <c r="AV904" s="537"/>
      <c r="AW904" s="537"/>
      <c r="AX904" s="4"/>
      <c r="AY904" s="4"/>
      <c r="AZ904" s="4"/>
      <c r="BA904" s="4"/>
      <c r="BB904" s="4"/>
      <c r="BC904" s="4"/>
      <c r="BD904" s="4"/>
      <c r="BE904" s="4"/>
      <c r="BF904" s="4"/>
      <c r="BG904" s="4"/>
      <c r="BH904" s="4"/>
      <c r="BI904" s="4"/>
      <c r="BJ904" s="4"/>
      <c r="BK904" s="4"/>
      <c r="BL904" s="4"/>
      <c r="BM904" s="4"/>
      <c r="BN904" s="4"/>
      <c r="BO904" s="4"/>
      <c r="BP904" s="4"/>
      <c r="BQ904" s="4"/>
      <c r="BR904" s="4"/>
    </row>
    <row r="905" spans="1:70" ht="27" customHeight="1" x14ac:dyDescent="0.2">
      <c r="A905" s="532"/>
      <c r="B905" s="917"/>
      <c r="C905" s="4"/>
      <c r="D905" s="917"/>
      <c r="E905" s="4"/>
      <c r="F905" s="917"/>
      <c r="G905" s="4"/>
      <c r="H905" s="920"/>
      <c r="I905" s="3"/>
      <c r="J905" s="920"/>
      <c r="K905" s="3"/>
      <c r="L905" s="920"/>
      <c r="M905" s="3"/>
      <c r="N905" s="920"/>
      <c r="O905" s="3"/>
      <c r="P905" s="3"/>
      <c r="Q905" s="533"/>
      <c r="R905" s="920"/>
      <c r="S905" s="534"/>
      <c r="T905" s="920"/>
      <c r="U905" s="920"/>
      <c r="V905" s="920"/>
      <c r="W905" s="535"/>
      <c r="X905" s="687"/>
      <c r="Y905" s="687"/>
      <c r="Z905" s="687"/>
      <c r="AA905" s="678"/>
      <c r="AB905" s="543"/>
      <c r="AC905" s="3"/>
      <c r="AD905" s="533"/>
      <c r="AE905" s="3"/>
      <c r="AF905" s="4"/>
      <c r="AG905" s="4"/>
      <c r="AH905" s="4"/>
      <c r="AI905" s="4"/>
      <c r="AJ905" s="4"/>
      <c r="AK905" s="4"/>
      <c r="AL905" s="4"/>
      <c r="AM905" s="4"/>
      <c r="AN905" s="4"/>
      <c r="AO905" s="4"/>
      <c r="AP905" s="4"/>
      <c r="AQ905" s="4"/>
      <c r="AR905" s="4"/>
      <c r="AS905" s="4"/>
      <c r="AT905" s="4"/>
      <c r="AU905" s="4"/>
      <c r="AV905" s="537"/>
      <c r="AW905" s="537"/>
      <c r="AX905" s="4"/>
      <c r="AY905" s="4"/>
      <c r="AZ905" s="4"/>
      <c r="BA905" s="4"/>
      <c r="BB905" s="4"/>
      <c r="BC905" s="4"/>
      <c r="BD905" s="4"/>
      <c r="BE905" s="4"/>
      <c r="BF905" s="4"/>
      <c r="BG905" s="4"/>
      <c r="BH905" s="4"/>
      <c r="BI905" s="4"/>
      <c r="BJ905" s="4"/>
      <c r="BK905" s="4"/>
      <c r="BL905" s="4"/>
      <c r="BM905" s="4"/>
      <c r="BN905" s="4"/>
      <c r="BO905" s="4"/>
      <c r="BP905" s="4"/>
      <c r="BQ905" s="4"/>
      <c r="BR905" s="4"/>
    </row>
    <row r="906" spans="1:70" ht="27" customHeight="1" x14ac:dyDescent="0.2">
      <c r="A906" s="532"/>
      <c r="B906" s="917"/>
      <c r="C906" s="4"/>
      <c r="D906" s="917"/>
      <c r="E906" s="4"/>
      <c r="F906" s="917"/>
      <c r="G906" s="4"/>
      <c r="H906" s="920"/>
      <c r="I906" s="3"/>
      <c r="J906" s="920"/>
      <c r="K906" s="3"/>
      <c r="L906" s="920"/>
      <c r="M906" s="3"/>
      <c r="N906" s="920"/>
      <c r="O906" s="3"/>
      <c r="P906" s="3"/>
      <c r="Q906" s="533"/>
      <c r="R906" s="920"/>
      <c r="S906" s="534"/>
      <c r="T906" s="920"/>
      <c r="U906" s="920"/>
      <c r="V906" s="920"/>
      <c r="W906" s="535"/>
      <c r="X906" s="687"/>
      <c r="Y906" s="687"/>
      <c r="Z906" s="687"/>
      <c r="AA906" s="678"/>
      <c r="AB906" s="543"/>
      <c r="AC906" s="3"/>
      <c r="AD906" s="533"/>
      <c r="AE906" s="3"/>
      <c r="AF906" s="4"/>
      <c r="AG906" s="4"/>
      <c r="AH906" s="4"/>
      <c r="AI906" s="4"/>
      <c r="AJ906" s="4"/>
      <c r="AK906" s="4"/>
      <c r="AL906" s="4"/>
      <c r="AM906" s="4"/>
      <c r="AN906" s="4"/>
      <c r="AO906" s="4"/>
      <c r="AP906" s="4"/>
      <c r="AQ906" s="4"/>
      <c r="AR906" s="4"/>
      <c r="AS906" s="4"/>
      <c r="AT906" s="4"/>
      <c r="AU906" s="4"/>
      <c r="AV906" s="537"/>
      <c r="AW906" s="537"/>
      <c r="AX906" s="4"/>
      <c r="AY906" s="4"/>
      <c r="AZ906" s="4"/>
      <c r="BA906" s="4"/>
      <c r="BB906" s="4"/>
      <c r="BC906" s="4"/>
      <c r="BD906" s="4"/>
      <c r="BE906" s="4"/>
      <c r="BF906" s="4"/>
      <c r="BG906" s="4"/>
      <c r="BH906" s="4"/>
      <c r="BI906" s="4"/>
      <c r="BJ906" s="4"/>
      <c r="BK906" s="4"/>
      <c r="BL906" s="4"/>
      <c r="BM906" s="4"/>
      <c r="BN906" s="4"/>
      <c r="BO906" s="4"/>
      <c r="BP906" s="4"/>
      <c r="BQ906" s="4"/>
      <c r="BR906" s="4"/>
    </row>
    <row r="907" spans="1:70" ht="27" customHeight="1" x14ac:dyDescent="0.2">
      <c r="A907" s="532"/>
      <c r="B907" s="917"/>
      <c r="C907" s="4"/>
      <c r="D907" s="917"/>
      <c r="E907" s="4"/>
      <c r="F907" s="917"/>
      <c r="G907" s="4"/>
      <c r="H907" s="920"/>
      <c r="I907" s="3"/>
      <c r="J907" s="920"/>
      <c r="K907" s="3"/>
      <c r="L907" s="920"/>
      <c r="M907" s="3"/>
      <c r="N907" s="920"/>
      <c r="O907" s="3"/>
      <c r="P907" s="3"/>
      <c r="Q907" s="533"/>
      <c r="R907" s="920"/>
      <c r="S907" s="534"/>
      <c r="T907" s="920"/>
      <c r="U907" s="920"/>
      <c r="V907" s="920"/>
      <c r="W907" s="535"/>
      <c r="X907" s="687"/>
      <c r="Y907" s="687"/>
      <c r="Z907" s="687"/>
      <c r="AA907" s="678"/>
      <c r="AB907" s="543"/>
      <c r="AC907" s="3"/>
      <c r="AD907" s="533"/>
      <c r="AE907" s="3"/>
      <c r="AF907" s="4"/>
      <c r="AG907" s="4"/>
      <c r="AH907" s="4"/>
      <c r="AI907" s="4"/>
      <c r="AJ907" s="4"/>
      <c r="AK907" s="4"/>
      <c r="AL907" s="4"/>
      <c r="AM907" s="4"/>
      <c r="AN907" s="4"/>
      <c r="AO907" s="4"/>
      <c r="AP907" s="4"/>
      <c r="AQ907" s="4"/>
      <c r="AR907" s="4"/>
      <c r="AS907" s="4"/>
      <c r="AT907" s="4"/>
      <c r="AU907" s="4"/>
      <c r="AV907" s="537"/>
      <c r="AW907" s="537"/>
      <c r="AX907" s="4"/>
      <c r="AY907" s="4"/>
      <c r="AZ907" s="4"/>
      <c r="BA907" s="4"/>
      <c r="BB907" s="4"/>
      <c r="BC907" s="4"/>
      <c r="BD907" s="4"/>
      <c r="BE907" s="4"/>
      <c r="BF907" s="4"/>
      <c r="BG907" s="4"/>
      <c r="BH907" s="4"/>
      <c r="BI907" s="4"/>
      <c r="BJ907" s="4"/>
      <c r="BK907" s="4"/>
      <c r="BL907" s="4"/>
      <c r="BM907" s="4"/>
      <c r="BN907" s="4"/>
      <c r="BO907" s="4"/>
      <c r="BP907" s="4"/>
      <c r="BQ907" s="4"/>
      <c r="BR907" s="4"/>
    </row>
    <row r="908" spans="1:70" ht="27" customHeight="1" x14ac:dyDescent="0.2">
      <c r="A908" s="532"/>
      <c r="B908" s="917"/>
      <c r="C908" s="4"/>
      <c r="D908" s="917"/>
      <c r="E908" s="4"/>
      <c r="F908" s="917"/>
      <c r="G908" s="4"/>
      <c r="H908" s="920"/>
      <c r="I908" s="3"/>
      <c r="J908" s="920"/>
      <c r="K908" s="3"/>
      <c r="L908" s="920"/>
      <c r="M908" s="3"/>
      <c r="N908" s="920"/>
      <c r="O908" s="3"/>
      <c r="P908" s="3"/>
      <c r="Q908" s="533"/>
      <c r="R908" s="920"/>
      <c r="S908" s="534"/>
      <c r="T908" s="920"/>
      <c r="U908" s="920"/>
      <c r="V908" s="920"/>
      <c r="W908" s="535"/>
      <c r="X908" s="687"/>
      <c r="Y908" s="687"/>
      <c r="Z908" s="687"/>
      <c r="AA908" s="678"/>
      <c r="AB908" s="543"/>
      <c r="AC908" s="3"/>
      <c r="AD908" s="533"/>
      <c r="AE908" s="3"/>
      <c r="AF908" s="4"/>
      <c r="AG908" s="4"/>
      <c r="AH908" s="4"/>
      <c r="AI908" s="4"/>
      <c r="AJ908" s="4"/>
      <c r="AK908" s="4"/>
      <c r="AL908" s="4"/>
      <c r="AM908" s="4"/>
      <c r="AN908" s="4"/>
      <c r="AO908" s="4"/>
      <c r="AP908" s="4"/>
      <c r="AQ908" s="4"/>
      <c r="AR908" s="4"/>
      <c r="AS908" s="4"/>
      <c r="AT908" s="4"/>
      <c r="AU908" s="4"/>
      <c r="AV908" s="537"/>
      <c r="AW908" s="537"/>
      <c r="AX908" s="4"/>
      <c r="AY908" s="4"/>
      <c r="AZ908" s="4"/>
      <c r="BA908" s="4"/>
      <c r="BB908" s="4"/>
      <c r="BC908" s="4"/>
      <c r="BD908" s="4"/>
      <c r="BE908" s="4"/>
      <c r="BF908" s="4"/>
      <c r="BG908" s="4"/>
      <c r="BH908" s="4"/>
      <c r="BI908" s="4"/>
      <c r="BJ908" s="4"/>
      <c r="BK908" s="4"/>
      <c r="BL908" s="4"/>
      <c r="BM908" s="4"/>
      <c r="BN908" s="4"/>
      <c r="BO908" s="4"/>
      <c r="BP908" s="4"/>
      <c r="BQ908" s="4"/>
      <c r="BR908" s="4"/>
    </row>
    <row r="909" spans="1:70" ht="27" customHeight="1" x14ac:dyDescent="0.2">
      <c r="A909" s="532"/>
      <c r="B909" s="917"/>
      <c r="C909" s="4"/>
      <c r="D909" s="917"/>
      <c r="E909" s="4"/>
      <c r="F909" s="917"/>
      <c r="G909" s="4"/>
      <c r="H909" s="920"/>
      <c r="I909" s="3"/>
      <c r="J909" s="920"/>
      <c r="K909" s="3"/>
      <c r="L909" s="920"/>
      <c r="M909" s="3"/>
      <c r="N909" s="920"/>
      <c r="O909" s="3"/>
      <c r="P909" s="3"/>
      <c r="Q909" s="533"/>
      <c r="R909" s="920"/>
      <c r="S909" s="534"/>
      <c r="T909" s="920"/>
      <c r="U909" s="920"/>
      <c r="V909" s="920"/>
      <c r="W909" s="535"/>
      <c r="X909" s="687"/>
      <c r="Y909" s="687"/>
      <c r="Z909" s="687"/>
      <c r="AA909" s="678"/>
      <c r="AB909" s="543"/>
      <c r="AC909" s="3"/>
      <c r="AD909" s="533"/>
      <c r="AE909" s="3"/>
      <c r="AF909" s="4"/>
      <c r="AG909" s="4"/>
      <c r="AH909" s="4"/>
      <c r="AI909" s="4"/>
      <c r="AJ909" s="4"/>
      <c r="AK909" s="4"/>
      <c r="AL909" s="4"/>
      <c r="AM909" s="4"/>
      <c r="AN909" s="4"/>
      <c r="AO909" s="4"/>
      <c r="AP909" s="4"/>
      <c r="AQ909" s="4"/>
      <c r="AR909" s="4"/>
      <c r="AS909" s="4"/>
      <c r="AT909" s="4"/>
      <c r="AU909" s="4"/>
      <c r="AV909" s="537"/>
      <c r="AW909" s="537"/>
      <c r="AX909" s="4"/>
      <c r="AY909" s="4"/>
      <c r="AZ909" s="4"/>
      <c r="BA909" s="4"/>
      <c r="BB909" s="4"/>
      <c r="BC909" s="4"/>
      <c r="BD909" s="4"/>
      <c r="BE909" s="4"/>
      <c r="BF909" s="4"/>
      <c r="BG909" s="4"/>
      <c r="BH909" s="4"/>
      <c r="BI909" s="4"/>
      <c r="BJ909" s="4"/>
      <c r="BK909" s="4"/>
      <c r="BL909" s="4"/>
      <c r="BM909" s="4"/>
      <c r="BN909" s="4"/>
      <c r="BO909" s="4"/>
      <c r="BP909" s="4"/>
      <c r="BQ909" s="4"/>
      <c r="BR909" s="4"/>
    </row>
    <row r="910" spans="1:70" ht="27" customHeight="1" x14ac:dyDescent="0.2">
      <c r="A910" s="532"/>
      <c r="B910" s="917"/>
      <c r="C910" s="4"/>
      <c r="D910" s="917"/>
      <c r="E910" s="4"/>
      <c r="F910" s="917"/>
      <c r="G910" s="4"/>
      <c r="H910" s="920"/>
      <c r="I910" s="3"/>
      <c r="J910" s="920"/>
      <c r="K910" s="3"/>
      <c r="L910" s="920"/>
      <c r="M910" s="3"/>
      <c r="N910" s="920"/>
      <c r="O910" s="3"/>
      <c r="P910" s="3"/>
      <c r="Q910" s="533"/>
      <c r="R910" s="920"/>
      <c r="S910" s="534"/>
      <c r="T910" s="920"/>
      <c r="U910" s="920"/>
      <c r="V910" s="920"/>
      <c r="W910" s="535"/>
      <c r="X910" s="687"/>
      <c r="Y910" s="687"/>
      <c r="Z910" s="687"/>
      <c r="AA910" s="678"/>
      <c r="AB910" s="543"/>
      <c r="AC910" s="3"/>
      <c r="AD910" s="533"/>
      <c r="AE910" s="3"/>
      <c r="AF910" s="4"/>
      <c r="AG910" s="4"/>
      <c r="AH910" s="4"/>
      <c r="AI910" s="4"/>
      <c r="AJ910" s="4"/>
      <c r="AK910" s="4"/>
      <c r="AL910" s="4"/>
      <c r="AM910" s="4"/>
      <c r="AN910" s="4"/>
      <c r="AO910" s="4"/>
      <c r="AP910" s="4"/>
      <c r="AQ910" s="4"/>
      <c r="AR910" s="4"/>
      <c r="AS910" s="4"/>
      <c r="AT910" s="4"/>
      <c r="AU910" s="4"/>
      <c r="AV910" s="537"/>
      <c r="AW910" s="537"/>
      <c r="AX910" s="4"/>
      <c r="AY910" s="4"/>
      <c r="AZ910" s="4"/>
      <c r="BA910" s="4"/>
      <c r="BB910" s="4"/>
      <c r="BC910" s="4"/>
      <c r="BD910" s="4"/>
      <c r="BE910" s="4"/>
      <c r="BF910" s="4"/>
      <c r="BG910" s="4"/>
      <c r="BH910" s="4"/>
      <c r="BI910" s="4"/>
      <c r="BJ910" s="4"/>
      <c r="BK910" s="4"/>
      <c r="BL910" s="4"/>
      <c r="BM910" s="4"/>
      <c r="BN910" s="4"/>
      <c r="BO910" s="4"/>
      <c r="BP910" s="4"/>
      <c r="BQ910" s="4"/>
      <c r="BR910" s="4"/>
    </row>
    <row r="911" spans="1:70" ht="27" customHeight="1" x14ac:dyDescent="0.2">
      <c r="A911" s="532"/>
      <c r="B911" s="917"/>
      <c r="C911" s="4"/>
      <c r="D911" s="917"/>
      <c r="E911" s="4"/>
      <c r="F911" s="917"/>
      <c r="G911" s="4"/>
      <c r="H911" s="920"/>
      <c r="I911" s="3"/>
      <c r="J911" s="920"/>
      <c r="K911" s="3"/>
      <c r="L911" s="920"/>
      <c r="M911" s="3"/>
      <c r="N911" s="920"/>
      <c r="O911" s="3"/>
      <c r="P911" s="3"/>
      <c r="Q911" s="533"/>
      <c r="R911" s="920"/>
      <c r="S911" s="534"/>
      <c r="T911" s="920"/>
      <c r="U911" s="920"/>
      <c r="V911" s="920"/>
      <c r="W911" s="535"/>
      <c r="X911" s="687"/>
      <c r="Y911" s="687"/>
      <c r="Z911" s="687"/>
      <c r="AA911" s="678"/>
      <c r="AB911" s="543"/>
      <c r="AC911" s="3"/>
      <c r="AD911" s="533"/>
      <c r="AE911" s="3"/>
      <c r="AF911" s="4"/>
      <c r="AG911" s="4"/>
      <c r="AH911" s="4"/>
      <c r="AI911" s="4"/>
      <c r="AJ911" s="4"/>
      <c r="AK911" s="4"/>
      <c r="AL911" s="4"/>
      <c r="AM911" s="4"/>
      <c r="AN911" s="4"/>
      <c r="AO911" s="4"/>
      <c r="AP911" s="4"/>
      <c r="AQ911" s="4"/>
      <c r="AR911" s="4"/>
      <c r="AS911" s="4"/>
      <c r="AT911" s="4"/>
      <c r="AU911" s="4"/>
      <c r="AV911" s="537"/>
      <c r="AW911" s="537"/>
      <c r="AX911" s="4"/>
      <c r="AY911" s="4"/>
      <c r="AZ911" s="4"/>
      <c r="BA911" s="4"/>
      <c r="BB911" s="4"/>
      <c r="BC911" s="4"/>
      <c r="BD911" s="4"/>
      <c r="BE911" s="4"/>
      <c r="BF911" s="4"/>
      <c r="BG911" s="4"/>
      <c r="BH911" s="4"/>
      <c r="BI911" s="4"/>
      <c r="BJ911" s="4"/>
      <c r="BK911" s="4"/>
      <c r="BL911" s="4"/>
      <c r="BM911" s="4"/>
      <c r="BN911" s="4"/>
      <c r="BO911" s="4"/>
      <c r="BP911" s="4"/>
      <c r="BQ911" s="4"/>
      <c r="BR911" s="4"/>
    </row>
    <row r="912" spans="1:70" ht="27" customHeight="1" x14ac:dyDescent="0.2">
      <c r="A912" s="532"/>
      <c r="B912" s="917"/>
      <c r="C912" s="4"/>
      <c r="D912" s="917"/>
      <c r="E912" s="4"/>
      <c r="F912" s="917"/>
      <c r="G912" s="4"/>
      <c r="H912" s="920"/>
      <c r="I912" s="3"/>
      <c r="J912" s="920"/>
      <c r="K912" s="3"/>
      <c r="L912" s="920"/>
      <c r="M912" s="3"/>
      <c r="N912" s="920"/>
      <c r="O912" s="3"/>
      <c r="P912" s="3"/>
      <c r="Q912" s="533"/>
      <c r="R912" s="920"/>
      <c r="S912" s="534"/>
      <c r="T912" s="920"/>
      <c r="U912" s="920"/>
      <c r="V912" s="920"/>
      <c r="W912" s="535"/>
      <c r="X912" s="687"/>
      <c r="Y912" s="687"/>
      <c r="Z912" s="687"/>
      <c r="AA912" s="678"/>
      <c r="AB912" s="543"/>
      <c r="AC912" s="3"/>
      <c r="AD912" s="533"/>
      <c r="AE912" s="3"/>
      <c r="AF912" s="4"/>
      <c r="AG912" s="4"/>
      <c r="AH912" s="4"/>
      <c r="AI912" s="4"/>
      <c r="AJ912" s="4"/>
      <c r="AK912" s="4"/>
      <c r="AL912" s="4"/>
      <c r="AM912" s="4"/>
      <c r="AN912" s="4"/>
      <c r="AO912" s="4"/>
      <c r="AP912" s="4"/>
      <c r="AQ912" s="4"/>
      <c r="AR912" s="4"/>
      <c r="AS912" s="4"/>
      <c r="AT912" s="4"/>
      <c r="AU912" s="4"/>
      <c r="AV912" s="537"/>
      <c r="AW912" s="537"/>
      <c r="AX912" s="4"/>
      <c r="AY912" s="4"/>
      <c r="AZ912" s="4"/>
      <c r="BA912" s="4"/>
      <c r="BB912" s="4"/>
      <c r="BC912" s="4"/>
      <c r="BD912" s="4"/>
      <c r="BE912" s="4"/>
      <c r="BF912" s="4"/>
      <c r="BG912" s="4"/>
      <c r="BH912" s="4"/>
      <c r="BI912" s="4"/>
      <c r="BJ912" s="4"/>
      <c r="BK912" s="4"/>
      <c r="BL912" s="4"/>
      <c r="BM912" s="4"/>
      <c r="BN912" s="4"/>
      <c r="BO912" s="4"/>
      <c r="BP912" s="4"/>
      <c r="BQ912" s="4"/>
      <c r="BR912" s="4"/>
    </row>
    <row r="913" spans="1:70" ht="27" customHeight="1" x14ac:dyDescent="0.2">
      <c r="A913" s="532"/>
      <c r="B913" s="917"/>
      <c r="C913" s="4"/>
      <c r="D913" s="917"/>
      <c r="E913" s="4"/>
      <c r="F913" s="917"/>
      <c r="G913" s="4"/>
      <c r="H913" s="920"/>
      <c r="I913" s="3"/>
      <c r="J913" s="920"/>
      <c r="K913" s="3"/>
      <c r="L913" s="920"/>
      <c r="M913" s="3"/>
      <c r="N913" s="920"/>
      <c r="O913" s="3"/>
      <c r="P913" s="3"/>
      <c r="Q913" s="533"/>
      <c r="R913" s="920"/>
      <c r="S913" s="534"/>
      <c r="T913" s="920"/>
      <c r="U913" s="920"/>
      <c r="V913" s="920"/>
      <c r="W913" s="535"/>
      <c r="X913" s="687"/>
      <c r="Y913" s="687"/>
      <c r="Z913" s="687"/>
      <c r="AA913" s="678"/>
      <c r="AB913" s="543"/>
      <c r="AC913" s="3"/>
      <c r="AD913" s="533"/>
      <c r="AE913" s="3"/>
      <c r="AF913" s="4"/>
      <c r="AG913" s="4"/>
      <c r="AH913" s="4"/>
      <c r="AI913" s="4"/>
      <c r="AJ913" s="4"/>
      <c r="AK913" s="4"/>
      <c r="AL913" s="4"/>
      <c r="AM913" s="4"/>
      <c r="AN913" s="4"/>
      <c r="AO913" s="4"/>
      <c r="AP913" s="4"/>
      <c r="AQ913" s="4"/>
      <c r="AR913" s="4"/>
      <c r="AS913" s="4"/>
      <c r="AT913" s="4"/>
      <c r="AU913" s="4"/>
      <c r="AV913" s="537"/>
      <c r="AW913" s="537"/>
      <c r="AX913" s="4"/>
      <c r="AY913" s="4"/>
      <c r="AZ913" s="4"/>
      <c r="BA913" s="4"/>
      <c r="BB913" s="4"/>
      <c r="BC913" s="4"/>
      <c r="BD913" s="4"/>
      <c r="BE913" s="4"/>
      <c r="BF913" s="4"/>
      <c r="BG913" s="4"/>
      <c r="BH913" s="4"/>
      <c r="BI913" s="4"/>
      <c r="BJ913" s="4"/>
      <c r="BK913" s="4"/>
      <c r="BL913" s="4"/>
      <c r="BM913" s="4"/>
      <c r="BN913" s="4"/>
      <c r="BO913" s="4"/>
      <c r="BP913" s="4"/>
      <c r="BQ913" s="4"/>
      <c r="BR913" s="4"/>
    </row>
    <row r="914" spans="1:70" ht="27" customHeight="1" x14ac:dyDescent="0.2">
      <c r="A914" s="532"/>
      <c r="B914" s="917"/>
      <c r="C914" s="4"/>
      <c r="D914" s="917"/>
      <c r="E914" s="4"/>
      <c r="F914" s="917"/>
      <c r="G914" s="4"/>
      <c r="H914" s="920"/>
      <c r="I914" s="3"/>
      <c r="J914" s="920"/>
      <c r="K914" s="3"/>
      <c r="L914" s="920"/>
      <c r="M914" s="3"/>
      <c r="N914" s="920"/>
      <c r="O914" s="3"/>
      <c r="P914" s="3"/>
      <c r="Q914" s="533"/>
      <c r="R914" s="920"/>
      <c r="S914" s="534"/>
      <c r="T914" s="920"/>
      <c r="U914" s="920"/>
      <c r="V914" s="920"/>
      <c r="W914" s="535"/>
      <c r="X914" s="687"/>
      <c r="Y914" s="687"/>
      <c r="Z914" s="687"/>
      <c r="AA914" s="678"/>
      <c r="AB914" s="543"/>
      <c r="AC914" s="3"/>
      <c r="AD914" s="533"/>
      <c r="AE914" s="3"/>
      <c r="AF914" s="4"/>
      <c r="AG914" s="4"/>
      <c r="AH914" s="4"/>
      <c r="AI914" s="4"/>
      <c r="AJ914" s="4"/>
      <c r="AK914" s="4"/>
      <c r="AL914" s="4"/>
      <c r="AM914" s="4"/>
      <c r="AN914" s="4"/>
      <c r="AO914" s="4"/>
      <c r="AP914" s="4"/>
      <c r="AQ914" s="4"/>
      <c r="AR914" s="4"/>
      <c r="AS914" s="4"/>
      <c r="AT914" s="4"/>
      <c r="AU914" s="4"/>
      <c r="AV914" s="537"/>
      <c r="AW914" s="537"/>
      <c r="AX914" s="4"/>
      <c r="AY914" s="4"/>
      <c r="AZ914" s="4"/>
      <c r="BA914" s="4"/>
      <c r="BB914" s="4"/>
      <c r="BC914" s="4"/>
      <c r="BD914" s="4"/>
      <c r="BE914" s="4"/>
      <c r="BF914" s="4"/>
      <c r="BG914" s="4"/>
      <c r="BH914" s="4"/>
      <c r="BI914" s="4"/>
      <c r="BJ914" s="4"/>
      <c r="BK914" s="4"/>
      <c r="BL914" s="4"/>
      <c r="BM914" s="4"/>
      <c r="BN914" s="4"/>
      <c r="BO914" s="4"/>
      <c r="BP914" s="4"/>
      <c r="BQ914" s="4"/>
      <c r="BR914" s="4"/>
    </row>
    <row r="915" spans="1:70" ht="27" customHeight="1" x14ac:dyDescent="0.2">
      <c r="A915" s="532"/>
      <c r="B915" s="917"/>
      <c r="C915" s="4"/>
      <c r="D915" s="917"/>
      <c r="E915" s="4"/>
      <c r="F915" s="917"/>
      <c r="G915" s="4"/>
      <c r="H915" s="920"/>
      <c r="I915" s="3"/>
      <c r="J915" s="920"/>
      <c r="K915" s="3"/>
      <c r="L915" s="920"/>
      <c r="M915" s="3"/>
      <c r="N915" s="920"/>
      <c r="O915" s="3"/>
      <c r="P915" s="3"/>
      <c r="Q915" s="533"/>
      <c r="R915" s="920"/>
      <c r="S915" s="534"/>
      <c r="T915" s="920"/>
      <c r="U915" s="920"/>
      <c r="V915" s="920"/>
      <c r="W915" s="535"/>
      <c r="X915" s="687"/>
      <c r="Y915" s="687"/>
      <c r="Z915" s="687"/>
      <c r="AA915" s="678"/>
      <c r="AB915" s="543"/>
      <c r="AC915" s="3"/>
      <c r="AD915" s="533"/>
      <c r="AE915" s="3"/>
      <c r="AF915" s="4"/>
      <c r="AG915" s="4"/>
      <c r="AH915" s="4"/>
      <c r="AI915" s="4"/>
      <c r="AJ915" s="4"/>
      <c r="AK915" s="4"/>
      <c r="AL915" s="4"/>
      <c r="AM915" s="4"/>
      <c r="AN915" s="4"/>
      <c r="AO915" s="4"/>
      <c r="AP915" s="4"/>
      <c r="AQ915" s="4"/>
      <c r="AR915" s="4"/>
      <c r="AS915" s="4"/>
      <c r="AT915" s="4"/>
      <c r="AU915" s="4"/>
      <c r="AV915" s="537"/>
      <c r="AW915" s="537"/>
      <c r="AX915" s="4"/>
      <c r="AY915" s="4"/>
      <c r="AZ915" s="4"/>
      <c r="BA915" s="4"/>
      <c r="BB915" s="4"/>
      <c r="BC915" s="4"/>
      <c r="BD915" s="4"/>
      <c r="BE915" s="4"/>
      <c r="BF915" s="4"/>
      <c r="BG915" s="4"/>
      <c r="BH915" s="4"/>
      <c r="BI915" s="4"/>
      <c r="BJ915" s="4"/>
      <c r="BK915" s="4"/>
      <c r="BL915" s="4"/>
      <c r="BM915" s="4"/>
      <c r="BN915" s="4"/>
      <c r="BO915" s="4"/>
      <c r="BP915" s="4"/>
      <c r="BQ915" s="4"/>
      <c r="BR915" s="4"/>
    </row>
    <row r="916" spans="1:70" ht="27" customHeight="1" x14ac:dyDescent="0.2">
      <c r="A916" s="532"/>
      <c r="B916" s="917"/>
      <c r="C916" s="4"/>
      <c r="D916" s="917"/>
      <c r="E916" s="4"/>
      <c r="F916" s="917"/>
      <c r="G916" s="4"/>
      <c r="H916" s="920"/>
      <c r="I916" s="3"/>
      <c r="J916" s="920"/>
      <c r="K916" s="3"/>
      <c r="L916" s="920"/>
      <c r="M916" s="3"/>
      <c r="N916" s="920"/>
      <c r="O916" s="3"/>
      <c r="P916" s="3"/>
      <c r="Q916" s="533"/>
      <c r="R916" s="920"/>
      <c r="S916" s="534"/>
      <c r="T916" s="920"/>
      <c r="U916" s="920"/>
      <c r="V916" s="920"/>
      <c r="W916" s="535"/>
      <c r="X916" s="687"/>
      <c r="Y916" s="687"/>
      <c r="Z916" s="687"/>
      <c r="AA916" s="678"/>
      <c r="AB916" s="543"/>
      <c r="AC916" s="3"/>
      <c r="AD916" s="533"/>
      <c r="AE916" s="3"/>
      <c r="AF916" s="4"/>
      <c r="AG916" s="4"/>
      <c r="AH916" s="4"/>
      <c r="AI916" s="4"/>
      <c r="AJ916" s="4"/>
      <c r="AK916" s="4"/>
      <c r="AL916" s="4"/>
      <c r="AM916" s="4"/>
      <c r="AN916" s="4"/>
      <c r="AO916" s="4"/>
      <c r="AP916" s="4"/>
      <c r="AQ916" s="4"/>
      <c r="AR916" s="4"/>
      <c r="AS916" s="4"/>
      <c r="AT916" s="4"/>
      <c r="AU916" s="4"/>
      <c r="AV916" s="537"/>
      <c r="AW916" s="537"/>
      <c r="AX916" s="4"/>
      <c r="AY916" s="4"/>
      <c r="AZ916" s="4"/>
      <c r="BA916" s="4"/>
      <c r="BB916" s="4"/>
      <c r="BC916" s="4"/>
      <c r="BD916" s="4"/>
      <c r="BE916" s="4"/>
      <c r="BF916" s="4"/>
      <c r="BG916" s="4"/>
      <c r="BH916" s="4"/>
      <c r="BI916" s="4"/>
      <c r="BJ916" s="4"/>
      <c r="BK916" s="4"/>
      <c r="BL916" s="4"/>
      <c r="BM916" s="4"/>
      <c r="BN916" s="4"/>
      <c r="BO916" s="4"/>
      <c r="BP916" s="4"/>
      <c r="BQ916" s="4"/>
      <c r="BR916" s="4"/>
    </row>
    <row r="917" spans="1:70" ht="27" customHeight="1" x14ac:dyDescent="0.2">
      <c r="A917" s="532"/>
      <c r="B917" s="917"/>
      <c r="C917" s="4"/>
      <c r="D917" s="917"/>
      <c r="E917" s="4"/>
      <c r="F917" s="917"/>
      <c r="G917" s="4"/>
      <c r="H917" s="920"/>
      <c r="I917" s="3"/>
      <c r="J917" s="920"/>
      <c r="K917" s="3"/>
      <c r="L917" s="920"/>
      <c r="M917" s="3"/>
      <c r="N917" s="920"/>
      <c r="O917" s="3"/>
      <c r="P917" s="3"/>
      <c r="Q917" s="533"/>
      <c r="R917" s="920"/>
      <c r="S917" s="534"/>
      <c r="T917" s="920"/>
      <c r="U917" s="920"/>
      <c r="V917" s="920"/>
      <c r="W917" s="535"/>
      <c r="X917" s="687"/>
      <c r="Y917" s="687"/>
      <c r="Z917" s="687"/>
      <c r="AA917" s="678"/>
      <c r="AB917" s="543"/>
      <c r="AC917" s="3"/>
      <c r="AD917" s="533"/>
      <c r="AE917" s="3"/>
      <c r="AF917" s="4"/>
      <c r="AG917" s="4"/>
      <c r="AH917" s="4"/>
      <c r="AI917" s="4"/>
      <c r="AJ917" s="4"/>
      <c r="AK917" s="4"/>
      <c r="AL917" s="4"/>
      <c r="AM917" s="4"/>
      <c r="AN917" s="4"/>
      <c r="AO917" s="4"/>
      <c r="AP917" s="4"/>
      <c r="AQ917" s="4"/>
      <c r="AR917" s="4"/>
      <c r="AS917" s="4"/>
      <c r="AT917" s="4"/>
      <c r="AU917" s="4"/>
      <c r="AV917" s="537"/>
      <c r="AW917" s="537"/>
      <c r="AX917" s="4"/>
      <c r="AY917" s="4"/>
      <c r="AZ917" s="4"/>
      <c r="BA917" s="4"/>
      <c r="BB917" s="4"/>
      <c r="BC917" s="4"/>
      <c r="BD917" s="4"/>
      <c r="BE917" s="4"/>
      <c r="BF917" s="4"/>
      <c r="BG917" s="4"/>
      <c r="BH917" s="4"/>
      <c r="BI917" s="4"/>
      <c r="BJ917" s="4"/>
      <c r="BK917" s="4"/>
      <c r="BL917" s="4"/>
      <c r="BM917" s="4"/>
      <c r="BN917" s="4"/>
      <c r="BO917" s="4"/>
      <c r="BP917" s="4"/>
      <c r="BQ917" s="4"/>
      <c r="BR917" s="4"/>
    </row>
    <row r="918" spans="1:70" ht="27" customHeight="1" x14ac:dyDescent="0.2">
      <c r="A918" s="532"/>
      <c r="B918" s="917"/>
      <c r="C918" s="4"/>
      <c r="D918" s="917"/>
      <c r="E918" s="4"/>
      <c r="F918" s="917"/>
      <c r="G918" s="4"/>
      <c r="H918" s="920"/>
      <c r="I918" s="3"/>
      <c r="J918" s="920"/>
      <c r="K918" s="3"/>
      <c r="L918" s="920"/>
      <c r="M918" s="3"/>
      <c r="N918" s="920"/>
      <c r="O918" s="3"/>
      <c r="P918" s="3"/>
      <c r="Q918" s="533"/>
      <c r="R918" s="920"/>
      <c r="S918" s="534"/>
      <c r="T918" s="920"/>
      <c r="U918" s="920"/>
      <c r="V918" s="920"/>
      <c r="W918" s="535"/>
      <c r="X918" s="687"/>
      <c r="Y918" s="687"/>
      <c r="Z918" s="687"/>
      <c r="AA918" s="678"/>
      <c r="AB918" s="543"/>
      <c r="AC918" s="3"/>
      <c r="AD918" s="533"/>
      <c r="AE918" s="3"/>
      <c r="AF918" s="4"/>
      <c r="AG918" s="4"/>
      <c r="AH918" s="4"/>
      <c r="AI918" s="4"/>
      <c r="AJ918" s="4"/>
      <c r="AK918" s="4"/>
      <c r="AL918" s="4"/>
      <c r="AM918" s="4"/>
      <c r="AN918" s="4"/>
      <c r="AO918" s="4"/>
      <c r="AP918" s="4"/>
      <c r="AQ918" s="4"/>
      <c r="AR918" s="4"/>
      <c r="AS918" s="4"/>
      <c r="AT918" s="4"/>
      <c r="AU918" s="4"/>
      <c r="AV918" s="537"/>
      <c r="AW918" s="537"/>
      <c r="AX918" s="4"/>
      <c r="AY918" s="4"/>
      <c r="AZ918" s="4"/>
      <c r="BA918" s="4"/>
      <c r="BB918" s="4"/>
      <c r="BC918" s="4"/>
      <c r="BD918" s="4"/>
      <c r="BE918" s="4"/>
      <c r="BF918" s="4"/>
      <c r="BG918" s="4"/>
      <c r="BH918" s="4"/>
      <c r="BI918" s="4"/>
      <c r="BJ918" s="4"/>
      <c r="BK918" s="4"/>
      <c r="BL918" s="4"/>
      <c r="BM918" s="4"/>
      <c r="BN918" s="4"/>
      <c r="BO918" s="4"/>
      <c r="BP918" s="4"/>
      <c r="BQ918" s="4"/>
      <c r="BR918" s="4"/>
    </row>
    <row r="919" spans="1:70" ht="27" customHeight="1" x14ac:dyDescent="0.2">
      <c r="A919" s="532"/>
      <c r="B919" s="917"/>
      <c r="C919" s="4"/>
      <c r="D919" s="917"/>
      <c r="E919" s="4"/>
      <c r="F919" s="917"/>
      <c r="G919" s="4"/>
      <c r="H919" s="920"/>
      <c r="I919" s="3"/>
      <c r="J919" s="920"/>
      <c r="K919" s="3"/>
      <c r="L919" s="920"/>
      <c r="M919" s="3"/>
      <c r="N919" s="920"/>
      <c r="O919" s="3"/>
      <c r="P919" s="3"/>
      <c r="Q919" s="533"/>
      <c r="R919" s="920"/>
      <c r="S919" s="534"/>
      <c r="T919" s="920"/>
      <c r="U919" s="920"/>
      <c r="V919" s="920"/>
      <c r="W919" s="535"/>
      <c r="X919" s="687"/>
      <c r="Y919" s="687"/>
      <c r="Z919" s="687"/>
      <c r="AA919" s="678"/>
      <c r="AB919" s="543"/>
      <c r="AC919" s="3"/>
      <c r="AD919" s="533"/>
      <c r="AE919" s="3"/>
      <c r="AF919" s="4"/>
      <c r="AG919" s="4"/>
      <c r="AH919" s="4"/>
      <c r="AI919" s="4"/>
      <c r="AJ919" s="4"/>
      <c r="AK919" s="4"/>
      <c r="AL919" s="4"/>
      <c r="AM919" s="4"/>
      <c r="AN919" s="4"/>
      <c r="AO919" s="4"/>
      <c r="AP919" s="4"/>
      <c r="AQ919" s="4"/>
      <c r="AR919" s="4"/>
      <c r="AS919" s="4"/>
      <c r="AT919" s="4"/>
      <c r="AU919" s="4"/>
      <c r="AV919" s="537"/>
      <c r="AW919" s="537"/>
      <c r="AX919" s="4"/>
      <c r="AY919" s="4"/>
      <c r="AZ919" s="4"/>
      <c r="BA919" s="4"/>
      <c r="BB919" s="4"/>
      <c r="BC919" s="4"/>
      <c r="BD919" s="4"/>
      <c r="BE919" s="4"/>
      <c r="BF919" s="4"/>
      <c r="BG919" s="4"/>
      <c r="BH919" s="4"/>
      <c r="BI919" s="4"/>
      <c r="BJ919" s="4"/>
      <c r="BK919" s="4"/>
      <c r="BL919" s="4"/>
      <c r="BM919" s="4"/>
      <c r="BN919" s="4"/>
      <c r="BO919" s="4"/>
      <c r="BP919" s="4"/>
      <c r="BQ919" s="4"/>
      <c r="BR919" s="4"/>
    </row>
    <row r="920" spans="1:70" ht="27" customHeight="1" x14ac:dyDescent="0.2">
      <c r="A920" s="532"/>
      <c r="B920" s="917"/>
      <c r="C920" s="4"/>
      <c r="D920" s="917"/>
      <c r="E920" s="4"/>
      <c r="F920" s="917"/>
      <c r="G920" s="4"/>
      <c r="H920" s="920"/>
      <c r="I920" s="3"/>
      <c r="J920" s="920"/>
      <c r="K920" s="3"/>
      <c r="L920" s="920"/>
      <c r="M920" s="3"/>
      <c r="N920" s="920"/>
      <c r="O920" s="3"/>
      <c r="P920" s="3"/>
      <c r="Q920" s="533"/>
      <c r="R920" s="920"/>
      <c r="S920" s="534"/>
      <c r="T920" s="920"/>
      <c r="U920" s="920"/>
      <c r="V920" s="920"/>
      <c r="W920" s="535"/>
      <c r="X920" s="687"/>
      <c r="Y920" s="687"/>
      <c r="Z920" s="687"/>
      <c r="AA920" s="678"/>
      <c r="AB920" s="543"/>
      <c r="AC920" s="3"/>
      <c r="AD920" s="533"/>
      <c r="AE920" s="3"/>
      <c r="AF920" s="4"/>
      <c r="AG920" s="4"/>
      <c r="AH920" s="4"/>
      <c r="AI920" s="4"/>
      <c r="AJ920" s="4"/>
      <c r="AK920" s="4"/>
      <c r="AL920" s="4"/>
      <c r="AM920" s="4"/>
      <c r="AN920" s="4"/>
      <c r="AO920" s="4"/>
      <c r="AP920" s="4"/>
      <c r="AQ920" s="4"/>
      <c r="AR920" s="4"/>
      <c r="AS920" s="4"/>
      <c r="AT920" s="4"/>
      <c r="AU920" s="4"/>
      <c r="AV920" s="537"/>
      <c r="AW920" s="537"/>
      <c r="AX920" s="4"/>
      <c r="AY920" s="4"/>
      <c r="AZ920" s="4"/>
      <c r="BA920" s="4"/>
      <c r="BB920" s="4"/>
      <c r="BC920" s="4"/>
      <c r="BD920" s="4"/>
      <c r="BE920" s="4"/>
      <c r="BF920" s="4"/>
      <c r="BG920" s="4"/>
      <c r="BH920" s="4"/>
      <c r="BI920" s="4"/>
      <c r="BJ920" s="4"/>
      <c r="BK920" s="4"/>
      <c r="BL920" s="4"/>
      <c r="BM920" s="4"/>
      <c r="BN920" s="4"/>
      <c r="BO920" s="4"/>
      <c r="BP920" s="4"/>
      <c r="BQ920" s="4"/>
      <c r="BR920" s="4"/>
    </row>
    <row r="921" spans="1:70" ht="27" customHeight="1" x14ac:dyDescent="0.2">
      <c r="A921" s="532"/>
      <c r="B921" s="917"/>
      <c r="C921" s="4"/>
      <c r="D921" s="917"/>
      <c r="E921" s="4"/>
      <c r="F921" s="917"/>
      <c r="G921" s="4"/>
      <c r="H921" s="920"/>
      <c r="I921" s="3"/>
      <c r="J921" s="920"/>
      <c r="K921" s="3"/>
      <c r="L921" s="920"/>
      <c r="M921" s="3"/>
      <c r="N921" s="920"/>
      <c r="O921" s="3"/>
      <c r="P921" s="3"/>
      <c r="Q921" s="533"/>
      <c r="R921" s="920"/>
      <c r="S921" s="534"/>
      <c r="T921" s="920"/>
      <c r="U921" s="920"/>
      <c r="V921" s="920"/>
      <c r="W921" s="535"/>
      <c r="X921" s="687"/>
      <c r="Y921" s="687"/>
      <c r="Z921" s="687"/>
      <c r="AA921" s="678"/>
      <c r="AB921" s="543"/>
      <c r="AC921" s="3"/>
      <c r="AD921" s="533"/>
      <c r="AE921" s="3"/>
      <c r="AF921" s="4"/>
      <c r="AG921" s="4"/>
      <c r="AH921" s="4"/>
      <c r="AI921" s="4"/>
      <c r="AJ921" s="4"/>
      <c r="AK921" s="4"/>
      <c r="AL921" s="4"/>
      <c r="AM921" s="4"/>
      <c r="AN921" s="4"/>
      <c r="AO921" s="4"/>
      <c r="AP921" s="4"/>
      <c r="AQ921" s="4"/>
      <c r="AR921" s="4"/>
      <c r="AS921" s="4"/>
      <c r="AT921" s="4"/>
      <c r="AU921" s="4"/>
      <c r="AV921" s="537"/>
      <c r="AW921" s="537"/>
      <c r="AX921" s="4"/>
      <c r="AY921" s="4"/>
      <c r="AZ921" s="4"/>
      <c r="BA921" s="4"/>
      <c r="BB921" s="4"/>
      <c r="BC921" s="4"/>
      <c r="BD921" s="4"/>
      <c r="BE921" s="4"/>
      <c r="BF921" s="4"/>
      <c r="BG921" s="4"/>
      <c r="BH921" s="4"/>
      <c r="BI921" s="4"/>
      <c r="BJ921" s="4"/>
      <c r="BK921" s="4"/>
      <c r="BL921" s="4"/>
      <c r="BM921" s="4"/>
      <c r="BN921" s="4"/>
      <c r="BO921" s="4"/>
      <c r="BP921" s="4"/>
      <c r="BQ921" s="4"/>
      <c r="BR921" s="4"/>
    </row>
    <row r="922" spans="1:70" ht="27" customHeight="1" x14ac:dyDescent="0.2">
      <c r="A922" s="532"/>
      <c r="B922" s="917"/>
      <c r="C922" s="4"/>
      <c r="D922" s="917"/>
      <c r="E922" s="4"/>
      <c r="F922" s="917"/>
      <c r="G922" s="4"/>
      <c r="H922" s="920"/>
      <c r="I922" s="3"/>
      <c r="J922" s="920"/>
      <c r="K922" s="3"/>
      <c r="L922" s="920"/>
      <c r="M922" s="3"/>
      <c r="N922" s="920"/>
      <c r="O922" s="3"/>
      <c r="P922" s="3"/>
      <c r="Q922" s="533"/>
      <c r="R922" s="920"/>
      <c r="S922" s="534"/>
      <c r="T922" s="920"/>
      <c r="U922" s="920"/>
      <c r="V922" s="920"/>
      <c r="W922" s="535"/>
      <c r="X922" s="687"/>
      <c r="Y922" s="687"/>
      <c r="Z922" s="687"/>
      <c r="AA922" s="678"/>
      <c r="AB922" s="543"/>
      <c r="AC922" s="3"/>
      <c r="AD922" s="533"/>
      <c r="AE922" s="3"/>
      <c r="AF922" s="4"/>
      <c r="AG922" s="4"/>
      <c r="AH922" s="4"/>
      <c r="AI922" s="4"/>
      <c r="AJ922" s="4"/>
      <c r="AK922" s="4"/>
      <c r="AL922" s="4"/>
      <c r="AM922" s="4"/>
      <c r="AN922" s="4"/>
      <c r="AO922" s="4"/>
      <c r="AP922" s="4"/>
      <c r="AQ922" s="4"/>
      <c r="AR922" s="4"/>
      <c r="AS922" s="4"/>
      <c r="AT922" s="4"/>
      <c r="AU922" s="4"/>
      <c r="AV922" s="537"/>
      <c r="AW922" s="537"/>
      <c r="AX922" s="4"/>
      <c r="AY922" s="4"/>
      <c r="AZ922" s="4"/>
      <c r="BA922" s="4"/>
      <c r="BB922" s="4"/>
      <c r="BC922" s="4"/>
      <c r="BD922" s="4"/>
      <c r="BE922" s="4"/>
      <c r="BF922" s="4"/>
      <c r="BG922" s="4"/>
      <c r="BH922" s="4"/>
      <c r="BI922" s="4"/>
      <c r="BJ922" s="4"/>
      <c r="BK922" s="4"/>
      <c r="BL922" s="4"/>
      <c r="BM922" s="4"/>
      <c r="BN922" s="4"/>
      <c r="BO922" s="4"/>
      <c r="BP922" s="4"/>
      <c r="BQ922" s="4"/>
      <c r="BR922" s="4"/>
    </row>
    <row r="923" spans="1:70" ht="27" customHeight="1" x14ac:dyDescent="0.2">
      <c r="A923" s="532"/>
      <c r="B923" s="917"/>
      <c r="C923" s="4"/>
      <c r="D923" s="917"/>
      <c r="E923" s="4"/>
      <c r="F923" s="917"/>
      <c r="G923" s="4"/>
      <c r="H923" s="920"/>
      <c r="I923" s="3"/>
      <c r="J923" s="920"/>
      <c r="K923" s="3"/>
      <c r="L923" s="920"/>
      <c r="M923" s="3"/>
      <c r="N923" s="920"/>
      <c r="O923" s="3"/>
      <c r="P923" s="3"/>
      <c r="Q923" s="533"/>
      <c r="R923" s="920"/>
      <c r="S923" s="534"/>
      <c r="T923" s="920"/>
      <c r="U923" s="920"/>
      <c r="V923" s="920"/>
      <c r="W923" s="535"/>
      <c r="X923" s="687"/>
      <c r="Y923" s="687"/>
      <c r="Z923" s="687"/>
      <c r="AA923" s="678"/>
      <c r="AB923" s="543"/>
      <c r="AC923" s="3"/>
      <c r="AD923" s="533"/>
      <c r="AE923" s="3"/>
      <c r="AF923" s="4"/>
      <c r="AG923" s="4"/>
      <c r="AH923" s="4"/>
      <c r="AI923" s="4"/>
      <c r="AJ923" s="4"/>
      <c r="AK923" s="4"/>
      <c r="AL923" s="4"/>
      <c r="AM923" s="4"/>
      <c r="AN923" s="4"/>
      <c r="AO923" s="4"/>
      <c r="AP923" s="4"/>
      <c r="AQ923" s="4"/>
      <c r="AR923" s="4"/>
      <c r="AS923" s="4"/>
      <c r="AT923" s="4"/>
      <c r="AU923" s="4"/>
      <c r="AV923" s="537"/>
      <c r="AW923" s="537"/>
      <c r="AX923" s="4"/>
      <c r="AY923" s="4"/>
      <c r="AZ923" s="4"/>
      <c r="BA923" s="4"/>
      <c r="BB923" s="4"/>
      <c r="BC923" s="4"/>
      <c r="BD923" s="4"/>
      <c r="BE923" s="4"/>
      <c r="BF923" s="4"/>
      <c r="BG923" s="4"/>
      <c r="BH923" s="4"/>
      <c r="BI923" s="4"/>
      <c r="BJ923" s="4"/>
      <c r="BK923" s="4"/>
      <c r="BL923" s="4"/>
      <c r="BM923" s="4"/>
      <c r="BN923" s="4"/>
      <c r="BO923" s="4"/>
      <c r="BP923" s="4"/>
      <c r="BQ923" s="4"/>
      <c r="BR923" s="4"/>
    </row>
    <row r="924" spans="1:70" ht="27" customHeight="1" x14ac:dyDescent="0.2">
      <c r="A924" s="532"/>
      <c r="B924" s="917"/>
      <c r="C924" s="4"/>
      <c r="D924" s="917"/>
      <c r="E924" s="4"/>
      <c r="F924" s="917"/>
      <c r="G924" s="4"/>
      <c r="H924" s="920"/>
      <c r="I924" s="3"/>
      <c r="J924" s="920"/>
      <c r="K924" s="3"/>
      <c r="L924" s="920"/>
      <c r="M924" s="3"/>
      <c r="N924" s="920"/>
      <c r="O924" s="3"/>
      <c r="P924" s="3"/>
      <c r="Q924" s="533"/>
      <c r="R924" s="920"/>
      <c r="S924" s="534"/>
      <c r="T924" s="920"/>
      <c r="U924" s="920"/>
      <c r="V924" s="920"/>
      <c r="W924" s="535"/>
      <c r="X924" s="687"/>
      <c r="Y924" s="687"/>
      <c r="Z924" s="687"/>
      <c r="AA924" s="678"/>
      <c r="AB924" s="543"/>
      <c r="AC924" s="3"/>
      <c r="AD924" s="533"/>
      <c r="AE924" s="3"/>
      <c r="AF924" s="4"/>
      <c r="AG924" s="4"/>
      <c r="AH924" s="4"/>
      <c r="AI924" s="4"/>
      <c r="AJ924" s="4"/>
      <c r="AK924" s="4"/>
      <c r="AL924" s="4"/>
      <c r="AM924" s="4"/>
      <c r="AN924" s="4"/>
      <c r="AO924" s="4"/>
      <c r="AP924" s="4"/>
      <c r="AQ924" s="4"/>
      <c r="AR924" s="4"/>
      <c r="AS924" s="4"/>
      <c r="AT924" s="4"/>
      <c r="AU924" s="4"/>
      <c r="AV924" s="537"/>
      <c r="AW924" s="537"/>
      <c r="AX924" s="4"/>
      <c r="AY924" s="4"/>
      <c r="AZ924" s="4"/>
      <c r="BA924" s="4"/>
      <c r="BB924" s="4"/>
      <c r="BC924" s="4"/>
      <c r="BD924" s="4"/>
      <c r="BE924" s="4"/>
      <c r="BF924" s="4"/>
      <c r="BG924" s="4"/>
      <c r="BH924" s="4"/>
      <c r="BI924" s="4"/>
      <c r="BJ924" s="4"/>
      <c r="BK924" s="4"/>
      <c r="BL924" s="4"/>
      <c r="BM924" s="4"/>
      <c r="BN924" s="4"/>
      <c r="BO924" s="4"/>
      <c r="BP924" s="4"/>
      <c r="BQ924" s="4"/>
      <c r="BR924" s="4"/>
    </row>
    <row r="925" spans="1:70" ht="27" customHeight="1" x14ac:dyDescent="0.2">
      <c r="A925" s="532"/>
      <c r="B925" s="917"/>
      <c r="C925" s="4"/>
      <c r="D925" s="917"/>
      <c r="E925" s="4"/>
      <c r="F925" s="917"/>
      <c r="G925" s="4"/>
      <c r="H925" s="920"/>
      <c r="I925" s="3"/>
      <c r="J925" s="920"/>
      <c r="K925" s="3"/>
      <c r="L925" s="920"/>
      <c r="M925" s="3"/>
      <c r="N925" s="920"/>
      <c r="O925" s="3"/>
      <c r="P925" s="3"/>
      <c r="Q925" s="533"/>
      <c r="R925" s="920"/>
      <c r="S925" s="534"/>
      <c r="T925" s="920"/>
      <c r="U925" s="920"/>
      <c r="V925" s="920"/>
      <c r="W925" s="535"/>
      <c r="X925" s="687"/>
      <c r="Y925" s="687"/>
      <c r="Z925" s="687"/>
      <c r="AA925" s="678"/>
      <c r="AB925" s="543"/>
      <c r="AC925" s="3"/>
      <c r="AD925" s="533"/>
      <c r="AE925" s="3"/>
      <c r="AF925" s="4"/>
      <c r="AG925" s="4"/>
      <c r="AH925" s="4"/>
      <c r="AI925" s="4"/>
      <c r="AJ925" s="4"/>
      <c r="AK925" s="4"/>
      <c r="AL925" s="4"/>
      <c r="AM925" s="4"/>
      <c r="AN925" s="4"/>
      <c r="AO925" s="4"/>
      <c r="AP925" s="4"/>
      <c r="AQ925" s="4"/>
      <c r="AR925" s="4"/>
      <c r="AS925" s="4"/>
      <c r="AT925" s="4"/>
      <c r="AU925" s="4"/>
      <c r="AV925" s="537"/>
      <c r="AW925" s="537"/>
      <c r="AX925" s="4"/>
      <c r="AY925" s="4"/>
      <c r="AZ925" s="4"/>
      <c r="BA925" s="4"/>
      <c r="BB925" s="4"/>
      <c r="BC925" s="4"/>
      <c r="BD925" s="4"/>
      <c r="BE925" s="4"/>
      <c r="BF925" s="4"/>
      <c r="BG925" s="4"/>
      <c r="BH925" s="4"/>
      <c r="BI925" s="4"/>
      <c r="BJ925" s="4"/>
      <c r="BK925" s="4"/>
      <c r="BL925" s="4"/>
      <c r="BM925" s="4"/>
      <c r="BN925" s="4"/>
      <c r="BO925" s="4"/>
      <c r="BP925" s="4"/>
      <c r="BQ925" s="4"/>
      <c r="BR925" s="4"/>
    </row>
    <row r="926" spans="1:70" ht="27" customHeight="1" x14ac:dyDescent="0.2">
      <c r="A926" s="532"/>
      <c r="B926" s="917"/>
      <c r="C926" s="4"/>
      <c r="D926" s="917"/>
      <c r="E926" s="4"/>
      <c r="F926" s="917"/>
      <c r="G926" s="4"/>
      <c r="H926" s="920"/>
      <c r="I926" s="3"/>
      <c r="J926" s="920"/>
      <c r="K926" s="3"/>
      <c r="L926" s="920"/>
      <c r="M926" s="3"/>
      <c r="N926" s="920"/>
      <c r="O926" s="3"/>
      <c r="P926" s="3"/>
      <c r="Q926" s="533"/>
      <c r="R926" s="920"/>
      <c r="S926" s="534"/>
      <c r="T926" s="920"/>
      <c r="U926" s="920"/>
      <c r="V926" s="920"/>
      <c r="W926" s="535"/>
      <c r="X926" s="687"/>
      <c r="Y926" s="687"/>
      <c r="Z926" s="687"/>
      <c r="AA926" s="678"/>
      <c r="AB926" s="543"/>
      <c r="AC926" s="3"/>
      <c r="AD926" s="533"/>
      <c r="AE926" s="3"/>
      <c r="AF926" s="4"/>
      <c r="AG926" s="4"/>
      <c r="AH926" s="4"/>
      <c r="AI926" s="4"/>
      <c r="AJ926" s="4"/>
      <c r="AK926" s="4"/>
      <c r="AL926" s="4"/>
      <c r="AM926" s="4"/>
      <c r="AN926" s="4"/>
      <c r="AO926" s="4"/>
      <c r="AP926" s="4"/>
      <c r="AQ926" s="4"/>
      <c r="AR926" s="4"/>
      <c r="AS926" s="4"/>
      <c r="AT926" s="4"/>
      <c r="AU926" s="4"/>
      <c r="AV926" s="537"/>
      <c r="AW926" s="537"/>
      <c r="AX926" s="4"/>
      <c r="AY926" s="4"/>
      <c r="AZ926" s="4"/>
      <c r="BA926" s="4"/>
      <c r="BB926" s="4"/>
      <c r="BC926" s="4"/>
      <c r="BD926" s="4"/>
      <c r="BE926" s="4"/>
      <c r="BF926" s="4"/>
      <c r="BG926" s="4"/>
      <c r="BH926" s="4"/>
      <c r="BI926" s="4"/>
      <c r="BJ926" s="4"/>
      <c r="BK926" s="4"/>
      <c r="BL926" s="4"/>
      <c r="BM926" s="4"/>
      <c r="BN926" s="4"/>
      <c r="BO926" s="4"/>
      <c r="BP926" s="4"/>
      <c r="BQ926" s="4"/>
      <c r="BR926" s="4"/>
    </row>
    <row r="927" spans="1:70" ht="27" customHeight="1" x14ac:dyDescent="0.2">
      <c r="A927" s="532"/>
      <c r="B927" s="917"/>
      <c r="C927" s="4"/>
      <c r="D927" s="917"/>
      <c r="E927" s="4"/>
      <c r="F927" s="917"/>
      <c r="G927" s="4"/>
      <c r="H927" s="920"/>
      <c r="I927" s="3"/>
      <c r="J927" s="920"/>
      <c r="K927" s="3"/>
      <c r="L927" s="920"/>
      <c r="M927" s="3"/>
      <c r="N927" s="920"/>
      <c r="O927" s="3"/>
      <c r="P927" s="3"/>
      <c r="Q927" s="533"/>
      <c r="R927" s="920"/>
      <c r="S927" s="534"/>
      <c r="T927" s="920"/>
      <c r="U927" s="920"/>
      <c r="V927" s="920"/>
      <c r="W927" s="535"/>
      <c r="X927" s="687"/>
      <c r="Y927" s="687"/>
      <c r="Z927" s="687"/>
      <c r="AA927" s="678"/>
      <c r="AB927" s="543"/>
      <c r="AC927" s="3"/>
      <c r="AD927" s="533"/>
      <c r="AE927" s="3"/>
      <c r="AF927" s="4"/>
      <c r="AG927" s="4"/>
      <c r="AH927" s="4"/>
      <c r="AI927" s="4"/>
      <c r="AJ927" s="4"/>
      <c r="AK927" s="4"/>
      <c r="AL927" s="4"/>
      <c r="AM927" s="4"/>
      <c r="AN927" s="4"/>
      <c r="AO927" s="4"/>
      <c r="AP927" s="4"/>
      <c r="AQ927" s="4"/>
      <c r="AR927" s="4"/>
      <c r="AS927" s="4"/>
      <c r="AT927" s="4"/>
      <c r="AU927" s="4"/>
      <c r="AV927" s="537"/>
      <c r="AW927" s="537"/>
      <c r="AX927" s="4"/>
      <c r="AY927" s="4"/>
      <c r="AZ927" s="4"/>
      <c r="BA927" s="4"/>
      <c r="BB927" s="4"/>
      <c r="BC927" s="4"/>
      <c r="BD927" s="4"/>
      <c r="BE927" s="4"/>
      <c r="BF927" s="4"/>
      <c r="BG927" s="4"/>
      <c r="BH927" s="4"/>
      <c r="BI927" s="4"/>
      <c r="BJ927" s="4"/>
      <c r="BK927" s="4"/>
      <c r="BL927" s="4"/>
      <c r="BM927" s="4"/>
      <c r="BN927" s="4"/>
      <c r="BO927" s="4"/>
      <c r="BP927" s="4"/>
      <c r="BQ927" s="4"/>
      <c r="BR927" s="4"/>
    </row>
    <row r="928" spans="1:70" ht="27" customHeight="1" x14ac:dyDescent="0.2">
      <c r="A928" s="532"/>
      <c r="B928" s="917"/>
      <c r="C928" s="4"/>
      <c r="D928" s="917"/>
      <c r="E928" s="4"/>
      <c r="F928" s="917"/>
      <c r="G928" s="4"/>
      <c r="H928" s="920"/>
      <c r="I928" s="3"/>
      <c r="J928" s="920"/>
      <c r="K928" s="3"/>
      <c r="L928" s="920"/>
      <c r="M928" s="3"/>
      <c r="N928" s="920"/>
      <c r="O928" s="3"/>
      <c r="P928" s="3"/>
      <c r="Q928" s="533"/>
      <c r="R928" s="920"/>
      <c r="S928" s="534"/>
      <c r="T928" s="920"/>
      <c r="U928" s="920"/>
      <c r="V928" s="920"/>
      <c r="W928" s="535"/>
      <c r="X928" s="687"/>
      <c r="Y928" s="687"/>
      <c r="Z928" s="687"/>
      <c r="AA928" s="678"/>
      <c r="AB928" s="543"/>
      <c r="AC928" s="3"/>
      <c r="AD928" s="533"/>
      <c r="AE928" s="3"/>
      <c r="AF928" s="4"/>
      <c r="AG928" s="4"/>
      <c r="AH928" s="4"/>
      <c r="AI928" s="4"/>
      <c r="AJ928" s="4"/>
      <c r="AK928" s="4"/>
      <c r="AL928" s="4"/>
      <c r="AM928" s="4"/>
      <c r="AN928" s="4"/>
      <c r="AO928" s="4"/>
      <c r="AP928" s="4"/>
      <c r="AQ928" s="4"/>
      <c r="AR928" s="4"/>
      <c r="AS928" s="4"/>
      <c r="AT928" s="4"/>
      <c r="AU928" s="4"/>
      <c r="AV928" s="537"/>
      <c r="AW928" s="537"/>
      <c r="AX928" s="4"/>
      <c r="AY928" s="4"/>
      <c r="AZ928" s="4"/>
      <c r="BA928" s="4"/>
      <c r="BB928" s="4"/>
      <c r="BC928" s="4"/>
      <c r="BD928" s="4"/>
      <c r="BE928" s="4"/>
      <c r="BF928" s="4"/>
      <c r="BG928" s="4"/>
      <c r="BH928" s="4"/>
      <c r="BI928" s="4"/>
      <c r="BJ928" s="4"/>
      <c r="BK928" s="4"/>
      <c r="BL928" s="4"/>
      <c r="BM928" s="4"/>
      <c r="BN928" s="4"/>
      <c r="BO928" s="4"/>
      <c r="BP928" s="4"/>
      <c r="BQ928" s="4"/>
      <c r="BR928" s="4"/>
    </row>
    <row r="929" spans="1:70" ht="27" customHeight="1" x14ac:dyDescent="0.2">
      <c r="A929" s="532"/>
      <c r="B929" s="917"/>
      <c r="C929" s="4"/>
      <c r="D929" s="917"/>
      <c r="E929" s="4"/>
      <c r="F929" s="917"/>
      <c r="G929" s="4"/>
      <c r="H929" s="920"/>
      <c r="I929" s="3"/>
      <c r="J929" s="920"/>
      <c r="K929" s="3"/>
      <c r="L929" s="920"/>
      <c r="M929" s="3"/>
      <c r="N929" s="920"/>
      <c r="O929" s="3"/>
      <c r="P929" s="3"/>
      <c r="Q929" s="533"/>
      <c r="R929" s="920"/>
      <c r="S929" s="534"/>
      <c r="T929" s="920"/>
      <c r="U929" s="920"/>
      <c r="V929" s="920"/>
      <c r="W929" s="535"/>
      <c r="X929" s="687"/>
      <c r="Y929" s="687"/>
      <c r="Z929" s="687"/>
      <c r="AA929" s="678"/>
      <c r="AB929" s="543"/>
      <c r="AC929" s="3"/>
      <c r="AD929" s="533"/>
      <c r="AE929" s="3"/>
      <c r="AF929" s="4"/>
      <c r="AG929" s="4"/>
      <c r="AH929" s="4"/>
      <c r="AI929" s="4"/>
      <c r="AJ929" s="4"/>
      <c r="AK929" s="4"/>
      <c r="AL929" s="4"/>
      <c r="AM929" s="4"/>
      <c r="AN929" s="4"/>
      <c r="AO929" s="4"/>
      <c r="AP929" s="4"/>
      <c r="AQ929" s="4"/>
      <c r="AR929" s="4"/>
      <c r="AS929" s="4"/>
      <c r="AT929" s="4"/>
      <c r="AU929" s="4"/>
      <c r="AV929" s="537"/>
      <c r="AW929" s="537"/>
      <c r="AX929" s="4"/>
      <c r="AY929" s="4"/>
      <c r="AZ929" s="4"/>
      <c r="BA929" s="4"/>
      <c r="BB929" s="4"/>
      <c r="BC929" s="4"/>
      <c r="BD929" s="4"/>
      <c r="BE929" s="4"/>
      <c r="BF929" s="4"/>
      <c r="BG929" s="4"/>
      <c r="BH929" s="4"/>
      <c r="BI929" s="4"/>
      <c r="BJ929" s="4"/>
      <c r="BK929" s="4"/>
      <c r="BL929" s="4"/>
      <c r="BM929" s="4"/>
      <c r="BN929" s="4"/>
      <c r="BO929" s="4"/>
      <c r="BP929" s="4"/>
      <c r="BQ929" s="4"/>
      <c r="BR929" s="4"/>
    </row>
    <row r="930" spans="1:70" ht="27" customHeight="1" x14ac:dyDescent="0.2">
      <c r="A930" s="532"/>
      <c r="B930" s="917"/>
      <c r="C930" s="4"/>
      <c r="D930" s="917"/>
      <c r="E930" s="4"/>
      <c r="F930" s="917"/>
      <c r="G930" s="4"/>
      <c r="H930" s="920"/>
      <c r="I930" s="3"/>
      <c r="J930" s="920"/>
      <c r="K930" s="3"/>
      <c r="L930" s="920"/>
      <c r="M930" s="3"/>
      <c r="N930" s="920"/>
      <c r="O930" s="3"/>
      <c r="P930" s="3"/>
      <c r="Q930" s="533"/>
      <c r="R930" s="920"/>
      <c r="S930" s="534"/>
      <c r="T930" s="920"/>
      <c r="U930" s="920"/>
      <c r="V930" s="920"/>
      <c r="W930" s="535"/>
      <c r="X930" s="687"/>
      <c r="Y930" s="687"/>
      <c r="Z930" s="687"/>
      <c r="AA930" s="678"/>
      <c r="AB930" s="543"/>
      <c r="AC930" s="3"/>
      <c r="AD930" s="533"/>
      <c r="AE930" s="3"/>
      <c r="AF930" s="4"/>
      <c r="AG930" s="4"/>
      <c r="AH930" s="4"/>
      <c r="AI930" s="4"/>
      <c r="AJ930" s="4"/>
      <c r="AK930" s="4"/>
      <c r="AL930" s="4"/>
      <c r="AM930" s="4"/>
      <c r="AN930" s="4"/>
      <c r="AO930" s="4"/>
      <c r="AP930" s="4"/>
      <c r="AQ930" s="4"/>
      <c r="AR930" s="4"/>
      <c r="AS930" s="4"/>
      <c r="AT930" s="4"/>
      <c r="AU930" s="4"/>
      <c r="AV930" s="537"/>
      <c r="AW930" s="537"/>
      <c r="AX930" s="4"/>
      <c r="AY930" s="4"/>
      <c r="AZ930" s="4"/>
      <c r="BA930" s="4"/>
      <c r="BB930" s="4"/>
      <c r="BC930" s="4"/>
      <c r="BD930" s="4"/>
      <c r="BE930" s="4"/>
      <c r="BF930" s="4"/>
      <c r="BG930" s="4"/>
      <c r="BH930" s="4"/>
      <c r="BI930" s="4"/>
      <c r="BJ930" s="4"/>
      <c r="BK930" s="4"/>
      <c r="BL930" s="4"/>
      <c r="BM930" s="4"/>
      <c r="BN930" s="4"/>
      <c r="BO930" s="4"/>
      <c r="BP930" s="4"/>
      <c r="BQ930" s="4"/>
      <c r="BR930" s="4"/>
    </row>
    <row r="931" spans="1:70" ht="27" customHeight="1" x14ac:dyDescent="0.2">
      <c r="A931" s="532"/>
      <c r="B931" s="917"/>
      <c r="C931" s="4"/>
      <c r="D931" s="917"/>
      <c r="E931" s="4"/>
      <c r="F931" s="917"/>
      <c r="G931" s="4"/>
      <c r="H931" s="920"/>
      <c r="I931" s="3"/>
      <c r="J931" s="920"/>
      <c r="K931" s="3"/>
      <c r="L931" s="920"/>
      <c r="M931" s="3"/>
      <c r="N931" s="920"/>
      <c r="O931" s="3"/>
      <c r="P931" s="3"/>
      <c r="Q931" s="533"/>
      <c r="R931" s="920"/>
      <c r="S931" s="534"/>
      <c r="T931" s="920"/>
      <c r="U931" s="920"/>
      <c r="V931" s="920"/>
      <c r="W931" s="535"/>
      <c r="X931" s="687"/>
      <c r="Y931" s="687"/>
      <c r="Z931" s="687"/>
      <c r="AA931" s="678"/>
      <c r="AB931" s="543"/>
      <c r="AC931" s="3"/>
      <c r="AD931" s="533"/>
      <c r="AE931" s="3"/>
      <c r="AF931" s="4"/>
      <c r="AG931" s="4"/>
      <c r="AH931" s="4"/>
      <c r="AI931" s="4"/>
      <c r="AJ931" s="4"/>
      <c r="AK931" s="4"/>
      <c r="AL931" s="4"/>
      <c r="AM931" s="4"/>
      <c r="AN931" s="4"/>
      <c r="AO931" s="4"/>
      <c r="AP931" s="4"/>
      <c r="AQ931" s="4"/>
      <c r="AR931" s="4"/>
      <c r="AS931" s="4"/>
      <c r="AT931" s="4"/>
      <c r="AU931" s="4"/>
      <c r="AV931" s="537"/>
      <c r="AW931" s="537"/>
      <c r="AX931" s="4"/>
      <c r="AY931" s="4"/>
      <c r="AZ931" s="4"/>
      <c r="BA931" s="4"/>
      <c r="BB931" s="4"/>
      <c r="BC931" s="4"/>
      <c r="BD931" s="4"/>
      <c r="BE931" s="4"/>
      <c r="BF931" s="4"/>
      <c r="BG931" s="4"/>
      <c r="BH931" s="4"/>
      <c r="BI931" s="4"/>
      <c r="BJ931" s="4"/>
      <c r="BK931" s="4"/>
      <c r="BL931" s="4"/>
      <c r="BM931" s="4"/>
      <c r="BN931" s="4"/>
      <c r="BO931" s="4"/>
      <c r="BP931" s="4"/>
      <c r="BQ931" s="4"/>
      <c r="BR931" s="4"/>
    </row>
    <row r="932" spans="1:70" ht="27" customHeight="1" x14ac:dyDescent="0.2">
      <c r="A932" s="532"/>
      <c r="B932" s="917"/>
      <c r="C932" s="4"/>
      <c r="D932" s="917"/>
      <c r="E932" s="4"/>
      <c r="F932" s="917"/>
      <c r="G932" s="4"/>
      <c r="H932" s="920"/>
      <c r="I932" s="3"/>
      <c r="J932" s="920"/>
      <c r="K932" s="3"/>
      <c r="L932" s="920"/>
      <c r="M932" s="3"/>
      <c r="N932" s="920"/>
      <c r="O932" s="3"/>
      <c r="P932" s="3"/>
      <c r="Q932" s="533"/>
      <c r="R932" s="920"/>
      <c r="S932" s="534"/>
      <c r="T932" s="920"/>
      <c r="U932" s="920"/>
      <c r="V932" s="920"/>
      <c r="W932" s="535"/>
      <c r="X932" s="687"/>
      <c r="Y932" s="687"/>
      <c r="Z932" s="687"/>
      <c r="AA932" s="678"/>
      <c r="AB932" s="543"/>
      <c r="AC932" s="3"/>
      <c r="AD932" s="533"/>
      <c r="AE932" s="3"/>
      <c r="AF932" s="4"/>
      <c r="AG932" s="4"/>
      <c r="AH932" s="4"/>
      <c r="AI932" s="4"/>
      <c r="AJ932" s="4"/>
      <c r="AK932" s="4"/>
      <c r="AL932" s="4"/>
      <c r="AM932" s="4"/>
      <c r="AN932" s="4"/>
      <c r="AO932" s="4"/>
      <c r="AP932" s="4"/>
      <c r="AQ932" s="4"/>
      <c r="AR932" s="4"/>
      <c r="AS932" s="4"/>
      <c r="AT932" s="4"/>
      <c r="AU932" s="4"/>
      <c r="AV932" s="537"/>
      <c r="AW932" s="537"/>
      <c r="AX932" s="4"/>
      <c r="AY932" s="4"/>
      <c r="AZ932" s="4"/>
      <c r="BA932" s="4"/>
      <c r="BB932" s="4"/>
      <c r="BC932" s="4"/>
      <c r="BD932" s="4"/>
      <c r="BE932" s="4"/>
      <c r="BF932" s="4"/>
      <c r="BG932" s="4"/>
      <c r="BH932" s="4"/>
      <c r="BI932" s="4"/>
      <c r="BJ932" s="4"/>
      <c r="BK932" s="4"/>
      <c r="BL932" s="4"/>
      <c r="BM932" s="4"/>
      <c r="BN932" s="4"/>
      <c r="BO932" s="4"/>
      <c r="BP932" s="4"/>
      <c r="BQ932" s="4"/>
      <c r="BR932" s="4"/>
    </row>
    <row r="933" spans="1:70" ht="27" customHeight="1" x14ac:dyDescent="0.2">
      <c r="A933" s="532"/>
      <c r="B933" s="917"/>
      <c r="C933" s="4"/>
      <c r="D933" s="917"/>
      <c r="E933" s="4"/>
      <c r="F933" s="917"/>
      <c r="G933" s="4"/>
      <c r="H933" s="920"/>
      <c r="I933" s="3"/>
      <c r="J933" s="920"/>
      <c r="K933" s="3"/>
      <c r="L933" s="920"/>
      <c r="M933" s="3"/>
      <c r="N933" s="920"/>
      <c r="O933" s="3"/>
      <c r="P933" s="3"/>
      <c r="Q933" s="533"/>
      <c r="R933" s="920"/>
      <c r="S933" s="534"/>
      <c r="T933" s="920"/>
      <c r="U933" s="920"/>
      <c r="V933" s="920"/>
      <c r="W933" s="535"/>
      <c r="X933" s="687"/>
      <c r="Y933" s="687"/>
      <c r="Z933" s="687"/>
      <c r="AA933" s="678"/>
      <c r="AB933" s="543"/>
      <c r="AC933" s="3"/>
      <c r="AD933" s="533"/>
      <c r="AE933" s="3"/>
      <c r="AF933" s="4"/>
      <c r="AG933" s="4"/>
      <c r="AH933" s="4"/>
      <c r="AI933" s="4"/>
      <c r="AJ933" s="4"/>
      <c r="AK933" s="4"/>
      <c r="AL933" s="4"/>
      <c r="AM933" s="4"/>
      <c r="AN933" s="4"/>
      <c r="AO933" s="4"/>
      <c r="AP933" s="4"/>
      <c r="AQ933" s="4"/>
      <c r="AR933" s="4"/>
      <c r="AS933" s="4"/>
      <c r="AT933" s="4"/>
      <c r="AU933" s="4"/>
      <c r="AV933" s="537"/>
      <c r="AW933" s="537"/>
      <c r="AX933" s="4"/>
      <c r="AY933" s="4"/>
      <c r="AZ933" s="4"/>
      <c r="BA933" s="4"/>
      <c r="BB933" s="4"/>
      <c r="BC933" s="4"/>
      <c r="BD933" s="4"/>
      <c r="BE933" s="4"/>
      <c r="BF933" s="4"/>
      <c r="BG933" s="4"/>
      <c r="BH933" s="4"/>
      <c r="BI933" s="4"/>
      <c r="BJ933" s="4"/>
      <c r="BK933" s="4"/>
      <c r="BL933" s="4"/>
      <c r="BM933" s="4"/>
      <c r="BN933" s="4"/>
      <c r="BO933" s="4"/>
      <c r="BP933" s="4"/>
      <c r="BQ933" s="4"/>
      <c r="BR933" s="4"/>
    </row>
    <row r="934" spans="1:70" ht="27" customHeight="1" x14ac:dyDescent="0.2">
      <c r="A934" s="532"/>
      <c r="B934" s="917"/>
      <c r="C934" s="4"/>
      <c r="D934" s="917"/>
      <c r="E934" s="4"/>
      <c r="F934" s="917"/>
      <c r="G934" s="4"/>
      <c r="H934" s="920"/>
      <c r="I934" s="3"/>
      <c r="J934" s="920"/>
      <c r="K934" s="3"/>
      <c r="L934" s="920"/>
      <c r="M934" s="3"/>
      <c r="N934" s="920"/>
      <c r="O934" s="3"/>
      <c r="P934" s="3"/>
      <c r="Q934" s="533"/>
      <c r="R934" s="920"/>
      <c r="S934" s="534"/>
      <c r="T934" s="920"/>
      <c r="U934" s="920"/>
      <c r="V934" s="920"/>
      <c r="W934" s="535"/>
      <c r="X934" s="687"/>
      <c r="Y934" s="687"/>
      <c r="Z934" s="687"/>
      <c r="AA934" s="678"/>
      <c r="AB934" s="543"/>
      <c r="AC934" s="3"/>
      <c r="AD934" s="533"/>
      <c r="AE934" s="3"/>
      <c r="AF934" s="4"/>
      <c r="AG934" s="4"/>
      <c r="AH934" s="4"/>
      <c r="AI934" s="4"/>
      <c r="AJ934" s="4"/>
      <c r="AK934" s="4"/>
      <c r="AL934" s="4"/>
      <c r="AM934" s="4"/>
      <c r="AN934" s="4"/>
      <c r="AO934" s="4"/>
      <c r="AP934" s="4"/>
      <c r="AQ934" s="4"/>
      <c r="AR934" s="4"/>
      <c r="AS934" s="4"/>
      <c r="AT934" s="4"/>
      <c r="AU934" s="4"/>
      <c r="AV934" s="537"/>
      <c r="AW934" s="537"/>
      <c r="AX934" s="4"/>
      <c r="AY934" s="4"/>
      <c r="AZ934" s="4"/>
      <c r="BA934" s="4"/>
      <c r="BB934" s="4"/>
      <c r="BC934" s="4"/>
      <c r="BD934" s="4"/>
      <c r="BE934" s="4"/>
      <c r="BF934" s="4"/>
      <c r="BG934" s="4"/>
      <c r="BH934" s="4"/>
      <c r="BI934" s="4"/>
      <c r="BJ934" s="4"/>
      <c r="BK934" s="4"/>
      <c r="BL934" s="4"/>
      <c r="BM934" s="4"/>
      <c r="BN934" s="4"/>
      <c r="BO934" s="4"/>
      <c r="BP934" s="4"/>
      <c r="BQ934" s="4"/>
      <c r="BR934" s="4"/>
    </row>
    <row r="935" spans="1:70" ht="27" customHeight="1" x14ac:dyDescent="0.2">
      <c r="A935" s="532"/>
      <c r="B935" s="917"/>
      <c r="C935" s="4"/>
      <c r="D935" s="917"/>
      <c r="E935" s="4"/>
      <c r="F935" s="917"/>
      <c r="G935" s="4"/>
      <c r="H935" s="920"/>
      <c r="I935" s="3"/>
      <c r="J935" s="920"/>
      <c r="K935" s="3"/>
      <c r="L935" s="920"/>
      <c r="M935" s="3"/>
      <c r="N935" s="920"/>
      <c r="O935" s="3"/>
      <c r="P935" s="3"/>
      <c r="Q935" s="533"/>
      <c r="R935" s="920"/>
      <c r="S935" s="534"/>
      <c r="T935" s="920"/>
      <c r="U935" s="920"/>
      <c r="V935" s="920"/>
      <c r="W935" s="535"/>
      <c r="X935" s="687"/>
      <c r="Y935" s="687"/>
      <c r="Z935" s="687"/>
      <c r="AA935" s="678"/>
      <c r="AB935" s="543"/>
      <c r="AC935" s="3"/>
      <c r="AD935" s="533"/>
      <c r="AE935" s="3"/>
      <c r="AF935" s="4"/>
      <c r="AG935" s="4"/>
      <c r="AH935" s="4"/>
      <c r="AI935" s="4"/>
      <c r="AJ935" s="4"/>
      <c r="AK935" s="4"/>
      <c r="AL935" s="4"/>
      <c r="AM935" s="4"/>
      <c r="AN935" s="4"/>
      <c r="AO935" s="4"/>
      <c r="AP935" s="4"/>
      <c r="AQ935" s="4"/>
      <c r="AR935" s="4"/>
      <c r="AS935" s="4"/>
      <c r="AT935" s="4"/>
      <c r="AU935" s="4"/>
      <c r="AV935" s="537"/>
      <c r="AW935" s="537"/>
      <c r="AX935" s="4"/>
      <c r="AY935" s="4"/>
      <c r="AZ935" s="4"/>
      <c r="BA935" s="4"/>
      <c r="BB935" s="4"/>
      <c r="BC935" s="4"/>
      <c r="BD935" s="4"/>
      <c r="BE935" s="4"/>
      <c r="BF935" s="4"/>
      <c r="BG935" s="4"/>
      <c r="BH935" s="4"/>
      <c r="BI935" s="4"/>
      <c r="BJ935" s="4"/>
      <c r="BK935" s="4"/>
      <c r="BL935" s="4"/>
      <c r="BM935" s="4"/>
      <c r="BN935" s="4"/>
      <c r="BO935" s="4"/>
      <c r="BP935" s="4"/>
      <c r="BQ935" s="4"/>
      <c r="BR935" s="4"/>
    </row>
    <row r="936" spans="1:70" ht="27" customHeight="1" x14ac:dyDescent="0.2">
      <c r="A936" s="532"/>
      <c r="B936" s="917"/>
      <c r="C936" s="4"/>
      <c r="D936" s="917"/>
      <c r="E936" s="4"/>
      <c r="F936" s="917"/>
      <c r="G936" s="4"/>
      <c r="H936" s="920"/>
      <c r="I936" s="3"/>
      <c r="J936" s="920"/>
      <c r="K936" s="3"/>
      <c r="L936" s="920"/>
      <c r="M936" s="3"/>
      <c r="N936" s="920"/>
      <c r="O936" s="3"/>
      <c r="P936" s="3"/>
      <c r="Q936" s="533"/>
      <c r="R936" s="920"/>
      <c r="S936" s="534"/>
      <c r="T936" s="920"/>
      <c r="U936" s="920"/>
      <c r="V936" s="920"/>
      <c r="W936" s="535"/>
      <c r="X936" s="687"/>
      <c r="Y936" s="687"/>
      <c r="Z936" s="687"/>
      <c r="AA936" s="678"/>
      <c r="AB936" s="543"/>
      <c r="AC936" s="3"/>
      <c r="AD936" s="533"/>
      <c r="AE936" s="3"/>
      <c r="AF936" s="4"/>
      <c r="AG936" s="4"/>
      <c r="AH936" s="4"/>
      <c r="AI936" s="4"/>
      <c r="AJ936" s="4"/>
      <c r="AK936" s="4"/>
      <c r="AL936" s="4"/>
      <c r="AM936" s="4"/>
      <c r="AN936" s="4"/>
      <c r="AO936" s="4"/>
      <c r="AP936" s="4"/>
      <c r="AQ936" s="4"/>
      <c r="AR936" s="4"/>
      <c r="AS936" s="4"/>
      <c r="AT936" s="4"/>
      <c r="AU936" s="4"/>
      <c r="AV936" s="537"/>
      <c r="AW936" s="537"/>
      <c r="AX936" s="4"/>
      <c r="AY936" s="4"/>
      <c r="AZ936" s="4"/>
      <c r="BA936" s="4"/>
      <c r="BB936" s="4"/>
      <c r="BC936" s="4"/>
      <c r="BD936" s="4"/>
      <c r="BE936" s="4"/>
      <c r="BF936" s="4"/>
      <c r="BG936" s="4"/>
      <c r="BH936" s="4"/>
      <c r="BI936" s="4"/>
      <c r="BJ936" s="4"/>
      <c r="BK936" s="4"/>
      <c r="BL936" s="4"/>
      <c r="BM936" s="4"/>
      <c r="BN936" s="4"/>
      <c r="BO936" s="4"/>
      <c r="BP936" s="4"/>
      <c r="BQ936" s="4"/>
      <c r="BR936" s="4"/>
    </row>
    <row r="937" spans="1:70" ht="27" customHeight="1" x14ac:dyDescent="0.2">
      <c r="A937" s="532"/>
      <c r="B937" s="917"/>
      <c r="C937" s="4"/>
      <c r="D937" s="917"/>
      <c r="E937" s="4"/>
      <c r="F937" s="917"/>
      <c r="G937" s="4"/>
      <c r="H937" s="920"/>
      <c r="I937" s="3"/>
      <c r="J937" s="920"/>
      <c r="K937" s="3"/>
      <c r="L937" s="920"/>
      <c r="M937" s="3"/>
      <c r="N937" s="920"/>
      <c r="O937" s="3"/>
      <c r="P937" s="3"/>
      <c r="Q937" s="533"/>
      <c r="R937" s="920"/>
      <c r="S937" s="534"/>
      <c r="T937" s="920"/>
      <c r="U937" s="920"/>
      <c r="V937" s="920"/>
      <c r="W937" s="535"/>
      <c r="X937" s="687"/>
      <c r="Y937" s="687"/>
      <c r="Z937" s="687"/>
      <c r="AA937" s="678"/>
      <c r="AB937" s="543"/>
      <c r="AC937" s="3"/>
      <c r="AD937" s="533"/>
      <c r="AE937" s="3"/>
      <c r="AF937" s="4"/>
      <c r="AG937" s="4"/>
      <c r="AH937" s="4"/>
      <c r="AI937" s="4"/>
      <c r="AJ937" s="4"/>
      <c r="AK937" s="4"/>
      <c r="AL937" s="4"/>
      <c r="AM937" s="4"/>
      <c r="AN937" s="4"/>
      <c r="AO937" s="4"/>
      <c r="AP937" s="4"/>
      <c r="AQ937" s="4"/>
      <c r="AR937" s="4"/>
      <c r="AS937" s="4"/>
      <c r="AT937" s="4"/>
      <c r="AU937" s="4"/>
      <c r="AV937" s="537"/>
      <c r="AW937" s="537"/>
      <c r="AX937" s="4"/>
      <c r="AY937" s="4"/>
      <c r="AZ937" s="4"/>
      <c r="BA937" s="4"/>
      <c r="BB937" s="4"/>
      <c r="BC937" s="4"/>
      <c r="BD937" s="4"/>
      <c r="BE937" s="4"/>
      <c r="BF937" s="4"/>
      <c r="BG937" s="4"/>
      <c r="BH937" s="4"/>
      <c r="BI937" s="4"/>
      <c r="BJ937" s="4"/>
      <c r="BK937" s="4"/>
      <c r="BL937" s="4"/>
      <c r="BM937" s="4"/>
      <c r="BN937" s="4"/>
      <c r="BO937" s="4"/>
      <c r="BP937" s="4"/>
      <c r="BQ937" s="4"/>
      <c r="BR937" s="4"/>
    </row>
    <row r="938" spans="1:70" ht="27" customHeight="1" x14ac:dyDescent="0.2">
      <c r="A938" s="532"/>
      <c r="B938" s="917"/>
      <c r="C938" s="4"/>
      <c r="D938" s="917"/>
      <c r="E938" s="4"/>
      <c r="F938" s="917"/>
      <c r="G938" s="4"/>
      <c r="H938" s="920"/>
      <c r="I938" s="3"/>
      <c r="J938" s="920"/>
      <c r="K938" s="3"/>
      <c r="L938" s="920"/>
      <c r="M938" s="3"/>
      <c r="N938" s="920"/>
      <c r="O938" s="3"/>
      <c r="P938" s="3"/>
      <c r="Q938" s="533"/>
      <c r="R938" s="920"/>
      <c r="S938" s="534"/>
      <c r="T938" s="920"/>
      <c r="U938" s="920"/>
      <c r="V938" s="920"/>
      <c r="W938" s="535"/>
      <c r="X938" s="687"/>
      <c r="Y938" s="687"/>
      <c r="Z938" s="687"/>
      <c r="AA938" s="678"/>
      <c r="AB938" s="543"/>
      <c r="AC938" s="3"/>
      <c r="AD938" s="533"/>
      <c r="AE938" s="3"/>
      <c r="AF938" s="4"/>
      <c r="AG938" s="4"/>
      <c r="AH938" s="4"/>
      <c r="AI938" s="4"/>
      <c r="AJ938" s="4"/>
      <c r="AK938" s="4"/>
      <c r="AL938" s="4"/>
      <c r="AM938" s="4"/>
      <c r="AN938" s="4"/>
      <c r="AO938" s="4"/>
      <c r="AP938" s="4"/>
      <c r="AQ938" s="4"/>
      <c r="AR938" s="4"/>
      <c r="AS938" s="4"/>
      <c r="AT938" s="4"/>
      <c r="AU938" s="4"/>
      <c r="AV938" s="537"/>
      <c r="AW938" s="537"/>
      <c r="AX938" s="4"/>
      <c r="AY938" s="4"/>
      <c r="AZ938" s="4"/>
      <c r="BA938" s="4"/>
      <c r="BB938" s="4"/>
      <c r="BC938" s="4"/>
      <c r="BD938" s="4"/>
      <c r="BE938" s="4"/>
      <c r="BF938" s="4"/>
      <c r="BG938" s="4"/>
      <c r="BH938" s="4"/>
      <c r="BI938" s="4"/>
      <c r="BJ938" s="4"/>
      <c r="BK938" s="4"/>
      <c r="BL938" s="4"/>
      <c r="BM938" s="4"/>
      <c r="BN938" s="4"/>
      <c r="BO938" s="4"/>
      <c r="BP938" s="4"/>
      <c r="BQ938" s="4"/>
      <c r="BR938" s="4"/>
    </row>
    <row r="939" spans="1:70" ht="27" customHeight="1" x14ac:dyDescent="0.2">
      <c r="A939" s="532"/>
      <c r="B939" s="917"/>
      <c r="C939" s="4"/>
      <c r="D939" s="917"/>
      <c r="E939" s="4"/>
      <c r="F939" s="917"/>
      <c r="G939" s="4"/>
      <c r="H939" s="920"/>
      <c r="I939" s="3"/>
      <c r="J939" s="920"/>
      <c r="K939" s="3"/>
      <c r="L939" s="920"/>
      <c r="M939" s="3"/>
      <c r="N939" s="920"/>
      <c r="O939" s="3"/>
      <c r="P939" s="3"/>
      <c r="Q939" s="533"/>
      <c r="R939" s="920"/>
      <c r="S939" s="534"/>
      <c r="T939" s="920"/>
      <c r="U939" s="920"/>
      <c r="V939" s="920"/>
      <c r="W939" s="535"/>
      <c r="X939" s="687"/>
      <c r="Y939" s="687"/>
      <c r="Z939" s="687"/>
      <c r="AA939" s="678"/>
      <c r="AB939" s="543"/>
      <c r="AC939" s="3"/>
      <c r="AD939" s="533"/>
      <c r="AE939" s="3"/>
      <c r="AF939" s="4"/>
      <c r="AG939" s="4"/>
      <c r="AH939" s="4"/>
      <c r="AI939" s="4"/>
      <c r="AJ939" s="4"/>
      <c r="AK939" s="4"/>
      <c r="AL939" s="4"/>
      <c r="AM939" s="4"/>
      <c r="AN939" s="4"/>
      <c r="AO939" s="4"/>
      <c r="AP939" s="4"/>
      <c r="AQ939" s="4"/>
      <c r="AR939" s="4"/>
      <c r="AS939" s="4"/>
      <c r="AT939" s="4"/>
      <c r="AU939" s="4"/>
      <c r="AV939" s="537"/>
      <c r="AW939" s="537"/>
      <c r="AX939" s="4"/>
      <c r="AY939" s="4"/>
      <c r="AZ939" s="4"/>
      <c r="BA939" s="4"/>
      <c r="BB939" s="4"/>
      <c r="BC939" s="4"/>
      <c r="BD939" s="4"/>
      <c r="BE939" s="4"/>
      <c r="BF939" s="4"/>
      <c r="BG939" s="4"/>
      <c r="BH939" s="4"/>
      <c r="BI939" s="4"/>
      <c r="BJ939" s="4"/>
      <c r="BK939" s="4"/>
      <c r="BL939" s="4"/>
      <c r="BM939" s="4"/>
      <c r="BN939" s="4"/>
      <c r="BO939" s="4"/>
      <c r="BP939" s="4"/>
      <c r="BQ939" s="4"/>
      <c r="BR939" s="4"/>
    </row>
    <row r="940" spans="1:70" ht="27" customHeight="1" x14ac:dyDescent="0.2">
      <c r="A940" s="532"/>
      <c r="B940" s="917"/>
      <c r="C940" s="4"/>
      <c r="D940" s="917"/>
      <c r="E940" s="4"/>
      <c r="F940" s="917"/>
      <c r="G940" s="4"/>
      <c r="H940" s="920"/>
      <c r="I940" s="3"/>
      <c r="J940" s="920"/>
      <c r="K940" s="3"/>
      <c r="L940" s="920"/>
      <c r="M940" s="3"/>
      <c r="N940" s="920"/>
      <c r="O940" s="3"/>
      <c r="P940" s="3"/>
      <c r="Q940" s="533"/>
      <c r="R940" s="920"/>
      <c r="S940" s="534"/>
      <c r="T940" s="920"/>
      <c r="U940" s="920"/>
      <c r="V940" s="920"/>
      <c r="W940" s="535"/>
      <c r="X940" s="687"/>
      <c r="Y940" s="687"/>
      <c r="Z940" s="687"/>
      <c r="AA940" s="678"/>
      <c r="AB940" s="543"/>
      <c r="AC940" s="3"/>
      <c r="AD940" s="533"/>
      <c r="AE940" s="3"/>
      <c r="AF940" s="4"/>
      <c r="AG940" s="4"/>
      <c r="AH940" s="4"/>
      <c r="AI940" s="4"/>
      <c r="AJ940" s="4"/>
      <c r="AK940" s="4"/>
      <c r="AL940" s="4"/>
      <c r="AM940" s="4"/>
      <c r="AN940" s="4"/>
      <c r="AO940" s="4"/>
      <c r="AP940" s="4"/>
      <c r="AQ940" s="4"/>
      <c r="AR940" s="4"/>
      <c r="AS940" s="4"/>
      <c r="AT940" s="4"/>
      <c r="AU940" s="4"/>
      <c r="AV940" s="537"/>
      <c r="AW940" s="537"/>
      <c r="AX940" s="4"/>
      <c r="AY940" s="4"/>
      <c r="AZ940" s="4"/>
      <c r="BA940" s="4"/>
      <c r="BB940" s="4"/>
      <c r="BC940" s="4"/>
      <c r="BD940" s="4"/>
      <c r="BE940" s="4"/>
      <c r="BF940" s="4"/>
      <c r="BG940" s="4"/>
      <c r="BH940" s="4"/>
      <c r="BI940" s="4"/>
      <c r="BJ940" s="4"/>
      <c r="BK940" s="4"/>
      <c r="BL940" s="4"/>
      <c r="BM940" s="4"/>
      <c r="BN940" s="4"/>
      <c r="BO940" s="4"/>
      <c r="BP940" s="4"/>
      <c r="BQ940" s="4"/>
      <c r="BR940" s="4"/>
    </row>
    <row r="941" spans="1:70" ht="27" customHeight="1" x14ac:dyDescent="0.2">
      <c r="A941" s="532"/>
      <c r="B941" s="917"/>
      <c r="C941" s="4"/>
      <c r="D941" s="917"/>
      <c r="E941" s="4"/>
      <c r="F941" s="917"/>
      <c r="G941" s="4"/>
      <c r="H941" s="920"/>
      <c r="I941" s="3"/>
      <c r="J941" s="920"/>
      <c r="K941" s="3"/>
      <c r="L941" s="920"/>
      <c r="M941" s="3"/>
      <c r="N941" s="920"/>
      <c r="O941" s="3"/>
      <c r="P941" s="3"/>
      <c r="Q941" s="533"/>
      <c r="R941" s="920"/>
      <c r="S941" s="534"/>
      <c r="T941" s="920"/>
      <c r="U941" s="920"/>
      <c r="V941" s="920"/>
      <c r="W941" s="535"/>
      <c r="X941" s="687"/>
      <c r="Y941" s="687"/>
      <c r="Z941" s="687"/>
      <c r="AA941" s="678"/>
      <c r="AB941" s="543"/>
      <c r="AC941" s="3"/>
      <c r="AD941" s="533"/>
      <c r="AE941" s="3"/>
      <c r="AF941" s="4"/>
      <c r="AG941" s="4"/>
      <c r="AH941" s="4"/>
      <c r="AI941" s="4"/>
      <c r="AJ941" s="4"/>
      <c r="AK941" s="4"/>
      <c r="AL941" s="4"/>
      <c r="AM941" s="4"/>
      <c r="AN941" s="4"/>
      <c r="AO941" s="4"/>
      <c r="AP941" s="4"/>
      <c r="AQ941" s="4"/>
      <c r="AR941" s="4"/>
      <c r="AS941" s="4"/>
      <c r="AT941" s="4"/>
      <c r="AU941" s="4"/>
      <c r="AV941" s="537"/>
      <c r="AW941" s="537"/>
      <c r="AX941" s="4"/>
      <c r="AY941" s="4"/>
      <c r="AZ941" s="4"/>
      <c r="BA941" s="4"/>
      <c r="BB941" s="4"/>
      <c r="BC941" s="4"/>
      <c r="BD941" s="4"/>
      <c r="BE941" s="4"/>
      <c r="BF941" s="4"/>
      <c r="BG941" s="4"/>
      <c r="BH941" s="4"/>
      <c r="BI941" s="4"/>
      <c r="BJ941" s="4"/>
      <c r="BK941" s="4"/>
      <c r="BL941" s="4"/>
      <c r="BM941" s="4"/>
      <c r="BN941" s="4"/>
      <c r="BO941" s="4"/>
      <c r="BP941" s="4"/>
      <c r="BQ941" s="4"/>
      <c r="BR941" s="4"/>
    </row>
    <row r="942" spans="1:70" ht="27" customHeight="1" x14ac:dyDescent="0.2">
      <c r="A942" s="532"/>
      <c r="B942" s="917"/>
      <c r="C942" s="4"/>
      <c r="D942" s="917"/>
      <c r="E942" s="4"/>
      <c r="F942" s="917"/>
      <c r="G942" s="4"/>
      <c r="H942" s="920"/>
      <c r="I942" s="3"/>
      <c r="J942" s="920"/>
      <c r="K942" s="3"/>
      <c r="L942" s="920"/>
      <c r="M942" s="3"/>
      <c r="N942" s="920"/>
      <c r="O942" s="3"/>
      <c r="P942" s="3"/>
      <c r="Q942" s="533"/>
      <c r="R942" s="920"/>
      <c r="S942" s="534"/>
      <c r="T942" s="920"/>
      <c r="U942" s="920"/>
      <c r="V942" s="920"/>
      <c r="W942" s="535"/>
      <c r="X942" s="687"/>
      <c r="Y942" s="687"/>
      <c r="Z942" s="687"/>
      <c r="AA942" s="678"/>
      <c r="AB942" s="543"/>
      <c r="AC942" s="3"/>
      <c r="AD942" s="533"/>
      <c r="AE942" s="3"/>
      <c r="AF942" s="4"/>
      <c r="AG942" s="4"/>
      <c r="AH942" s="4"/>
      <c r="AI942" s="4"/>
      <c r="AJ942" s="4"/>
      <c r="AK942" s="4"/>
      <c r="AL942" s="4"/>
      <c r="AM942" s="4"/>
      <c r="AN942" s="4"/>
      <c r="AO942" s="4"/>
      <c r="AP942" s="4"/>
      <c r="AQ942" s="4"/>
      <c r="AR942" s="4"/>
      <c r="AS942" s="4"/>
      <c r="AT942" s="4"/>
      <c r="AU942" s="4"/>
      <c r="AV942" s="537"/>
      <c r="AW942" s="537"/>
      <c r="AX942" s="4"/>
      <c r="AY942" s="4"/>
      <c r="AZ942" s="4"/>
      <c r="BA942" s="4"/>
      <c r="BB942" s="4"/>
      <c r="BC942" s="4"/>
      <c r="BD942" s="4"/>
      <c r="BE942" s="4"/>
      <c r="BF942" s="4"/>
      <c r="BG942" s="4"/>
      <c r="BH942" s="4"/>
      <c r="BI942" s="4"/>
      <c r="BJ942" s="4"/>
      <c r="BK942" s="4"/>
      <c r="BL942" s="4"/>
      <c r="BM942" s="4"/>
      <c r="BN942" s="4"/>
      <c r="BO942" s="4"/>
      <c r="BP942" s="4"/>
      <c r="BQ942" s="4"/>
      <c r="BR942" s="4"/>
    </row>
    <row r="943" spans="1:70" ht="27" customHeight="1" x14ac:dyDescent="0.2">
      <c r="A943" s="532"/>
      <c r="B943" s="917"/>
      <c r="C943" s="4"/>
      <c r="D943" s="917"/>
      <c r="E943" s="4"/>
      <c r="F943" s="917"/>
      <c r="G943" s="4"/>
      <c r="H943" s="920"/>
      <c r="I943" s="3"/>
      <c r="J943" s="920"/>
      <c r="K943" s="3"/>
      <c r="L943" s="920"/>
      <c r="M943" s="3"/>
      <c r="N943" s="920"/>
      <c r="O943" s="3"/>
      <c r="P943" s="3"/>
      <c r="Q943" s="533"/>
      <c r="R943" s="920"/>
      <c r="S943" s="534"/>
      <c r="T943" s="920"/>
      <c r="U943" s="920"/>
      <c r="V943" s="920"/>
      <c r="W943" s="535"/>
      <c r="X943" s="687"/>
      <c r="Y943" s="687"/>
      <c r="Z943" s="687"/>
      <c r="AA943" s="678"/>
      <c r="AB943" s="543"/>
      <c r="AC943" s="3"/>
      <c r="AD943" s="533"/>
      <c r="AE943" s="3"/>
      <c r="AF943" s="4"/>
      <c r="AG943" s="4"/>
      <c r="AH943" s="4"/>
      <c r="AI943" s="4"/>
      <c r="AJ943" s="4"/>
      <c r="AK943" s="4"/>
      <c r="AL943" s="4"/>
      <c r="AM943" s="4"/>
      <c r="AN943" s="4"/>
      <c r="AO943" s="4"/>
      <c r="AP943" s="4"/>
      <c r="AQ943" s="4"/>
      <c r="AR943" s="4"/>
      <c r="AS943" s="4"/>
      <c r="AT943" s="4"/>
      <c r="AU943" s="4"/>
      <c r="AV943" s="537"/>
      <c r="AW943" s="537"/>
      <c r="AX943" s="4"/>
      <c r="AY943" s="4"/>
      <c r="AZ943" s="4"/>
      <c r="BA943" s="4"/>
      <c r="BB943" s="4"/>
      <c r="BC943" s="4"/>
      <c r="BD943" s="4"/>
      <c r="BE943" s="4"/>
      <c r="BF943" s="4"/>
      <c r="BG943" s="4"/>
      <c r="BH943" s="4"/>
      <c r="BI943" s="4"/>
      <c r="BJ943" s="4"/>
      <c r="BK943" s="4"/>
      <c r="BL943" s="4"/>
      <c r="BM943" s="4"/>
      <c r="BN943" s="4"/>
      <c r="BO943" s="4"/>
      <c r="BP943" s="4"/>
      <c r="BQ943" s="4"/>
      <c r="BR943" s="4"/>
    </row>
    <row r="944" spans="1:70" ht="27" customHeight="1" x14ac:dyDescent="0.2">
      <c r="A944" s="532"/>
      <c r="B944" s="917"/>
      <c r="C944" s="4"/>
      <c r="D944" s="917"/>
      <c r="E944" s="4"/>
      <c r="F944" s="917"/>
      <c r="G944" s="4"/>
      <c r="H944" s="920"/>
      <c r="I944" s="3"/>
      <c r="J944" s="920"/>
      <c r="K944" s="3"/>
      <c r="L944" s="920"/>
      <c r="M944" s="3"/>
      <c r="N944" s="920"/>
      <c r="O944" s="3"/>
      <c r="P944" s="3"/>
      <c r="Q944" s="533"/>
      <c r="R944" s="920"/>
      <c r="S944" s="534"/>
      <c r="T944" s="920"/>
      <c r="U944" s="920"/>
      <c r="V944" s="920"/>
      <c r="W944" s="535"/>
      <c r="X944" s="687"/>
      <c r="Y944" s="687"/>
      <c r="Z944" s="687"/>
      <c r="AA944" s="678"/>
      <c r="AB944" s="543"/>
      <c r="AC944" s="3"/>
      <c r="AD944" s="533"/>
      <c r="AE944" s="3"/>
      <c r="AF944" s="4"/>
      <c r="AG944" s="4"/>
      <c r="AH944" s="4"/>
      <c r="AI944" s="4"/>
      <c r="AJ944" s="4"/>
      <c r="AK944" s="4"/>
      <c r="AL944" s="4"/>
      <c r="AM944" s="4"/>
      <c r="AN944" s="4"/>
      <c r="AO944" s="4"/>
      <c r="AP944" s="4"/>
      <c r="AQ944" s="4"/>
      <c r="AR944" s="4"/>
      <c r="AS944" s="4"/>
      <c r="AT944" s="4"/>
      <c r="AU944" s="4"/>
      <c r="AV944" s="537"/>
      <c r="AW944" s="537"/>
      <c r="AX944" s="4"/>
      <c r="AY944" s="4"/>
      <c r="AZ944" s="4"/>
      <c r="BA944" s="4"/>
      <c r="BB944" s="4"/>
      <c r="BC944" s="4"/>
      <c r="BD944" s="4"/>
      <c r="BE944" s="4"/>
      <c r="BF944" s="4"/>
      <c r="BG944" s="4"/>
      <c r="BH944" s="4"/>
      <c r="BI944" s="4"/>
      <c r="BJ944" s="4"/>
      <c r="BK944" s="4"/>
      <c r="BL944" s="4"/>
      <c r="BM944" s="4"/>
      <c r="BN944" s="4"/>
      <c r="BO944" s="4"/>
      <c r="BP944" s="4"/>
      <c r="BQ944" s="4"/>
      <c r="BR944" s="4"/>
    </row>
    <row r="945" spans="1:70" ht="27" customHeight="1" x14ac:dyDescent="0.2">
      <c r="A945" s="532"/>
      <c r="B945" s="917"/>
      <c r="C945" s="4"/>
      <c r="D945" s="917"/>
      <c r="E945" s="4"/>
      <c r="F945" s="917"/>
      <c r="G945" s="4"/>
      <c r="H945" s="920"/>
      <c r="I945" s="3"/>
      <c r="J945" s="920"/>
      <c r="K945" s="3"/>
      <c r="L945" s="920"/>
      <c r="M945" s="3"/>
      <c r="N945" s="920"/>
      <c r="O945" s="3"/>
      <c r="P945" s="3"/>
      <c r="Q945" s="533"/>
      <c r="R945" s="920"/>
      <c r="S945" s="534"/>
      <c r="T945" s="920"/>
      <c r="U945" s="920"/>
      <c r="V945" s="920"/>
      <c r="W945" s="535"/>
      <c r="X945" s="687"/>
      <c r="Y945" s="687"/>
      <c r="Z945" s="687"/>
      <c r="AA945" s="678"/>
      <c r="AB945" s="543"/>
      <c r="AC945" s="3"/>
      <c r="AD945" s="533"/>
      <c r="AE945" s="3"/>
      <c r="AF945" s="4"/>
      <c r="AG945" s="4"/>
      <c r="AH945" s="4"/>
      <c r="AI945" s="4"/>
      <c r="AJ945" s="4"/>
      <c r="AK945" s="4"/>
      <c r="AL945" s="4"/>
      <c r="AM945" s="4"/>
      <c r="AN945" s="4"/>
      <c r="AO945" s="4"/>
      <c r="AP945" s="4"/>
      <c r="AQ945" s="4"/>
      <c r="AR945" s="4"/>
      <c r="AS945" s="4"/>
      <c r="AT945" s="4"/>
      <c r="AU945" s="4"/>
      <c r="AV945" s="537"/>
      <c r="AW945" s="537"/>
      <c r="AX945" s="4"/>
      <c r="AY945" s="4"/>
      <c r="AZ945" s="4"/>
      <c r="BA945" s="4"/>
      <c r="BB945" s="4"/>
      <c r="BC945" s="4"/>
      <c r="BD945" s="4"/>
      <c r="BE945" s="4"/>
      <c r="BF945" s="4"/>
      <c r="BG945" s="4"/>
      <c r="BH945" s="4"/>
      <c r="BI945" s="4"/>
      <c r="BJ945" s="4"/>
      <c r="BK945" s="4"/>
      <c r="BL945" s="4"/>
      <c r="BM945" s="4"/>
      <c r="BN945" s="4"/>
      <c r="BO945" s="4"/>
      <c r="BP945" s="4"/>
      <c r="BQ945" s="4"/>
      <c r="BR945" s="4"/>
    </row>
    <row r="946" spans="1:70" ht="27" customHeight="1" x14ac:dyDescent="0.2">
      <c r="A946" s="532"/>
      <c r="B946" s="917"/>
      <c r="C946" s="4"/>
      <c r="D946" s="917"/>
      <c r="E946" s="4"/>
      <c r="F946" s="917"/>
      <c r="G946" s="4"/>
      <c r="H946" s="920"/>
      <c r="I946" s="3"/>
      <c r="J946" s="920"/>
      <c r="K946" s="3"/>
      <c r="L946" s="920"/>
      <c r="M946" s="3"/>
      <c r="N946" s="920"/>
      <c r="O946" s="3"/>
      <c r="P946" s="3"/>
      <c r="Q946" s="533"/>
      <c r="R946" s="920"/>
      <c r="S946" s="534"/>
      <c r="T946" s="920"/>
      <c r="U946" s="920"/>
      <c r="V946" s="920"/>
      <c r="W946" s="535"/>
      <c r="X946" s="687"/>
      <c r="Y946" s="687"/>
      <c r="Z946" s="687"/>
      <c r="AA946" s="678"/>
      <c r="AB946" s="543"/>
      <c r="AC946" s="3"/>
      <c r="AD946" s="533"/>
      <c r="AE946" s="3"/>
      <c r="AF946" s="4"/>
      <c r="AG946" s="4"/>
      <c r="AH946" s="4"/>
      <c r="AI946" s="4"/>
      <c r="AJ946" s="4"/>
      <c r="AK946" s="4"/>
      <c r="AL946" s="4"/>
      <c r="AM946" s="4"/>
      <c r="AN946" s="4"/>
      <c r="AO946" s="4"/>
      <c r="AP946" s="4"/>
      <c r="AQ946" s="4"/>
      <c r="AR946" s="4"/>
      <c r="AS946" s="4"/>
      <c r="AT946" s="4"/>
      <c r="AU946" s="4"/>
      <c r="AV946" s="537"/>
      <c r="AW946" s="537"/>
      <c r="AX946" s="4"/>
      <c r="AY946" s="4"/>
      <c r="AZ946" s="4"/>
      <c r="BA946" s="4"/>
      <c r="BB946" s="4"/>
      <c r="BC946" s="4"/>
      <c r="BD946" s="4"/>
      <c r="BE946" s="4"/>
      <c r="BF946" s="4"/>
      <c r="BG946" s="4"/>
      <c r="BH946" s="4"/>
      <c r="BI946" s="4"/>
      <c r="BJ946" s="4"/>
      <c r="BK946" s="4"/>
      <c r="BL946" s="4"/>
      <c r="BM946" s="4"/>
      <c r="BN946" s="4"/>
      <c r="BO946" s="4"/>
      <c r="BP946" s="4"/>
      <c r="BQ946" s="4"/>
      <c r="BR946" s="4"/>
    </row>
    <row r="947" spans="1:70" ht="27" customHeight="1" x14ac:dyDescent="0.2">
      <c r="A947" s="532"/>
      <c r="B947" s="917"/>
      <c r="C947" s="4"/>
      <c r="D947" s="917"/>
      <c r="E947" s="4"/>
      <c r="F947" s="917"/>
      <c r="G947" s="4"/>
      <c r="H947" s="920"/>
      <c r="I947" s="3"/>
      <c r="J947" s="920"/>
      <c r="K947" s="3"/>
      <c r="L947" s="920"/>
      <c r="M947" s="3"/>
      <c r="N947" s="920"/>
      <c r="O947" s="3"/>
      <c r="P947" s="3"/>
      <c r="Q947" s="533"/>
      <c r="R947" s="920"/>
      <c r="S947" s="534"/>
      <c r="T947" s="920"/>
      <c r="U947" s="920"/>
      <c r="V947" s="920"/>
      <c r="W947" s="535"/>
      <c r="X947" s="687"/>
      <c r="Y947" s="687"/>
      <c r="Z947" s="687"/>
      <c r="AA947" s="678"/>
      <c r="AB947" s="543"/>
      <c r="AC947" s="3"/>
      <c r="AD947" s="533"/>
      <c r="AE947" s="3"/>
      <c r="AF947" s="4"/>
      <c r="AG947" s="4"/>
      <c r="AH947" s="4"/>
      <c r="AI947" s="4"/>
      <c r="AJ947" s="4"/>
      <c r="AK947" s="4"/>
      <c r="AL947" s="4"/>
      <c r="AM947" s="4"/>
      <c r="AN947" s="4"/>
      <c r="AO947" s="4"/>
      <c r="AP947" s="4"/>
      <c r="AQ947" s="4"/>
      <c r="AR947" s="4"/>
      <c r="AS947" s="4"/>
      <c r="AT947" s="4"/>
      <c r="AU947" s="4"/>
      <c r="AV947" s="537"/>
      <c r="AW947" s="537"/>
      <c r="AX947" s="4"/>
      <c r="AY947" s="4"/>
      <c r="AZ947" s="4"/>
      <c r="BA947" s="4"/>
      <c r="BB947" s="4"/>
      <c r="BC947" s="4"/>
      <c r="BD947" s="4"/>
      <c r="BE947" s="4"/>
      <c r="BF947" s="4"/>
      <c r="BG947" s="4"/>
      <c r="BH947" s="4"/>
      <c r="BI947" s="4"/>
      <c r="BJ947" s="4"/>
      <c r="BK947" s="4"/>
      <c r="BL947" s="4"/>
      <c r="BM947" s="4"/>
      <c r="BN947" s="4"/>
      <c r="BO947" s="4"/>
      <c r="BP947" s="4"/>
      <c r="BQ947" s="4"/>
      <c r="BR947" s="4"/>
    </row>
    <row r="948" spans="1:70" ht="27" customHeight="1" x14ac:dyDescent="0.2">
      <c r="A948" s="532"/>
      <c r="B948" s="917"/>
      <c r="C948" s="4"/>
      <c r="D948" s="917"/>
      <c r="E948" s="4"/>
      <c r="F948" s="917"/>
      <c r="G948" s="4"/>
      <c r="H948" s="920"/>
      <c r="I948" s="3"/>
      <c r="J948" s="920"/>
      <c r="K948" s="3"/>
      <c r="L948" s="920"/>
      <c r="M948" s="3"/>
      <c r="N948" s="920"/>
      <c r="O948" s="3"/>
      <c r="P948" s="3"/>
      <c r="Q948" s="533"/>
      <c r="R948" s="920"/>
      <c r="S948" s="534"/>
      <c r="T948" s="920"/>
      <c r="U948" s="920"/>
      <c r="V948" s="920"/>
      <c r="W948" s="535"/>
      <c r="X948" s="687"/>
      <c r="Y948" s="687"/>
      <c r="Z948" s="687"/>
      <c r="AA948" s="678"/>
      <c r="AB948" s="543"/>
      <c r="AC948" s="3"/>
      <c r="AD948" s="533"/>
      <c r="AE948" s="3"/>
      <c r="AF948" s="4"/>
      <c r="AG948" s="4"/>
      <c r="AH948" s="4"/>
      <c r="AI948" s="4"/>
      <c r="AJ948" s="4"/>
      <c r="AK948" s="4"/>
      <c r="AL948" s="4"/>
      <c r="AM948" s="4"/>
      <c r="AN948" s="4"/>
      <c r="AO948" s="4"/>
      <c r="AP948" s="4"/>
      <c r="AQ948" s="4"/>
      <c r="AR948" s="4"/>
      <c r="AS948" s="4"/>
      <c r="AT948" s="4"/>
      <c r="AU948" s="4"/>
      <c r="AV948" s="537"/>
      <c r="AW948" s="537"/>
      <c r="AX948" s="4"/>
      <c r="AY948" s="4"/>
      <c r="AZ948" s="4"/>
      <c r="BA948" s="4"/>
      <c r="BB948" s="4"/>
      <c r="BC948" s="4"/>
      <c r="BD948" s="4"/>
      <c r="BE948" s="4"/>
      <c r="BF948" s="4"/>
      <c r="BG948" s="4"/>
      <c r="BH948" s="4"/>
      <c r="BI948" s="4"/>
      <c r="BJ948" s="4"/>
      <c r="BK948" s="4"/>
      <c r="BL948" s="4"/>
      <c r="BM948" s="4"/>
      <c r="BN948" s="4"/>
      <c r="BO948" s="4"/>
      <c r="BP948" s="4"/>
      <c r="BQ948" s="4"/>
      <c r="BR948" s="4"/>
    </row>
    <row r="949" spans="1:70" ht="27" customHeight="1" x14ac:dyDescent="0.2">
      <c r="A949" s="532"/>
      <c r="B949" s="917"/>
      <c r="C949" s="4"/>
      <c r="D949" s="917"/>
      <c r="E949" s="4"/>
      <c r="F949" s="917"/>
      <c r="G949" s="4"/>
      <c r="H949" s="920"/>
      <c r="I949" s="3"/>
      <c r="J949" s="920"/>
      <c r="K949" s="3"/>
      <c r="L949" s="920"/>
      <c r="M949" s="3"/>
      <c r="N949" s="920"/>
      <c r="O949" s="3"/>
      <c r="P949" s="3"/>
      <c r="Q949" s="533"/>
      <c r="R949" s="920"/>
      <c r="S949" s="534"/>
      <c r="T949" s="920"/>
      <c r="U949" s="920"/>
      <c r="V949" s="920"/>
      <c r="W949" s="535"/>
      <c r="X949" s="687"/>
      <c r="Y949" s="687"/>
      <c r="Z949" s="687"/>
      <c r="AA949" s="678"/>
      <c r="AB949" s="543"/>
      <c r="AC949" s="3"/>
      <c r="AD949" s="533"/>
      <c r="AE949" s="3"/>
      <c r="AF949" s="4"/>
      <c r="AG949" s="4"/>
      <c r="AH949" s="4"/>
      <c r="AI949" s="4"/>
      <c r="AJ949" s="4"/>
      <c r="AK949" s="4"/>
      <c r="AL949" s="4"/>
      <c r="AM949" s="4"/>
      <c r="AN949" s="4"/>
      <c r="AO949" s="4"/>
      <c r="AP949" s="4"/>
      <c r="AQ949" s="4"/>
      <c r="AR949" s="4"/>
      <c r="AS949" s="4"/>
      <c r="AT949" s="4"/>
      <c r="AU949" s="4"/>
      <c r="AV949" s="537"/>
      <c r="AW949" s="537"/>
      <c r="AX949" s="4"/>
      <c r="AY949" s="4"/>
      <c r="AZ949" s="4"/>
      <c r="BA949" s="4"/>
      <c r="BB949" s="4"/>
      <c r="BC949" s="4"/>
      <c r="BD949" s="4"/>
      <c r="BE949" s="4"/>
      <c r="BF949" s="4"/>
      <c r="BG949" s="4"/>
      <c r="BH949" s="4"/>
      <c r="BI949" s="4"/>
      <c r="BJ949" s="4"/>
      <c r="BK949" s="4"/>
      <c r="BL949" s="4"/>
      <c r="BM949" s="4"/>
      <c r="BN949" s="4"/>
      <c r="BO949" s="4"/>
      <c r="BP949" s="4"/>
      <c r="BQ949" s="4"/>
      <c r="BR949" s="4"/>
    </row>
    <row r="950" spans="1:70" ht="27" customHeight="1" x14ac:dyDescent="0.2">
      <c r="A950" s="532"/>
      <c r="B950" s="917"/>
      <c r="C950" s="4"/>
      <c r="D950" s="917"/>
      <c r="E950" s="4"/>
      <c r="F950" s="917"/>
      <c r="G950" s="4"/>
      <c r="H950" s="920"/>
      <c r="I950" s="3"/>
      <c r="J950" s="920"/>
      <c r="K950" s="3"/>
      <c r="L950" s="920"/>
      <c r="M950" s="3"/>
      <c r="N950" s="920"/>
      <c r="O950" s="3"/>
      <c r="P950" s="3"/>
      <c r="Q950" s="533"/>
      <c r="R950" s="920"/>
      <c r="S950" s="534"/>
      <c r="T950" s="920"/>
      <c r="U950" s="920"/>
      <c r="V950" s="920"/>
      <c r="W950" s="535"/>
      <c r="X950" s="687"/>
      <c r="Y950" s="687"/>
      <c r="Z950" s="687"/>
      <c r="AA950" s="678"/>
      <c r="AB950" s="543"/>
      <c r="AC950" s="3"/>
      <c r="AD950" s="533"/>
      <c r="AE950" s="3"/>
      <c r="AF950" s="4"/>
      <c r="AG950" s="4"/>
      <c r="AH950" s="4"/>
      <c r="AI950" s="4"/>
      <c r="AJ950" s="4"/>
      <c r="AK950" s="4"/>
      <c r="AL950" s="4"/>
      <c r="AM950" s="4"/>
      <c r="AN950" s="4"/>
      <c r="AO950" s="4"/>
      <c r="AP950" s="4"/>
      <c r="AQ950" s="4"/>
      <c r="AR950" s="4"/>
      <c r="AS950" s="4"/>
      <c r="AT950" s="4"/>
      <c r="AU950" s="4"/>
      <c r="AV950" s="537"/>
      <c r="AW950" s="537"/>
      <c r="AX950" s="4"/>
      <c r="AY950" s="4"/>
      <c r="AZ950" s="4"/>
      <c r="BA950" s="4"/>
      <c r="BB950" s="4"/>
      <c r="BC950" s="4"/>
      <c r="BD950" s="4"/>
      <c r="BE950" s="4"/>
      <c r="BF950" s="4"/>
      <c r="BG950" s="4"/>
      <c r="BH950" s="4"/>
      <c r="BI950" s="4"/>
      <c r="BJ950" s="4"/>
      <c r="BK950" s="4"/>
      <c r="BL950" s="4"/>
      <c r="BM950" s="4"/>
      <c r="BN950" s="4"/>
      <c r="BO950" s="4"/>
      <c r="BP950" s="4"/>
      <c r="BQ950" s="4"/>
      <c r="BR950" s="4"/>
    </row>
    <row r="951" spans="1:70" ht="27" customHeight="1" x14ac:dyDescent="0.2">
      <c r="A951" s="532"/>
      <c r="B951" s="917"/>
      <c r="C951" s="4"/>
      <c r="D951" s="917"/>
      <c r="E951" s="4"/>
      <c r="F951" s="917"/>
      <c r="G951" s="4"/>
      <c r="H951" s="920"/>
      <c r="I951" s="3"/>
      <c r="J951" s="920"/>
      <c r="K951" s="3"/>
      <c r="L951" s="920"/>
      <c r="M951" s="3"/>
      <c r="N951" s="920"/>
      <c r="O951" s="3"/>
      <c r="P951" s="3"/>
      <c r="Q951" s="533"/>
      <c r="R951" s="920"/>
      <c r="S951" s="534"/>
      <c r="T951" s="920"/>
      <c r="U951" s="920"/>
      <c r="V951" s="920"/>
      <c r="W951" s="535"/>
      <c r="X951" s="687"/>
      <c r="Y951" s="687"/>
      <c r="Z951" s="687"/>
      <c r="AA951" s="678"/>
      <c r="AB951" s="543"/>
      <c r="AC951" s="3"/>
      <c r="AD951" s="533"/>
      <c r="AE951" s="3"/>
      <c r="AF951" s="4"/>
      <c r="AG951" s="4"/>
      <c r="AH951" s="4"/>
      <c r="AI951" s="4"/>
      <c r="AJ951" s="4"/>
      <c r="AK951" s="4"/>
      <c r="AL951" s="4"/>
      <c r="AM951" s="4"/>
      <c r="AN951" s="4"/>
      <c r="AO951" s="4"/>
      <c r="AP951" s="4"/>
      <c r="AQ951" s="4"/>
      <c r="AR951" s="4"/>
      <c r="AS951" s="4"/>
      <c r="AT951" s="4"/>
      <c r="AU951" s="4"/>
      <c r="AV951" s="537"/>
      <c r="AW951" s="537"/>
      <c r="AX951" s="4"/>
      <c r="AY951" s="4"/>
      <c r="AZ951" s="4"/>
      <c r="BA951" s="4"/>
      <c r="BB951" s="4"/>
      <c r="BC951" s="4"/>
      <c r="BD951" s="4"/>
      <c r="BE951" s="4"/>
      <c r="BF951" s="4"/>
      <c r="BG951" s="4"/>
      <c r="BH951" s="4"/>
      <c r="BI951" s="4"/>
      <c r="BJ951" s="4"/>
      <c r="BK951" s="4"/>
      <c r="BL951" s="4"/>
      <c r="BM951" s="4"/>
      <c r="BN951" s="4"/>
      <c r="BO951" s="4"/>
      <c r="BP951" s="4"/>
      <c r="BQ951" s="4"/>
      <c r="BR951" s="4"/>
    </row>
    <row r="952" spans="1:70" ht="27" customHeight="1" x14ac:dyDescent="0.2">
      <c r="A952" s="532"/>
      <c r="B952" s="917"/>
      <c r="C952" s="4"/>
      <c r="D952" s="917"/>
      <c r="E952" s="4"/>
      <c r="F952" s="917"/>
      <c r="G952" s="4"/>
      <c r="H952" s="920"/>
      <c r="I952" s="3"/>
      <c r="J952" s="920"/>
      <c r="K952" s="3"/>
      <c r="L952" s="920"/>
      <c r="M952" s="3"/>
      <c r="N952" s="920"/>
      <c r="O952" s="3"/>
      <c r="P952" s="3"/>
      <c r="Q952" s="533"/>
      <c r="R952" s="920"/>
      <c r="S952" s="534"/>
      <c r="T952" s="920"/>
      <c r="U952" s="920"/>
      <c r="V952" s="920"/>
      <c r="W952" s="535"/>
      <c r="X952" s="687"/>
      <c r="Y952" s="687"/>
      <c r="Z952" s="687"/>
      <c r="AA952" s="678"/>
      <c r="AB952" s="543"/>
      <c r="AC952" s="3"/>
      <c r="AD952" s="533"/>
      <c r="AE952" s="3"/>
      <c r="AF952" s="4"/>
      <c r="AG952" s="4"/>
      <c r="AH952" s="4"/>
      <c r="AI952" s="4"/>
      <c r="AJ952" s="4"/>
      <c r="AK952" s="4"/>
      <c r="AL952" s="4"/>
      <c r="AM952" s="4"/>
      <c r="AN952" s="4"/>
      <c r="AO952" s="4"/>
      <c r="AP952" s="4"/>
      <c r="AQ952" s="4"/>
      <c r="AR952" s="4"/>
      <c r="AS952" s="4"/>
      <c r="AT952" s="4"/>
      <c r="AU952" s="4"/>
      <c r="AV952" s="537"/>
      <c r="AW952" s="537"/>
      <c r="AX952" s="4"/>
      <c r="AY952" s="4"/>
      <c r="AZ952" s="4"/>
      <c r="BA952" s="4"/>
      <c r="BB952" s="4"/>
      <c r="BC952" s="4"/>
      <c r="BD952" s="4"/>
      <c r="BE952" s="4"/>
      <c r="BF952" s="4"/>
      <c r="BG952" s="4"/>
      <c r="BH952" s="4"/>
      <c r="BI952" s="4"/>
      <c r="BJ952" s="4"/>
      <c r="BK952" s="4"/>
      <c r="BL952" s="4"/>
      <c r="BM952" s="4"/>
      <c r="BN952" s="4"/>
      <c r="BO952" s="4"/>
      <c r="BP952" s="4"/>
      <c r="BQ952" s="4"/>
      <c r="BR952" s="4"/>
    </row>
    <row r="953" spans="1:70" ht="27" customHeight="1" x14ac:dyDescent="0.2">
      <c r="A953" s="532"/>
      <c r="B953" s="917"/>
      <c r="C953" s="4"/>
      <c r="D953" s="917"/>
      <c r="E953" s="4"/>
      <c r="F953" s="917"/>
      <c r="G953" s="4"/>
      <c r="H953" s="920"/>
      <c r="I953" s="3"/>
      <c r="J953" s="920"/>
      <c r="K953" s="3"/>
      <c r="L953" s="920"/>
      <c r="M953" s="3"/>
      <c r="N953" s="920"/>
      <c r="O953" s="3"/>
      <c r="P953" s="3"/>
      <c r="Q953" s="533"/>
      <c r="R953" s="920"/>
      <c r="S953" s="534"/>
      <c r="T953" s="920"/>
      <c r="U953" s="920"/>
      <c r="V953" s="920"/>
      <c r="W953" s="535"/>
      <c r="X953" s="687"/>
      <c r="Y953" s="687"/>
      <c r="Z953" s="687"/>
      <c r="AA953" s="678"/>
      <c r="AB953" s="543"/>
      <c r="AC953" s="3"/>
      <c r="AD953" s="533"/>
      <c r="AE953" s="3"/>
      <c r="AF953" s="4"/>
      <c r="AG953" s="4"/>
      <c r="AH953" s="4"/>
      <c r="AI953" s="4"/>
      <c r="AJ953" s="4"/>
      <c r="AK953" s="4"/>
      <c r="AL953" s="4"/>
      <c r="AM953" s="4"/>
      <c r="AN953" s="4"/>
      <c r="AO953" s="4"/>
      <c r="AP953" s="4"/>
      <c r="AQ953" s="4"/>
      <c r="AR953" s="4"/>
      <c r="AS953" s="4"/>
      <c r="AT953" s="4"/>
      <c r="AU953" s="4"/>
      <c r="AV953" s="537"/>
      <c r="AW953" s="537"/>
      <c r="AX953" s="4"/>
      <c r="AY953" s="4"/>
      <c r="AZ953" s="4"/>
      <c r="BA953" s="4"/>
      <c r="BB953" s="4"/>
      <c r="BC953" s="4"/>
      <c r="BD953" s="4"/>
      <c r="BE953" s="4"/>
      <c r="BF953" s="4"/>
      <c r="BG953" s="4"/>
      <c r="BH953" s="4"/>
      <c r="BI953" s="4"/>
      <c r="BJ953" s="4"/>
      <c r="BK953" s="4"/>
      <c r="BL953" s="4"/>
      <c r="BM953" s="4"/>
      <c r="BN953" s="4"/>
      <c r="BO953" s="4"/>
      <c r="BP953" s="4"/>
      <c r="BQ953" s="4"/>
      <c r="BR953" s="4"/>
    </row>
    <row r="954" spans="1:70" ht="27" customHeight="1" x14ac:dyDescent="0.2">
      <c r="A954" s="532"/>
      <c r="B954" s="917"/>
      <c r="C954" s="4"/>
      <c r="D954" s="917"/>
      <c r="E954" s="4"/>
      <c r="F954" s="917"/>
      <c r="G954" s="4"/>
      <c r="H954" s="920"/>
      <c r="I954" s="3"/>
      <c r="J954" s="920"/>
      <c r="K954" s="3"/>
      <c r="L954" s="920"/>
      <c r="M954" s="3"/>
      <c r="N954" s="920"/>
      <c r="O954" s="3"/>
      <c r="P954" s="3"/>
      <c r="Q954" s="533"/>
      <c r="R954" s="920"/>
      <c r="S954" s="534"/>
      <c r="T954" s="920"/>
      <c r="U954" s="920"/>
      <c r="V954" s="920"/>
      <c r="W954" s="535"/>
      <c r="X954" s="687"/>
      <c r="Y954" s="687"/>
      <c r="Z954" s="687"/>
      <c r="AA954" s="678"/>
      <c r="AB954" s="543"/>
      <c r="AC954" s="3"/>
      <c r="AD954" s="533"/>
      <c r="AE954" s="3"/>
      <c r="AF954" s="4"/>
      <c r="AG954" s="4"/>
      <c r="AH954" s="4"/>
      <c r="AI954" s="4"/>
      <c r="AJ954" s="4"/>
      <c r="AK954" s="4"/>
      <c r="AL954" s="4"/>
      <c r="AM954" s="4"/>
      <c r="AN954" s="4"/>
      <c r="AO954" s="4"/>
      <c r="AP954" s="4"/>
      <c r="AQ954" s="4"/>
      <c r="AR954" s="4"/>
      <c r="AS954" s="4"/>
      <c r="AT954" s="4"/>
      <c r="AU954" s="4"/>
      <c r="AV954" s="537"/>
      <c r="AW954" s="537"/>
      <c r="AX954" s="4"/>
      <c r="AY954" s="4"/>
      <c r="AZ954" s="4"/>
      <c r="BA954" s="4"/>
      <c r="BB954" s="4"/>
      <c r="BC954" s="4"/>
      <c r="BD954" s="4"/>
      <c r="BE954" s="4"/>
      <c r="BF954" s="4"/>
      <c r="BG954" s="4"/>
      <c r="BH954" s="4"/>
      <c r="BI954" s="4"/>
      <c r="BJ954" s="4"/>
      <c r="BK954" s="4"/>
      <c r="BL954" s="4"/>
      <c r="BM954" s="4"/>
      <c r="BN954" s="4"/>
      <c r="BO954" s="4"/>
      <c r="BP954" s="4"/>
      <c r="BQ954" s="4"/>
      <c r="BR954" s="4"/>
    </row>
    <row r="955" spans="1:70" ht="27" customHeight="1" x14ac:dyDescent="0.2">
      <c r="A955" s="532"/>
      <c r="B955" s="917"/>
      <c r="C955" s="4"/>
      <c r="D955" s="917"/>
      <c r="E955" s="4"/>
      <c r="F955" s="917"/>
      <c r="G955" s="4"/>
      <c r="H955" s="920"/>
      <c r="I955" s="3"/>
      <c r="J955" s="920"/>
      <c r="K955" s="3"/>
      <c r="L955" s="920"/>
      <c r="M955" s="3"/>
      <c r="N955" s="920"/>
      <c r="O955" s="3"/>
      <c r="P955" s="3"/>
      <c r="Q955" s="533"/>
      <c r="R955" s="920"/>
      <c r="S955" s="534"/>
      <c r="T955" s="920"/>
      <c r="U955" s="920"/>
      <c r="V955" s="920"/>
      <c r="W955" s="535"/>
      <c r="X955" s="687"/>
      <c r="Y955" s="687"/>
      <c r="Z955" s="687"/>
      <c r="AA955" s="678"/>
      <c r="AB955" s="543"/>
      <c r="AC955" s="3"/>
      <c r="AD955" s="533"/>
      <c r="AE955" s="3"/>
      <c r="AF955" s="4"/>
      <c r="AG955" s="4"/>
      <c r="AH955" s="4"/>
      <c r="AI955" s="4"/>
      <c r="AJ955" s="4"/>
      <c r="AK955" s="4"/>
      <c r="AL955" s="4"/>
      <c r="AM955" s="4"/>
      <c r="AN955" s="4"/>
      <c r="AO955" s="4"/>
      <c r="AP955" s="4"/>
      <c r="AQ955" s="4"/>
      <c r="AR955" s="4"/>
      <c r="AS955" s="4"/>
      <c r="AT955" s="4"/>
      <c r="AU955" s="4"/>
      <c r="AV955" s="537"/>
      <c r="AW955" s="537"/>
      <c r="AX955" s="4"/>
      <c r="AY955" s="4"/>
      <c r="AZ955" s="4"/>
      <c r="BA955" s="4"/>
      <c r="BB955" s="4"/>
      <c r="BC955" s="4"/>
      <c r="BD955" s="4"/>
      <c r="BE955" s="4"/>
      <c r="BF955" s="4"/>
      <c r="BG955" s="4"/>
      <c r="BH955" s="4"/>
      <c r="BI955" s="4"/>
      <c r="BJ955" s="4"/>
      <c r="BK955" s="4"/>
      <c r="BL955" s="4"/>
      <c r="BM955" s="4"/>
      <c r="BN955" s="4"/>
      <c r="BO955" s="4"/>
      <c r="BP955" s="4"/>
      <c r="BQ955" s="4"/>
      <c r="BR955" s="4"/>
    </row>
    <row r="956" spans="1:70" ht="27" customHeight="1" x14ac:dyDescent="0.2">
      <c r="A956" s="532"/>
      <c r="B956" s="917"/>
      <c r="C956" s="4"/>
      <c r="D956" s="917"/>
      <c r="E956" s="4"/>
      <c r="F956" s="917"/>
      <c r="G956" s="4"/>
      <c r="H956" s="920"/>
      <c r="I956" s="3"/>
      <c r="J956" s="920"/>
      <c r="K956" s="3"/>
      <c r="L956" s="920"/>
      <c r="M956" s="3"/>
      <c r="N956" s="920"/>
      <c r="O956" s="3"/>
      <c r="P956" s="3"/>
      <c r="Q956" s="533"/>
      <c r="R956" s="920"/>
      <c r="S956" s="534"/>
      <c r="T956" s="920"/>
      <c r="U956" s="920"/>
      <c r="V956" s="920"/>
      <c r="W956" s="535"/>
      <c r="X956" s="687"/>
      <c r="Y956" s="687"/>
      <c r="Z956" s="687"/>
      <c r="AA956" s="678"/>
      <c r="AB956" s="543"/>
      <c r="AC956" s="3"/>
      <c r="AD956" s="533"/>
      <c r="AE956" s="3"/>
      <c r="AF956" s="4"/>
      <c r="AG956" s="4"/>
      <c r="AH956" s="4"/>
      <c r="AI956" s="4"/>
      <c r="AJ956" s="4"/>
      <c r="AK956" s="4"/>
      <c r="AL956" s="4"/>
      <c r="AM956" s="4"/>
      <c r="AN956" s="4"/>
      <c r="AO956" s="4"/>
      <c r="AP956" s="4"/>
      <c r="AQ956" s="4"/>
      <c r="AR956" s="4"/>
      <c r="AS956" s="4"/>
      <c r="AT956" s="4"/>
      <c r="AU956" s="4"/>
      <c r="AV956" s="537"/>
      <c r="AW956" s="537"/>
      <c r="AX956" s="4"/>
      <c r="AY956" s="4"/>
      <c r="AZ956" s="4"/>
      <c r="BA956" s="4"/>
      <c r="BB956" s="4"/>
      <c r="BC956" s="4"/>
      <c r="BD956" s="4"/>
      <c r="BE956" s="4"/>
      <c r="BF956" s="4"/>
      <c r="BG956" s="4"/>
      <c r="BH956" s="4"/>
      <c r="BI956" s="4"/>
      <c r="BJ956" s="4"/>
      <c r="BK956" s="4"/>
      <c r="BL956" s="4"/>
      <c r="BM956" s="4"/>
      <c r="BN956" s="4"/>
      <c r="BO956" s="4"/>
      <c r="BP956" s="4"/>
      <c r="BQ956" s="4"/>
      <c r="BR956" s="4"/>
    </row>
    <row r="957" spans="1:70" ht="27" customHeight="1" x14ac:dyDescent="0.2">
      <c r="A957" s="532"/>
      <c r="B957" s="917"/>
      <c r="C957" s="4"/>
      <c r="D957" s="917"/>
      <c r="E957" s="4"/>
      <c r="F957" s="917"/>
      <c r="G957" s="4"/>
      <c r="H957" s="920"/>
      <c r="I957" s="3"/>
      <c r="J957" s="920"/>
      <c r="K957" s="3"/>
      <c r="L957" s="920"/>
      <c r="M957" s="3"/>
      <c r="N957" s="920"/>
      <c r="O957" s="3"/>
      <c r="P957" s="3"/>
      <c r="Q957" s="533"/>
      <c r="R957" s="920"/>
      <c r="S957" s="534"/>
      <c r="T957" s="920"/>
      <c r="U957" s="920"/>
      <c r="V957" s="920"/>
      <c r="W957" s="535"/>
      <c r="X957" s="687"/>
      <c r="Y957" s="687"/>
      <c r="Z957" s="687"/>
      <c r="AA957" s="678"/>
      <c r="AB957" s="543"/>
      <c r="AC957" s="3"/>
      <c r="AD957" s="533"/>
      <c r="AE957" s="3"/>
      <c r="AF957" s="4"/>
      <c r="AG957" s="4"/>
      <c r="AH957" s="4"/>
      <c r="AI957" s="4"/>
      <c r="AJ957" s="4"/>
      <c r="AK957" s="4"/>
      <c r="AL957" s="4"/>
      <c r="AM957" s="4"/>
      <c r="AN957" s="4"/>
      <c r="AO957" s="4"/>
      <c r="AP957" s="4"/>
      <c r="AQ957" s="4"/>
      <c r="AR957" s="4"/>
      <c r="AS957" s="4"/>
      <c r="AT957" s="4"/>
      <c r="AU957" s="4"/>
      <c r="AV957" s="537"/>
      <c r="AW957" s="537"/>
      <c r="AX957" s="4"/>
      <c r="AY957" s="4"/>
      <c r="AZ957" s="4"/>
      <c r="BA957" s="4"/>
      <c r="BB957" s="4"/>
      <c r="BC957" s="4"/>
      <c r="BD957" s="4"/>
      <c r="BE957" s="4"/>
      <c r="BF957" s="4"/>
      <c r="BG957" s="4"/>
      <c r="BH957" s="4"/>
      <c r="BI957" s="4"/>
      <c r="BJ957" s="4"/>
      <c r="BK957" s="4"/>
      <c r="BL957" s="4"/>
      <c r="BM957" s="4"/>
      <c r="BN957" s="4"/>
      <c r="BO957" s="4"/>
      <c r="BP957" s="4"/>
      <c r="BQ957" s="4"/>
      <c r="BR957" s="4"/>
    </row>
    <row r="958" spans="1:70" ht="27" customHeight="1" x14ac:dyDescent="0.2">
      <c r="A958" s="532"/>
      <c r="B958" s="917"/>
      <c r="C958" s="4"/>
      <c r="D958" s="917"/>
      <c r="E958" s="4"/>
      <c r="F958" s="917"/>
      <c r="G958" s="4"/>
      <c r="H958" s="920"/>
      <c r="I958" s="3"/>
      <c r="J958" s="920"/>
      <c r="K958" s="3"/>
      <c r="L958" s="920"/>
      <c r="M958" s="3"/>
      <c r="N958" s="920"/>
      <c r="O958" s="3"/>
      <c r="P958" s="3"/>
      <c r="Q958" s="533"/>
      <c r="R958" s="920"/>
      <c r="S958" s="534"/>
      <c r="T958" s="920"/>
      <c r="U958" s="920"/>
      <c r="V958" s="920"/>
      <c r="W958" s="535"/>
      <c r="X958" s="687"/>
      <c r="Y958" s="687"/>
      <c r="Z958" s="687"/>
      <c r="AA958" s="678"/>
      <c r="AB958" s="543"/>
      <c r="AC958" s="3"/>
      <c r="AD958" s="533"/>
      <c r="AE958" s="3"/>
      <c r="AF958" s="4"/>
      <c r="AG958" s="4"/>
      <c r="AH958" s="4"/>
      <c r="AI958" s="4"/>
      <c r="AJ958" s="4"/>
      <c r="AK958" s="4"/>
      <c r="AL958" s="4"/>
      <c r="AM958" s="4"/>
      <c r="AN958" s="4"/>
      <c r="AO958" s="4"/>
      <c r="AP958" s="4"/>
      <c r="AQ958" s="4"/>
      <c r="AR958" s="4"/>
      <c r="AS958" s="4"/>
      <c r="AT958" s="4"/>
      <c r="AU958" s="4"/>
      <c r="AV958" s="537"/>
      <c r="AW958" s="537"/>
      <c r="AX958" s="4"/>
      <c r="AY958" s="4"/>
      <c r="AZ958" s="4"/>
      <c r="BA958" s="4"/>
      <c r="BB958" s="4"/>
      <c r="BC958" s="4"/>
      <c r="BD958" s="4"/>
      <c r="BE958" s="4"/>
      <c r="BF958" s="4"/>
      <c r="BG958" s="4"/>
      <c r="BH958" s="4"/>
      <c r="BI958" s="4"/>
      <c r="BJ958" s="4"/>
      <c r="BK958" s="4"/>
      <c r="BL958" s="4"/>
      <c r="BM958" s="4"/>
      <c r="BN958" s="4"/>
      <c r="BO958" s="4"/>
      <c r="BP958" s="4"/>
      <c r="BQ958" s="4"/>
      <c r="BR958" s="4"/>
    </row>
    <row r="959" spans="1:70" ht="27" customHeight="1" x14ac:dyDescent="0.2">
      <c r="A959" s="532"/>
      <c r="B959" s="917"/>
      <c r="C959" s="4"/>
      <c r="D959" s="917"/>
      <c r="E959" s="4"/>
      <c r="F959" s="917"/>
      <c r="G959" s="4"/>
      <c r="H959" s="920"/>
      <c r="I959" s="3"/>
      <c r="J959" s="920"/>
      <c r="K959" s="3"/>
      <c r="L959" s="920"/>
      <c r="M959" s="3"/>
      <c r="N959" s="920"/>
      <c r="O959" s="3"/>
      <c r="P959" s="3"/>
      <c r="Q959" s="533"/>
      <c r="R959" s="920"/>
      <c r="S959" s="534"/>
      <c r="T959" s="920"/>
      <c r="U959" s="920"/>
      <c r="V959" s="920"/>
      <c r="W959" s="535"/>
      <c r="X959" s="687"/>
      <c r="Y959" s="687"/>
      <c r="Z959" s="687"/>
      <c r="AA959" s="678"/>
      <c r="AB959" s="543"/>
      <c r="AC959" s="3"/>
      <c r="AD959" s="533"/>
      <c r="AE959" s="3"/>
      <c r="AF959" s="4"/>
      <c r="AG959" s="4"/>
      <c r="AH959" s="4"/>
      <c r="AI959" s="4"/>
      <c r="AJ959" s="4"/>
      <c r="AK959" s="4"/>
      <c r="AL959" s="4"/>
      <c r="AM959" s="4"/>
      <c r="AN959" s="4"/>
      <c r="AO959" s="4"/>
      <c r="AP959" s="4"/>
      <c r="AQ959" s="4"/>
      <c r="AR959" s="4"/>
      <c r="AS959" s="4"/>
      <c r="AT959" s="4"/>
      <c r="AU959" s="4"/>
      <c r="AV959" s="537"/>
      <c r="AW959" s="537"/>
      <c r="AX959" s="4"/>
      <c r="AY959" s="4"/>
      <c r="AZ959" s="4"/>
      <c r="BA959" s="4"/>
      <c r="BB959" s="4"/>
      <c r="BC959" s="4"/>
      <c r="BD959" s="4"/>
      <c r="BE959" s="4"/>
      <c r="BF959" s="4"/>
      <c r="BG959" s="4"/>
      <c r="BH959" s="4"/>
      <c r="BI959" s="4"/>
      <c r="BJ959" s="4"/>
      <c r="BK959" s="4"/>
      <c r="BL959" s="4"/>
      <c r="BM959" s="4"/>
      <c r="BN959" s="4"/>
      <c r="BO959" s="4"/>
      <c r="BP959" s="4"/>
      <c r="BQ959" s="4"/>
      <c r="BR959" s="4"/>
    </row>
    <row r="960" spans="1:70" ht="27" customHeight="1" x14ac:dyDescent="0.2">
      <c r="A960" s="532"/>
      <c r="B960" s="917"/>
      <c r="C960" s="4"/>
      <c r="D960" s="917"/>
      <c r="E960" s="4"/>
      <c r="F960" s="917"/>
      <c r="G960" s="4"/>
      <c r="H960" s="920"/>
      <c r="I960" s="3"/>
      <c r="J960" s="920"/>
      <c r="K960" s="3"/>
      <c r="L960" s="920"/>
      <c r="M960" s="3"/>
      <c r="N960" s="920"/>
      <c r="O960" s="3"/>
      <c r="P960" s="3"/>
      <c r="Q960" s="533"/>
      <c r="R960" s="920"/>
      <c r="S960" s="534"/>
      <c r="T960" s="920"/>
      <c r="U960" s="920"/>
      <c r="V960" s="920"/>
      <c r="W960" s="535"/>
      <c r="X960" s="687"/>
      <c r="Y960" s="687"/>
      <c r="Z960" s="687"/>
      <c r="AA960" s="678"/>
      <c r="AB960" s="543"/>
      <c r="AC960" s="3"/>
      <c r="AD960" s="533"/>
      <c r="AE960" s="3"/>
      <c r="AF960" s="4"/>
      <c r="AG960" s="4"/>
      <c r="AH960" s="4"/>
      <c r="AI960" s="4"/>
      <c r="AJ960" s="4"/>
      <c r="AK960" s="4"/>
      <c r="AL960" s="4"/>
      <c r="AM960" s="4"/>
      <c r="AN960" s="4"/>
      <c r="AO960" s="4"/>
      <c r="AP960" s="4"/>
      <c r="AQ960" s="4"/>
      <c r="AR960" s="4"/>
      <c r="AS960" s="4"/>
      <c r="AT960" s="4"/>
      <c r="AU960" s="4"/>
      <c r="AV960" s="537"/>
      <c r="AW960" s="537"/>
      <c r="AX960" s="4"/>
      <c r="AY960" s="4"/>
      <c r="AZ960" s="4"/>
      <c r="BA960" s="4"/>
      <c r="BB960" s="4"/>
      <c r="BC960" s="4"/>
      <c r="BD960" s="4"/>
      <c r="BE960" s="4"/>
      <c r="BF960" s="4"/>
      <c r="BG960" s="4"/>
      <c r="BH960" s="4"/>
      <c r="BI960" s="4"/>
      <c r="BJ960" s="4"/>
      <c r="BK960" s="4"/>
      <c r="BL960" s="4"/>
      <c r="BM960" s="4"/>
      <c r="BN960" s="4"/>
      <c r="BO960" s="4"/>
      <c r="BP960" s="4"/>
      <c r="BQ960" s="4"/>
      <c r="BR960" s="4"/>
    </row>
    <row r="961" spans="1:70" ht="27" customHeight="1" x14ac:dyDescent="0.2">
      <c r="A961" s="532"/>
      <c r="B961" s="917"/>
      <c r="C961" s="4"/>
      <c r="D961" s="917"/>
      <c r="E961" s="4"/>
      <c r="F961" s="917"/>
      <c r="G961" s="4"/>
      <c r="H961" s="920"/>
      <c r="I961" s="3"/>
      <c r="J961" s="920"/>
      <c r="K961" s="3"/>
      <c r="L961" s="920"/>
      <c r="M961" s="3"/>
      <c r="N961" s="920"/>
      <c r="O961" s="3"/>
      <c r="P961" s="3"/>
      <c r="Q961" s="533"/>
      <c r="R961" s="920"/>
      <c r="S961" s="534"/>
      <c r="T961" s="920"/>
      <c r="U961" s="920"/>
      <c r="V961" s="920"/>
      <c r="W961" s="535"/>
      <c r="X961" s="687"/>
      <c r="Y961" s="687"/>
      <c r="Z961" s="687"/>
      <c r="AA961" s="678"/>
      <c r="AB961" s="543"/>
      <c r="AC961" s="3"/>
      <c r="AD961" s="533"/>
      <c r="AE961" s="3"/>
      <c r="AF961" s="4"/>
      <c r="AG961" s="4"/>
      <c r="AH961" s="4"/>
      <c r="AI961" s="4"/>
      <c r="AJ961" s="4"/>
      <c r="AK961" s="4"/>
      <c r="AL961" s="4"/>
      <c r="AM961" s="4"/>
      <c r="AN961" s="4"/>
      <c r="AO961" s="4"/>
      <c r="AP961" s="4"/>
      <c r="AQ961" s="4"/>
      <c r="AR961" s="4"/>
      <c r="AS961" s="4"/>
      <c r="AT961" s="4"/>
      <c r="AU961" s="4"/>
      <c r="AV961" s="537"/>
      <c r="AW961" s="537"/>
      <c r="AX961" s="4"/>
      <c r="AY961" s="4"/>
      <c r="AZ961" s="4"/>
      <c r="BA961" s="4"/>
      <c r="BB961" s="4"/>
      <c r="BC961" s="4"/>
      <c r="BD961" s="4"/>
      <c r="BE961" s="4"/>
      <c r="BF961" s="4"/>
      <c r="BG961" s="4"/>
      <c r="BH961" s="4"/>
      <c r="BI961" s="4"/>
      <c r="BJ961" s="4"/>
      <c r="BK961" s="4"/>
      <c r="BL961" s="4"/>
      <c r="BM961" s="4"/>
      <c r="BN961" s="4"/>
      <c r="BO961" s="4"/>
      <c r="BP961" s="4"/>
      <c r="BQ961" s="4"/>
      <c r="BR961" s="4"/>
    </row>
    <row r="962" spans="1:70" ht="27" customHeight="1" x14ac:dyDescent="0.2">
      <c r="A962" s="532"/>
      <c r="B962" s="917"/>
      <c r="C962" s="4"/>
      <c r="D962" s="917"/>
      <c r="E962" s="4"/>
      <c r="F962" s="917"/>
      <c r="G962" s="4"/>
      <c r="H962" s="920"/>
      <c r="I962" s="3"/>
      <c r="J962" s="920"/>
      <c r="K962" s="3"/>
      <c r="L962" s="920"/>
      <c r="M962" s="3"/>
      <c r="N962" s="920"/>
      <c r="O962" s="3"/>
      <c r="P962" s="3"/>
      <c r="Q962" s="533"/>
      <c r="R962" s="920"/>
      <c r="S962" s="534"/>
      <c r="T962" s="920"/>
      <c r="U962" s="920"/>
      <c r="V962" s="920"/>
      <c r="W962" s="535"/>
      <c r="X962" s="687"/>
      <c r="Y962" s="687"/>
      <c r="Z962" s="687"/>
      <c r="AA962" s="678"/>
      <c r="AB962" s="543"/>
      <c r="AC962" s="3"/>
      <c r="AD962" s="533"/>
      <c r="AE962" s="3"/>
      <c r="AF962" s="4"/>
      <c r="AG962" s="4"/>
      <c r="AH962" s="4"/>
      <c r="AI962" s="4"/>
      <c r="AJ962" s="4"/>
      <c r="AK962" s="4"/>
      <c r="AL962" s="4"/>
      <c r="AM962" s="4"/>
      <c r="AN962" s="4"/>
      <c r="AO962" s="4"/>
      <c r="AP962" s="4"/>
      <c r="AQ962" s="4"/>
      <c r="AR962" s="4"/>
      <c r="AS962" s="4"/>
      <c r="AT962" s="4"/>
      <c r="AU962" s="4"/>
      <c r="AV962" s="537"/>
      <c r="AW962" s="537"/>
      <c r="AX962" s="4"/>
      <c r="AY962" s="4"/>
      <c r="AZ962" s="4"/>
      <c r="BA962" s="4"/>
      <c r="BB962" s="4"/>
      <c r="BC962" s="4"/>
      <c r="BD962" s="4"/>
      <c r="BE962" s="4"/>
      <c r="BF962" s="4"/>
      <c r="BG962" s="4"/>
      <c r="BH962" s="4"/>
      <c r="BI962" s="4"/>
      <c r="BJ962" s="4"/>
      <c r="BK962" s="4"/>
      <c r="BL962" s="4"/>
      <c r="BM962" s="4"/>
      <c r="BN962" s="4"/>
      <c r="BO962" s="4"/>
      <c r="BP962" s="4"/>
      <c r="BQ962" s="4"/>
      <c r="BR962" s="4"/>
    </row>
    <row r="963" spans="1:70" ht="27" customHeight="1" x14ac:dyDescent="0.2">
      <c r="A963" s="532"/>
      <c r="B963" s="917"/>
      <c r="C963" s="4"/>
      <c r="D963" s="917"/>
      <c r="E963" s="4"/>
      <c r="F963" s="917"/>
      <c r="G963" s="4"/>
      <c r="H963" s="920"/>
      <c r="I963" s="3"/>
      <c r="J963" s="920"/>
      <c r="K963" s="3"/>
      <c r="L963" s="920"/>
      <c r="M963" s="3"/>
      <c r="N963" s="920"/>
      <c r="O963" s="3"/>
      <c r="P963" s="3"/>
      <c r="Q963" s="533"/>
      <c r="R963" s="920"/>
      <c r="S963" s="534"/>
      <c r="T963" s="920"/>
      <c r="U963" s="920"/>
      <c r="V963" s="920"/>
      <c r="W963" s="535"/>
      <c r="X963" s="687"/>
      <c r="Y963" s="687"/>
      <c r="Z963" s="687"/>
      <c r="AA963" s="678"/>
      <c r="AB963" s="543"/>
      <c r="AC963" s="3"/>
      <c r="AD963" s="533"/>
      <c r="AE963" s="3"/>
      <c r="AF963" s="4"/>
      <c r="AG963" s="4"/>
      <c r="AH963" s="4"/>
      <c r="AI963" s="4"/>
      <c r="AJ963" s="4"/>
      <c r="AK963" s="4"/>
      <c r="AL963" s="4"/>
      <c r="AM963" s="4"/>
      <c r="AN963" s="4"/>
      <c r="AO963" s="4"/>
      <c r="AP963" s="4"/>
      <c r="AQ963" s="4"/>
      <c r="AR963" s="4"/>
      <c r="AS963" s="4"/>
      <c r="AT963" s="4"/>
      <c r="AU963" s="4"/>
      <c r="AV963" s="537"/>
      <c r="AW963" s="537"/>
      <c r="AX963" s="4"/>
      <c r="AY963" s="4"/>
      <c r="AZ963" s="4"/>
      <c r="BA963" s="4"/>
      <c r="BB963" s="4"/>
      <c r="BC963" s="4"/>
      <c r="BD963" s="4"/>
      <c r="BE963" s="4"/>
      <c r="BF963" s="4"/>
      <c r="BG963" s="4"/>
      <c r="BH963" s="4"/>
      <c r="BI963" s="4"/>
      <c r="BJ963" s="4"/>
      <c r="BK963" s="4"/>
      <c r="BL963" s="4"/>
      <c r="BM963" s="4"/>
      <c r="BN963" s="4"/>
      <c r="BO963" s="4"/>
      <c r="BP963" s="4"/>
      <c r="BQ963" s="4"/>
      <c r="BR963" s="4"/>
    </row>
    <row r="964" spans="1:70" ht="27" customHeight="1" x14ac:dyDescent="0.2">
      <c r="A964" s="532"/>
      <c r="B964" s="917"/>
      <c r="C964" s="4"/>
      <c r="D964" s="917"/>
      <c r="E964" s="4"/>
      <c r="F964" s="917"/>
      <c r="G964" s="4"/>
      <c r="H964" s="920"/>
      <c r="I964" s="3"/>
      <c r="J964" s="920"/>
      <c r="K964" s="3"/>
      <c r="L964" s="920"/>
      <c r="M964" s="3"/>
      <c r="N964" s="920"/>
      <c r="O964" s="3"/>
      <c r="P964" s="3"/>
      <c r="Q964" s="533"/>
      <c r="R964" s="920"/>
      <c r="S964" s="534"/>
      <c r="T964" s="920"/>
      <c r="U964" s="920"/>
      <c r="V964" s="920"/>
      <c r="W964" s="535"/>
      <c r="X964" s="687"/>
      <c r="Y964" s="687"/>
      <c r="Z964" s="687"/>
      <c r="AA964" s="678"/>
      <c r="AB964" s="543"/>
      <c r="AC964" s="3"/>
      <c r="AD964" s="533"/>
      <c r="AE964" s="3"/>
      <c r="AF964" s="4"/>
      <c r="AG964" s="4"/>
      <c r="AH964" s="4"/>
      <c r="AI964" s="4"/>
      <c r="AJ964" s="4"/>
      <c r="AK964" s="4"/>
      <c r="AL964" s="4"/>
      <c r="AM964" s="4"/>
      <c r="AN964" s="4"/>
      <c r="AO964" s="4"/>
      <c r="AP964" s="4"/>
      <c r="AQ964" s="4"/>
      <c r="AR964" s="4"/>
      <c r="AS964" s="4"/>
      <c r="AT964" s="4"/>
      <c r="AU964" s="4"/>
      <c r="AV964" s="537"/>
      <c r="AW964" s="537"/>
      <c r="AX964" s="4"/>
      <c r="AY964" s="4"/>
      <c r="AZ964" s="4"/>
      <c r="BA964" s="4"/>
      <c r="BB964" s="4"/>
      <c r="BC964" s="4"/>
      <c r="BD964" s="4"/>
      <c r="BE964" s="4"/>
      <c r="BF964" s="4"/>
      <c r="BG964" s="4"/>
      <c r="BH964" s="4"/>
      <c r="BI964" s="4"/>
      <c r="BJ964" s="4"/>
      <c r="BK964" s="4"/>
      <c r="BL964" s="4"/>
      <c r="BM964" s="4"/>
      <c r="BN964" s="4"/>
      <c r="BO964" s="4"/>
      <c r="BP964" s="4"/>
      <c r="BQ964" s="4"/>
      <c r="BR964" s="4"/>
    </row>
    <row r="965" spans="1:70" ht="27" customHeight="1" x14ac:dyDescent="0.2">
      <c r="A965" s="532"/>
      <c r="B965" s="917"/>
      <c r="C965" s="4"/>
      <c r="D965" s="917"/>
      <c r="E965" s="4"/>
      <c r="F965" s="917"/>
      <c r="G965" s="4"/>
      <c r="H965" s="920"/>
      <c r="I965" s="3"/>
      <c r="J965" s="920"/>
      <c r="K965" s="3"/>
      <c r="L965" s="920"/>
      <c r="M965" s="3"/>
      <c r="N965" s="920"/>
      <c r="O965" s="3"/>
      <c r="P965" s="3"/>
      <c r="Q965" s="533"/>
      <c r="R965" s="920"/>
      <c r="S965" s="534"/>
      <c r="T965" s="920"/>
      <c r="U965" s="920"/>
      <c r="V965" s="920"/>
      <c r="W965" s="535"/>
      <c r="X965" s="687"/>
      <c r="Y965" s="687"/>
      <c r="Z965" s="687"/>
      <c r="AA965" s="678"/>
      <c r="AB965" s="543"/>
      <c r="AC965" s="3"/>
      <c r="AD965" s="533"/>
      <c r="AE965" s="3"/>
      <c r="AF965" s="4"/>
      <c r="AG965" s="4"/>
      <c r="AH965" s="4"/>
      <c r="AI965" s="4"/>
      <c r="AJ965" s="4"/>
      <c r="AK965" s="4"/>
      <c r="AL965" s="4"/>
      <c r="AM965" s="4"/>
      <c r="AN965" s="4"/>
      <c r="AO965" s="4"/>
      <c r="AP965" s="4"/>
      <c r="AQ965" s="4"/>
      <c r="AR965" s="4"/>
      <c r="AS965" s="4"/>
      <c r="AT965" s="4"/>
      <c r="AU965" s="4"/>
      <c r="AV965" s="537"/>
      <c r="AW965" s="537"/>
      <c r="AX965" s="4"/>
      <c r="AY965" s="4"/>
      <c r="AZ965" s="4"/>
      <c r="BA965" s="4"/>
      <c r="BB965" s="4"/>
      <c r="BC965" s="4"/>
      <c r="BD965" s="4"/>
      <c r="BE965" s="4"/>
      <c r="BF965" s="4"/>
      <c r="BG965" s="4"/>
      <c r="BH965" s="4"/>
      <c r="BI965" s="4"/>
      <c r="BJ965" s="4"/>
      <c r="BK965" s="4"/>
      <c r="BL965" s="4"/>
      <c r="BM965" s="4"/>
      <c r="BN965" s="4"/>
      <c r="BO965" s="4"/>
      <c r="BP965" s="4"/>
      <c r="BQ965" s="4"/>
      <c r="BR965" s="4"/>
    </row>
    <row r="966" spans="1:70" ht="27" customHeight="1" x14ac:dyDescent="0.2">
      <c r="A966" s="532"/>
      <c r="B966" s="917"/>
      <c r="C966" s="4"/>
      <c r="D966" s="917"/>
      <c r="E966" s="4"/>
      <c r="F966" s="917"/>
      <c r="G966" s="4"/>
      <c r="H966" s="920"/>
      <c r="I966" s="3"/>
      <c r="J966" s="920"/>
      <c r="K966" s="3"/>
      <c r="L966" s="920"/>
      <c r="M966" s="3"/>
      <c r="N966" s="920"/>
      <c r="O966" s="3"/>
      <c r="P966" s="3"/>
      <c r="Q966" s="533"/>
      <c r="R966" s="920"/>
      <c r="S966" s="534"/>
      <c r="T966" s="920"/>
      <c r="U966" s="920"/>
      <c r="V966" s="920"/>
      <c r="W966" s="535"/>
      <c r="X966" s="687"/>
      <c r="Y966" s="687"/>
      <c r="Z966" s="687"/>
      <c r="AA966" s="678"/>
      <c r="AB966" s="543"/>
      <c r="AC966" s="3"/>
      <c r="AD966" s="533"/>
      <c r="AE966" s="3"/>
      <c r="AF966" s="4"/>
      <c r="AG966" s="4"/>
      <c r="AH966" s="4"/>
      <c r="AI966" s="4"/>
      <c r="AJ966" s="4"/>
      <c r="AK966" s="4"/>
      <c r="AL966" s="4"/>
      <c r="AM966" s="4"/>
      <c r="AN966" s="4"/>
      <c r="AO966" s="4"/>
      <c r="AP966" s="4"/>
      <c r="AQ966" s="4"/>
      <c r="AR966" s="4"/>
      <c r="AS966" s="4"/>
      <c r="AT966" s="4"/>
      <c r="AU966" s="4"/>
      <c r="AV966" s="537"/>
      <c r="AW966" s="537"/>
      <c r="AX966" s="4"/>
      <c r="AY966" s="4"/>
      <c r="AZ966" s="4"/>
      <c r="BA966" s="4"/>
      <c r="BB966" s="4"/>
      <c r="BC966" s="4"/>
      <c r="BD966" s="4"/>
      <c r="BE966" s="4"/>
      <c r="BF966" s="4"/>
      <c r="BG966" s="4"/>
      <c r="BH966" s="4"/>
      <c r="BI966" s="4"/>
      <c r="BJ966" s="4"/>
      <c r="BK966" s="4"/>
      <c r="BL966" s="4"/>
      <c r="BM966" s="4"/>
      <c r="BN966" s="4"/>
      <c r="BO966" s="4"/>
      <c r="BP966" s="4"/>
      <c r="BQ966" s="4"/>
      <c r="BR966" s="4"/>
    </row>
    <row r="967" spans="1:70" ht="27" customHeight="1" x14ac:dyDescent="0.2">
      <c r="A967" s="532"/>
      <c r="B967" s="917"/>
      <c r="C967" s="4"/>
      <c r="D967" s="917"/>
      <c r="E967" s="4"/>
      <c r="F967" s="917"/>
      <c r="G967" s="4"/>
      <c r="H967" s="920"/>
      <c r="I967" s="3"/>
      <c r="J967" s="920"/>
      <c r="K967" s="3"/>
      <c r="L967" s="920"/>
      <c r="M967" s="3"/>
      <c r="N967" s="920"/>
      <c r="O967" s="3"/>
      <c r="P967" s="3"/>
      <c r="Q967" s="533"/>
      <c r="R967" s="920"/>
      <c r="S967" s="534"/>
      <c r="T967" s="920"/>
      <c r="U967" s="920"/>
      <c r="V967" s="920"/>
      <c r="W967" s="535"/>
      <c r="X967" s="687"/>
      <c r="Y967" s="687"/>
      <c r="Z967" s="687"/>
      <c r="AA967" s="678"/>
      <c r="AB967" s="543"/>
      <c r="AC967" s="3"/>
      <c r="AD967" s="533"/>
      <c r="AE967" s="3"/>
      <c r="AF967" s="4"/>
      <c r="AG967" s="4"/>
      <c r="AH967" s="4"/>
      <c r="AI967" s="4"/>
      <c r="AJ967" s="4"/>
      <c r="AK967" s="4"/>
      <c r="AL967" s="4"/>
      <c r="AM967" s="4"/>
      <c r="AN967" s="4"/>
      <c r="AO967" s="4"/>
      <c r="AP967" s="4"/>
      <c r="AQ967" s="4"/>
      <c r="AR967" s="4"/>
      <c r="AS967" s="4"/>
      <c r="AT967" s="4"/>
      <c r="AU967" s="4"/>
      <c r="AV967" s="537"/>
      <c r="AW967" s="537"/>
      <c r="AX967" s="4"/>
      <c r="AY967" s="4"/>
      <c r="AZ967" s="4"/>
      <c r="BA967" s="4"/>
      <c r="BB967" s="4"/>
      <c r="BC967" s="4"/>
      <c r="BD967" s="4"/>
      <c r="BE967" s="4"/>
      <c r="BF967" s="4"/>
      <c r="BG967" s="4"/>
      <c r="BH967" s="4"/>
      <c r="BI967" s="4"/>
      <c r="BJ967" s="4"/>
      <c r="BK967" s="4"/>
      <c r="BL967" s="4"/>
      <c r="BM967" s="4"/>
      <c r="BN967" s="4"/>
      <c r="BO967" s="4"/>
      <c r="BP967" s="4"/>
      <c r="BQ967" s="4"/>
      <c r="BR967" s="4"/>
    </row>
    <row r="968" spans="1:70" ht="27" customHeight="1" x14ac:dyDescent="0.2">
      <c r="A968" s="532"/>
      <c r="B968" s="917"/>
      <c r="C968" s="4"/>
      <c r="D968" s="917"/>
      <c r="E968" s="4"/>
      <c r="F968" s="917"/>
      <c r="G968" s="4"/>
      <c r="H968" s="920"/>
      <c r="I968" s="3"/>
      <c r="J968" s="920"/>
      <c r="K968" s="3"/>
      <c r="L968" s="920"/>
      <c r="M968" s="3"/>
      <c r="N968" s="920"/>
      <c r="O968" s="3"/>
      <c r="P968" s="3"/>
      <c r="Q968" s="533"/>
      <c r="R968" s="920"/>
      <c r="S968" s="534"/>
      <c r="T968" s="920"/>
      <c r="U968" s="920"/>
      <c r="V968" s="920"/>
      <c r="W968" s="535"/>
      <c r="X968" s="687"/>
      <c r="Y968" s="687"/>
      <c r="Z968" s="687"/>
      <c r="AA968" s="678"/>
      <c r="AB968" s="543"/>
      <c r="AC968" s="3"/>
      <c r="AD968" s="533"/>
      <c r="AE968" s="3"/>
      <c r="AF968" s="4"/>
      <c r="AG968" s="4"/>
      <c r="AH968" s="4"/>
      <c r="AI968" s="4"/>
      <c r="AJ968" s="4"/>
      <c r="AK968" s="4"/>
      <c r="AL968" s="4"/>
      <c r="AM968" s="4"/>
      <c r="AN968" s="4"/>
      <c r="AO968" s="4"/>
      <c r="AP968" s="4"/>
      <c r="AQ968" s="4"/>
      <c r="AR968" s="4"/>
      <c r="AS968" s="4"/>
      <c r="AT968" s="4"/>
      <c r="AU968" s="4"/>
      <c r="AV968" s="537"/>
      <c r="AW968" s="537"/>
      <c r="AX968" s="4"/>
      <c r="AY968" s="4"/>
      <c r="AZ968" s="4"/>
      <c r="BA968" s="4"/>
      <c r="BB968" s="4"/>
      <c r="BC968" s="4"/>
      <c r="BD968" s="4"/>
      <c r="BE968" s="4"/>
      <c r="BF968" s="4"/>
      <c r="BG968" s="4"/>
      <c r="BH968" s="4"/>
      <c r="BI968" s="4"/>
      <c r="BJ968" s="4"/>
      <c r="BK968" s="4"/>
      <c r="BL968" s="4"/>
      <c r="BM968" s="4"/>
      <c r="BN968" s="4"/>
      <c r="BO968" s="4"/>
      <c r="BP968" s="4"/>
      <c r="BQ968" s="4"/>
      <c r="BR968" s="4"/>
    </row>
    <row r="969" spans="1:70" ht="27" customHeight="1" x14ac:dyDescent="0.2">
      <c r="A969" s="532"/>
      <c r="B969" s="917"/>
      <c r="C969" s="4"/>
      <c r="D969" s="917"/>
      <c r="E969" s="4"/>
      <c r="F969" s="917"/>
      <c r="G969" s="4"/>
      <c r="H969" s="920"/>
      <c r="I969" s="3"/>
      <c r="J969" s="920"/>
      <c r="K969" s="3"/>
      <c r="L969" s="920"/>
      <c r="M969" s="3"/>
      <c r="N969" s="920"/>
      <c r="O969" s="3"/>
      <c r="P969" s="3"/>
      <c r="Q969" s="533"/>
      <c r="R969" s="920"/>
      <c r="S969" s="534"/>
      <c r="T969" s="920"/>
      <c r="U969" s="920"/>
      <c r="V969" s="920"/>
      <c r="W969" s="535"/>
      <c r="X969" s="687"/>
      <c r="Y969" s="687"/>
      <c r="Z969" s="687"/>
      <c r="AA969" s="678"/>
      <c r="AB969" s="543"/>
      <c r="AC969" s="3"/>
      <c r="AD969" s="533"/>
      <c r="AE969" s="3"/>
      <c r="AF969" s="4"/>
      <c r="AG969" s="4"/>
      <c r="AH969" s="4"/>
      <c r="AI969" s="4"/>
      <c r="AJ969" s="4"/>
      <c r="AK969" s="4"/>
      <c r="AL969" s="4"/>
      <c r="AM969" s="4"/>
      <c r="AN969" s="4"/>
      <c r="AO969" s="4"/>
      <c r="AP969" s="4"/>
      <c r="AQ969" s="4"/>
      <c r="AR969" s="4"/>
      <c r="AS969" s="4"/>
      <c r="AT969" s="4"/>
      <c r="AU969" s="4"/>
      <c r="AV969" s="537"/>
      <c r="AW969" s="537"/>
      <c r="AX969" s="4"/>
      <c r="AY969" s="4"/>
      <c r="AZ969" s="4"/>
      <c r="BA969" s="4"/>
      <c r="BB969" s="4"/>
      <c r="BC969" s="4"/>
      <c r="BD969" s="4"/>
      <c r="BE969" s="4"/>
      <c r="BF969" s="4"/>
      <c r="BG969" s="4"/>
      <c r="BH969" s="4"/>
      <c r="BI969" s="4"/>
      <c r="BJ969" s="4"/>
      <c r="BK969" s="4"/>
      <c r="BL969" s="4"/>
      <c r="BM969" s="4"/>
      <c r="BN969" s="4"/>
      <c r="BO969" s="4"/>
      <c r="BP969" s="4"/>
      <c r="BQ969" s="4"/>
      <c r="BR969" s="4"/>
    </row>
    <row r="970" spans="1:70" ht="27" customHeight="1" x14ac:dyDescent="0.2">
      <c r="A970" s="532"/>
      <c r="B970" s="917"/>
      <c r="C970" s="4"/>
      <c r="D970" s="917"/>
      <c r="E970" s="4"/>
      <c r="F970" s="917"/>
      <c r="G970" s="4"/>
      <c r="H970" s="920"/>
      <c r="I970" s="3"/>
      <c r="J970" s="920"/>
      <c r="K970" s="3"/>
      <c r="L970" s="920"/>
      <c r="M970" s="3"/>
      <c r="N970" s="920"/>
      <c r="O970" s="3"/>
      <c r="P970" s="3"/>
      <c r="Q970" s="533"/>
      <c r="R970" s="920"/>
      <c r="S970" s="534"/>
      <c r="T970" s="920"/>
      <c r="U970" s="920"/>
      <c r="V970" s="920"/>
      <c r="W970" s="535"/>
      <c r="X970" s="687"/>
      <c r="Y970" s="687"/>
      <c r="Z970" s="687"/>
      <c r="AA970" s="678"/>
      <c r="AB970" s="543"/>
      <c r="AC970" s="3"/>
      <c r="AD970" s="533"/>
      <c r="AE970" s="3"/>
      <c r="AF970" s="4"/>
      <c r="AG970" s="4"/>
      <c r="AH970" s="4"/>
      <c r="AI970" s="4"/>
      <c r="AJ970" s="4"/>
      <c r="AK970" s="4"/>
      <c r="AL970" s="4"/>
      <c r="AM970" s="4"/>
      <c r="AN970" s="4"/>
      <c r="AO970" s="4"/>
      <c r="AP970" s="4"/>
      <c r="AQ970" s="4"/>
      <c r="AR970" s="4"/>
      <c r="AS970" s="4"/>
      <c r="AT970" s="4"/>
      <c r="AU970" s="4"/>
      <c r="AV970" s="537"/>
      <c r="AW970" s="537"/>
      <c r="AX970" s="4"/>
      <c r="AY970" s="4"/>
      <c r="AZ970" s="4"/>
      <c r="BA970" s="4"/>
      <c r="BB970" s="4"/>
      <c r="BC970" s="4"/>
      <c r="BD970" s="4"/>
      <c r="BE970" s="4"/>
      <c r="BF970" s="4"/>
      <c r="BG970" s="4"/>
      <c r="BH970" s="4"/>
      <c r="BI970" s="4"/>
      <c r="BJ970" s="4"/>
      <c r="BK970" s="4"/>
      <c r="BL970" s="4"/>
      <c r="BM970" s="4"/>
      <c r="BN970" s="4"/>
      <c r="BO970" s="4"/>
      <c r="BP970" s="4"/>
      <c r="BQ970" s="4"/>
      <c r="BR970" s="4"/>
    </row>
    <row r="971" spans="1:70" ht="27" customHeight="1" x14ac:dyDescent="0.2">
      <c r="A971" s="532"/>
      <c r="B971" s="917"/>
      <c r="C971" s="4"/>
      <c r="D971" s="917"/>
      <c r="E971" s="4"/>
      <c r="F971" s="917"/>
      <c r="G971" s="4"/>
      <c r="H971" s="920"/>
      <c r="I971" s="3"/>
      <c r="J971" s="920"/>
      <c r="K971" s="3"/>
      <c r="L971" s="920"/>
      <c r="M971" s="3"/>
      <c r="N971" s="920"/>
      <c r="O971" s="3"/>
      <c r="P971" s="3"/>
      <c r="Q971" s="533"/>
      <c r="R971" s="920"/>
      <c r="S971" s="534"/>
      <c r="T971" s="920"/>
      <c r="U971" s="920"/>
      <c r="V971" s="920"/>
      <c r="W971" s="535"/>
      <c r="X971" s="687"/>
      <c r="Y971" s="687"/>
      <c r="Z971" s="687"/>
      <c r="AA971" s="678"/>
      <c r="AB971" s="543"/>
      <c r="AC971" s="3"/>
      <c r="AD971" s="533"/>
      <c r="AE971" s="3"/>
      <c r="AF971" s="4"/>
      <c r="AG971" s="4"/>
      <c r="AH971" s="4"/>
      <c r="AI971" s="4"/>
      <c r="AJ971" s="4"/>
      <c r="AK971" s="4"/>
      <c r="AL971" s="4"/>
      <c r="AM971" s="4"/>
      <c r="AN971" s="4"/>
      <c r="AO971" s="4"/>
      <c r="AP971" s="4"/>
      <c r="AQ971" s="4"/>
      <c r="AR971" s="4"/>
      <c r="AS971" s="4"/>
      <c r="AT971" s="4"/>
      <c r="AU971" s="4"/>
      <c r="AV971" s="537"/>
      <c r="AW971" s="537"/>
      <c r="AX971" s="4"/>
      <c r="AY971" s="4"/>
      <c r="AZ971" s="4"/>
      <c r="BA971" s="4"/>
      <c r="BB971" s="4"/>
      <c r="BC971" s="4"/>
      <c r="BD971" s="4"/>
      <c r="BE971" s="4"/>
      <c r="BF971" s="4"/>
      <c r="BG971" s="4"/>
      <c r="BH971" s="4"/>
      <c r="BI971" s="4"/>
      <c r="BJ971" s="4"/>
      <c r="BK971" s="4"/>
      <c r="BL971" s="4"/>
      <c r="BM971" s="4"/>
      <c r="BN971" s="4"/>
      <c r="BO971" s="4"/>
      <c r="BP971" s="4"/>
      <c r="BQ971" s="4"/>
      <c r="BR971" s="4"/>
    </row>
    <row r="972" spans="1:70" ht="27" customHeight="1" x14ac:dyDescent="0.2">
      <c r="A972" s="532"/>
      <c r="B972" s="917"/>
      <c r="C972" s="4"/>
      <c r="D972" s="917"/>
      <c r="E972" s="4"/>
      <c r="F972" s="917"/>
      <c r="G972" s="4"/>
      <c r="H972" s="920"/>
      <c r="I972" s="3"/>
      <c r="J972" s="920"/>
      <c r="K972" s="3"/>
      <c r="L972" s="920"/>
      <c r="M972" s="3"/>
      <c r="N972" s="920"/>
      <c r="O972" s="3"/>
      <c r="P972" s="3"/>
      <c r="Q972" s="533"/>
      <c r="R972" s="920"/>
      <c r="S972" s="534"/>
      <c r="T972" s="920"/>
      <c r="U972" s="920"/>
      <c r="V972" s="920"/>
      <c r="W972" s="535"/>
      <c r="X972" s="687"/>
      <c r="Y972" s="687"/>
      <c r="Z972" s="687"/>
      <c r="AA972" s="678"/>
      <c r="AB972" s="543"/>
      <c r="AC972" s="3"/>
      <c r="AD972" s="533"/>
      <c r="AE972" s="3"/>
      <c r="AF972" s="4"/>
      <c r="AG972" s="4"/>
      <c r="AH972" s="4"/>
      <c r="AI972" s="4"/>
      <c r="AJ972" s="4"/>
      <c r="AK972" s="4"/>
      <c r="AL972" s="4"/>
      <c r="AM972" s="4"/>
      <c r="AN972" s="4"/>
      <c r="AO972" s="4"/>
      <c r="AP972" s="4"/>
      <c r="AQ972" s="4"/>
      <c r="AR972" s="4"/>
      <c r="AS972" s="4"/>
      <c r="AT972" s="4"/>
      <c r="AU972" s="4"/>
      <c r="AV972" s="537"/>
      <c r="AW972" s="537"/>
      <c r="AX972" s="4"/>
      <c r="AY972" s="4"/>
      <c r="AZ972" s="4"/>
      <c r="BA972" s="4"/>
      <c r="BB972" s="4"/>
      <c r="BC972" s="4"/>
      <c r="BD972" s="4"/>
      <c r="BE972" s="4"/>
      <c r="BF972" s="4"/>
      <c r="BG972" s="4"/>
      <c r="BH972" s="4"/>
      <c r="BI972" s="4"/>
      <c r="BJ972" s="4"/>
      <c r="BK972" s="4"/>
      <c r="BL972" s="4"/>
      <c r="BM972" s="4"/>
      <c r="BN972" s="4"/>
      <c r="BO972" s="4"/>
      <c r="BP972" s="4"/>
      <c r="BQ972" s="4"/>
      <c r="BR972" s="4"/>
    </row>
    <row r="973" spans="1:70" ht="27" customHeight="1" x14ac:dyDescent="0.2">
      <c r="A973" s="532"/>
      <c r="B973" s="917"/>
      <c r="C973" s="4"/>
      <c r="D973" s="917"/>
      <c r="E973" s="4"/>
      <c r="F973" s="917"/>
      <c r="G973" s="4"/>
      <c r="H973" s="920"/>
      <c r="I973" s="3"/>
      <c r="J973" s="920"/>
      <c r="K973" s="3"/>
      <c r="L973" s="920"/>
      <c r="M973" s="3"/>
      <c r="N973" s="920"/>
      <c r="O973" s="3"/>
      <c r="P973" s="3"/>
      <c r="Q973" s="533"/>
      <c r="R973" s="920"/>
      <c r="S973" s="534"/>
      <c r="T973" s="920"/>
      <c r="U973" s="920"/>
      <c r="V973" s="920"/>
      <c r="W973" s="535"/>
      <c r="X973" s="687"/>
      <c r="Y973" s="687"/>
      <c r="Z973" s="687"/>
      <c r="AA973" s="678"/>
      <c r="AB973" s="543"/>
      <c r="AC973" s="3"/>
      <c r="AD973" s="533"/>
      <c r="AE973" s="3"/>
      <c r="AF973" s="4"/>
      <c r="AG973" s="4"/>
      <c r="AH973" s="4"/>
      <c r="AI973" s="4"/>
      <c r="AJ973" s="4"/>
      <c r="AK973" s="4"/>
      <c r="AL973" s="4"/>
      <c r="AM973" s="4"/>
      <c r="AN973" s="4"/>
      <c r="AO973" s="4"/>
      <c r="AP973" s="4"/>
      <c r="AQ973" s="4"/>
      <c r="AR973" s="4"/>
      <c r="AS973" s="4"/>
      <c r="AT973" s="4"/>
      <c r="AU973" s="4"/>
      <c r="AV973" s="537"/>
      <c r="AW973" s="537"/>
      <c r="AX973" s="4"/>
      <c r="AY973" s="4"/>
      <c r="AZ973" s="4"/>
      <c r="BA973" s="4"/>
      <c r="BB973" s="4"/>
      <c r="BC973" s="4"/>
      <c r="BD973" s="4"/>
      <c r="BE973" s="4"/>
      <c r="BF973" s="4"/>
      <c r="BG973" s="4"/>
      <c r="BH973" s="4"/>
      <c r="BI973" s="4"/>
      <c r="BJ973" s="4"/>
      <c r="BK973" s="4"/>
      <c r="BL973" s="4"/>
      <c r="BM973" s="4"/>
      <c r="BN973" s="4"/>
      <c r="BO973" s="4"/>
      <c r="BP973" s="4"/>
      <c r="BQ973" s="4"/>
      <c r="BR973" s="4"/>
    </row>
    <row r="974" spans="1:70" ht="27" customHeight="1" x14ac:dyDescent="0.2">
      <c r="A974" s="532"/>
      <c r="B974" s="917"/>
      <c r="C974" s="4"/>
      <c r="D974" s="917"/>
      <c r="E974" s="4"/>
      <c r="F974" s="917"/>
      <c r="G974" s="4"/>
      <c r="H974" s="920"/>
      <c r="I974" s="3"/>
      <c r="J974" s="920"/>
      <c r="K974" s="3"/>
      <c r="L974" s="920"/>
      <c r="M974" s="3"/>
      <c r="N974" s="920"/>
      <c r="O974" s="3"/>
      <c r="P974" s="3"/>
      <c r="Q974" s="533"/>
      <c r="R974" s="920"/>
      <c r="S974" s="534"/>
      <c r="T974" s="920"/>
      <c r="U974" s="920"/>
      <c r="V974" s="920"/>
      <c r="W974" s="535"/>
      <c r="X974" s="687"/>
      <c r="Y974" s="687"/>
      <c r="Z974" s="687"/>
      <c r="AA974" s="678"/>
      <c r="AB974" s="543"/>
      <c r="AC974" s="3"/>
      <c r="AD974" s="533"/>
      <c r="AE974" s="3"/>
      <c r="AF974" s="4"/>
      <c r="AG974" s="4"/>
      <c r="AH974" s="4"/>
      <c r="AI974" s="4"/>
      <c r="AJ974" s="4"/>
      <c r="AK974" s="4"/>
      <c r="AL974" s="4"/>
      <c r="AM974" s="4"/>
      <c r="AN974" s="4"/>
      <c r="AO974" s="4"/>
      <c r="AP974" s="4"/>
      <c r="AQ974" s="4"/>
      <c r="AR974" s="4"/>
      <c r="AS974" s="4"/>
      <c r="AT974" s="4"/>
      <c r="AU974" s="4"/>
      <c r="AV974" s="537"/>
      <c r="AW974" s="537"/>
      <c r="AX974" s="4"/>
      <c r="AY974" s="4"/>
      <c r="AZ974" s="4"/>
      <c r="BA974" s="4"/>
      <c r="BB974" s="4"/>
      <c r="BC974" s="4"/>
      <c r="BD974" s="4"/>
      <c r="BE974" s="4"/>
      <c r="BF974" s="4"/>
      <c r="BG974" s="4"/>
      <c r="BH974" s="4"/>
      <c r="BI974" s="4"/>
      <c r="BJ974" s="4"/>
      <c r="BK974" s="4"/>
      <c r="BL974" s="4"/>
      <c r="BM974" s="4"/>
      <c r="BN974" s="4"/>
      <c r="BO974" s="4"/>
      <c r="BP974" s="4"/>
      <c r="BQ974" s="4"/>
      <c r="BR974" s="4"/>
    </row>
    <row r="975" spans="1:70" ht="27" customHeight="1" x14ac:dyDescent="0.2">
      <c r="A975" s="532"/>
      <c r="B975" s="917"/>
      <c r="C975" s="4"/>
      <c r="D975" s="917"/>
      <c r="E975" s="4"/>
      <c r="F975" s="917"/>
      <c r="G975" s="4"/>
      <c r="H975" s="920"/>
      <c r="I975" s="3"/>
      <c r="J975" s="920"/>
      <c r="K975" s="3"/>
      <c r="L975" s="920"/>
      <c r="M975" s="3"/>
      <c r="N975" s="920"/>
      <c r="O975" s="3"/>
      <c r="P975" s="3"/>
      <c r="Q975" s="533"/>
      <c r="R975" s="920"/>
      <c r="S975" s="534"/>
      <c r="T975" s="920"/>
      <c r="U975" s="920"/>
      <c r="V975" s="920"/>
      <c r="W975" s="535"/>
      <c r="X975" s="687"/>
      <c r="Y975" s="687"/>
      <c r="Z975" s="687"/>
      <c r="AA975" s="678"/>
      <c r="AB975" s="543"/>
      <c r="AC975" s="3"/>
      <c r="AD975" s="533"/>
      <c r="AE975" s="3"/>
      <c r="AF975" s="4"/>
      <c r="AG975" s="4"/>
      <c r="AH975" s="4"/>
      <c r="AI975" s="4"/>
      <c r="AJ975" s="4"/>
      <c r="AK975" s="4"/>
      <c r="AL975" s="4"/>
      <c r="AM975" s="4"/>
      <c r="AN975" s="4"/>
      <c r="AO975" s="4"/>
      <c r="AP975" s="4"/>
      <c r="AQ975" s="4"/>
      <c r="AR975" s="4"/>
      <c r="AS975" s="4"/>
      <c r="AT975" s="4"/>
      <c r="AU975" s="4"/>
      <c r="AV975" s="537"/>
      <c r="AW975" s="537"/>
      <c r="AX975" s="4"/>
      <c r="AY975" s="4"/>
      <c r="AZ975" s="4"/>
      <c r="BA975" s="4"/>
      <c r="BB975" s="4"/>
      <c r="BC975" s="4"/>
      <c r="BD975" s="4"/>
      <c r="BE975" s="4"/>
      <c r="BF975" s="4"/>
      <c r="BG975" s="4"/>
      <c r="BH975" s="4"/>
      <c r="BI975" s="4"/>
      <c r="BJ975" s="4"/>
      <c r="BK975" s="4"/>
      <c r="BL975" s="4"/>
      <c r="BM975" s="4"/>
      <c r="BN975" s="4"/>
      <c r="BO975" s="4"/>
      <c r="BP975" s="4"/>
      <c r="BQ975" s="4"/>
      <c r="BR975" s="4"/>
    </row>
    <row r="976" spans="1:70" ht="27" customHeight="1" x14ac:dyDescent="0.2">
      <c r="A976" s="532"/>
      <c r="B976" s="917"/>
      <c r="C976" s="4"/>
      <c r="D976" s="917"/>
      <c r="E976" s="4"/>
      <c r="F976" s="917"/>
      <c r="G976" s="4"/>
      <c r="H976" s="920"/>
      <c r="I976" s="3"/>
      <c r="J976" s="920"/>
      <c r="K976" s="3"/>
      <c r="L976" s="920"/>
      <c r="M976" s="3"/>
      <c r="N976" s="920"/>
      <c r="O976" s="3"/>
      <c r="P976" s="3"/>
      <c r="Q976" s="533"/>
      <c r="R976" s="920"/>
      <c r="S976" s="534"/>
      <c r="T976" s="920"/>
      <c r="U976" s="920"/>
      <c r="V976" s="920"/>
      <c r="W976" s="535"/>
      <c r="X976" s="687"/>
      <c r="Y976" s="687"/>
      <c r="Z976" s="687"/>
      <c r="AA976" s="678"/>
      <c r="AB976" s="543"/>
      <c r="AC976" s="3"/>
      <c r="AD976" s="533"/>
      <c r="AE976" s="3"/>
      <c r="AF976" s="4"/>
      <c r="AG976" s="4"/>
      <c r="AH976" s="4"/>
      <c r="AI976" s="4"/>
      <c r="AJ976" s="4"/>
      <c r="AK976" s="4"/>
      <c r="AL976" s="4"/>
      <c r="AM976" s="4"/>
      <c r="AN976" s="4"/>
      <c r="AO976" s="4"/>
      <c r="AP976" s="4"/>
      <c r="AQ976" s="4"/>
      <c r="AR976" s="4"/>
      <c r="AS976" s="4"/>
      <c r="AT976" s="4"/>
      <c r="AU976" s="4"/>
      <c r="AV976" s="537"/>
      <c r="AW976" s="537"/>
      <c r="AX976" s="4"/>
      <c r="AY976" s="4"/>
      <c r="AZ976" s="4"/>
      <c r="BA976" s="4"/>
      <c r="BB976" s="4"/>
      <c r="BC976" s="4"/>
      <c r="BD976" s="4"/>
      <c r="BE976" s="4"/>
      <c r="BF976" s="4"/>
      <c r="BG976" s="4"/>
      <c r="BH976" s="4"/>
      <c r="BI976" s="4"/>
      <c r="BJ976" s="4"/>
      <c r="BK976" s="4"/>
      <c r="BL976" s="4"/>
      <c r="BM976" s="4"/>
      <c r="BN976" s="4"/>
      <c r="BO976" s="4"/>
      <c r="BP976" s="4"/>
      <c r="BQ976" s="4"/>
      <c r="BR976" s="4"/>
    </row>
    <row r="977" spans="1:70" ht="27" customHeight="1" x14ac:dyDescent="0.2">
      <c r="A977" s="532"/>
      <c r="B977" s="917"/>
      <c r="C977" s="4"/>
      <c r="D977" s="917"/>
      <c r="E977" s="4"/>
      <c r="F977" s="917"/>
      <c r="G977" s="4"/>
      <c r="H977" s="920"/>
      <c r="I977" s="3"/>
      <c r="J977" s="920"/>
      <c r="K977" s="3"/>
      <c r="L977" s="920"/>
      <c r="M977" s="3"/>
      <c r="N977" s="920"/>
      <c r="O977" s="3"/>
      <c r="P977" s="3"/>
      <c r="Q977" s="533"/>
      <c r="R977" s="920"/>
      <c r="S977" s="534"/>
      <c r="T977" s="920"/>
      <c r="U977" s="920"/>
      <c r="V977" s="920"/>
      <c r="W977" s="535"/>
      <c r="X977" s="687"/>
      <c r="Y977" s="687"/>
      <c r="Z977" s="687"/>
      <c r="AA977" s="678"/>
      <c r="AB977" s="543"/>
      <c r="AC977" s="3"/>
      <c r="AD977" s="533"/>
      <c r="AE977" s="3"/>
      <c r="AF977" s="4"/>
      <c r="AG977" s="4"/>
      <c r="AH977" s="4"/>
      <c r="AI977" s="4"/>
      <c r="AJ977" s="4"/>
      <c r="AK977" s="4"/>
      <c r="AL977" s="4"/>
      <c r="AM977" s="4"/>
      <c r="AN977" s="4"/>
      <c r="AO977" s="4"/>
      <c r="AP977" s="4"/>
      <c r="AQ977" s="4"/>
      <c r="AR977" s="4"/>
      <c r="AS977" s="4"/>
      <c r="AT977" s="4"/>
      <c r="AU977" s="4"/>
      <c r="AV977" s="537"/>
      <c r="AW977" s="537"/>
      <c r="AX977" s="4"/>
      <c r="AY977" s="4"/>
      <c r="AZ977" s="4"/>
      <c r="BA977" s="4"/>
      <c r="BB977" s="4"/>
      <c r="BC977" s="4"/>
      <c r="BD977" s="4"/>
      <c r="BE977" s="4"/>
      <c r="BF977" s="4"/>
      <c r="BG977" s="4"/>
      <c r="BH977" s="4"/>
      <c r="BI977" s="4"/>
      <c r="BJ977" s="4"/>
      <c r="BK977" s="4"/>
      <c r="BL977" s="4"/>
      <c r="BM977" s="4"/>
      <c r="BN977" s="4"/>
      <c r="BO977" s="4"/>
      <c r="BP977" s="4"/>
      <c r="BQ977" s="4"/>
      <c r="BR977" s="4"/>
    </row>
    <row r="978" spans="1:70" ht="27" customHeight="1" x14ac:dyDescent="0.2">
      <c r="A978" s="532"/>
      <c r="B978" s="917"/>
      <c r="C978" s="4"/>
      <c r="D978" s="917"/>
      <c r="E978" s="4"/>
      <c r="F978" s="917"/>
      <c r="G978" s="4"/>
      <c r="H978" s="920"/>
      <c r="I978" s="3"/>
      <c r="J978" s="920"/>
      <c r="K978" s="3"/>
      <c r="L978" s="920"/>
      <c r="M978" s="3"/>
      <c r="N978" s="920"/>
      <c r="O978" s="3"/>
      <c r="P978" s="3"/>
      <c r="Q978" s="533"/>
      <c r="R978" s="920"/>
      <c r="S978" s="534"/>
      <c r="T978" s="920"/>
      <c r="U978" s="920"/>
      <c r="V978" s="920"/>
      <c r="W978" s="535"/>
      <c r="X978" s="687"/>
      <c r="Y978" s="687"/>
      <c r="Z978" s="687"/>
      <c r="AA978" s="678"/>
      <c r="AB978" s="543"/>
      <c r="AC978" s="3"/>
      <c r="AD978" s="533"/>
      <c r="AE978" s="3"/>
      <c r="AF978" s="4"/>
      <c r="AG978" s="4"/>
      <c r="AH978" s="4"/>
      <c r="AI978" s="4"/>
      <c r="AJ978" s="4"/>
      <c r="AK978" s="4"/>
      <c r="AL978" s="4"/>
      <c r="AM978" s="4"/>
      <c r="AN978" s="4"/>
      <c r="AO978" s="4"/>
      <c r="AP978" s="4"/>
      <c r="AQ978" s="4"/>
      <c r="AR978" s="4"/>
      <c r="AS978" s="4"/>
      <c r="AT978" s="4"/>
      <c r="AU978" s="4"/>
      <c r="AV978" s="537"/>
      <c r="AW978" s="537"/>
      <c r="AX978" s="4"/>
      <c r="AY978" s="4"/>
      <c r="AZ978" s="4"/>
      <c r="BA978" s="4"/>
      <c r="BB978" s="4"/>
      <c r="BC978" s="4"/>
      <c r="BD978" s="4"/>
      <c r="BE978" s="4"/>
      <c r="BF978" s="4"/>
      <c r="BG978" s="4"/>
      <c r="BH978" s="4"/>
      <c r="BI978" s="4"/>
      <c r="BJ978" s="4"/>
      <c r="BK978" s="4"/>
      <c r="BL978" s="4"/>
      <c r="BM978" s="4"/>
      <c r="BN978" s="4"/>
      <c r="BO978" s="4"/>
      <c r="BP978" s="4"/>
      <c r="BQ978" s="4"/>
      <c r="BR978" s="4"/>
    </row>
    <row r="979" spans="1:70" ht="27" customHeight="1" x14ac:dyDescent="0.2">
      <c r="A979" s="532"/>
      <c r="B979" s="917"/>
      <c r="C979" s="4"/>
      <c r="D979" s="917"/>
      <c r="E979" s="4"/>
      <c r="F979" s="917"/>
      <c r="G979" s="4"/>
      <c r="H979" s="920"/>
      <c r="I979" s="3"/>
      <c r="J979" s="920"/>
      <c r="K979" s="3"/>
      <c r="L979" s="920"/>
      <c r="M979" s="3"/>
      <c r="N979" s="920"/>
      <c r="O979" s="3"/>
      <c r="P979" s="3"/>
      <c r="Q979" s="533"/>
      <c r="R979" s="920"/>
      <c r="S979" s="534"/>
      <c r="T979" s="920"/>
      <c r="U979" s="920"/>
      <c r="V979" s="920"/>
      <c r="W979" s="535"/>
      <c r="X979" s="687"/>
      <c r="Y979" s="687"/>
      <c r="Z979" s="687"/>
      <c r="AA979" s="678"/>
      <c r="AB979" s="543"/>
      <c r="AC979" s="3"/>
      <c r="AD979" s="533"/>
      <c r="AE979" s="3"/>
      <c r="AF979" s="4"/>
      <c r="AG979" s="4"/>
      <c r="AH979" s="4"/>
      <c r="AI979" s="4"/>
      <c r="AJ979" s="4"/>
      <c r="AK979" s="4"/>
      <c r="AL979" s="4"/>
      <c r="AM979" s="4"/>
      <c r="AN979" s="4"/>
      <c r="AO979" s="4"/>
      <c r="AP979" s="4"/>
      <c r="AQ979" s="4"/>
      <c r="AR979" s="4"/>
      <c r="AS979" s="4"/>
      <c r="AT979" s="4"/>
      <c r="AU979" s="4"/>
      <c r="AV979" s="537"/>
      <c r="AW979" s="537"/>
      <c r="AX979" s="4"/>
      <c r="AY979" s="4"/>
      <c r="AZ979" s="4"/>
      <c r="BA979" s="4"/>
      <c r="BB979" s="4"/>
      <c r="BC979" s="4"/>
      <c r="BD979" s="4"/>
      <c r="BE979" s="4"/>
      <c r="BF979" s="4"/>
      <c r="BG979" s="4"/>
      <c r="BH979" s="4"/>
      <c r="BI979" s="4"/>
      <c r="BJ979" s="4"/>
      <c r="BK979" s="4"/>
      <c r="BL979" s="4"/>
      <c r="BM979" s="4"/>
      <c r="BN979" s="4"/>
      <c r="BO979" s="4"/>
      <c r="BP979" s="4"/>
      <c r="BQ979" s="4"/>
      <c r="BR979" s="4"/>
    </row>
    <row r="980" spans="1:70" ht="27" customHeight="1" x14ac:dyDescent="0.2">
      <c r="A980" s="532"/>
      <c r="B980" s="917"/>
      <c r="C980" s="4"/>
      <c r="D980" s="917"/>
      <c r="E980" s="4"/>
      <c r="F980" s="917"/>
      <c r="G980" s="4"/>
      <c r="H980" s="920"/>
      <c r="I980" s="3"/>
      <c r="J980" s="920"/>
      <c r="K980" s="3"/>
      <c r="L980" s="920"/>
      <c r="M980" s="3"/>
      <c r="N980" s="920"/>
      <c r="O980" s="3"/>
      <c r="P980" s="3"/>
      <c r="Q980" s="533"/>
      <c r="R980" s="920"/>
      <c r="S980" s="534"/>
      <c r="T980" s="920"/>
      <c r="U980" s="920"/>
      <c r="V980" s="920"/>
      <c r="W980" s="535"/>
      <c r="X980" s="687"/>
      <c r="Y980" s="687"/>
      <c r="Z980" s="687"/>
      <c r="AA980" s="678"/>
      <c r="AB980" s="543"/>
      <c r="AC980" s="3"/>
      <c r="AD980" s="533"/>
      <c r="AE980" s="3"/>
      <c r="AF980" s="4"/>
      <c r="AG980" s="4"/>
      <c r="AH980" s="4"/>
      <c r="AI980" s="4"/>
      <c r="AJ980" s="4"/>
      <c r="AK980" s="4"/>
      <c r="AL980" s="4"/>
      <c r="AM980" s="4"/>
      <c r="AN980" s="4"/>
      <c r="AO980" s="4"/>
      <c r="AP980" s="4"/>
      <c r="AQ980" s="4"/>
      <c r="AR980" s="4"/>
      <c r="AS980" s="4"/>
      <c r="AT980" s="4"/>
      <c r="AU980" s="4"/>
      <c r="AV980" s="537"/>
      <c r="AW980" s="537"/>
      <c r="AX980" s="4"/>
      <c r="AY980" s="4"/>
      <c r="AZ980" s="4"/>
      <c r="BA980" s="4"/>
      <c r="BB980" s="4"/>
      <c r="BC980" s="4"/>
      <c r="BD980" s="4"/>
      <c r="BE980" s="4"/>
      <c r="BF980" s="4"/>
      <c r="BG980" s="4"/>
      <c r="BH980" s="4"/>
      <c r="BI980" s="4"/>
      <c r="BJ980" s="4"/>
      <c r="BK980" s="4"/>
      <c r="BL980" s="4"/>
      <c r="BM980" s="4"/>
      <c r="BN980" s="4"/>
      <c r="BO980" s="4"/>
      <c r="BP980" s="4"/>
      <c r="BQ980" s="4"/>
      <c r="BR980" s="4"/>
    </row>
    <row r="981" spans="1:70" ht="27" customHeight="1" x14ac:dyDescent="0.2">
      <c r="A981" s="532"/>
      <c r="B981" s="917"/>
      <c r="C981" s="4"/>
      <c r="D981" s="917"/>
      <c r="E981" s="4"/>
      <c r="F981" s="917"/>
      <c r="G981" s="4"/>
      <c r="H981" s="920"/>
      <c r="I981" s="3"/>
      <c r="J981" s="920"/>
      <c r="K981" s="3"/>
      <c r="L981" s="920"/>
      <c r="M981" s="3"/>
      <c r="N981" s="920"/>
      <c r="O981" s="3"/>
      <c r="P981" s="3"/>
      <c r="Q981" s="533"/>
      <c r="R981" s="920"/>
      <c r="S981" s="534"/>
      <c r="T981" s="920"/>
      <c r="U981" s="920"/>
      <c r="V981" s="920"/>
      <c r="W981" s="535"/>
      <c r="X981" s="687"/>
      <c r="Y981" s="687"/>
      <c r="Z981" s="687"/>
      <c r="AA981" s="678"/>
      <c r="AB981" s="543"/>
      <c r="AC981" s="3"/>
      <c r="AD981" s="533"/>
      <c r="AE981" s="3"/>
      <c r="AF981" s="4"/>
      <c r="AG981" s="4"/>
      <c r="AH981" s="4"/>
      <c r="AI981" s="4"/>
      <c r="AJ981" s="4"/>
      <c r="AK981" s="4"/>
      <c r="AL981" s="4"/>
      <c r="AM981" s="4"/>
      <c r="AN981" s="4"/>
      <c r="AO981" s="4"/>
      <c r="AP981" s="4"/>
      <c r="AQ981" s="4"/>
      <c r="AR981" s="4"/>
      <c r="AS981" s="4"/>
      <c r="AT981" s="4"/>
      <c r="AU981" s="4"/>
      <c r="AV981" s="537"/>
      <c r="AW981" s="537"/>
      <c r="AX981" s="4"/>
      <c r="AY981" s="4"/>
      <c r="AZ981" s="4"/>
      <c r="BA981" s="4"/>
      <c r="BB981" s="4"/>
      <c r="BC981" s="4"/>
      <c r="BD981" s="4"/>
      <c r="BE981" s="4"/>
      <c r="BF981" s="4"/>
      <c r="BG981" s="4"/>
      <c r="BH981" s="4"/>
      <c r="BI981" s="4"/>
      <c r="BJ981" s="4"/>
      <c r="BK981" s="4"/>
      <c r="BL981" s="4"/>
      <c r="BM981" s="4"/>
      <c r="BN981" s="4"/>
      <c r="BO981" s="4"/>
      <c r="BP981" s="4"/>
      <c r="BQ981" s="4"/>
      <c r="BR981" s="4"/>
    </row>
    <row r="982" spans="1:70" ht="27" customHeight="1" x14ac:dyDescent="0.2">
      <c r="A982" s="532"/>
      <c r="B982" s="917"/>
      <c r="C982" s="4"/>
      <c r="D982" s="917"/>
      <c r="E982" s="4"/>
      <c r="F982" s="917"/>
      <c r="G982" s="4"/>
      <c r="H982" s="920"/>
      <c r="I982" s="3"/>
      <c r="J982" s="920"/>
      <c r="K982" s="3"/>
      <c r="L982" s="920"/>
      <c r="M982" s="3"/>
      <c r="N982" s="920"/>
      <c r="O982" s="3"/>
      <c r="P982" s="3"/>
      <c r="Q982" s="533"/>
      <c r="R982" s="920"/>
      <c r="S982" s="534"/>
      <c r="T982" s="920"/>
      <c r="U982" s="920"/>
      <c r="V982" s="920"/>
      <c r="W982" s="535"/>
      <c r="X982" s="687"/>
      <c r="Y982" s="687"/>
      <c r="Z982" s="687"/>
      <c r="AA982" s="678"/>
      <c r="AB982" s="543"/>
      <c r="AC982" s="3"/>
      <c r="AD982" s="533"/>
      <c r="AE982" s="3"/>
      <c r="AF982" s="4"/>
      <c r="AG982" s="4"/>
      <c r="AH982" s="4"/>
      <c r="AI982" s="4"/>
      <c r="AJ982" s="4"/>
      <c r="AK982" s="4"/>
      <c r="AL982" s="4"/>
      <c r="AM982" s="4"/>
      <c r="AN982" s="4"/>
      <c r="AO982" s="4"/>
      <c r="AP982" s="4"/>
      <c r="AQ982" s="4"/>
      <c r="AR982" s="4"/>
      <c r="AS982" s="4"/>
      <c r="AT982" s="4"/>
      <c r="AU982" s="4"/>
      <c r="AV982" s="537"/>
      <c r="AW982" s="537"/>
      <c r="AX982" s="4"/>
      <c r="AY982" s="4"/>
      <c r="AZ982" s="4"/>
      <c r="BA982" s="4"/>
      <c r="BB982" s="4"/>
      <c r="BC982" s="4"/>
      <c r="BD982" s="4"/>
      <c r="BE982" s="4"/>
      <c r="BF982" s="4"/>
      <c r="BG982" s="4"/>
      <c r="BH982" s="4"/>
      <c r="BI982" s="4"/>
      <c r="BJ982" s="4"/>
      <c r="BK982" s="4"/>
      <c r="BL982" s="4"/>
      <c r="BM982" s="4"/>
      <c r="BN982" s="4"/>
      <c r="BO982" s="4"/>
      <c r="BP982" s="4"/>
      <c r="BQ982" s="4"/>
      <c r="BR982" s="4"/>
    </row>
    <row r="983" spans="1:70" ht="27" customHeight="1" x14ac:dyDescent="0.2">
      <c r="A983" s="532"/>
      <c r="B983" s="917"/>
      <c r="C983" s="4"/>
      <c r="D983" s="917"/>
      <c r="E983" s="4"/>
      <c r="F983" s="917"/>
      <c r="G983" s="4"/>
      <c r="H983" s="920"/>
      <c r="I983" s="3"/>
      <c r="J983" s="920"/>
      <c r="K983" s="3"/>
      <c r="L983" s="920"/>
      <c r="M983" s="3"/>
      <c r="N983" s="920"/>
      <c r="O983" s="3"/>
      <c r="P983" s="3"/>
      <c r="Q983" s="533"/>
      <c r="R983" s="920"/>
      <c r="S983" s="534"/>
      <c r="T983" s="920"/>
      <c r="U983" s="920"/>
      <c r="V983" s="920"/>
      <c r="W983" s="535"/>
      <c r="X983" s="687"/>
      <c r="Y983" s="687"/>
      <c r="Z983" s="687"/>
      <c r="AA983" s="678"/>
      <c r="AB983" s="543"/>
      <c r="AC983" s="3"/>
      <c r="AD983" s="533"/>
      <c r="AE983" s="3"/>
      <c r="AF983" s="4"/>
      <c r="AG983" s="4"/>
      <c r="AH983" s="4"/>
      <c r="AI983" s="4"/>
      <c r="AJ983" s="4"/>
      <c r="AK983" s="4"/>
      <c r="AL983" s="4"/>
      <c r="AM983" s="4"/>
      <c r="AN983" s="4"/>
      <c r="AO983" s="4"/>
      <c r="AP983" s="4"/>
      <c r="AQ983" s="4"/>
      <c r="AR983" s="4"/>
      <c r="AS983" s="4"/>
      <c r="AT983" s="4"/>
      <c r="AU983" s="4"/>
      <c r="AV983" s="537"/>
      <c r="AW983" s="537"/>
      <c r="AX983" s="4"/>
      <c r="AY983" s="4"/>
      <c r="AZ983" s="4"/>
      <c r="BA983" s="4"/>
      <c r="BB983" s="4"/>
      <c r="BC983" s="4"/>
      <c r="BD983" s="4"/>
      <c r="BE983" s="4"/>
      <c r="BF983" s="4"/>
      <c r="BG983" s="4"/>
      <c r="BH983" s="4"/>
      <c r="BI983" s="4"/>
      <c r="BJ983" s="4"/>
      <c r="BK983" s="4"/>
      <c r="BL983" s="4"/>
      <c r="BM983" s="4"/>
      <c r="BN983" s="4"/>
      <c r="BO983" s="4"/>
      <c r="BP983" s="4"/>
      <c r="BQ983" s="4"/>
      <c r="BR983" s="4"/>
    </row>
    <row r="984" spans="1:70" ht="27" customHeight="1" x14ac:dyDescent="0.2">
      <c r="A984" s="532"/>
      <c r="B984" s="917"/>
      <c r="C984" s="4"/>
      <c r="D984" s="917"/>
      <c r="E984" s="4"/>
      <c r="F984" s="917"/>
      <c r="G984" s="4"/>
      <c r="H984" s="920"/>
      <c r="I984" s="3"/>
      <c r="J984" s="920"/>
      <c r="K984" s="3"/>
      <c r="L984" s="920"/>
      <c r="M984" s="3"/>
      <c r="N984" s="920"/>
      <c r="O984" s="3"/>
      <c r="P984" s="3"/>
      <c r="Q984" s="533"/>
      <c r="R984" s="920"/>
      <c r="S984" s="534"/>
      <c r="T984" s="920"/>
      <c r="U984" s="920"/>
      <c r="V984" s="920"/>
      <c r="W984" s="535"/>
      <c r="X984" s="687"/>
      <c r="Y984" s="687"/>
      <c r="Z984" s="687"/>
      <c r="AA984" s="678"/>
      <c r="AB984" s="543"/>
      <c r="AC984" s="3"/>
      <c r="AD984" s="533"/>
      <c r="AE984" s="3"/>
      <c r="AF984" s="4"/>
      <c r="AG984" s="4"/>
      <c r="AH984" s="4"/>
      <c r="AI984" s="4"/>
      <c r="AJ984" s="4"/>
      <c r="AK984" s="4"/>
      <c r="AL984" s="4"/>
      <c r="AM984" s="4"/>
      <c r="AN984" s="4"/>
      <c r="AO984" s="4"/>
      <c r="AP984" s="4"/>
      <c r="AQ984" s="4"/>
      <c r="AR984" s="4"/>
      <c r="AS984" s="4"/>
      <c r="AT984" s="4"/>
      <c r="AU984" s="4"/>
      <c r="AV984" s="537"/>
      <c r="AW984" s="537"/>
      <c r="AX984" s="4"/>
      <c r="AY984" s="4"/>
      <c r="AZ984" s="4"/>
      <c r="BA984" s="4"/>
      <c r="BB984" s="4"/>
      <c r="BC984" s="4"/>
      <c r="BD984" s="4"/>
      <c r="BE984" s="4"/>
      <c r="BF984" s="4"/>
      <c r="BG984" s="4"/>
      <c r="BH984" s="4"/>
      <c r="BI984" s="4"/>
      <c r="BJ984" s="4"/>
      <c r="BK984" s="4"/>
      <c r="BL984" s="4"/>
      <c r="BM984" s="4"/>
      <c r="BN984" s="4"/>
      <c r="BO984" s="4"/>
      <c r="BP984" s="4"/>
      <c r="BQ984" s="4"/>
      <c r="BR984" s="4"/>
    </row>
    <row r="985" spans="1:70" ht="27" customHeight="1" x14ac:dyDescent="0.2">
      <c r="A985" s="532"/>
      <c r="B985" s="917"/>
      <c r="C985" s="4"/>
      <c r="D985" s="917"/>
      <c r="E985" s="4"/>
      <c r="F985" s="917"/>
      <c r="G985" s="4"/>
      <c r="H985" s="920"/>
      <c r="I985" s="3"/>
      <c r="J985" s="920"/>
      <c r="K985" s="3"/>
      <c r="L985" s="920"/>
      <c r="M985" s="3"/>
      <c r="N985" s="920"/>
      <c r="O985" s="3"/>
      <c r="P985" s="3"/>
      <c r="Q985" s="533"/>
      <c r="R985" s="920"/>
      <c r="S985" s="534"/>
      <c r="T985" s="920"/>
      <c r="U985" s="920"/>
      <c r="V985" s="920"/>
      <c r="W985" s="535"/>
      <c r="X985" s="687"/>
      <c r="Y985" s="687"/>
      <c r="Z985" s="687"/>
      <c r="AA985" s="678"/>
      <c r="AB985" s="543"/>
      <c r="AC985" s="3"/>
      <c r="AD985" s="533"/>
      <c r="AE985" s="3"/>
      <c r="AF985" s="4"/>
      <c r="AG985" s="4"/>
      <c r="AH985" s="4"/>
      <c r="AI985" s="4"/>
      <c r="AJ985" s="4"/>
      <c r="AK985" s="4"/>
      <c r="AL985" s="4"/>
      <c r="AM985" s="4"/>
      <c r="AN985" s="4"/>
      <c r="AO985" s="4"/>
      <c r="AP985" s="4"/>
      <c r="AQ985" s="4"/>
      <c r="AR985" s="4"/>
      <c r="AS985" s="4"/>
      <c r="AT985" s="4"/>
      <c r="AU985" s="4"/>
      <c r="AV985" s="537"/>
      <c r="AW985" s="537"/>
      <c r="AX985" s="4"/>
      <c r="AY985" s="4"/>
      <c r="AZ985" s="4"/>
      <c r="BA985" s="4"/>
      <c r="BB985" s="4"/>
      <c r="BC985" s="4"/>
      <c r="BD985" s="4"/>
      <c r="BE985" s="4"/>
      <c r="BF985" s="4"/>
      <c r="BG985" s="4"/>
      <c r="BH985" s="4"/>
      <c r="BI985" s="4"/>
      <c r="BJ985" s="4"/>
      <c r="BK985" s="4"/>
      <c r="BL985" s="4"/>
      <c r="BM985" s="4"/>
      <c r="BN985" s="4"/>
      <c r="BO985" s="4"/>
      <c r="BP985" s="4"/>
      <c r="BQ985" s="4"/>
      <c r="BR985" s="4"/>
    </row>
    <row r="986" spans="1:70" ht="27" customHeight="1" x14ac:dyDescent="0.2">
      <c r="A986" s="532"/>
      <c r="B986" s="917"/>
      <c r="C986" s="4"/>
      <c r="D986" s="917"/>
      <c r="E986" s="4"/>
      <c r="F986" s="917"/>
      <c r="G986" s="4"/>
      <c r="H986" s="920"/>
      <c r="I986" s="3"/>
      <c r="J986" s="920"/>
      <c r="K986" s="3"/>
      <c r="L986" s="920"/>
      <c r="M986" s="3"/>
      <c r="N986" s="920"/>
      <c r="O986" s="3"/>
      <c r="P986" s="3"/>
      <c r="Q986" s="533"/>
      <c r="R986" s="920"/>
      <c r="S986" s="534"/>
      <c r="T986" s="920"/>
      <c r="U986" s="920"/>
      <c r="V986" s="920"/>
      <c r="W986" s="535"/>
      <c r="X986" s="687"/>
      <c r="Y986" s="687"/>
      <c r="Z986" s="687"/>
      <c r="AA986" s="678"/>
      <c r="AB986" s="543"/>
      <c r="AC986" s="3"/>
      <c r="AD986" s="533"/>
      <c r="AE986" s="3"/>
      <c r="AF986" s="4"/>
      <c r="AG986" s="4"/>
      <c r="AH986" s="4"/>
      <c r="AI986" s="4"/>
      <c r="AJ986" s="4"/>
      <c r="AK986" s="4"/>
      <c r="AL986" s="4"/>
      <c r="AM986" s="4"/>
      <c r="AN986" s="4"/>
      <c r="AO986" s="4"/>
      <c r="AP986" s="4"/>
      <c r="AQ986" s="4"/>
      <c r="AR986" s="4"/>
      <c r="AS986" s="4"/>
      <c r="AT986" s="4"/>
      <c r="AU986" s="4"/>
      <c r="AV986" s="537"/>
      <c r="AW986" s="537"/>
      <c r="AX986" s="4"/>
      <c r="AY986" s="4"/>
      <c r="AZ986" s="4"/>
      <c r="BA986" s="4"/>
      <c r="BB986" s="4"/>
      <c r="BC986" s="4"/>
      <c r="BD986" s="4"/>
      <c r="BE986" s="4"/>
      <c r="BF986" s="4"/>
      <c r="BG986" s="4"/>
      <c r="BH986" s="4"/>
      <c r="BI986" s="4"/>
      <c r="BJ986" s="4"/>
      <c r="BK986" s="4"/>
      <c r="BL986" s="4"/>
      <c r="BM986" s="4"/>
      <c r="BN986" s="4"/>
      <c r="BO986" s="4"/>
      <c r="BP986" s="4"/>
      <c r="BQ986" s="4"/>
      <c r="BR986" s="4"/>
    </row>
    <row r="987" spans="1:70" ht="27" customHeight="1" x14ac:dyDescent="0.2">
      <c r="A987" s="532"/>
      <c r="B987" s="917"/>
      <c r="C987" s="4"/>
      <c r="D987" s="917"/>
      <c r="E987" s="4"/>
      <c r="F987" s="917"/>
      <c r="G987" s="4"/>
      <c r="H987" s="920"/>
      <c r="I987" s="3"/>
      <c r="J987" s="920"/>
      <c r="K987" s="3"/>
      <c r="L987" s="920"/>
      <c r="M987" s="3"/>
      <c r="N987" s="920"/>
      <c r="O987" s="3"/>
      <c r="P987" s="3"/>
      <c r="Q987" s="533"/>
      <c r="R987" s="920"/>
      <c r="S987" s="534"/>
      <c r="T987" s="920"/>
      <c r="U987" s="920"/>
      <c r="V987" s="920"/>
      <c r="W987" s="535"/>
      <c r="X987" s="687"/>
      <c r="Y987" s="687"/>
      <c r="Z987" s="687"/>
      <c r="AA987" s="678"/>
      <c r="AD987" s="533"/>
      <c r="AE987" s="3"/>
      <c r="AF987" s="4"/>
      <c r="AG987" s="4"/>
      <c r="AH987" s="4"/>
      <c r="AI987" s="4"/>
      <c r="AJ987" s="4"/>
      <c r="AK987" s="4"/>
      <c r="AL987" s="4"/>
      <c r="AM987" s="4"/>
      <c r="AN987" s="4"/>
      <c r="AO987" s="4"/>
      <c r="AP987" s="4"/>
      <c r="AQ987" s="4"/>
      <c r="AR987" s="4"/>
      <c r="AS987" s="4"/>
      <c r="AT987" s="4"/>
      <c r="AU987" s="4"/>
      <c r="AV987" s="537"/>
      <c r="AW987" s="537"/>
      <c r="AX987" s="4"/>
      <c r="AY987" s="4"/>
      <c r="AZ987" s="4"/>
      <c r="BA987" s="4"/>
      <c r="BB987" s="4"/>
      <c r="BC987" s="4"/>
      <c r="BD987" s="4"/>
      <c r="BE987" s="4"/>
      <c r="BF987" s="4"/>
      <c r="BG987" s="4"/>
      <c r="BH987" s="4"/>
      <c r="BI987" s="4"/>
      <c r="BJ987" s="4"/>
      <c r="BK987" s="4"/>
      <c r="BL987" s="4"/>
      <c r="BM987" s="4"/>
      <c r="BN987" s="4"/>
      <c r="BO987" s="4"/>
      <c r="BP987" s="4"/>
      <c r="BQ987" s="4"/>
      <c r="BR987" s="4"/>
    </row>
    <row r="988" spans="1:70" ht="27" customHeight="1" x14ac:dyDescent="0.2">
      <c r="A988" s="532"/>
      <c r="B988" s="917"/>
      <c r="C988" s="4"/>
      <c r="D988" s="917"/>
      <c r="E988" s="4"/>
      <c r="F988" s="917"/>
      <c r="G988" s="4"/>
      <c r="H988" s="920"/>
      <c r="I988" s="3"/>
      <c r="J988" s="920"/>
      <c r="K988" s="3"/>
      <c r="L988" s="920"/>
      <c r="M988" s="3"/>
      <c r="N988" s="920"/>
      <c r="O988" s="3"/>
      <c r="P988" s="3"/>
      <c r="Q988" s="533"/>
      <c r="R988" s="920"/>
      <c r="S988" s="534"/>
      <c r="T988" s="920"/>
      <c r="U988" s="920"/>
      <c r="V988" s="920"/>
      <c r="W988" s="535"/>
      <c r="X988" s="687"/>
      <c r="Y988" s="687"/>
      <c r="Z988" s="687"/>
      <c r="AA988" s="678"/>
      <c r="AD988" s="533"/>
      <c r="AE988" s="3"/>
      <c r="AF988" s="4"/>
      <c r="AG988" s="4"/>
      <c r="AH988" s="4"/>
      <c r="AI988" s="4"/>
      <c r="AJ988" s="4"/>
      <c r="AK988" s="4"/>
      <c r="AL988" s="4"/>
      <c r="AM988" s="4"/>
      <c r="AN988" s="4"/>
      <c r="AO988" s="4"/>
      <c r="AP988" s="4"/>
      <c r="AQ988" s="4"/>
      <c r="AR988" s="4"/>
      <c r="AS988" s="4"/>
      <c r="AT988" s="4"/>
      <c r="AU988" s="4"/>
      <c r="AV988" s="537"/>
      <c r="AW988" s="537"/>
      <c r="AX988" s="4"/>
      <c r="AY988" s="4"/>
      <c r="AZ988" s="4"/>
      <c r="BA988" s="4"/>
      <c r="BB988" s="4"/>
      <c r="BC988" s="4"/>
      <c r="BD988" s="4"/>
      <c r="BE988" s="4"/>
      <c r="BF988" s="4"/>
      <c r="BG988" s="4"/>
      <c r="BH988" s="4"/>
      <c r="BI988" s="4"/>
      <c r="BJ988" s="4"/>
      <c r="BK988" s="4"/>
      <c r="BL988" s="4"/>
      <c r="BM988" s="4"/>
      <c r="BN988" s="4"/>
      <c r="BO988" s="4"/>
      <c r="BP988" s="4"/>
      <c r="BQ988" s="4"/>
      <c r="BR988" s="4"/>
    </row>
    <row r="989" spans="1:70" ht="27" customHeight="1" x14ac:dyDescent="0.2">
      <c r="A989" s="532"/>
      <c r="B989" s="917"/>
      <c r="C989" s="4"/>
      <c r="D989" s="917"/>
      <c r="E989" s="4"/>
      <c r="F989" s="917"/>
      <c r="G989" s="4"/>
      <c r="H989" s="920"/>
      <c r="I989" s="3"/>
      <c r="J989" s="920"/>
      <c r="K989" s="3"/>
      <c r="L989" s="920"/>
      <c r="M989" s="3"/>
      <c r="N989" s="920"/>
      <c r="O989" s="3"/>
      <c r="P989" s="3"/>
      <c r="Q989" s="533"/>
      <c r="R989" s="920"/>
      <c r="S989" s="534"/>
      <c r="T989" s="920"/>
      <c r="U989" s="920"/>
      <c r="V989" s="920"/>
      <c r="W989" s="535"/>
      <c r="X989" s="687"/>
      <c r="Y989" s="687"/>
      <c r="Z989" s="687"/>
      <c r="AA989" s="678"/>
      <c r="AD989" s="533"/>
      <c r="AE989" s="3"/>
      <c r="AF989" s="4"/>
      <c r="AG989" s="4"/>
      <c r="AH989" s="4"/>
      <c r="AI989" s="4"/>
      <c r="AJ989" s="4"/>
      <c r="AK989" s="4"/>
      <c r="AL989" s="4"/>
      <c r="AM989" s="4"/>
      <c r="AN989" s="4"/>
      <c r="AO989" s="4"/>
      <c r="AP989" s="4"/>
      <c r="AQ989" s="4"/>
      <c r="AR989" s="4"/>
      <c r="AS989" s="4"/>
      <c r="AT989" s="4"/>
      <c r="AU989" s="4"/>
      <c r="AV989" s="537"/>
      <c r="AW989" s="537"/>
      <c r="AX989" s="4"/>
      <c r="AY989" s="4"/>
      <c r="AZ989" s="4"/>
      <c r="BA989" s="4"/>
      <c r="BB989" s="4"/>
      <c r="BC989" s="4"/>
      <c r="BD989" s="4"/>
      <c r="BE989" s="4"/>
      <c r="BF989" s="4"/>
      <c r="BG989" s="4"/>
      <c r="BH989" s="4"/>
      <c r="BI989" s="4"/>
      <c r="BJ989" s="4"/>
      <c r="BK989" s="4"/>
      <c r="BL989" s="4"/>
      <c r="BM989" s="4"/>
      <c r="BN989" s="4"/>
      <c r="BO989" s="4"/>
      <c r="BP989" s="4"/>
      <c r="BQ989" s="4"/>
      <c r="BR989" s="4"/>
    </row>
    <row r="990" spans="1:70" ht="27" customHeight="1" x14ac:dyDescent="0.2">
      <c r="A990" s="532"/>
      <c r="B990" s="917"/>
      <c r="C990" s="4"/>
      <c r="D990" s="917"/>
      <c r="E990" s="4"/>
      <c r="F990" s="917"/>
      <c r="G990" s="4"/>
      <c r="H990" s="920"/>
      <c r="I990" s="3"/>
      <c r="J990" s="920"/>
      <c r="K990" s="3"/>
      <c r="L990" s="920"/>
      <c r="M990" s="3"/>
      <c r="N990" s="920"/>
      <c r="O990" s="3"/>
      <c r="P990" s="3"/>
      <c r="Q990" s="533"/>
      <c r="R990" s="920"/>
      <c r="S990" s="534"/>
      <c r="T990" s="920"/>
      <c r="U990" s="920"/>
      <c r="V990" s="920"/>
      <c r="W990" s="535"/>
      <c r="X990" s="687"/>
      <c r="Y990" s="687"/>
      <c r="Z990" s="687"/>
      <c r="AA990" s="678"/>
      <c r="AD990" s="533"/>
      <c r="AE990" s="3"/>
      <c r="AF990" s="4"/>
      <c r="AG990" s="4"/>
      <c r="AH990" s="4"/>
      <c r="AI990" s="4"/>
      <c r="AJ990" s="4"/>
      <c r="AK990" s="4"/>
      <c r="AL990" s="4"/>
      <c r="AM990" s="4"/>
      <c r="AN990" s="4"/>
      <c r="AO990" s="4"/>
      <c r="AP990" s="4"/>
      <c r="AQ990" s="4"/>
      <c r="AR990" s="4"/>
      <c r="AS990" s="4"/>
      <c r="AT990" s="4"/>
      <c r="AU990" s="4"/>
      <c r="AV990" s="537"/>
      <c r="AW990" s="537"/>
      <c r="AX990" s="4"/>
      <c r="AY990" s="4"/>
      <c r="AZ990" s="4"/>
      <c r="BA990" s="4"/>
      <c r="BB990" s="4"/>
      <c r="BC990" s="4"/>
      <c r="BD990" s="4"/>
      <c r="BE990" s="4"/>
      <c r="BF990" s="4"/>
      <c r="BG990" s="4"/>
      <c r="BH990" s="4"/>
      <c r="BI990" s="4"/>
      <c r="BJ990" s="4"/>
      <c r="BK990" s="4"/>
      <c r="BL990" s="4"/>
      <c r="BM990" s="4"/>
      <c r="BN990" s="4"/>
      <c r="BO990" s="4"/>
      <c r="BP990" s="4"/>
      <c r="BQ990" s="4"/>
      <c r="BR990" s="4"/>
    </row>
    <row r="991" spans="1:70" ht="27" customHeight="1" x14ac:dyDescent="0.2">
      <c r="A991" s="532"/>
      <c r="B991" s="917"/>
      <c r="C991" s="4"/>
      <c r="D991" s="917"/>
      <c r="E991" s="4"/>
      <c r="F991" s="917"/>
      <c r="G991" s="4"/>
      <c r="H991" s="920"/>
      <c r="I991" s="3"/>
      <c r="J991" s="920"/>
      <c r="K991" s="3"/>
      <c r="L991" s="920"/>
      <c r="M991" s="3"/>
      <c r="N991" s="920"/>
      <c r="O991" s="3"/>
      <c r="P991" s="3"/>
      <c r="Q991" s="533"/>
      <c r="R991" s="920"/>
      <c r="S991" s="534"/>
      <c r="T991" s="920"/>
      <c r="U991" s="920"/>
      <c r="V991" s="920"/>
      <c r="W991" s="535"/>
      <c r="X991" s="687"/>
      <c r="Y991" s="687"/>
      <c r="Z991" s="687"/>
      <c r="AA991" s="678"/>
      <c r="AD991" s="533"/>
      <c r="AE991" s="3"/>
      <c r="AF991" s="4"/>
      <c r="AG991" s="4"/>
      <c r="AH991" s="4"/>
      <c r="AI991" s="4"/>
      <c r="AJ991" s="4"/>
      <c r="AK991" s="4"/>
      <c r="AL991" s="4"/>
      <c r="AM991" s="4"/>
      <c r="AN991" s="4"/>
      <c r="AO991" s="4"/>
      <c r="AP991" s="4"/>
      <c r="AQ991" s="4"/>
      <c r="AR991" s="4"/>
      <c r="AS991" s="4"/>
      <c r="AT991" s="4"/>
      <c r="AU991" s="4"/>
      <c r="AV991" s="537"/>
      <c r="AW991" s="537"/>
      <c r="AX991" s="4"/>
      <c r="AY991" s="4"/>
      <c r="AZ991" s="4"/>
      <c r="BA991" s="4"/>
      <c r="BB991" s="4"/>
      <c r="BC991" s="4"/>
      <c r="BD991" s="4"/>
      <c r="BE991" s="4"/>
      <c r="BF991" s="4"/>
      <c r="BG991" s="4"/>
      <c r="BH991" s="4"/>
      <c r="BI991" s="4"/>
      <c r="BJ991" s="4"/>
      <c r="BK991" s="4"/>
      <c r="BL991" s="4"/>
      <c r="BM991" s="4"/>
      <c r="BN991" s="4"/>
      <c r="BO991" s="4"/>
      <c r="BP991" s="4"/>
      <c r="BQ991" s="4"/>
      <c r="BR991" s="4"/>
    </row>
    <row r="992" spans="1:70" ht="27" customHeight="1" x14ac:dyDescent="0.2">
      <c r="A992" s="532"/>
      <c r="B992" s="917"/>
      <c r="C992" s="4"/>
      <c r="D992" s="917"/>
      <c r="E992" s="4"/>
      <c r="F992" s="917"/>
      <c r="G992" s="4"/>
      <c r="H992" s="920"/>
      <c r="I992" s="3"/>
      <c r="J992" s="920"/>
      <c r="K992" s="3"/>
      <c r="L992" s="920"/>
      <c r="M992" s="3"/>
      <c r="N992" s="920"/>
      <c r="O992" s="3"/>
      <c r="P992" s="3"/>
      <c r="Q992" s="533"/>
      <c r="R992" s="920"/>
      <c r="S992" s="534"/>
      <c r="T992" s="920"/>
      <c r="U992" s="920"/>
      <c r="V992" s="920"/>
      <c r="W992" s="535"/>
      <c r="X992" s="687"/>
      <c r="Y992" s="687"/>
      <c r="Z992" s="687"/>
      <c r="AA992" s="678"/>
      <c r="AD992" s="533"/>
      <c r="AE992" s="3"/>
      <c r="AF992" s="4"/>
      <c r="AG992" s="4"/>
      <c r="AH992" s="4"/>
      <c r="AI992" s="4"/>
      <c r="AJ992" s="4"/>
      <c r="AK992" s="4"/>
      <c r="AL992" s="4"/>
      <c r="AM992" s="4"/>
      <c r="AN992" s="4"/>
      <c r="AO992" s="4"/>
      <c r="AP992" s="4"/>
      <c r="AQ992" s="4"/>
      <c r="AR992" s="4"/>
      <c r="AS992" s="4"/>
      <c r="AT992" s="4"/>
      <c r="AU992" s="4"/>
      <c r="AV992" s="537"/>
      <c r="AW992" s="537"/>
      <c r="AX992" s="4"/>
      <c r="AY992" s="4"/>
      <c r="AZ992" s="4"/>
      <c r="BA992" s="4"/>
      <c r="BB992" s="4"/>
      <c r="BC992" s="4"/>
      <c r="BD992" s="4"/>
      <c r="BE992" s="4"/>
      <c r="BF992" s="4"/>
      <c r="BG992" s="4"/>
      <c r="BH992" s="4"/>
      <c r="BI992" s="4"/>
      <c r="BJ992" s="4"/>
      <c r="BK992" s="4"/>
      <c r="BL992" s="4"/>
      <c r="BM992" s="4"/>
      <c r="BN992" s="4"/>
      <c r="BO992" s="4"/>
      <c r="BP992" s="4"/>
      <c r="BQ992" s="4"/>
      <c r="BR992" s="4"/>
    </row>
    <row r="993" spans="1:70" ht="27" customHeight="1" x14ac:dyDescent="0.2">
      <c r="A993" s="532"/>
      <c r="B993" s="917"/>
      <c r="C993" s="4"/>
      <c r="D993" s="917"/>
      <c r="E993" s="4"/>
      <c r="F993" s="917"/>
      <c r="G993" s="4"/>
      <c r="H993" s="920"/>
      <c r="I993" s="3"/>
      <c r="J993" s="920"/>
      <c r="K993" s="3"/>
      <c r="L993" s="920"/>
      <c r="M993" s="3"/>
      <c r="N993" s="920"/>
      <c r="O993" s="3"/>
      <c r="P993" s="3"/>
      <c r="Q993" s="533"/>
      <c r="R993" s="920"/>
      <c r="S993" s="534"/>
      <c r="T993" s="920"/>
      <c r="U993" s="920"/>
      <c r="V993" s="920"/>
      <c r="W993" s="535"/>
      <c r="X993" s="687"/>
      <c r="Y993" s="687"/>
      <c r="Z993" s="687"/>
      <c r="AA993" s="678"/>
      <c r="AD993" s="533"/>
      <c r="AE993" s="3"/>
      <c r="AF993" s="4"/>
      <c r="AG993" s="4"/>
      <c r="AH993" s="4"/>
      <c r="AI993" s="4"/>
      <c r="AJ993" s="4"/>
      <c r="AK993" s="4"/>
      <c r="AL993" s="4"/>
      <c r="AM993" s="4"/>
      <c r="AN993" s="4"/>
      <c r="AO993" s="4"/>
      <c r="AP993" s="4"/>
      <c r="AQ993" s="4"/>
      <c r="AR993" s="4"/>
      <c r="AS993" s="4"/>
      <c r="AT993" s="4"/>
      <c r="AU993" s="4"/>
      <c r="AV993" s="537"/>
      <c r="AW993" s="537"/>
      <c r="AX993" s="4"/>
      <c r="AY993" s="4"/>
      <c r="AZ993" s="4"/>
      <c r="BA993" s="4"/>
      <c r="BB993" s="4"/>
      <c r="BC993" s="4"/>
      <c r="BD993" s="4"/>
      <c r="BE993" s="4"/>
      <c r="BF993" s="4"/>
      <c r="BG993" s="4"/>
      <c r="BH993" s="4"/>
      <c r="BI993" s="4"/>
      <c r="BJ993" s="4"/>
      <c r="BK993" s="4"/>
      <c r="BL993" s="4"/>
      <c r="BM993" s="4"/>
      <c r="BN993" s="4"/>
      <c r="BO993" s="4"/>
      <c r="BP993" s="4"/>
      <c r="BQ993" s="4"/>
      <c r="BR993" s="4"/>
    </row>
    <row r="994" spans="1:70" ht="27" customHeight="1" x14ac:dyDescent="0.2">
      <c r="A994" s="532"/>
      <c r="B994" s="917"/>
      <c r="C994" s="4"/>
      <c r="D994" s="917"/>
      <c r="E994" s="4"/>
      <c r="F994" s="917"/>
      <c r="G994" s="4"/>
      <c r="H994" s="920"/>
      <c r="I994" s="3"/>
      <c r="J994" s="920"/>
      <c r="K994" s="3"/>
      <c r="L994" s="920"/>
      <c r="M994" s="3"/>
      <c r="N994" s="920"/>
      <c r="O994" s="3"/>
      <c r="P994" s="3"/>
      <c r="Q994" s="533"/>
      <c r="R994" s="920"/>
      <c r="S994" s="534"/>
      <c r="T994" s="920"/>
      <c r="U994" s="920"/>
      <c r="V994" s="920"/>
      <c r="W994" s="535"/>
      <c r="X994" s="687"/>
      <c r="Y994" s="687"/>
      <c r="Z994" s="687"/>
      <c r="AA994" s="678"/>
      <c r="AD994" s="533"/>
      <c r="AE994" s="3"/>
      <c r="AF994" s="4"/>
      <c r="AG994" s="4"/>
      <c r="AH994" s="4"/>
      <c r="AI994" s="4"/>
      <c r="AJ994" s="4"/>
      <c r="AK994" s="4"/>
      <c r="AL994" s="4"/>
      <c r="AM994" s="4"/>
      <c r="AN994" s="4"/>
      <c r="AO994" s="4"/>
      <c r="AP994" s="4"/>
      <c r="AQ994" s="4"/>
      <c r="AR994" s="4"/>
      <c r="AS994" s="4"/>
      <c r="AT994" s="4"/>
      <c r="AU994" s="4"/>
      <c r="AV994" s="537"/>
      <c r="AW994" s="537"/>
      <c r="AX994" s="4"/>
      <c r="AY994" s="4"/>
      <c r="AZ994" s="4"/>
      <c r="BA994" s="4"/>
      <c r="BB994" s="4"/>
      <c r="BC994" s="4"/>
      <c r="BD994" s="4"/>
      <c r="BE994" s="4"/>
      <c r="BF994" s="4"/>
      <c r="BG994" s="4"/>
      <c r="BH994" s="4"/>
      <c r="BI994" s="4"/>
      <c r="BJ994" s="4"/>
      <c r="BK994" s="4"/>
      <c r="BL994" s="4"/>
      <c r="BM994" s="4"/>
      <c r="BN994" s="4"/>
      <c r="BO994" s="4"/>
      <c r="BP994" s="4"/>
      <c r="BQ994" s="4"/>
      <c r="BR994" s="4"/>
    </row>
  </sheetData>
  <autoFilter ref="A8:BR46" xr:uid="{DF10B9A6-D76B-4FF5-8453-50556D638EE8}"/>
  <mergeCells count="30">
    <mergeCell ref="D58:E58"/>
    <mergeCell ref="F58:G58"/>
    <mergeCell ref="H58:I58"/>
    <mergeCell ref="D56:E56"/>
    <mergeCell ref="F56:G56"/>
    <mergeCell ref="H56:I56"/>
    <mergeCell ref="D57:E57"/>
    <mergeCell ref="F57:G57"/>
    <mergeCell ref="H57:I57"/>
    <mergeCell ref="AH7:AK7"/>
    <mergeCell ref="AL7:AQ7"/>
    <mergeCell ref="AR7:AT7"/>
    <mergeCell ref="U50:V50"/>
    <mergeCell ref="AB7:AE7"/>
    <mergeCell ref="A1:AV4"/>
    <mergeCell ref="A5:O6"/>
    <mergeCell ref="Q5:AX5"/>
    <mergeCell ref="AF6:AT6"/>
    <mergeCell ref="AU6:AU8"/>
    <mergeCell ref="AV6:AV8"/>
    <mergeCell ref="AW6:AW8"/>
    <mergeCell ref="AX6:AX8"/>
    <mergeCell ref="A7:B7"/>
    <mergeCell ref="C7:D7"/>
    <mergeCell ref="E7:F7"/>
    <mergeCell ref="G7:J7"/>
    <mergeCell ref="K7:N7"/>
    <mergeCell ref="O7:P7"/>
    <mergeCell ref="Q7:W7"/>
    <mergeCell ref="AF7:AG7"/>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pageSetUpPr fitToPage="1"/>
  </sheetPr>
  <dimension ref="A1:BS1014"/>
  <sheetViews>
    <sheetView topLeftCell="J6" zoomScale="60" zoomScaleNormal="60" workbookViewId="0">
      <pane ySplit="9" topLeftCell="A15" activePane="bottomLeft" state="frozen"/>
      <selection activeCell="A6" sqref="A6"/>
      <selection pane="bottomLeft" activeCell="J14" sqref="A14:XFD14"/>
    </sheetView>
  </sheetViews>
  <sheetFormatPr baseColWidth="10" defaultColWidth="14.42578125" defaultRowHeight="15" customHeight="1" x14ac:dyDescent="0.25"/>
  <cols>
    <col min="1" max="1" width="7.7109375" style="386" customWidth="1"/>
    <col min="2" max="2" width="17" style="927" customWidth="1"/>
    <col min="3" max="3" width="6.5703125" style="386" customWidth="1"/>
    <col min="4" max="4" width="12.28515625" style="927" customWidth="1"/>
    <col min="5" max="5" width="8" style="386" customWidth="1"/>
    <col min="6" max="6" width="26.28515625" style="927" customWidth="1"/>
    <col min="7" max="7" width="9.5703125" style="386" customWidth="1"/>
    <col min="8" max="8" width="23" style="927" customWidth="1"/>
    <col min="9" max="9" width="12.140625" style="386" customWidth="1"/>
    <col min="10" max="10" width="22.7109375" style="927" customWidth="1"/>
    <col min="11" max="11" width="12.28515625" style="386" customWidth="1"/>
    <col min="12" max="12" width="26.7109375" style="927" customWidth="1"/>
    <col min="13" max="13" width="14.7109375" style="386" customWidth="1"/>
    <col min="14" max="14" width="26" style="927" customWidth="1"/>
    <col min="15" max="17" width="9.28515625" style="386" customWidth="1"/>
    <col min="18" max="18" width="15.85546875" style="462" customWidth="1"/>
    <col min="19" max="19" width="30" style="927" customWidth="1"/>
    <col min="20" max="20" width="9.42578125" style="386" customWidth="1"/>
    <col min="21" max="21" width="36.85546875" style="927" customWidth="1"/>
    <col min="22" max="22" width="34.85546875" style="927" customWidth="1"/>
    <col min="23" max="23" width="31.7109375" style="927" customWidth="1"/>
    <col min="24" max="28" width="23.7109375" style="386" customWidth="1"/>
    <col min="29" max="29" width="51.5703125" style="386" customWidth="1"/>
    <col min="30" max="30" width="26.28515625" style="463" customWidth="1"/>
    <col min="31" max="31" width="10.85546875" style="386" customWidth="1"/>
    <col min="32" max="32" width="13.28515625" style="386" customWidth="1"/>
    <col min="33" max="33" width="11.140625" style="469" customWidth="1"/>
    <col min="34" max="35" width="11.42578125" style="469" customWidth="1"/>
    <col min="36" max="37" width="9.85546875" style="469" customWidth="1"/>
    <col min="38" max="38" width="9.5703125" style="469" customWidth="1"/>
    <col min="39" max="39" width="8.85546875" style="469" customWidth="1"/>
    <col min="40" max="40" width="8" style="469" customWidth="1"/>
    <col min="41" max="42" width="4.42578125" style="469" customWidth="1"/>
    <col min="43" max="43" width="5" style="469" customWidth="1"/>
    <col min="44" max="44" width="5.85546875" style="469" customWidth="1"/>
    <col min="45" max="45" width="8.85546875" style="469" customWidth="1"/>
    <col min="46" max="46" width="7.5703125" style="469" customWidth="1"/>
    <col min="47" max="47" width="7.7109375" style="470" customWidth="1"/>
    <col min="48" max="48" width="10.85546875" style="469" customWidth="1"/>
    <col min="49" max="49" width="13.140625" style="386" customWidth="1"/>
    <col min="50" max="50" width="12.140625" style="386" customWidth="1"/>
    <col min="51" max="51" width="26.85546875" style="386" customWidth="1"/>
    <col min="52" max="71" width="9.140625" style="386" customWidth="1"/>
    <col min="72" max="16384" width="14.42578125" style="386"/>
  </cols>
  <sheetData>
    <row r="1" spans="1:71" ht="12" customHeight="1" x14ac:dyDescent="0.25">
      <c r="A1" s="1183" t="s">
        <v>1494</v>
      </c>
      <c r="B1" s="1184"/>
      <c r="C1" s="1184"/>
      <c r="D1" s="1184"/>
      <c r="E1" s="1184"/>
      <c r="F1" s="1184"/>
      <c r="G1" s="1184"/>
      <c r="H1" s="1184"/>
      <c r="I1" s="1184"/>
      <c r="J1" s="1184"/>
      <c r="K1" s="1184"/>
      <c r="L1" s="1184"/>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c r="AP1" s="1184"/>
      <c r="AQ1" s="1184"/>
      <c r="AR1" s="1184"/>
      <c r="AS1" s="1184"/>
      <c r="AT1" s="1184"/>
      <c r="AU1" s="1184"/>
      <c r="AV1" s="1184"/>
      <c r="AW1" s="1185"/>
      <c r="AX1" s="387" t="s">
        <v>2</v>
      </c>
      <c r="AY1" s="387" t="s">
        <v>3</v>
      </c>
      <c r="AZ1" s="388"/>
      <c r="BA1" s="388"/>
      <c r="BB1" s="388"/>
      <c r="BC1" s="388"/>
      <c r="BD1" s="388"/>
      <c r="BE1" s="388"/>
      <c r="BF1" s="388"/>
      <c r="BG1" s="388"/>
      <c r="BH1" s="388"/>
      <c r="BI1" s="388"/>
      <c r="BJ1" s="388"/>
      <c r="BK1" s="388"/>
      <c r="BL1" s="388"/>
      <c r="BM1" s="388"/>
      <c r="BN1" s="388"/>
      <c r="BO1" s="388"/>
      <c r="BP1" s="388"/>
      <c r="BQ1" s="388"/>
      <c r="BR1" s="388"/>
      <c r="BS1" s="388"/>
    </row>
    <row r="2" spans="1:71" ht="14.25" customHeight="1" x14ac:dyDescent="0.25">
      <c r="A2" s="1184"/>
      <c r="B2" s="1184"/>
      <c r="C2" s="1184"/>
      <c r="D2" s="1184"/>
      <c r="E2" s="1184"/>
      <c r="F2" s="1184"/>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5"/>
      <c r="AX2" s="387" t="s">
        <v>4</v>
      </c>
      <c r="AY2" s="387">
        <v>11</v>
      </c>
      <c r="AZ2" s="388"/>
      <c r="BA2" s="388"/>
      <c r="BB2" s="388"/>
      <c r="BC2" s="388"/>
      <c r="BD2" s="388"/>
      <c r="BE2" s="388"/>
      <c r="BF2" s="388"/>
      <c r="BG2" s="388"/>
      <c r="BH2" s="388"/>
      <c r="BI2" s="388"/>
      <c r="BJ2" s="388"/>
      <c r="BK2" s="388"/>
      <c r="BL2" s="388"/>
      <c r="BM2" s="388"/>
      <c r="BN2" s="388"/>
      <c r="BO2" s="388"/>
      <c r="BP2" s="388"/>
      <c r="BQ2" s="388"/>
      <c r="BR2" s="388"/>
      <c r="BS2" s="388"/>
    </row>
    <row r="3" spans="1:71" ht="15" customHeight="1" x14ac:dyDescent="0.25">
      <c r="A3" s="1184"/>
      <c r="B3" s="1184"/>
      <c r="C3" s="1184"/>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5"/>
      <c r="AX3" s="387" t="s">
        <v>5</v>
      </c>
      <c r="AY3" s="389">
        <v>44714</v>
      </c>
      <c r="AZ3" s="388"/>
      <c r="BA3" s="388"/>
      <c r="BB3" s="388"/>
      <c r="BC3" s="388"/>
      <c r="BD3" s="388"/>
      <c r="BE3" s="388"/>
      <c r="BF3" s="388"/>
      <c r="BG3" s="388"/>
      <c r="BH3" s="388"/>
      <c r="BI3" s="388"/>
      <c r="BJ3" s="388"/>
      <c r="BK3" s="388"/>
      <c r="BL3" s="388"/>
      <c r="BM3" s="388"/>
      <c r="BN3" s="388"/>
      <c r="BO3" s="388"/>
      <c r="BP3" s="388"/>
      <c r="BQ3" s="388"/>
      <c r="BR3" s="388"/>
      <c r="BS3" s="388"/>
    </row>
    <row r="4" spans="1:71" ht="10.5" customHeight="1" x14ac:dyDescent="0.25">
      <c r="A4" s="1186"/>
      <c r="B4" s="1186"/>
      <c r="C4" s="1186"/>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5"/>
      <c r="AX4" s="390" t="s">
        <v>6</v>
      </c>
      <c r="AY4" s="391" t="s">
        <v>7</v>
      </c>
      <c r="AZ4" s="388"/>
      <c r="BA4" s="388"/>
      <c r="BB4" s="388"/>
      <c r="BC4" s="388"/>
      <c r="BD4" s="388"/>
      <c r="BE4" s="388"/>
      <c r="BF4" s="388"/>
      <c r="BG4" s="388"/>
      <c r="BH4" s="388"/>
      <c r="BI4" s="388"/>
      <c r="BJ4" s="388"/>
      <c r="BK4" s="388"/>
      <c r="BL4" s="388"/>
      <c r="BM4" s="388"/>
      <c r="BN4" s="388"/>
      <c r="BO4" s="388"/>
      <c r="BP4" s="388"/>
      <c r="BQ4" s="388"/>
      <c r="BR4" s="388"/>
      <c r="BS4" s="388"/>
    </row>
    <row r="5" spans="1:71" ht="9" customHeight="1" x14ac:dyDescent="0.25">
      <c r="A5" s="392" t="s">
        <v>1495</v>
      </c>
      <c r="B5" s="925"/>
      <c r="C5" s="393"/>
      <c r="D5" s="928"/>
      <c r="E5" s="393"/>
      <c r="F5" s="928"/>
      <c r="G5" s="393"/>
      <c r="H5" s="928"/>
      <c r="I5" s="393"/>
      <c r="J5" s="928"/>
      <c r="K5" s="393"/>
      <c r="L5" s="928"/>
      <c r="M5" s="393"/>
      <c r="N5" s="928"/>
      <c r="O5" s="393"/>
      <c r="P5" s="394"/>
      <c r="Q5" s="394"/>
      <c r="R5" s="1187"/>
      <c r="S5" s="1188"/>
      <c r="T5" s="1188"/>
      <c r="U5" s="1188"/>
      <c r="V5" s="1188"/>
      <c r="W5" s="1188"/>
      <c r="X5" s="1188"/>
      <c r="Y5" s="1188"/>
      <c r="Z5" s="1188"/>
      <c r="AA5" s="1188"/>
      <c r="AB5" s="1188"/>
      <c r="AC5" s="1188"/>
      <c r="AD5" s="1188"/>
      <c r="AE5" s="1188"/>
      <c r="AF5" s="1188"/>
      <c r="AG5" s="1188"/>
      <c r="AH5" s="1188"/>
      <c r="AI5" s="1188"/>
      <c r="AJ5" s="1188"/>
      <c r="AK5" s="1188"/>
      <c r="AL5" s="1188"/>
      <c r="AM5" s="1188"/>
      <c r="AN5" s="1188"/>
      <c r="AO5" s="1188"/>
      <c r="AP5" s="1188"/>
      <c r="AQ5" s="1188"/>
      <c r="AR5" s="1188"/>
      <c r="AS5" s="1188"/>
      <c r="AT5" s="1188"/>
      <c r="AU5" s="1188"/>
      <c r="AV5" s="1189"/>
      <c r="AW5" s="1189"/>
      <c r="AX5" s="1189"/>
      <c r="AY5" s="1189"/>
      <c r="AZ5" s="388"/>
      <c r="BA5" s="388"/>
      <c r="BB5" s="388"/>
      <c r="BC5" s="388"/>
      <c r="BD5" s="388"/>
      <c r="BE5" s="388"/>
      <c r="BF5" s="388"/>
      <c r="BG5" s="388"/>
      <c r="BH5" s="388"/>
      <c r="BI5" s="388"/>
      <c r="BJ5" s="388"/>
      <c r="BK5" s="388"/>
      <c r="BL5" s="388"/>
      <c r="BM5" s="388"/>
      <c r="BN5" s="388"/>
      <c r="BO5" s="388"/>
      <c r="BP5" s="388"/>
      <c r="BQ5" s="388"/>
      <c r="BR5" s="388"/>
      <c r="BS5" s="388"/>
    </row>
    <row r="6" spans="1:71" ht="15.75" customHeight="1" x14ac:dyDescent="0.25">
      <c r="A6" s="1190"/>
      <c r="B6" s="1190"/>
      <c r="C6" s="1191"/>
      <c r="D6" s="1191"/>
      <c r="E6" s="1191"/>
      <c r="F6" s="1191"/>
      <c r="G6" s="1191"/>
      <c r="H6" s="1191"/>
      <c r="I6" s="1191"/>
      <c r="J6" s="1191"/>
      <c r="K6" s="1191"/>
      <c r="L6" s="1191"/>
      <c r="M6" s="1191"/>
      <c r="N6" s="1191"/>
      <c r="O6" s="1191"/>
      <c r="P6" s="1191"/>
      <c r="Q6" s="1191"/>
      <c r="R6" s="1191"/>
      <c r="S6" s="1191"/>
      <c r="T6" s="1191"/>
      <c r="U6" s="1191"/>
      <c r="V6" s="1191"/>
      <c r="W6" s="1191"/>
      <c r="X6" s="1191"/>
      <c r="Y6" s="1191"/>
      <c r="Z6" s="1191"/>
      <c r="AA6" s="1191"/>
      <c r="AB6" s="1191"/>
      <c r="AC6" s="1191"/>
      <c r="AD6" s="1191"/>
      <c r="AE6" s="1191"/>
      <c r="AF6" s="1191"/>
      <c r="AG6" s="1191"/>
      <c r="AH6" s="1191"/>
      <c r="AI6" s="1191"/>
      <c r="AJ6" s="1191"/>
      <c r="AK6" s="1191"/>
      <c r="AL6" s="1191"/>
      <c r="AM6" s="1191"/>
      <c r="AN6" s="1191"/>
      <c r="AO6" s="1191"/>
      <c r="AP6" s="1191"/>
      <c r="AQ6" s="1191"/>
      <c r="AR6" s="1191"/>
      <c r="AS6" s="1191"/>
      <c r="AT6" s="1191"/>
      <c r="AU6" s="1191"/>
      <c r="AV6" s="1191"/>
      <c r="AW6" s="1191"/>
      <c r="AX6" s="1191"/>
      <c r="AY6" s="1192"/>
      <c r="AZ6" s="388"/>
      <c r="BA6" s="388"/>
      <c r="BB6" s="388"/>
      <c r="BC6" s="388"/>
      <c r="BD6" s="388"/>
      <c r="BE6" s="388"/>
      <c r="BF6" s="388"/>
      <c r="BG6" s="388"/>
      <c r="BH6" s="388"/>
      <c r="BI6" s="388"/>
      <c r="BJ6" s="388"/>
      <c r="BK6" s="388"/>
      <c r="BL6" s="388"/>
      <c r="BM6" s="388"/>
      <c r="BN6" s="388"/>
      <c r="BO6" s="388"/>
      <c r="BP6" s="388"/>
      <c r="BQ6" s="388"/>
      <c r="BR6" s="388"/>
      <c r="BS6" s="388"/>
    </row>
    <row r="7" spans="1:71" ht="18.75" customHeight="1" x14ac:dyDescent="0.25">
      <c r="A7" s="1190"/>
      <c r="B7" s="1190"/>
      <c r="C7" s="1193" t="s">
        <v>1496</v>
      </c>
      <c r="D7" s="1194"/>
      <c r="E7" s="1194"/>
      <c r="F7" s="1194"/>
      <c r="G7" s="1194"/>
      <c r="H7" s="1194"/>
      <c r="I7" s="1194"/>
      <c r="J7" s="1194"/>
      <c r="K7" s="1194"/>
      <c r="L7" s="1194"/>
      <c r="M7" s="1194"/>
      <c r="N7" s="1194"/>
      <c r="O7" s="1194"/>
      <c r="P7" s="1194"/>
      <c r="Q7" s="1194"/>
      <c r="R7" s="1194"/>
      <c r="S7" s="1194"/>
      <c r="T7" s="1194"/>
      <c r="U7" s="1194"/>
      <c r="V7" s="1194"/>
      <c r="W7" s="1194"/>
      <c r="X7" s="1194"/>
      <c r="Y7" s="1194"/>
      <c r="Z7" s="1194"/>
      <c r="AA7" s="1194"/>
      <c r="AB7" s="1194"/>
      <c r="AC7" s="1194"/>
      <c r="AD7" s="1194"/>
      <c r="AE7" s="1194"/>
      <c r="AF7" s="1194"/>
      <c r="AG7" s="1194"/>
      <c r="AH7" s="1194"/>
      <c r="AI7" s="1194"/>
      <c r="AJ7" s="1194"/>
      <c r="AK7" s="1194"/>
      <c r="AL7" s="1194"/>
      <c r="AM7" s="1194"/>
      <c r="AN7" s="1194"/>
      <c r="AO7" s="1194"/>
      <c r="AP7" s="1194"/>
      <c r="AQ7" s="1194"/>
      <c r="AR7" s="1194"/>
      <c r="AS7" s="1194"/>
      <c r="AT7" s="1194"/>
      <c r="AU7" s="1194"/>
      <c r="AV7" s="1194"/>
      <c r="AW7" s="1195"/>
      <c r="AX7" s="2" t="s">
        <v>2</v>
      </c>
      <c r="AY7" s="2" t="s">
        <v>3</v>
      </c>
      <c r="AZ7" s="388"/>
      <c r="BA7" s="388"/>
      <c r="BB7" s="388"/>
      <c r="BC7" s="388"/>
      <c r="BD7" s="388"/>
      <c r="BE7" s="388"/>
      <c r="BF7" s="388"/>
      <c r="BG7" s="388"/>
      <c r="BH7" s="388"/>
      <c r="BI7" s="388"/>
      <c r="BJ7" s="388"/>
      <c r="BK7" s="388"/>
      <c r="BL7" s="388"/>
      <c r="BM7" s="388"/>
      <c r="BN7" s="388"/>
      <c r="BO7" s="388"/>
      <c r="BP7" s="388"/>
      <c r="BQ7" s="388"/>
      <c r="BR7" s="388"/>
      <c r="BS7" s="388"/>
    </row>
    <row r="8" spans="1:71" ht="14.25" customHeight="1" x14ac:dyDescent="0.2">
      <c r="A8" s="1190"/>
      <c r="B8" s="1190"/>
      <c r="C8" s="1193"/>
      <c r="D8" s="1194"/>
      <c r="E8" s="1194"/>
      <c r="F8" s="1194"/>
      <c r="G8" s="1194"/>
      <c r="H8" s="1194"/>
      <c r="I8" s="1194"/>
      <c r="J8" s="1194"/>
      <c r="K8" s="1194"/>
      <c r="L8" s="1194"/>
      <c r="M8" s="1194"/>
      <c r="N8" s="1194"/>
      <c r="O8" s="1194"/>
      <c r="P8" s="1194"/>
      <c r="Q8" s="1194"/>
      <c r="R8" s="1194"/>
      <c r="S8" s="1194"/>
      <c r="T8" s="1194"/>
      <c r="U8" s="1194"/>
      <c r="V8" s="1194"/>
      <c r="W8" s="1194"/>
      <c r="X8" s="1194"/>
      <c r="Y8" s="1194"/>
      <c r="Z8" s="1194"/>
      <c r="AA8" s="1194"/>
      <c r="AB8" s="1194"/>
      <c r="AC8" s="1194"/>
      <c r="AD8" s="1194"/>
      <c r="AE8" s="1194"/>
      <c r="AF8" s="1194"/>
      <c r="AG8" s="1194"/>
      <c r="AH8" s="1194"/>
      <c r="AI8" s="1194"/>
      <c r="AJ8" s="1194"/>
      <c r="AK8" s="1194"/>
      <c r="AL8" s="1194"/>
      <c r="AM8" s="1194"/>
      <c r="AN8" s="1194"/>
      <c r="AO8" s="1194"/>
      <c r="AP8" s="1194"/>
      <c r="AQ8" s="1194"/>
      <c r="AR8" s="1194"/>
      <c r="AS8" s="1194"/>
      <c r="AT8" s="1194"/>
      <c r="AU8" s="1194"/>
      <c r="AV8" s="1194"/>
      <c r="AW8" s="1195"/>
      <c r="AX8" s="2" t="s">
        <v>4</v>
      </c>
      <c r="AY8" s="49">
        <v>11</v>
      </c>
      <c r="AZ8" s="388"/>
      <c r="BA8" s="388"/>
      <c r="BB8" s="388"/>
      <c r="BC8" s="388"/>
      <c r="BD8" s="388"/>
      <c r="BE8" s="388"/>
      <c r="BF8" s="388"/>
      <c r="BG8" s="388"/>
      <c r="BH8" s="388"/>
      <c r="BI8" s="388"/>
      <c r="BJ8" s="388"/>
      <c r="BK8" s="388"/>
      <c r="BL8" s="388"/>
      <c r="BM8" s="388"/>
      <c r="BN8" s="388"/>
      <c r="BO8" s="388"/>
      <c r="BP8" s="388"/>
      <c r="BQ8" s="388"/>
      <c r="BR8" s="388"/>
      <c r="BS8" s="388"/>
    </row>
    <row r="9" spans="1:71" ht="12.75" customHeight="1" x14ac:dyDescent="0.2">
      <c r="A9" s="1190"/>
      <c r="B9" s="1190"/>
      <c r="C9" s="1193"/>
      <c r="D9" s="1194"/>
      <c r="E9" s="1194"/>
      <c r="F9" s="1194"/>
      <c r="G9" s="1194"/>
      <c r="H9" s="1194"/>
      <c r="I9" s="1194"/>
      <c r="J9" s="1194"/>
      <c r="K9" s="1194"/>
      <c r="L9" s="1194"/>
      <c r="M9" s="1194"/>
      <c r="N9" s="1194"/>
      <c r="O9" s="1194"/>
      <c r="P9" s="1194"/>
      <c r="Q9" s="1194"/>
      <c r="R9" s="1194"/>
      <c r="S9" s="1194"/>
      <c r="T9" s="1194"/>
      <c r="U9" s="1194"/>
      <c r="V9" s="1194"/>
      <c r="W9" s="1194"/>
      <c r="X9" s="1194"/>
      <c r="Y9" s="1194"/>
      <c r="Z9" s="1194"/>
      <c r="AA9" s="1194"/>
      <c r="AB9" s="1194"/>
      <c r="AC9" s="1194"/>
      <c r="AD9" s="1194"/>
      <c r="AE9" s="1194"/>
      <c r="AF9" s="1194"/>
      <c r="AG9" s="1194"/>
      <c r="AH9" s="1194"/>
      <c r="AI9" s="1194"/>
      <c r="AJ9" s="1194"/>
      <c r="AK9" s="1194"/>
      <c r="AL9" s="1194"/>
      <c r="AM9" s="1194"/>
      <c r="AN9" s="1194"/>
      <c r="AO9" s="1194"/>
      <c r="AP9" s="1194"/>
      <c r="AQ9" s="1194"/>
      <c r="AR9" s="1194"/>
      <c r="AS9" s="1194"/>
      <c r="AT9" s="1194"/>
      <c r="AU9" s="1194"/>
      <c r="AV9" s="1194"/>
      <c r="AW9" s="1195"/>
      <c r="AX9" s="2" t="s">
        <v>5</v>
      </c>
      <c r="AY9" s="50">
        <v>44714</v>
      </c>
      <c r="AZ9" s="388"/>
      <c r="BA9" s="388"/>
      <c r="BB9" s="388"/>
      <c r="BC9" s="388"/>
      <c r="BD9" s="388"/>
      <c r="BE9" s="388"/>
      <c r="BF9" s="388"/>
      <c r="BG9" s="388"/>
      <c r="BH9" s="388"/>
      <c r="BI9" s="388"/>
      <c r="BJ9" s="388"/>
      <c r="BK9" s="388"/>
      <c r="BL9" s="388"/>
      <c r="BM9" s="388"/>
      <c r="BN9" s="388"/>
      <c r="BO9" s="388"/>
      <c r="BP9" s="388"/>
      <c r="BQ9" s="388"/>
      <c r="BR9" s="388"/>
      <c r="BS9" s="388"/>
    </row>
    <row r="10" spans="1:71" ht="12" customHeight="1" x14ac:dyDescent="0.25">
      <c r="A10" s="1190"/>
      <c r="B10" s="1190"/>
      <c r="C10" s="1193"/>
      <c r="D10" s="1194"/>
      <c r="E10" s="1194"/>
      <c r="F10" s="1194"/>
      <c r="G10" s="1194"/>
      <c r="H10" s="1194"/>
      <c r="I10" s="1194"/>
      <c r="J10" s="1194"/>
      <c r="K10" s="1194"/>
      <c r="L10" s="1194"/>
      <c r="M10" s="1194"/>
      <c r="N10" s="1194"/>
      <c r="O10" s="1194"/>
      <c r="P10" s="1194"/>
      <c r="Q10" s="1194"/>
      <c r="R10" s="1194"/>
      <c r="S10" s="1194"/>
      <c r="T10" s="1194"/>
      <c r="U10" s="1194"/>
      <c r="V10" s="1194"/>
      <c r="W10" s="1194"/>
      <c r="X10" s="1194"/>
      <c r="Y10" s="1194"/>
      <c r="Z10" s="1194"/>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5"/>
      <c r="AX10" s="395" t="s">
        <v>6</v>
      </c>
      <c r="AY10" s="396" t="s">
        <v>7</v>
      </c>
      <c r="AZ10" s="388"/>
      <c r="BA10" s="388"/>
      <c r="BB10" s="388"/>
      <c r="BC10" s="388"/>
      <c r="BD10" s="388"/>
      <c r="BE10" s="388"/>
      <c r="BF10" s="388"/>
      <c r="BG10" s="388"/>
      <c r="BH10" s="388"/>
      <c r="BI10" s="388"/>
      <c r="BJ10" s="388"/>
      <c r="BK10" s="388"/>
      <c r="BL10" s="388"/>
      <c r="BM10" s="388"/>
      <c r="BN10" s="388"/>
      <c r="BO10" s="388"/>
      <c r="BP10" s="388"/>
      <c r="BQ10" s="388"/>
      <c r="BR10" s="388"/>
      <c r="BS10" s="388"/>
    </row>
    <row r="11" spans="1:71" ht="23.25" customHeight="1" x14ac:dyDescent="0.25">
      <c r="A11" s="1190"/>
      <c r="B11" s="1190"/>
      <c r="C11" s="1196" t="s">
        <v>275</v>
      </c>
      <c r="D11" s="1197"/>
      <c r="E11" s="1197"/>
      <c r="F11" s="1197"/>
      <c r="G11" s="1197"/>
      <c r="H11" s="1197"/>
      <c r="I11" s="1197"/>
      <c r="J11" s="1197"/>
      <c r="K11" s="1197"/>
      <c r="L11" s="1197"/>
      <c r="M11" s="1197"/>
      <c r="N11" s="1197"/>
      <c r="O11" s="1197"/>
      <c r="P11" s="1197"/>
      <c r="Q11" s="1197"/>
      <c r="R11" s="1197"/>
      <c r="S11" s="1197"/>
      <c r="T11" s="1197"/>
      <c r="U11" s="1197"/>
      <c r="V11" s="1197"/>
      <c r="W11" s="1197"/>
      <c r="X11" s="1197"/>
      <c r="Y11" s="1197"/>
      <c r="Z11" s="1197"/>
      <c r="AA11" s="1197"/>
      <c r="AB11" s="1197"/>
      <c r="AC11" s="1197"/>
      <c r="AD11" s="1197"/>
      <c r="AE11" s="1197"/>
      <c r="AF11" s="1197"/>
      <c r="AG11" s="1197"/>
      <c r="AH11" s="1197"/>
      <c r="AI11" s="1197"/>
      <c r="AJ11" s="1197"/>
      <c r="AK11" s="1197"/>
      <c r="AL11" s="1197"/>
      <c r="AM11" s="1197"/>
      <c r="AN11" s="1197"/>
      <c r="AO11" s="1197"/>
      <c r="AP11" s="1197"/>
      <c r="AQ11" s="1197"/>
      <c r="AR11" s="1197"/>
      <c r="AS11" s="1197"/>
      <c r="AT11" s="1197"/>
      <c r="AU11" s="1197"/>
      <c r="AV11" s="1197"/>
      <c r="AW11" s="1197"/>
      <c r="AX11" s="1197"/>
      <c r="AY11" s="1198"/>
      <c r="AZ11" s="388"/>
      <c r="BA11" s="388"/>
      <c r="BB11" s="388"/>
      <c r="BC11" s="388"/>
      <c r="BD11" s="388"/>
      <c r="BE11" s="388"/>
      <c r="BF11" s="388"/>
      <c r="BG11" s="388"/>
      <c r="BH11" s="388"/>
      <c r="BI11" s="388"/>
      <c r="BJ11" s="388"/>
      <c r="BK11" s="388"/>
      <c r="BL11" s="388"/>
      <c r="BM11" s="388"/>
      <c r="BN11" s="388"/>
      <c r="BO11" s="388"/>
      <c r="BP11" s="388"/>
      <c r="BQ11" s="388"/>
      <c r="BR11" s="388"/>
      <c r="BS11" s="388"/>
    </row>
    <row r="12" spans="1:71" ht="19.5" customHeight="1" x14ac:dyDescent="0.25">
      <c r="A12" s="1199" t="s">
        <v>1497</v>
      </c>
      <c r="B12" s="1199"/>
      <c r="C12" s="1201" t="s">
        <v>10</v>
      </c>
      <c r="D12" s="1201"/>
      <c r="E12" s="1201" t="s">
        <v>11</v>
      </c>
      <c r="F12" s="1201"/>
      <c r="G12" s="1201" t="s">
        <v>12</v>
      </c>
      <c r="H12" s="1201"/>
      <c r="I12" s="1201"/>
      <c r="J12" s="1201"/>
      <c r="K12" s="1201" t="s">
        <v>13</v>
      </c>
      <c r="L12" s="1201"/>
      <c r="M12" s="1201"/>
      <c r="N12" s="1201"/>
      <c r="O12" s="1201" t="s">
        <v>1233</v>
      </c>
      <c r="P12" s="1201"/>
      <c r="Q12" s="1201"/>
      <c r="R12" s="1210" t="s">
        <v>15</v>
      </c>
      <c r="S12" s="1210"/>
      <c r="T12" s="1210"/>
      <c r="U12" s="1210"/>
      <c r="V12" s="1210"/>
      <c r="W12" s="1210"/>
      <c r="X12" s="1210"/>
      <c r="Y12" s="701"/>
      <c r="Z12" s="701"/>
      <c r="AA12" s="701"/>
      <c r="AB12" s="701"/>
      <c r="AC12" s="1203"/>
      <c r="AD12" s="1204"/>
      <c r="AE12" s="1204"/>
      <c r="AF12" s="1205"/>
      <c r="AG12" s="1211" t="s">
        <v>16</v>
      </c>
      <c r="AH12" s="1212"/>
      <c r="AI12" s="1212"/>
      <c r="AJ12" s="1212"/>
      <c r="AK12" s="1212"/>
      <c r="AL12" s="1212"/>
      <c r="AM12" s="1212"/>
      <c r="AN12" s="1212"/>
      <c r="AO12" s="1212"/>
      <c r="AP12" s="1212"/>
      <c r="AQ12" s="1212"/>
      <c r="AR12" s="1212"/>
      <c r="AS12" s="1212"/>
      <c r="AT12" s="1212"/>
      <c r="AU12" s="1212"/>
      <c r="AV12" s="1213" t="s">
        <v>25</v>
      </c>
      <c r="AW12" s="994" t="s">
        <v>17</v>
      </c>
      <c r="AX12" s="994" t="s">
        <v>18</v>
      </c>
      <c r="AY12" s="994" t="s">
        <v>19</v>
      </c>
      <c r="AZ12" s="388"/>
      <c r="BA12" s="388"/>
      <c r="BB12" s="388"/>
      <c r="BC12" s="388"/>
      <c r="BD12" s="388"/>
      <c r="BE12" s="388"/>
      <c r="BF12" s="388"/>
      <c r="BG12" s="388"/>
      <c r="BH12" s="388"/>
      <c r="BI12" s="388"/>
      <c r="BJ12" s="388"/>
      <c r="BK12" s="388"/>
      <c r="BL12" s="388"/>
      <c r="BM12" s="388"/>
      <c r="BN12" s="388"/>
      <c r="BO12" s="388"/>
      <c r="BP12" s="388"/>
      <c r="BQ12" s="388"/>
      <c r="BR12" s="388"/>
      <c r="BS12" s="388"/>
    </row>
    <row r="13" spans="1:71" ht="21.75" customHeight="1" x14ac:dyDescent="0.2">
      <c r="A13" s="1200"/>
      <c r="B13" s="1200"/>
      <c r="C13" s="1201"/>
      <c r="D13" s="1201"/>
      <c r="E13" s="1201"/>
      <c r="F13" s="1201"/>
      <c r="G13" s="1201"/>
      <c r="H13" s="1201"/>
      <c r="I13" s="1201"/>
      <c r="J13" s="1201"/>
      <c r="K13" s="1201"/>
      <c r="L13" s="1201"/>
      <c r="M13" s="1201"/>
      <c r="N13" s="1201"/>
      <c r="O13" s="1201"/>
      <c r="P13" s="1201"/>
      <c r="Q13" s="1201"/>
      <c r="R13" s="1210"/>
      <c r="S13" s="1210"/>
      <c r="T13" s="1210"/>
      <c r="U13" s="1210"/>
      <c r="V13" s="1210"/>
      <c r="W13" s="1210"/>
      <c r="X13" s="1210"/>
      <c r="Y13" s="705"/>
      <c r="Z13" s="705"/>
      <c r="AA13" s="705"/>
      <c r="AB13" s="701"/>
      <c r="AC13" s="1203" t="s">
        <v>20</v>
      </c>
      <c r="AD13" s="1204"/>
      <c r="AE13" s="1204"/>
      <c r="AF13" s="1205"/>
      <c r="AG13" s="1206" t="s">
        <v>21</v>
      </c>
      <c r="AH13" s="1207"/>
      <c r="AI13" s="1208" t="s">
        <v>22</v>
      </c>
      <c r="AJ13" s="1207"/>
      <c r="AK13" s="1207"/>
      <c r="AL13" s="1207"/>
      <c r="AM13" s="1209" t="s">
        <v>23</v>
      </c>
      <c r="AN13" s="1207"/>
      <c r="AO13" s="1207"/>
      <c r="AP13" s="1207"/>
      <c r="AQ13" s="1207"/>
      <c r="AR13" s="1207"/>
      <c r="AS13" s="1208" t="s">
        <v>24</v>
      </c>
      <c r="AT13" s="1207"/>
      <c r="AU13" s="1207"/>
      <c r="AV13" s="1214"/>
      <c r="AW13" s="995"/>
      <c r="AX13" s="995"/>
      <c r="AY13" s="995"/>
      <c r="AZ13" s="388"/>
      <c r="BA13" s="388"/>
      <c r="BB13" s="388"/>
      <c r="BC13" s="388"/>
      <c r="BD13" s="388"/>
      <c r="BE13" s="388"/>
      <c r="BF13" s="388"/>
      <c r="BG13" s="388"/>
      <c r="BH13" s="388"/>
      <c r="BI13" s="388"/>
      <c r="BJ13" s="388"/>
      <c r="BK13" s="388"/>
      <c r="BL13" s="388"/>
      <c r="BM13" s="388"/>
      <c r="BN13" s="388"/>
      <c r="BO13" s="388"/>
      <c r="BP13" s="388"/>
      <c r="BQ13" s="388"/>
      <c r="BR13" s="388"/>
      <c r="BS13" s="388"/>
    </row>
    <row r="14" spans="1:71" ht="70.5" customHeight="1" x14ac:dyDescent="0.25">
      <c r="A14" s="16" t="s">
        <v>26</v>
      </c>
      <c r="B14" s="17" t="s">
        <v>27</v>
      </c>
      <c r="C14" s="16" t="s">
        <v>26</v>
      </c>
      <c r="D14" s="17" t="s">
        <v>27</v>
      </c>
      <c r="E14" s="17" t="s">
        <v>26</v>
      </c>
      <c r="F14" s="17" t="s">
        <v>27</v>
      </c>
      <c r="G14" s="18" t="s">
        <v>28</v>
      </c>
      <c r="H14" s="18" t="s">
        <v>29</v>
      </c>
      <c r="I14" s="18" t="s">
        <v>30</v>
      </c>
      <c r="J14" s="18" t="s">
        <v>31</v>
      </c>
      <c r="K14" s="18" t="s">
        <v>28</v>
      </c>
      <c r="L14" s="18" t="s">
        <v>32</v>
      </c>
      <c r="M14" s="18" t="s">
        <v>33</v>
      </c>
      <c r="N14" s="18" t="s">
        <v>34</v>
      </c>
      <c r="O14" s="18" t="s">
        <v>35</v>
      </c>
      <c r="P14" s="18" t="s">
        <v>36</v>
      </c>
      <c r="Q14" s="18" t="s">
        <v>37</v>
      </c>
      <c r="R14" s="17" t="s">
        <v>38</v>
      </c>
      <c r="S14" s="17" t="s">
        <v>39</v>
      </c>
      <c r="T14" s="19" t="s">
        <v>40</v>
      </c>
      <c r="U14" s="17" t="s">
        <v>41</v>
      </c>
      <c r="V14" s="17" t="s">
        <v>42</v>
      </c>
      <c r="W14" s="17" t="s">
        <v>43</v>
      </c>
      <c r="X14" s="704" t="s">
        <v>44</v>
      </c>
      <c r="Y14" s="908" t="s">
        <v>45</v>
      </c>
      <c r="Z14" s="909" t="s">
        <v>46</v>
      </c>
      <c r="AA14" s="909" t="s">
        <v>47</v>
      </c>
      <c r="AB14" s="908" t="s">
        <v>48</v>
      </c>
      <c r="AC14" s="397" t="s">
        <v>49</v>
      </c>
      <c r="AD14" s="397" t="s">
        <v>1237</v>
      </c>
      <c r="AE14" s="398" t="s">
        <v>1238</v>
      </c>
      <c r="AF14" s="399" t="s">
        <v>27</v>
      </c>
      <c r="AG14" s="21" t="s">
        <v>53</v>
      </c>
      <c r="AH14" s="22" t="s">
        <v>54</v>
      </c>
      <c r="AI14" s="21" t="s">
        <v>55</v>
      </c>
      <c r="AJ14" s="21" t="s">
        <v>56</v>
      </c>
      <c r="AK14" s="21" t="s">
        <v>57</v>
      </c>
      <c r="AL14" s="21" t="s">
        <v>58</v>
      </c>
      <c r="AM14" s="21" t="s">
        <v>59</v>
      </c>
      <c r="AN14" s="21" t="s">
        <v>60</v>
      </c>
      <c r="AO14" s="21" t="s">
        <v>61</v>
      </c>
      <c r="AP14" s="21" t="s">
        <v>62</v>
      </c>
      <c r="AQ14" s="21" t="s">
        <v>63</v>
      </c>
      <c r="AR14" s="21" t="s">
        <v>64</v>
      </c>
      <c r="AS14" s="21" t="s">
        <v>65</v>
      </c>
      <c r="AT14" s="21" t="s">
        <v>66</v>
      </c>
      <c r="AU14" s="21" t="s">
        <v>67</v>
      </c>
      <c r="AV14" s="1215"/>
      <c r="AW14" s="996"/>
      <c r="AX14" s="996"/>
      <c r="AY14" s="996"/>
      <c r="AZ14" s="388"/>
      <c r="BA14" s="388"/>
      <c r="BB14" s="388"/>
      <c r="BC14" s="388"/>
      <c r="BD14" s="388"/>
      <c r="BE14" s="388"/>
      <c r="BF14" s="388"/>
      <c r="BG14" s="388"/>
      <c r="BH14" s="388"/>
      <c r="BI14" s="388"/>
      <c r="BJ14" s="388"/>
      <c r="BK14" s="388"/>
      <c r="BL14" s="388"/>
      <c r="BM14" s="388"/>
      <c r="BN14" s="388"/>
      <c r="BO14" s="388"/>
      <c r="BP14" s="388"/>
      <c r="BQ14" s="388"/>
      <c r="BR14" s="388"/>
      <c r="BS14" s="388"/>
    </row>
    <row r="15" spans="1:71" ht="78" customHeight="1" x14ac:dyDescent="0.25">
      <c r="A15" s="400">
        <v>1</v>
      </c>
      <c r="B15" s="401" t="s">
        <v>315</v>
      </c>
      <c r="C15" s="402">
        <v>19</v>
      </c>
      <c r="D15" s="401" t="s">
        <v>517</v>
      </c>
      <c r="E15" s="402">
        <v>1905</v>
      </c>
      <c r="F15" s="401" t="s">
        <v>1498</v>
      </c>
      <c r="G15" s="402">
        <v>1905021</v>
      </c>
      <c r="H15" s="401" t="s">
        <v>1499</v>
      </c>
      <c r="I15" s="402">
        <v>1905021</v>
      </c>
      <c r="J15" s="401" t="s">
        <v>1499</v>
      </c>
      <c r="K15" s="402">
        <v>190502100</v>
      </c>
      <c r="L15" s="401" t="s">
        <v>1500</v>
      </c>
      <c r="M15" s="402">
        <v>190502100</v>
      </c>
      <c r="N15" s="401" t="s">
        <v>1500</v>
      </c>
      <c r="O15" s="403">
        <v>12</v>
      </c>
      <c r="P15" s="403" t="s">
        <v>285</v>
      </c>
      <c r="Q15" s="403">
        <f>SUM(O15:P15)</f>
        <v>12</v>
      </c>
      <c r="R15" s="404">
        <v>2020003630011</v>
      </c>
      <c r="S15" s="401" t="s">
        <v>1501</v>
      </c>
      <c r="T15" s="782">
        <f>SUM($X$15:$X$16)/SUM($X$15:$X$20)</f>
        <v>0.5714285714285714</v>
      </c>
      <c r="U15" s="401" t="s">
        <v>1502</v>
      </c>
      <c r="V15" s="401" t="s">
        <v>1503</v>
      </c>
      <c r="W15" s="401" t="s">
        <v>1504</v>
      </c>
      <c r="X15" s="405">
        <v>78000000</v>
      </c>
      <c r="Y15" s="706">
        <f>8000000</f>
        <v>8000000</v>
      </c>
      <c r="Z15" s="706"/>
      <c r="AA15" s="706"/>
      <c r="AB15" s="405">
        <f t="shared" ref="AB15:AB24" si="0">X15-Y15+Z15-AA15</f>
        <v>70000000</v>
      </c>
      <c r="AC15" s="406" t="s">
        <v>1505</v>
      </c>
      <c r="AD15" s="407"/>
      <c r="AE15" s="408">
        <v>20</v>
      </c>
      <c r="AF15" s="409" t="s">
        <v>132</v>
      </c>
      <c r="AG15" s="51">
        <v>236</v>
      </c>
      <c r="AH15" s="51">
        <v>236</v>
      </c>
      <c r="AI15" s="51">
        <v>480</v>
      </c>
      <c r="AJ15" s="51">
        <v>14</v>
      </c>
      <c r="AK15" s="51">
        <v>144</v>
      </c>
      <c r="AL15" s="51">
        <v>12</v>
      </c>
      <c r="AM15" s="51">
        <v>50</v>
      </c>
      <c r="AN15" s="51">
        <v>50</v>
      </c>
      <c r="AO15" s="51" t="s">
        <v>285</v>
      </c>
      <c r="AP15" s="51" t="s">
        <v>285</v>
      </c>
      <c r="AQ15" s="51" t="s">
        <v>285</v>
      </c>
      <c r="AR15" s="51" t="s">
        <v>285</v>
      </c>
      <c r="AS15" s="51">
        <v>50</v>
      </c>
      <c r="AT15" s="51">
        <v>50</v>
      </c>
      <c r="AU15" s="51" t="s">
        <v>1506</v>
      </c>
      <c r="AV15" s="51">
        <f>+AG15+AH15</f>
        <v>472</v>
      </c>
      <c r="AW15" s="293">
        <v>45292</v>
      </c>
      <c r="AX15" s="293">
        <v>45657</v>
      </c>
      <c r="AY15" s="402" t="s">
        <v>1507</v>
      </c>
    </row>
    <row r="16" spans="1:71" ht="79.5" customHeight="1" x14ac:dyDescent="0.25">
      <c r="A16" s="400">
        <v>1</v>
      </c>
      <c r="B16" s="401" t="s">
        <v>315</v>
      </c>
      <c r="C16" s="402">
        <v>19</v>
      </c>
      <c r="D16" s="401" t="s">
        <v>517</v>
      </c>
      <c r="E16" s="402">
        <v>1905</v>
      </c>
      <c r="F16" s="401" t="s">
        <v>1498</v>
      </c>
      <c r="G16" s="402">
        <v>1905021</v>
      </c>
      <c r="H16" s="401" t="s">
        <v>1499</v>
      </c>
      <c r="I16" s="402">
        <v>1905021</v>
      </c>
      <c r="J16" s="401" t="s">
        <v>1499</v>
      </c>
      <c r="K16" s="402">
        <v>190502100</v>
      </c>
      <c r="L16" s="401" t="s">
        <v>1500</v>
      </c>
      <c r="M16" s="402">
        <v>190502100</v>
      </c>
      <c r="N16" s="401" t="s">
        <v>1500</v>
      </c>
      <c r="O16" s="403">
        <v>12</v>
      </c>
      <c r="P16" s="403" t="s">
        <v>285</v>
      </c>
      <c r="Q16" s="403">
        <f t="shared" ref="Q16:Q63" si="1">SUM(O16:P16)</f>
        <v>12</v>
      </c>
      <c r="R16" s="404">
        <v>2020003630011</v>
      </c>
      <c r="S16" s="401" t="s">
        <v>1501</v>
      </c>
      <c r="T16" s="782">
        <f>SUM($X$15:$X$16)/SUM($X$15:$X$20)</f>
        <v>0.5714285714285714</v>
      </c>
      <c r="U16" s="401" t="s">
        <v>1502</v>
      </c>
      <c r="V16" s="401" t="s">
        <v>1503</v>
      </c>
      <c r="W16" s="401" t="s">
        <v>1508</v>
      </c>
      <c r="X16" s="405">
        <v>2000000</v>
      </c>
      <c r="Y16" s="405"/>
      <c r="Z16" s="405"/>
      <c r="AA16" s="405"/>
      <c r="AB16" s="405">
        <f t="shared" si="0"/>
        <v>2000000</v>
      </c>
      <c r="AC16" s="406" t="s">
        <v>1505</v>
      </c>
      <c r="AD16" s="407"/>
      <c r="AE16" s="408">
        <v>20</v>
      </c>
      <c r="AF16" s="409" t="s">
        <v>132</v>
      </c>
      <c r="AG16" s="51">
        <v>236</v>
      </c>
      <c r="AH16" s="51">
        <v>236</v>
      </c>
      <c r="AI16" s="51">
        <v>480</v>
      </c>
      <c r="AJ16" s="51">
        <v>14</v>
      </c>
      <c r="AK16" s="51">
        <v>144</v>
      </c>
      <c r="AL16" s="51">
        <v>12</v>
      </c>
      <c r="AM16" s="51">
        <v>50</v>
      </c>
      <c r="AN16" s="51">
        <v>50</v>
      </c>
      <c r="AO16" s="51" t="s">
        <v>285</v>
      </c>
      <c r="AP16" s="51" t="s">
        <v>285</v>
      </c>
      <c r="AQ16" s="51" t="s">
        <v>285</v>
      </c>
      <c r="AR16" s="51" t="s">
        <v>285</v>
      </c>
      <c r="AS16" s="51">
        <v>50</v>
      </c>
      <c r="AT16" s="51">
        <v>50</v>
      </c>
      <c r="AU16" s="51" t="s">
        <v>1506</v>
      </c>
      <c r="AV16" s="51">
        <f t="shared" ref="AV16:AV79" si="2">+AG16+AH16</f>
        <v>472</v>
      </c>
      <c r="AW16" s="293">
        <v>45292</v>
      </c>
      <c r="AX16" s="293">
        <v>45657</v>
      </c>
      <c r="AY16" s="402" t="s">
        <v>1507</v>
      </c>
    </row>
    <row r="17" spans="1:51" ht="73.5" customHeight="1" x14ac:dyDescent="0.25">
      <c r="A17" s="410">
        <v>1</v>
      </c>
      <c r="B17" s="401" t="s">
        <v>315</v>
      </c>
      <c r="C17" s="412">
        <v>19</v>
      </c>
      <c r="D17" s="411" t="s">
        <v>517</v>
      </c>
      <c r="E17" s="412">
        <v>1905</v>
      </c>
      <c r="F17" s="411" t="s">
        <v>1498</v>
      </c>
      <c r="G17" s="412">
        <v>1905022</v>
      </c>
      <c r="H17" s="411" t="s">
        <v>1511</v>
      </c>
      <c r="I17" s="412">
        <v>1905022</v>
      </c>
      <c r="J17" s="411" t="s">
        <v>1511</v>
      </c>
      <c r="K17" s="412">
        <v>190502200</v>
      </c>
      <c r="L17" s="411" t="s">
        <v>1512</v>
      </c>
      <c r="M17" s="412">
        <v>190502200</v>
      </c>
      <c r="N17" s="411" t="s">
        <v>1512</v>
      </c>
      <c r="O17" s="413">
        <v>12</v>
      </c>
      <c r="P17" s="413" t="s">
        <v>285</v>
      </c>
      <c r="Q17" s="403">
        <f t="shared" si="1"/>
        <v>12</v>
      </c>
      <c r="R17" s="414">
        <v>2020003630011</v>
      </c>
      <c r="S17" s="411" t="s">
        <v>1501</v>
      </c>
      <c r="T17" s="782">
        <f>SUM($X$17:$X$20)/SUM($X$15:$X$20)</f>
        <v>0.42857142857142855</v>
      </c>
      <c r="U17" s="411" t="s">
        <v>1502</v>
      </c>
      <c r="V17" s="411" t="s">
        <v>1503</v>
      </c>
      <c r="W17" s="411" t="s">
        <v>1509</v>
      </c>
      <c r="X17" s="405">
        <v>10000000</v>
      </c>
      <c r="Y17" s="405"/>
      <c r="Z17" s="405"/>
      <c r="AA17" s="405"/>
      <c r="AB17" s="405">
        <f t="shared" si="0"/>
        <v>10000000</v>
      </c>
      <c r="AC17" s="406" t="s">
        <v>1510</v>
      </c>
      <c r="AD17" s="415"/>
      <c r="AE17" s="408">
        <v>20</v>
      </c>
      <c r="AF17" s="409" t="s">
        <v>132</v>
      </c>
      <c r="AG17" s="51">
        <v>236</v>
      </c>
      <c r="AH17" s="51">
        <v>236</v>
      </c>
      <c r="AI17" s="51">
        <v>480</v>
      </c>
      <c r="AJ17" s="51">
        <v>14</v>
      </c>
      <c r="AK17" s="51">
        <v>144</v>
      </c>
      <c r="AL17" s="51">
        <v>12</v>
      </c>
      <c r="AM17" s="51">
        <v>50</v>
      </c>
      <c r="AN17" s="51">
        <v>50</v>
      </c>
      <c r="AO17" s="51" t="s">
        <v>285</v>
      </c>
      <c r="AP17" s="51" t="s">
        <v>285</v>
      </c>
      <c r="AQ17" s="51" t="s">
        <v>285</v>
      </c>
      <c r="AR17" s="51" t="s">
        <v>1506</v>
      </c>
      <c r="AS17" s="51">
        <v>50</v>
      </c>
      <c r="AT17" s="51">
        <v>50</v>
      </c>
      <c r="AU17" s="51" t="s">
        <v>1506</v>
      </c>
      <c r="AV17" s="51">
        <f t="shared" si="2"/>
        <v>472</v>
      </c>
      <c r="AW17" s="293">
        <v>45292</v>
      </c>
      <c r="AX17" s="293">
        <v>45657</v>
      </c>
      <c r="AY17" s="402" t="s">
        <v>1507</v>
      </c>
    </row>
    <row r="18" spans="1:51" ht="62.25" customHeight="1" x14ac:dyDescent="0.25">
      <c r="A18" s="410">
        <v>1</v>
      </c>
      <c r="B18" s="401" t="s">
        <v>315</v>
      </c>
      <c r="C18" s="412">
        <v>19</v>
      </c>
      <c r="D18" s="411" t="s">
        <v>517</v>
      </c>
      <c r="E18" s="412">
        <v>1905</v>
      </c>
      <c r="F18" s="411" t="s">
        <v>1498</v>
      </c>
      <c r="G18" s="412">
        <v>1905022</v>
      </c>
      <c r="H18" s="411" t="s">
        <v>1511</v>
      </c>
      <c r="I18" s="412">
        <v>1905022</v>
      </c>
      <c r="J18" s="411" t="s">
        <v>1511</v>
      </c>
      <c r="K18" s="412">
        <v>190502200</v>
      </c>
      <c r="L18" s="411" t="s">
        <v>1512</v>
      </c>
      <c r="M18" s="412">
        <v>190502200</v>
      </c>
      <c r="N18" s="411" t="s">
        <v>1512</v>
      </c>
      <c r="O18" s="413">
        <v>12</v>
      </c>
      <c r="P18" s="413" t="s">
        <v>285</v>
      </c>
      <c r="Q18" s="403">
        <f t="shared" si="1"/>
        <v>12</v>
      </c>
      <c r="R18" s="414">
        <v>2020003630011</v>
      </c>
      <c r="S18" s="411" t="s">
        <v>1501</v>
      </c>
      <c r="T18" s="782">
        <f t="shared" ref="T18:T20" si="3">SUM($X$17:$X$20)/SUM($X$15:$X$20)</f>
        <v>0.42857142857142855</v>
      </c>
      <c r="U18" s="411" t="s">
        <v>1502</v>
      </c>
      <c r="V18" s="411" t="s">
        <v>1503</v>
      </c>
      <c r="W18" s="411" t="s">
        <v>1513</v>
      </c>
      <c r="X18" s="405">
        <v>10000000</v>
      </c>
      <c r="Y18" s="405">
        <f>4800000</f>
        <v>4800000</v>
      </c>
      <c r="Z18" s="405"/>
      <c r="AA18" s="405"/>
      <c r="AB18" s="405">
        <f t="shared" si="0"/>
        <v>5200000</v>
      </c>
      <c r="AC18" s="406" t="s">
        <v>1510</v>
      </c>
      <c r="AD18" s="415"/>
      <c r="AE18" s="408">
        <v>20</v>
      </c>
      <c r="AF18" s="409" t="s">
        <v>132</v>
      </c>
      <c r="AG18" s="51">
        <v>236</v>
      </c>
      <c r="AH18" s="51">
        <v>236</v>
      </c>
      <c r="AI18" s="51">
        <v>480</v>
      </c>
      <c r="AJ18" s="51">
        <v>14</v>
      </c>
      <c r="AK18" s="51">
        <v>144</v>
      </c>
      <c r="AL18" s="51">
        <v>12</v>
      </c>
      <c r="AM18" s="51">
        <v>50</v>
      </c>
      <c r="AN18" s="51">
        <v>50</v>
      </c>
      <c r="AO18" s="51" t="s">
        <v>285</v>
      </c>
      <c r="AP18" s="51" t="s">
        <v>285</v>
      </c>
      <c r="AQ18" s="51" t="s">
        <v>285</v>
      </c>
      <c r="AR18" s="51" t="s">
        <v>1506</v>
      </c>
      <c r="AS18" s="51">
        <v>50</v>
      </c>
      <c r="AT18" s="51">
        <v>50</v>
      </c>
      <c r="AU18" s="51" t="s">
        <v>1506</v>
      </c>
      <c r="AV18" s="51">
        <f t="shared" si="2"/>
        <v>472</v>
      </c>
      <c r="AW18" s="293">
        <v>45292</v>
      </c>
      <c r="AX18" s="293">
        <v>45657</v>
      </c>
      <c r="AY18" s="402" t="s">
        <v>1507</v>
      </c>
    </row>
    <row r="19" spans="1:51" ht="62.25" customHeight="1" x14ac:dyDescent="0.25">
      <c r="A19" s="410">
        <v>1</v>
      </c>
      <c r="B19" s="401" t="s">
        <v>315</v>
      </c>
      <c r="C19" s="412">
        <v>19</v>
      </c>
      <c r="D19" s="411" t="s">
        <v>517</v>
      </c>
      <c r="E19" s="412">
        <v>1905</v>
      </c>
      <c r="F19" s="411" t="s">
        <v>1498</v>
      </c>
      <c r="G19" s="412">
        <v>1905022</v>
      </c>
      <c r="H19" s="411" t="s">
        <v>1511</v>
      </c>
      <c r="I19" s="412">
        <v>1905022</v>
      </c>
      <c r="J19" s="411" t="s">
        <v>1511</v>
      </c>
      <c r="K19" s="412">
        <v>190502200</v>
      </c>
      <c r="L19" s="411" t="s">
        <v>1512</v>
      </c>
      <c r="M19" s="412">
        <v>190502200</v>
      </c>
      <c r="N19" s="411" t="s">
        <v>1512</v>
      </c>
      <c r="O19" s="413">
        <v>12</v>
      </c>
      <c r="P19" s="413" t="s">
        <v>285</v>
      </c>
      <c r="Q19" s="403">
        <f t="shared" si="1"/>
        <v>12</v>
      </c>
      <c r="R19" s="414">
        <v>2020003630011</v>
      </c>
      <c r="S19" s="411" t="s">
        <v>1501</v>
      </c>
      <c r="T19" s="782">
        <f t="shared" si="3"/>
        <v>0.42857142857142855</v>
      </c>
      <c r="U19" s="411" t="s">
        <v>1502</v>
      </c>
      <c r="V19" s="411" t="s">
        <v>1503</v>
      </c>
      <c r="W19" s="411" t="s">
        <v>1514</v>
      </c>
      <c r="X19" s="405">
        <v>38000000</v>
      </c>
      <c r="Y19" s="405">
        <f>5800000+8000000+5400000</f>
        <v>19200000</v>
      </c>
      <c r="Z19" s="405">
        <f>5800000</f>
        <v>5800000</v>
      </c>
      <c r="AA19" s="405"/>
      <c r="AB19" s="405">
        <f t="shared" si="0"/>
        <v>24600000</v>
      </c>
      <c r="AC19" s="406" t="s">
        <v>1510</v>
      </c>
      <c r="AD19" s="415"/>
      <c r="AE19" s="408">
        <v>20</v>
      </c>
      <c r="AF19" s="409" t="s">
        <v>132</v>
      </c>
      <c r="AG19" s="51">
        <v>236</v>
      </c>
      <c r="AH19" s="51">
        <v>236</v>
      </c>
      <c r="AI19" s="51">
        <v>480</v>
      </c>
      <c r="AJ19" s="51">
        <v>14</v>
      </c>
      <c r="AK19" s="51">
        <v>144</v>
      </c>
      <c r="AL19" s="51">
        <v>12</v>
      </c>
      <c r="AM19" s="51">
        <v>50</v>
      </c>
      <c r="AN19" s="51">
        <v>50</v>
      </c>
      <c r="AO19" s="51" t="s">
        <v>285</v>
      </c>
      <c r="AP19" s="51" t="s">
        <v>285</v>
      </c>
      <c r="AQ19" s="51" t="s">
        <v>285</v>
      </c>
      <c r="AR19" s="51" t="s">
        <v>1506</v>
      </c>
      <c r="AS19" s="51">
        <v>50</v>
      </c>
      <c r="AT19" s="51">
        <v>50</v>
      </c>
      <c r="AU19" s="51" t="s">
        <v>1506</v>
      </c>
      <c r="AV19" s="51">
        <f t="shared" si="2"/>
        <v>472</v>
      </c>
      <c r="AW19" s="293">
        <v>45292</v>
      </c>
      <c r="AX19" s="293">
        <v>45657</v>
      </c>
      <c r="AY19" s="402" t="s">
        <v>1507</v>
      </c>
    </row>
    <row r="20" spans="1:51" ht="91.5" customHeight="1" x14ac:dyDescent="0.25">
      <c r="A20" s="410">
        <v>1</v>
      </c>
      <c r="B20" s="401" t="s">
        <v>315</v>
      </c>
      <c r="C20" s="412">
        <v>19</v>
      </c>
      <c r="D20" s="411" t="s">
        <v>517</v>
      </c>
      <c r="E20" s="412">
        <v>1905</v>
      </c>
      <c r="F20" s="411" t="s">
        <v>1498</v>
      </c>
      <c r="G20" s="412">
        <v>1905022</v>
      </c>
      <c r="H20" s="411" t="s">
        <v>1511</v>
      </c>
      <c r="I20" s="412">
        <v>1905022</v>
      </c>
      <c r="J20" s="411" t="s">
        <v>1511</v>
      </c>
      <c r="K20" s="412">
        <v>190502200</v>
      </c>
      <c r="L20" s="411" t="s">
        <v>1512</v>
      </c>
      <c r="M20" s="412">
        <v>190502200</v>
      </c>
      <c r="N20" s="411" t="s">
        <v>1512</v>
      </c>
      <c r="O20" s="413">
        <v>12</v>
      </c>
      <c r="P20" s="413" t="s">
        <v>285</v>
      </c>
      <c r="Q20" s="403">
        <f t="shared" si="1"/>
        <v>12</v>
      </c>
      <c r="R20" s="414">
        <v>2020003630011</v>
      </c>
      <c r="S20" s="411" t="s">
        <v>1501</v>
      </c>
      <c r="T20" s="782">
        <f t="shared" si="3"/>
        <v>0.42857142857142855</v>
      </c>
      <c r="U20" s="411" t="s">
        <v>1502</v>
      </c>
      <c r="V20" s="411" t="s">
        <v>1503</v>
      </c>
      <c r="W20" s="411" t="s">
        <v>1515</v>
      </c>
      <c r="X20" s="405">
        <v>2000000</v>
      </c>
      <c r="Y20" s="405"/>
      <c r="Z20" s="405"/>
      <c r="AA20" s="405"/>
      <c r="AB20" s="405">
        <f t="shared" si="0"/>
        <v>2000000</v>
      </c>
      <c r="AC20" s="406" t="s">
        <v>1516</v>
      </c>
      <c r="AD20" s="415"/>
      <c r="AE20" s="408">
        <v>20</v>
      </c>
      <c r="AF20" s="409" t="s">
        <v>132</v>
      </c>
      <c r="AG20" s="51">
        <v>236</v>
      </c>
      <c r="AH20" s="51">
        <v>236</v>
      </c>
      <c r="AI20" s="51">
        <v>480</v>
      </c>
      <c r="AJ20" s="51">
        <v>14</v>
      </c>
      <c r="AK20" s="51">
        <v>144</v>
      </c>
      <c r="AL20" s="51">
        <v>12</v>
      </c>
      <c r="AM20" s="51">
        <v>50</v>
      </c>
      <c r="AN20" s="51">
        <v>50</v>
      </c>
      <c r="AO20" s="51" t="s">
        <v>285</v>
      </c>
      <c r="AP20" s="51" t="s">
        <v>285</v>
      </c>
      <c r="AQ20" s="51" t="s">
        <v>285</v>
      </c>
      <c r="AR20" s="51" t="s">
        <v>1506</v>
      </c>
      <c r="AS20" s="51">
        <v>50</v>
      </c>
      <c r="AT20" s="51">
        <v>50</v>
      </c>
      <c r="AU20" s="51" t="s">
        <v>1506</v>
      </c>
      <c r="AV20" s="51">
        <f t="shared" si="2"/>
        <v>472</v>
      </c>
      <c r="AW20" s="293">
        <v>45292</v>
      </c>
      <c r="AX20" s="293">
        <v>45657</v>
      </c>
      <c r="AY20" s="402" t="s">
        <v>1507</v>
      </c>
    </row>
    <row r="21" spans="1:51" ht="113.25" customHeight="1" x14ac:dyDescent="0.25">
      <c r="A21" s="410">
        <v>1</v>
      </c>
      <c r="B21" s="401" t="s">
        <v>315</v>
      </c>
      <c r="C21" s="412">
        <v>33</v>
      </c>
      <c r="D21" s="411" t="s">
        <v>357</v>
      </c>
      <c r="E21" s="412">
        <v>3301</v>
      </c>
      <c r="F21" s="411" t="s">
        <v>1517</v>
      </c>
      <c r="G21" s="412">
        <v>3301051</v>
      </c>
      <c r="H21" s="411" t="s">
        <v>1518</v>
      </c>
      <c r="I21" s="412">
        <v>3301051</v>
      </c>
      <c r="J21" s="411" t="s">
        <v>1518</v>
      </c>
      <c r="K21" s="412">
        <v>330105110</v>
      </c>
      <c r="L21" s="411" t="s">
        <v>1519</v>
      </c>
      <c r="M21" s="412">
        <v>330105110</v>
      </c>
      <c r="N21" s="411" t="s">
        <v>1519</v>
      </c>
      <c r="O21" s="413">
        <v>350</v>
      </c>
      <c r="P21" s="413" t="s">
        <v>285</v>
      </c>
      <c r="Q21" s="403">
        <f t="shared" si="1"/>
        <v>350</v>
      </c>
      <c r="R21" s="414">
        <v>2020003630098</v>
      </c>
      <c r="S21" s="411" t="s">
        <v>1520</v>
      </c>
      <c r="T21" s="416">
        <f>SUM($X$21:$X$21)/SUM($X$21:$X$21)</f>
        <v>1</v>
      </c>
      <c r="U21" s="411" t="s">
        <v>1521</v>
      </c>
      <c r="V21" s="411" t="s">
        <v>1522</v>
      </c>
      <c r="W21" s="411" t="s">
        <v>1523</v>
      </c>
      <c r="X21" s="417">
        <v>35000000</v>
      </c>
      <c r="Y21" s="417"/>
      <c r="Z21" s="417"/>
      <c r="AA21" s="417"/>
      <c r="AB21" s="405">
        <f t="shared" si="0"/>
        <v>35000000</v>
      </c>
      <c r="AC21" s="406" t="s">
        <v>1524</v>
      </c>
      <c r="AD21" s="415"/>
      <c r="AE21" s="408">
        <v>20</v>
      </c>
      <c r="AF21" s="409" t="s">
        <v>132</v>
      </c>
      <c r="AG21" s="418">
        <v>350</v>
      </c>
      <c r="AH21" s="418">
        <v>250</v>
      </c>
      <c r="AI21" s="418"/>
      <c r="AJ21" s="418">
        <v>250</v>
      </c>
      <c r="AK21" s="418">
        <v>335</v>
      </c>
      <c r="AL21" s="418"/>
      <c r="AM21" s="418">
        <v>5</v>
      </c>
      <c r="AN21" s="418"/>
      <c r="AO21" s="418"/>
      <c r="AP21" s="418"/>
      <c r="AQ21" s="418"/>
      <c r="AR21" s="418"/>
      <c r="AS21" s="418"/>
      <c r="AT21" s="418">
        <v>5</v>
      </c>
      <c r="AU21" s="418">
        <v>5</v>
      </c>
      <c r="AV21" s="51">
        <f t="shared" si="2"/>
        <v>600</v>
      </c>
      <c r="AW21" s="293">
        <v>45292</v>
      </c>
      <c r="AX21" s="293">
        <v>45657</v>
      </c>
      <c r="AY21" s="402" t="s">
        <v>1507</v>
      </c>
    </row>
    <row r="22" spans="1:51" ht="102.75" customHeight="1" x14ac:dyDescent="0.25">
      <c r="A22" s="410">
        <v>1</v>
      </c>
      <c r="B22" s="401" t="s">
        <v>315</v>
      </c>
      <c r="C22" s="419">
        <v>41</v>
      </c>
      <c r="D22" s="411" t="s">
        <v>1525</v>
      </c>
      <c r="E22" s="412">
        <v>4102</v>
      </c>
      <c r="F22" s="411" t="s">
        <v>1526</v>
      </c>
      <c r="G22" s="412" t="s">
        <v>70</v>
      </c>
      <c r="H22" s="411" t="s">
        <v>1527</v>
      </c>
      <c r="I22" s="412">
        <v>4102035</v>
      </c>
      <c r="J22" s="411" t="s">
        <v>180</v>
      </c>
      <c r="K22" s="412" t="s">
        <v>70</v>
      </c>
      <c r="L22" s="411" t="s">
        <v>1528</v>
      </c>
      <c r="M22" s="412">
        <v>410203500</v>
      </c>
      <c r="N22" s="411" t="s">
        <v>182</v>
      </c>
      <c r="O22" s="412">
        <v>1</v>
      </c>
      <c r="P22" s="412" t="s">
        <v>285</v>
      </c>
      <c r="Q22" s="403">
        <f t="shared" si="1"/>
        <v>1</v>
      </c>
      <c r="R22" s="420">
        <v>2020003630099</v>
      </c>
      <c r="S22" s="411" t="s">
        <v>1529</v>
      </c>
      <c r="T22" s="416">
        <f>SUM($X$22:$X$22)/SUM($X$22:$X$25)</f>
        <v>0.48780487804878048</v>
      </c>
      <c r="U22" s="411" t="s">
        <v>1530</v>
      </c>
      <c r="V22" s="411" t="s">
        <v>1531</v>
      </c>
      <c r="W22" s="411" t="s">
        <v>1532</v>
      </c>
      <c r="X22" s="417">
        <v>40000000</v>
      </c>
      <c r="Y22" s="417"/>
      <c r="Z22" s="417"/>
      <c r="AA22" s="417"/>
      <c r="AB22" s="405">
        <f t="shared" si="0"/>
        <v>40000000</v>
      </c>
      <c r="AC22" s="406" t="s">
        <v>1533</v>
      </c>
      <c r="AD22" s="415"/>
      <c r="AE22" s="408">
        <v>20</v>
      </c>
      <c r="AF22" s="409" t="s">
        <v>132</v>
      </c>
      <c r="AG22" s="51">
        <v>104</v>
      </c>
      <c r="AH22" s="51">
        <v>96</v>
      </c>
      <c r="AI22" s="51">
        <v>125</v>
      </c>
      <c r="AJ22" s="51" t="s">
        <v>1506</v>
      </c>
      <c r="AK22" s="51">
        <v>75</v>
      </c>
      <c r="AL22" s="51" t="s">
        <v>1506</v>
      </c>
      <c r="AM22" s="51" t="s">
        <v>1506</v>
      </c>
      <c r="AN22" s="51" t="s">
        <v>1506</v>
      </c>
      <c r="AO22" s="51" t="s">
        <v>1506</v>
      </c>
      <c r="AP22" s="51" t="s">
        <v>1506</v>
      </c>
      <c r="AQ22" s="51" t="s">
        <v>1506</v>
      </c>
      <c r="AR22" s="51" t="s">
        <v>1506</v>
      </c>
      <c r="AS22" s="51" t="s">
        <v>1506</v>
      </c>
      <c r="AT22" s="51" t="s">
        <v>1506</v>
      </c>
      <c r="AU22" s="51" t="s">
        <v>1506</v>
      </c>
      <c r="AV22" s="51">
        <f t="shared" si="2"/>
        <v>200</v>
      </c>
      <c r="AW22" s="293">
        <v>45292</v>
      </c>
      <c r="AX22" s="293">
        <v>45657</v>
      </c>
      <c r="AY22" s="402" t="s">
        <v>1507</v>
      </c>
    </row>
    <row r="23" spans="1:51" ht="104.25" customHeight="1" x14ac:dyDescent="0.25">
      <c r="A23" s="410">
        <v>1</v>
      </c>
      <c r="B23" s="401" t="s">
        <v>315</v>
      </c>
      <c r="C23" s="419">
        <v>41</v>
      </c>
      <c r="D23" s="411" t="s">
        <v>1525</v>
      </c>
      <c r="E23" s="412">
        <v>4102</v>
      </c>
      <c r="F23" s="411" t="s">
        <v>1526</v>
      </c>
      <c r="G23" s="412" t="s">
        <v>70</v>
      </c>
      <c r="H23" s="411" t="s">
        <v>1534</v>
      </c>
      <c r="I23" s="412">
        <v>4102001</v>
      </c>
      <c r="J23" s="411" t="s">
        <v>1535</v>
      </c>
      <c r="K23" s="412" t="s">
        <v>70</v>
      </c>
      <c r="L23" s="411" t="s">
        <v>1536</v>
      </c>
      <c r="M23" s="412">
        <v>410200100</v>
      </c>
      <c r="N23" s="411" t="s">
        <v>1537</v>
      </c>
      <c r="O23" s="412">
        <v>12</v>
      </c>
      <c r="P23" s="412" t="s">
        <v>285</v>
      </c>
      <c r="Q23" s="403">
        <f t="shared" si="1"/>
        <v>12</v>
      </c>
      <c r="R23" s="420">
        <v>2020003630099</v>
      </c>
      <c r="S23" s="411" t="s">
        <v>1529</v>
      </c>
      <c r="T23" s="416">
        <f>SUM($X$23:$X$25)/SUM($X$22:$X$25)</f>
        <v>0.51219512195121952</v>
      </c>
      <c r="U23" s="411" t="s">
        <v>1530</v>
      </c>
      <c r="V23" s="411" t="s">
        <v>1531</v>
      </c>
      <c r="W23" s="411" t="s">
        <v>1538</v>
      </c>
      <c r="X23" s="417">
        <v>25000000</v>
      </c>
      <c r="Y23" s="417"/>
      <c r="Z23" s="417"/>
      <c r="AA23" s="417"/>
      <c r="AB23" s="405">
        <f t="shared" si="0"/>
        <v>25000000</v>
      </c>
      <c r="AC23" s="406" t="s">
        <v>1539</v>
      </c>
      <c r="AD23" s="415"/>
      <c r="AE23" s="408">
        <v>20</v>
      </c>
      <c r="AF23" s="409" t="s">
        <v>132</v>
      </c>
      <c r="AG23" s="51">
        <v>104</v>
      </c>
      <c r="AH23" s="51">
        <v>96</v>
      </c>
      <c r="AI23" s="51">
        <v>125</v>
      </c>
      <c r="AJ23" s="51" t="s">
        <v>1506</v>
      </c>
      <c r="AK23" s="51">
        <v>75</v>
      </c>
      <c r="AL23" s="51" t="s">
        <v>1506</v>
      </c>
      <c r="AM23" s="51" t="s">
        <v>1506</v>
      </c>
      <c r="AN23" s="51" t="s">
        <v>1506</v>
      </c>
      <c r="AO23" s="51" t="s">
        <v>1506</v>
      </c>
      <c r="AP23" s="51" t="s">
        <v>1506</v>
      </c>
      <c r="AQ23" s="51" t="s">
        <v>1506</v>
      </c>
      <c r="AR23" s="51" t="s">
        <v>1506</v>
      </c>
      <c r="AS23" s="51" t="s">
        <v>1506</v>
      </c>
      <c r="AT23" s="51" t="s">
        <v>1506</v>
      </c>
      <c r="AU23" s="51" t="s">
        <v>1506</v>
      </c>
      <c r="AV23" s="51">
        <f t="shared" si="2"/>
        <v>200</v>
      </c>
      <c r="AW23" s="293">
        <v>45292</v>
      </c>
      <c r="AX23" s="293">
        <v>45657</v>
      </c>
      <c r="AY23" s="402" t="s">
        <v>1507</v>
      </c>
    </row>
    <row r="24" spans="1:51" ht="104.25" customHeight="1" x14ac:dyDescent="0.25">
      <c r="A24" s="410">
        <v>1</v>
      </c>
      <c r="B24" s="401" t="s">
        <v>315</v>
      </c>
      <c r="C24" s="419">
        <v>41</v>
      </c>
      <c r="D24" s="411" t="s">
        <v>1525</v>
      </c>
      <c r="E24" s="412">
        <v>4102</v>
      </c>
      <c r="F24" s="411" t="s">
        <v>1526</v>
      </c>
      <c r="G24" s="412" t="s">
        <v>70</v>
      </c>
      <c r="H24" s="411" t="s">
        <v>1534</v>
      </c>
      <c r="I24" s="412">
        <v>4102001</v>
      </c>
      <c r="J24" s="411" t="s">
        <v>1535</v>
      </c>
      <c r="K24" s="412" t="s">
        <v>70</v>
      </c>
      <c r="L24" s="411" t="s">
        <v>1536</v>
      </c>
      <c r="M24" s="412">
        <v>410200100</v>
      </c>
      <c r="N24" s="411" t="s">
        <v>1537</v>
      </c>
      <c r="O24" s="412">
        <v>12</v>
      </c>
      <c r="P24" s="412" t="s">
        <v>285</v>
      </c>
      <c r="Q24" s="403">
        <f t="shared" si="1"/>
        <v>12</v>
      </c>
      <c r="R24" s="420">
        <v>2020003630099</v>
      </c>
      <c r="S24" s="411" t="s">
        <v>1529</v>
      </c>
      <c r="T24" s="416">
        <f>SUM($X$23:$X$25)/SUM($X$22:$X$25)</f>
        <v>0.51219512195121952</v>
      </c>
      <c r="U24" s="411" t="s">
        <v>1530</v>
      </c>
      <c r="V24" s="411" t="s">
        <v>1531</v>
      </c>
      <c r="W24" s="411" t="s">
        <v>1540</v>
      </c>
      <c r="X24" s="417">
        <v>12000000</v>
      </c>
      <c r="Y24" s="417"/>
      <c r="Z24" s="417"/>
      <c r="AA24" s="417"/>
      <c r="AB24" s="405">
        <f t="shared" si="0"/>
        <v>12000000</v>
      </c>
      <c r="AC24" s="406" t="s">
        <v>1539</v>
      </c>
      <c r="AD24" s="415"/>
      <c r="AE24" s="408">
        <v>20</v>
      </c>
      <c r="AF24" s="409" t="s">
        <v>132</v>
      </c>
      <c r="AG24" s="51">
        <v>104</v>
      </c>
      <c r="AH24" s="51">
        <v>96</v>
      </c>
      <c r="AI24" s="51">
        <v>125</v>
      </c>
      <c r="AJ24" s="51" t="s">
        <v>1506</v>
      </c>
      <c r="AK24" s="51">
        <v>75</v>
      </c>
      <c r="AL24" s="51" t="s">
        <v>1506</v>
      </c>
      <c r="AM24" s="51" t="s">
        <v>1506</v>
      </c>
      <c r="AN24" s="51" t="s">
        <v>1506</v>
      </c>
      <c r="AO24" s="51" t="s">
        <v>1506</v>
      </c>
      <c r="AP24" s="51" t="s">
        <v>1506</v>
      </c>
      <c r="AQ24" s="51" t="s">
        <v>1506</v>
      </c>
      <c r="AR24" s="51" t="s">
        <v>1506</v>
      </c>
      <c r="AS24" s="51" t="s">
        <v>1506</v>
      </c>
      <c r="AT24" s="51" t="s">
        <v>1506</v>
      </c>
      <c r="AU24" s="51" t="s">
        <v>1506</v>
      </c>
      <c r="AV24" s="51">
        <f t="shared" si="2"/>
        <v>200</v>
      </c>
      <c r="AW24" s="293">
        <v>45292</v>
      </c>
      <c r="AX24" s="293">
        <v>45657</v>
      </c>
      <c r="AY24" s="402" t="s">
        <v>1507</v>
      </c>
    </row>
    <row r="25" spans="1:51" ht="105" customHeight="1" x14ac:dyDescent="0.25">
      <c r="A25" s="410">
        <v>1</v>
      </c>
      <c r="B25" s="401" t="s">
        <v>315</v>
      </c>
      <c r="C25" s="419">
        <v>41</v>
      </c>
      <c r="D25" s="411" t="s">
        <v>1525</v>
      </c>
      <c r="E25" s="412">
        <v>4102</v>
      </c>
      <c r="F25" s="411" t="s">
        <v>1526</v>
      </c>
      <c r="G25" s="412" t="s">
        <v>70</v>
      </c>
      <c r="H25" s="411" t="s">
        <v>1534</v>
      </c>
      <c r="I25" s="412">
        <v>4102001</v>
      </c>
      <c r="J25" s="411" t="s">
        <v>1535</v>
      </c>
      <c r="K25" s="412" t="s">
        <v>70</v>
      </c>
      <c r="L25" s="411" t="s">
        <v>1536</v>
      </c>
      <c r="M25" s="412">
        <v>410200100</v>
      </c>
      <c r="N25" s="411" t="s">
        <v>1537</v>
      </c>
      <c r="O25" s="412">
        <v>12</v>
      </c>
      <c r="P25" s="412" t="s">
        <v>285</v>
      </c>
      <c r="Q25" s="403">
        <f t="shared" si="1"/>
        <v>12</v>
      </c>
      <c r="R25" s="420">
        <v>2020003630099</v>
      </c>
      <c r="S25" s="411" t="s">
        <v>1529</v>
      </c>
      <c r="T25" s="416">
        <f>SUM($X$23:$X$25)/SUM($X$22:$X$25)</f>
        <v>0.51219512195121952</v>
      </c>
      <c r="U25" s="411" t="s">
        <v>1530</v>
      </c>
      <c r="V25" s="411" t="s">
        <v>1531</v>
      </c>
      <c r="W25" s="411" t="s">
        <v>1541</v>
      </c>
      <c r="X25" s="417">
        <v>5000000</v>
      </c>
      <c r="Y25" s="417"/>
      <c r="Z25" s="417"/>
      <c r="AA25" s="417"/>
      <c r="AB25" s="405">
        <f t="shared" ref="AB25:AB34" si="4">X25-Y25+Z25-AA25</f>
        <v>5000000</v>
      </c>
      <c r="AC25" s="406" t="s">
        <v>1539</v>
      </c>
      <c r="AD25" s="415"/>
      <c r="AE25" s="408">
        <v>20</v>
      </c>
      <c r="AF25" s="409" t="s">
        <v>132</v>
      </c>
      <c r="AG25" s="51">
        <v>104</v>
      </c>
      <c r="AH25" s="51">
        <v>96</v>
      </c>
      <c r="AI25" s="51">
        <v>125</v>
      </c>
      <c r="AJ25" s="51" t="s">
        <v>1506</v>
      </c>
      <c r="AK25" s="51">
        <v>75</v>
      </c>
      <c r="AL25" s="51" t="s">
        <v>1506</v>
      </c>
      <c r="AM25" s="51" t="s">
        <v>1506</v>
      </c>
      <c r="AN25" s="51" t="s">
        <v>1506</v>
      </c>
      <c r="AO25" s="51" t="s">
        <v>1506</v>
      </c>
      <c r="AP25" s="51" t="s">
        <v>1506</v>
      </c>
      <c r="AQ25" s="51" t="s">
        <v>1506</v>
      </c>
      <c r="AR25" s="51" t="s">
        <v>1506</v>
      </c>
      <c r="AS25" s="51" t="s">
        <v>1506</v>
      </c>
      <c r="AT25" s="51" t="s">
        <v>1506</v>
      </c>
      <c r="AU25" s="51" t="s">
        <v>1506</v>
      </c>
      <c r="AV25" s="51">
        <f t="shared" si="2"/>
        <v>200</v>
      </c>
      <c r="AW25" s="293">
        <v>45292</v>
      </c>
      <c r="AX25" s="293">
        <v>45657</v>
      </c>
      <c r="AY25" s="402" t="s">
        <v>1507</v>
      </c>
    </row>
    <row r="26" spans="1:51" ht="76.5" customHeight="1" x14ac:dyDescent="0.25">
      <c r="A26" s="410">
        <v>1</v>
      </c>
      <c r="B26" s="401" t="s">
        <v>315</v>
      </c>
      <c r="C26" s="419">
        <v>41</v>
      </c>
      <c r="D26" s="411" t="s">
        <v>1525</v>
      </c>
      <c r="E26" s="412">
        <v>4102</v>
      </c>
      <c r="F26" s="411" t="s">
        <v>1526</v>
      </c>
      <c r="G26" s="412" t="s">
        <v>70</v>
      </c>
      <c r="H26" s="411" t="s">
        <v>1542</v>
      </c>
      <c r="I26" s="412">
        <v>4102043</v>
      </c>
      <c r="J26" s="411" t="s">
        <v>1543</v>
      </c>
      <c r="K26" s="412" t="s">
        <v>70</v>
      </c>
      <c r="L26" s="411" t="s">
        <v>1544</v>
      </c>
      <c r="M26" s="412">
        <v>410204300</v>
      </c>
      <c r="N26" s="411" t="s">
        <v>1545</v>
      </c>
      <c r="O26" s="412">
        <v>1</v>
      </c>
      <c r="P26" s="412" t="s">
        <v>285</v>
      </c>
      <c r="Q26" s="403">
        <f t="shared" si="1"/>
        <v>1</v>
      </c>
      <c r="R26" s="420">
        <v>2020003630100</v>
      </c>
      <c r="S26" s="411" t="s">
        <v>1546</v>
      </c>
      <c r="T26" s="416">
        <f>SUM($X$26:$X$28)/SUM($X$26:$X$28)</f>
        <v>1</v>
      </c>
      <c r="U26" s="411" t="s">
        <v>1547</v>
      </c>
      <c r="V26" s="411" t="s">
        <v>1548</v>
      </c>
      <c r="W26" s="411" t="s">
        <v>1549</v>
      </c>
      <c r="X26" s="417">
        <v>38200000</v>
      </c>
      <c r="Y26" s="417">
        <f>2800000+3300000+2500000+1050000+3300000</f>
        <v>12950000</v>
      </c>
      <c r="Z26" s="417"/>
      <c r="AA26" s="417"/>
      <c r="AB26" s="405">
        <f t="shared" si="4"/>
        <v>25250000</v>
      </c>
      <c r="AC26" s="406" t="s">
        <v>1550</v>
      </c>
      <c r="AD26" s="415"/>
      <c r="AE26" s="408">
        <v>20</v>
      </c>
      <c r="AF26" s="409" t="s">
        <v>132</v>
      </c>
      <c r="AG26" s="51">
        <v>650</v>
      </c>
      <c r="AH26" s="51">
        <v>600</v>
      </c>
      <c r="AI26" s="51">
        <v>125</v>
      </c>
      <c r="AJ26" s="51">
        <v>250</v>
      </c>
      <c r="AK26" s="51">
        <v>625</v>
      </c>
      <c r="AL26" s="51">
        <v>250</v>
      </c>
      <c r="AM26" s="51" t="s">
        <v>1506</v>
      </c>
      <c r="AN26" s="51" t="s">
        <v>1506</v>
      </c>
      <c r="AO26" s="51" t="s">
        <v>1506</v>
      </c>
      <c r="AP26" s="51" t="s">
        <v>1506</v>
      </c>
      <c r="AQ26" s="51" t="s">
        <v>1506</v>
      </c>
      <c r="AR26" s="51" t="s">
        <v>1506</v>
      </c>
      <c r="AS26" s="51" t="s">
        <v>1506</v>
      </c>
      <c r="AT26" s="51" t="s">
        <v>1506</v>
      </c>
      <c r="AU26" s="51" t="s">
        <v>1506</v>
      </c>
      <c r="AV26" s="51">
        <f t="shared" si="2"/>
        <v>1250</v>
      </c>
      <c r="AW26" s="293">
        <v>45292</v>
      </c>
      <c r="AX26" s="293">
        <v>45657</v>
      </c>
      <c r="AY26" s="402" t="s">
        <v>1507</v>
      </c>
    </row>
    <row r="27" spans="1:51" ht="76.5" customHeight="1" x14ac:dyDescent="0.25">
      <c r="A27" s="410">
        <v>1</v>
      </c>
      <c r="B27" s="401" t="s">
        <v>315</v>
      </c>
      <c r="C27" s="419">
        <v>41</v>
      </c>
      <c r="D27" s="411" t="s">
        <v>1525</v>
      </c>
      <c r="E27" s="412">
        <v>4102</v>
      </c>
      <c r="F27" s="411" t="s">
        <v>1526</v>
      </c>
      <c r="G27" s="412" t="s">
        <v>70</v>
      </c>
      <c r="H27" s="411" t="s">
        <v>1542</v>
      </c>
      <c r="I27" s="412">
        <v>4102043</v>
      </c>
      <c r="J27" s="411" t="s">
        <v>1543</v>
      </c>
      <c r="K27" s="412" t="s">
        <v>70</v>
      </c>
      <c r="L27" s="411" t="s">
        <v>1544</v>
      </c>
      <c r="M27" s="412">
        <v>410204300</v>
      </c>
      <c r="N27" s="411" t="s">
        <v>1545</v>
      </c>
      <c r="O27" s="412">
        <v>1</v>
      </c>
      <c r="P27" s="412" t="s">
        <v>285</v>
      </c>
      <c r="Q27" s="403">
        <f>SUM(O27:P27)</f>
        <v>1</v>
      </c>
      <c r="R27" s="420">
        <v>2020003630100</v>
      </c>
      <c r="S27" s="411" t="s">
        <v>1546</v>
      </c>
      <c r="T27" s="416">
        <f>SUM($X$26:$X$28)/SUM($X$26:$X$28)</f>
        <v>1</v>
      </c>
      <c r="U27" s="411" t="s">
        <v>1547</v>
      </c>
      <c r="V27" s="411" t="s">
        <v>1548</v>
      </c>
      <c r="W27" s="411" t="s">
        <v>1551</v>
      </c>
      <c r="X27" s="417">
        <v>90000000</v>
      </c>
      <c r="Y27" s="417">
        <f>7400000+7400000+8400000+1050000+5600000</f>
        <v>29850000</v>
      </c>
      <c r="Z27" s="417"/>
      <c r="AA27" s="417"/>
      <c r="AB27" s="405">
        <f t="shared" si="4"/>
        <v>60150000</v>
      </c>
      <c r="AC27" s="406" t="s">
        <v>1550</v>
      </c>
      <c r="AD27" s="415"/>
      <c r="AE27" s="408">
        <v>20</v>
      </c>
      <c r="AF27" s="409" t="s">
        <v>132</v>
      </c>
      <c r="AG27" s="51">
        <v>650</v>
      </c>
      <c r="AH27" s="51">
        <v>600</v>
      </c>
      <c r="AI27" s="51">
        <v>125</v>
      </c>
      <c r="AJ27" s="51">
        <v>250</v>
      </c>
      <c r="AK27" s="51">
        <v>625</v>
      </c>
      <c r="AL27" s="51">
        <v>250</v>
      </c>
      <c r="AM27" s="51" t="s">
        <v>1506</v>
      </c>
      <c r="AN27" s="51" t="s">
        <v>1506</v>
      </c>
      <c r="AO27" s="51" t="s">
        <v>1506</v>
      </c>
      <c r="AP27" s="51" t="s">
        <v>1506</v>
      </c>
      <c r="AQ27" s="51" t="s">
        <v>1506</v>
      </c>
      <c r="AR27" s="51" t="s">
        <v>1506</v>
      </c>
      <c r="AS27" s="51" t="s">
        <v>1506</v>
      </c>
      <c r="AT27" s="51" t="s">
        <v>1506</v>
      </c>
      <c r="AU27" s="51" t="s">
        <v>1506</v>
      </c>
      <c r="AV27" s="51">
        <f t="shared" si="2"/>
        <v>1250</v>
      </c>
      <c r="AW27" s="293">
        <v>45292</v>
      </c>
      <c r="AX27" s="293">
        <v>45657</v>
      </c>
      <c r="AY27" s="402" t="s">
        <v>1507</v>
      </c>
    </row>
    <row r="28" spans="1:51" ht="73.5" customHeight="1" x14ac:dyDescent="0.25">
      <c r="A28" s="410">
        <v>1</v>
      </c>
      <c r="B28" s="401" t="s">
        <v>315</v>
      </c>
      <c r="C28" s="419">
        <v>41</v>
      </c>
      <c r="D28" s="411" t="s">
        <v>1525</v>
      </c>
      <c r="E28" s="412">
        <v>4102</v>
      </c>
      <c r="F28" s="411" t="s">
        <v>1526</v>
      </c>
      <c r="G28" s="412" t="s">
        <v>70</v>
      </c>
      <c r="H28" s="411" t="s">
        <v>1542</v>
      </c>
      <c r="I28" s="412">
        <v>4102043</v>
      </c>
      <c r="J28" s="411" t="s">
        <v>1543</v>
      </c>
      <c r="K28" s="412" t="s">
        <v>70</v>
      </c>
      <c r="L28" s="411" t="s">
        <v>1544</v>
      </c>
      <c r="M28" s="412">
        <v>410204300</v>
      </c>
      <c r="N28" s="411" t="s">
        <v>1545</v>
      </c>
      <c r="O28" s="412">
        <v>1</v>
      </c>
      <c r="P28" s="412" t="s">
        <v>285</v>
      </c>
      <c r="Q28" s="403">
        <f t="shared" si="1"/>
        <v>1</v>
      </c>
      <c r="R28" s="420">
        <v>2020003630100</v>
      </c>
      <c r="S28" s="411" t="s">
        <v>1546</v>
      </c>
      <c r="T28" s="416">
        <f>SUM($X$26:$X$28)/SUM($X$26:$X$28)</f>
        <v>1</v>
      </c>
      <c r="U28" s="411" t="s">
        <v>1547</v>
      </c>
      <c r="V28" s="411" t="s">
        <v>1548</v>
      </c>
      <c r="W28" s="411" t="s">
        <v>1515</v>
      </c>
      <c r="X28" s="417">
        <v>2000000</v>
      </c>
      <c r="Y28" s="417"/>
      <c r="Z28" s="417"/>
      <c r="AA28" s="417"/>
      <c r="AB28" s="405">
        <f t="shared" si="4"/>
        <v>2000000</v>
      </c>
      <c r="AC28" s="406" t="s">
        <v>1552</v>
      </c>
      <c r="AD28" s="415"/>
      <c r="AE28" s="408">
        <v>20</v>
      </c>
      <c r="AF28" s="409" t="s">
        <v>132</v>
      </c>
      <c r="AG28" s="51">
        <v>650</v>
      </c>
      <c r="AH28" s="51">
        <v>600</v>
      </c>
      <c r="AI28" s="51">
        <v>125</v>
      </c>
      <c r="AJ28" s="51">
        <v>250</v>
      </c>
      <c r="AK28" s="51">
        <v>625</v>
      </c>
      <c r="AL28" s="51">
        <v>250</v>
      </c>
      <c r="AM28" s="51" t="s">
        <v>1506</v>
      </c>
      <c r="AN28" s="51" t="s">
        <v>1506</v>
      </c>
      <c r="AO28" s="51" t="s">
        <v>1506</v>
      </c>
      <c r="AP28" s="51" t="s">
        <v>1506</v>
      </c>
      <c r="AQ28" s="51" t="s">
        <v>1506</v>
      </c>
      <c r="AR28" s="51" t="s">
        <v>1506</v>
      </c>
      <c r="AS28" s="51" t="s">
        <v>1506</v>
      </c>
      <c r="AT28" s="51" t="s">
        <v>1506</v>
      </c>
      <c r="AU28" s="51" t="s">
        <v>1506</v>
      </c>
      <c r="AV28" s="51">
        <f t="shared" si="2"/>
        <v>1250</v>
      </c>
      <c r="AW28" s="293">
        <v>45292</v>
      </c>
      <c r="AX28" s="293">
        <v>45657</v>
      </c>
      <c r="AY28" s="402" t="s">
        <v>1507</v>
      </c>
    </row>
    <row r="29" spans="1:51" ht="142.5" customHeight="1" x14ac:dyDescent="0.25">
      <c r="A29" s="410">
        <v>1</v>
      </c>
      <c r="B29" s="401" t="s">
        <v>315</v>
      </c>
      <c r="C29" s="419">
        <v>41</v>
      </c>
      <c r="D29" s="411" t="s">
        <v>1525</v>
      </c>
      <c r="E29" s="412">
        <v>4102</v>
      </c>
      <c r="F29" s="411" t="s">
        <v>1526</v>
      </c>
      <c r="G29" s="412" t="s">
        <v>70</v>
      </c>
      <c r="H29" s="411" t="s">
        <v>1553</v>
      </c>
      <c r="I29" s="412">
        <v>4102043</v>
      </c>
      <c r="J29" s="411" t="s">
        <v>1554</v>
      </c>
      <c r="K29" s="412" t="s">
        <v>70</v>
      </c>
      <c r="L29" s="411" t="s">
        <v>1555</v>
      </c>
      <c r="M29" s="412">
        <v>410204301</v>
      </c>
      <c r="N29" s="411" t="s">
        <v>1556</v>
      </c>
      <c r="O29" s="412">
        <v>1</v>
      </c>
      <c r="P29" s="412" t="s">
        <v>285</v>
      </c>
      <c r="Q29" s="403">
        <f t="shared" si="1"/>
        <v>1</v>
      </c>
      <c r="R29" s="420">
        <v>2020003630101</v>
      </c>
      <c r="S29" s="411" t="s">
        <v>1557</v>
      </c>
      <c r="T29" s="416">
        <f t="shared" ref="T29:T35" si="5">SUM($X$29:$X$35)/SUM($X$29:$X$35)</f>
        <v>1</v>
      </c>
      <c r="U29" s="411" t="s">
        <v>1558</v>
      </c>
      <c r="V29" s="411" t="s">
        <v>1559</v>
      </c>
      <c r="W29" s="411" t="s">
        <v>1560</v>
      </c>
      <c r="X29" s="417">
        <v>46000000</v>
      </c>
      <c r="Y29" s="417">
        <f>2800000+4800000+3300000+5600000+2500000+1050000+1050000+3300000</f>
        <v>24400000</v>
      </c>
      <c r="Z29" s="417"/>
      <c r="AA29" s="417"/>
      <c r="AB29" s="405">
        <f t="shared" si="4"/>
        <v>21600000</v>
      </c>
      <c r="AC29" s="406" t="s">
        <v>1561</v>
      </c>
      <c r="AD29" s="415"/>
      <c r="AE29" s="408">
        <v>20</v>
      </c>
      <c r="AF29" s="409" t="s">
        <v>132</v>
      </c>
      <c r="AG29" s="51">
        <v>325</v>
      </c>
      <c r="AH29" s="51">
        <v>200</v>
      </c>
      <c r="AI29" s="51">
        <v>25</v>
      </c>
      <c r="AJ29" s="51">
        <v>375</v>
      </c>
      <c r="AK29" s="51">
        <v>125</v>
      </c>
      <c r="AL29" s="51" t="s">
        <v>1506</v>
      </c>
      <c r="AM29" s="51" t="s">
        <v>1506</v>
      </c>
      <c r="AN29" s="51" t="s">
        <v>1506</v>
      </c>
      <c r="AO29" s="51" t="s">
        <v>1506</v>
      </c>
      <c r="AP29" s="51" t="s">
        <v>1506</v>
      </c>
      <c r="AQ29" s="51" t="s">
        <v>1506</v>
      </c>
      <c r="AR29" s="51" t="s">
        <v>1506</v>
      </c>
      <c r="AS29" s="51" t="s">
        <v>1506</v>
      </c>
      <c r="AT29" s="51" t="s">
        <v>1506</v>
      </c>
      <c r="AU29" s="51" t="s">
        <v>1506</v>
      </c>
      <c r="AV29" s="51">
        <f t="shared" si="2"/>
        <v>525</v>
      </c>
      <c r="AW29" s="293">
        <v>45292</v>
      </c>
      <c r="AX29" s="293">
        <v>45657</v>
      </c>
      <c r="AY29" s="402" t="s">
        <v>1507</v>
      </c>
    </row>
    <row r="30" spans="1:51" ht="142.5" customHeight="1" x14ac:dyDescent="0.25">
      <c r="A30" s="410">
        <v>1</v>
      </c>
      <c r="B30" s="401" t="s">
        <v>315</v>
      </c>
      <c r="C30" s="419">
        <v>41</v>
      </c>
      <c r="D30" s="411" t="s">
        <v>1525</v>
      </c>
      <c r="E30" s="412">
        <v>4102</v>
      </c>
      <c r="F30" s="411" t="s">
        <v>1526</v>
      </c>
      <c r="G30" s="412" t="s">
        <v>70</v>
      </c>
      <c r="H30" s="411" t="s">
        <v>1553</v>
      </c>
      <c r="I30" s="412">
        <v>4102043</v>
      </c>
      <c r="J30" s="411" t="s">
        <v>1554</v>
      </c>
      <c r="K30" s="412" t="s">
        <v>70</v>
      </c>
      <c r="L30" s="411" t="s">
        <v>1555</v>
      </c>
      <c r="M30" s="412">
        <v>410204301</v>
      </c>
      <c r="N30" s="411" t="s">
        <v>1556</v>
      </c>
      <c r="O30" s="412">
        <v>1</v>
      </c>
      <c r="P30" s="412" t="s">
        <v>285</v>
      </c>
      <c r="Q30" s="403">
        <f>SUM(O30:P30)</f>
        <v>1</v>
      </c>
      <c r="R30" s="420">
        <v>2020003630101</v>
      </c>
      <c r="S30" s="411" t="s">
        <v>1557</v>
      </c>
      <c r="T30" s="416">
        <f t="shared" si="5"/>
        <v>1</v>
      </c>
      <c r="U30" s="411" t="s">
        <v>1558</v>
      </c>
      <c r="V30" s="411" t="s">
        <v>1559</v>
      </c>
      <c r="W30" s="411" t="s">
        <v>1562</v>
      </c>
      <c r="X30" s="417">
        <v>41000000</v>
      </c>
      <c r="Y30" s="417">
        <f>7400000+3700000</f>
        <v>11100000</v>
      </c>
      <c r="Z30" s="417"/>
      <c r="AA30" s="417"/>
      <c r="AB30" s="405">
        <f t="shared" si="4"/>
        <v>29900000</v>
      </c>
      <c r="AC30" s="406" t="s">
        <v>1561</v>
      </c>
      <c r="AD30" s="415"/>
      <c r="AE30" s="408">
        <v>20</v>
      </c>
      <c r="AF30" s="409" t="s">
        <v>132</v>
      </c>
      <c r="AG30" s="51">
        <v>325</v>
      </c>
      <c r="AH30" s="51">
        <v>200</v>
      </c>
      <c r="AI30" s="51">
        <v>25</v>
      </c>
      <c r="AJ30" s="51">
        <v>375</v>
      </c>
      <c r="AK30" s="51">
        <v>125</v>
      </c>
      <c r="AL30" s="51" t="s">
        <v>1506</v>
      </c>
      <c r="AM30" s="51" t="s">
        <v>1506</v>
      </c>
      <c r="AN30" s="51" t="s">
        <v>1506</v>
      </c>
      <c r="AO30" s="51" t="s">
        <v>1506</v>
      </c>
      <c r="AP30" s="51" t="s">
        <v>1506</v>
      </c>
      <c r="AQ30" s="51" t="s">
        <v>1506</v>
      </c>
      <c r="AR30" s="51" t="s">
        <v>1506</v>
      </c>
      <c r="AS30" s="51" t="s">
        <v>1506</v>
      </c>
      <c r="AT30" s="51" t="s">
        <v>1506</v>
      </c>
      <c r="AU30" s="51" t="s">
        <v>1506</v>
      </c>
      <c r="AV30" s="51">
        <f t="shared" si="2"/>
        <v>525</v>
      </c>
      <c r="AW30" s="293">
        <v>45292</v>
      </c>
      <c r="AX30" s="293">
        <v>45657</v>
      </c>
      <c r="AY30" s="402" t="s">
        <v>1507</v>
      </c>
    </row>
    <row r="31" spans="1:51" ht="138.75" customHeight="1" x14ac:dyDescent="0.25">
      <c r="A31" s="410">
        <v>1</v>
      </c>
      <c r="B31" s="401" t="s">
        <v>315</v>
      </c>
      <c r="C31" s="419">
        <v>41</v>
      </c>
      <c r="D31" s="411" t="s">
        <v>1525</v>
      </c>
      <c r="E31" s="412">
        <v>4102</v>
      </c>
      <c r="F31" s="411" t="s">
        <v>1526</v>
      </c>
      <c r="G31" s="412" t="s">
        <v>70</v>
      </c>
      <c r="H31" s="411" t="s">
        <v>1553</v>
      </c>
      <c r="I31" s="412">
        <v>4102043</v>
      </c>
      <c r="J31" s="411" t="s">
        <v>1554</v>
      </c>
      <c r="K31" s="412" t="s">
        <v>70</v>
      </c>
      <c r="L31" s="411" t="s">
        <v>1555</v>
      </c>
      <c r="M31" s="412">
        <v>410204301</v>
      </c>
      <c r="N31" s="411" t="s">
        <v>1556</v>
      </c>
      <c r="O31" s="412">
        <v>1</v>
      </c>
      <c r="P31" s="412" t="s">
        <v>285</v>
      </c>
      <c r="Q31" s="403">
        <f t="shared" si="1"/>
        <v>1</v>
      </c>
      <c r="R31" s="420">
        <v>2020003630101</v>
      </c>
      <c r="S31" s="411" t="s">
        <v>1557</v>
      </c>
      <c r="T31" s="416">
        <f t="shared" si="5"/>
        <v>1</v>
      </c>
      <c r="U31" s="411" t="s">
        <v>1558</v>
      </c>
      <c r="V31" s="411" t="s">
        <v>1559</v>
      </c>
      <c r="W31" s="411" t="s">
        <v>1563</v>
      </c>
      <c r="X31" s="417">
        <v>154000000</v>
      </c>
      <c r="Y31" s="417">
        <f>7400000+3700000+7400000+6000000+14800000+56000000</f>
        <v>95300000</v>
      </c>
      <c r="Z31" s="417"/>
      <c r="AA31" s="417"/>
      <c r="AB31" s="405">
        <f t="shared" si="4"/>
        <v>58700000</v>
      </c>
      <c r="AC31" s="406" t="s">
        <v>1561</v>
      </c>
      <c r="AD31" s="415"/>
      <c r="AE31" s="408">
        <v>20</v>
      </c>
      <c r="AF31" s="409" t="s">
        <v>132</v>
      </c>
      <c r="AG31" s="51">
        <v>325</v>
      </c>
      <c r="AH31" s="51">
        <v>200</v>
      </c>
      <c r="AI31" s="51">
        <v>25</v>
      </c>
      <c r="AJ31" s="51">
        <v>375</v>
      </c>
      <c r="AK31" s="51">
        <v>125</v>
      </c>
      <c r="AL31" s="51" t="s">
        <v>1506</v>
      </c>
      <c r="AM31" s="51" t="s">
        <v>1506</v>
      </c>
      <c r="AN31" s="51" t="s">
        <v>1506</v>
      </c>
      <c r="AO31" s="51" t="s">
        <v>1506</v>
      </c>
      <c r="AP31" s="51" t="s">
        <v>1506</v>
      </c>
      <c r="AQ31" s="51" t="s">
        <v>1506</v>
      </c>
      <c r="AR31" s="51" t="s">
        <v>1506</v>
      </c>
      <c r="AS31" s="51" t="s">
        <v>1506</v>
      </c>
      <c r="AT31" s="51" t="s">
        <v>1506</v>
      </c>
      <c r="AU31" s="51" t="s">
        <v>1506</v>
      </c>
      <c r="AV31" s="51">
        <f t="shared" si="2"/>
        <v>525</v>
      </c>
      <c r="AW31" s="293">
        <v>45292</v>
      </c>
      <c r="AX31" s="293">
        <v>45657</v>
      </c>
      <c r="AY31" s="402" t="s">
        <v>1507</v>
      </c>
    </row>
    <row r="32" spans="1:51" ht="138.75" customHeight="1" x14ac:dyDescent="0.25">
      <c r="A32" s="410">
        <v>1</v>
      </c>
      <c r="B32" s="401" t="s">
        <v>315</v>
      </c>
      <c r="C32" s="419">
        <v>41</v>
      </c>
      <c r="D32" s="411" t="s">
        <v>1525</v>
      </c>
      <c r="E32" s="412">
        <v>4102</v>
      </c>
      <c r="F32" s="411" t="s">
        <v>1526</v>
      </c>
      <c r="G32" s="412" t="s">
        <v>70</v>
      </c>
      <c r="H32" s="411" t="s">
        <v>1553</v>
      </c>
      <c r="I32" s="412">
        <v>4102043</v>
      </c>
      <c r="J32" s="411" t="s">
        <v>1554</v>
      </c>
      <c r="K32" s="412" t="s">
        <v>70</v>
      </c>
      <c r="L32" s="411" t="s">
        <v>1555</v>
      </c>
      <c r="M32" s="412">
        <v>410204301</v>
      </c>
      <c r="N32" s="411" t="s">
        <v>1556</v>
      </c>
      <c r="O32" s="412">
        <v>1</v>
      </c>
      <c r="P32" s="412" t="s">
        <v>285</v>
      </c>
      <c r="Q32" s="403">
        <f>SUM(O32:P32)</f>
        <v>1</v>
      </c>
      <c r="R32" s="420">
        <v>2020003630101</v>
      </c>
      <c r="S32" s="411" t="s">
        <v>1557</v>
      </c>
      <c r="T32" s="416">
        <f t="shared" si="5"/>
        <v>1</v>
      </c>
      <c r="U32" s="411" t="s">
        <v>1558</v>
      </c>
      <c r="V32" s="411" t="s">
        <v>1559</v>
      </c>
      <c r="W32" s="411" t="s">
        <v>1564</v>
      </c>
      <c r="X32" s="417">
        <v>31000000</v>
      </c>
      <c r="Y32" s="417">
        <f>4000000</f>
        <v>4000000</v>
      </c>
      <c r="Z32" s="417"/>
      <c r="AA32" s="417"/>
      <c r="AB32" s="405">
        <f t="shared" si="4"/>
        <v>27000000</v>
      </c>
      <c r="AC32" s="406" t="s">
        <v>1561</v>
      </c>
      <c r="AD32" s="415"/>
      <c r="AE32" s="408">
        <v>20</v>
      </c>
      <c r="AF32" s="409" t="s">
        <v>132</v>
      </c>
      <c r="AG32" s="51">
        <v>325</v>
      </c>
      <c r="AH32" s="51">
        <v>200</v>
      </c>
      <c r="AI32" s="51">
        <v>25</v>
      </c>
      <c r="AJ32" s="51">
        <v>375</v>
      </c>
      <c r="AK32" s="51">
        <v>125</v>
      </c>
      <c r="AL32" s="51" t="s">
        <v>1506</v>
      </c>
      <c r="AM32" s="51" t="s">
        <v>1506</v>
      </c>
      <c r="AN32" s="51" t="s">
        <v>1506</v>
      </c>
      <c r="AO32" s="51" t="s">
        <v>1506</v>
      </c>
      <c r="AP32" s="51" t="s">
        <v>1506</v>
      </c>
      <c r="AQ32" s="51" t="s">
        <v>1506</v>
      </c>
      <c r="AR32" s="51" t="s">
        <v>1506</v>
      </c>
      <c r="AS32" s="51" t="s">
        <v>1506</v>
      </c>
      <c r="AT32" s="51" t="s">
        <v>1506</v>
      </c>
      <c r="AU32" s="51" t="s">
        <v>1506</v>
      </c>
      <c r="AV32" s="51">
        <f t="shared" si="2"/>
        <v>525</v>
      </c>
      <c r="AW32" s="293">
        <v>45292</v>
      </c>
      <c r="AX32" s="293">
        <v>45657</v>
      </c>
      <c r="AY32" s="402" t="s">
        <v>1507</v>
      </c>
    </row>
    <row r="33" spans="1:51" ht="112.5" customHeight="1" x14ac:dyDescent="0.25">
      <c r="A33" s="410">
        <v>1</v>
      </c>
      <c r="B33" s="401" t="s">
        <v>315</v>
      </c>
      <c r="C33" s="419">
        <v>41</v>
      </c>
      <c r="D33" s="411" t="s">
        <v>1525</v>
      </c>
      <c r="E33" s="412">
        <v>4102</v>
      </c>
      <c r="F33" s="411" t="s">
        <v>1526</v>
      </c>
      <c r="G33" s="412" t="s">
        <v>70</v>
      </c>
      <c r="H33" s="411" t="s">
        <v>1553</v>
      </c>
      <c r="I33" s="412">
        <v>4102043</v>
      </c>
      <c r="J33" s="411" t="s">
        <v>1554</v>
      </c>
      <c r="K33" s="412" t="s">
        <v>70</v>
      </c>
      <c r="L33" s="411" t="s">
        <v>1555</v>
      </c>
      <c r="M33" s="412">
        <v>410204301</v>
      </c>
      <c r="N33" s="411" t="s">
        <v>1556</v>
      </c>
      <c r="O33" s="412">
        <v>1</v>
      </c>
      <c r="P33" s="412" t="s">
        <v>285</v>
      </c>
      <c r="Q33" s="403">
        <f t="shared" si="1"/>
        <v>1</v>
      </c>
      <c r="R33" s="420">
        <v>2020003630101</v>
      </c>
      <c r="S33" s="411" t="s">
        <v>1557</v>
      </c>
      <c r="T33" s="416">
        <f t="shared" si="5"/>
        <v>1</v>
      </c>
      <c r="U33" s="411" t="s">
        <v>1558</v>
      </c>
      <c r="V33" s="411" t="s">
        <v>1559</v>
      </c>
      <c r="W33" s="411" t="s">
        <v>1565</v>
      </c>
      <c r="X33" s="417">
        <v>2000000</v>
      </c>
      <c r="Y33" s="417"/>
      <c r="Z33" s="417"/>
      <c r="AA33" s="417"/>
      <c r="AB33" s="405">
        <f t="shared" si="4"/>
        <v>2000000</v>
      </c>
      <c r="AC33" s="406" t="s">
        <v>1561</v>
      </c>
      <c r="AD33" s="415"/>
      <c r="AE33" s="408">
        <v>20</v>
      </c>
      <c r="AF33" s="409" t="s">
        <v>132</v>
      </c>
      <c r="AG33" s="51">
        <v>325</v>
      </c>
      <c r="AH33" s="51">
        <v>200</v>
      </c>
      <c r="AI33" s="51">
        <v>25</v>
      </c>
      <c r="AJ33" s="51">
        <v>375</v>
      </c>
      <c r="AK33" s="51">
        <v>125</v>
      </c>
      <c r="AL33" s="51" t="s">
        <v>1506</v>
      </c>
      <c r="AM33" s="51" t="s">
        <v>1506</v>
      </c>
      <c r="AN33" s="51" t="s">
        <v>1506</v>
      </c>
      <c r="AO33" s="51" t="s">
        <v>1506</v>
      </c>
      <c r="AP33" s="51" t="s">
        <v>1506</v>
      </c>
      <c r="AQ33" s="51" t="s">
        <v>1506</v>
      </c>
      <c r="AR33" s="51" t="s">
        <v>1506</v>
      </c>
      <c r="AS33" s="51" t="s">
        <v>1506</v>
      </c>
      <c r="AT33" s="51" t="s">
        <v>1506</v>
      </c>
      <c r="AU33" s="51" t="s">
        <v>1506</v>
      </c>
      <c r="AV33" s="51">
        <f t="shared" si="2"/>
        <v>525</v>
      </c>
      <c r="AW33" s="293">
        <v>45292</v>
      </c>
      <c r="AX33" s="293">
        <v>45657</v>
      </c>
      <c r="AY33" s="402" t="s">
        <v>1507</v>
      </c>
    </row>
    <row r="34" spans="1:51" ht="112.5" customHeight="1" x14ac:dyDescent="0.25">
      <c r="A34" s="410">
        <v>1</v>
      </c>
      <c r="B34" s="401" t="s">
        <v>315</v>
      </c>
      <c r="C34" s="419">
        <v>41</v>
      </c>
      <c r="D34" s="411" t="s">
        <v>1525</v>
      </c>
      <c r="E34" s="412">
        <v>4102</v>
      </c>
      <c r="F34" s="411" t="s">
        <v>1526</v>
      </c>
      <c r="G34" s="412" t="s">
        <v>70</v>
      </c>
      <c r="H34" s="411" t="s">
        <v>1553</v>
      </c>
      <c r="I34" s="412">
        <v>4102043</v>
      </c>
      <c r="J34" s="411" t="s">
        <v>1554</v>
      </c>
      <c r="K34" s="412" t="s">
        <v>70</v>
      </c>
      <c r="L34" s="411" t="s">
        <v>1555</v>
      </c>
      <c r="M34" s="412">
        <v>410204301</v>
      </c>
      <c r="N34" s="411" t="s">
        <v>1556</v>
      </c>
      <c r="O34" s="412">
        <v>1</v>
      </c>
      <c r="P34" s="412" t="s">
        <v>285</v>
      </c>
      <c r="Q34" s="403">
        <f t="shared" si="1"/>
        <v>1</v>
      </c>
      <c r="R34" s="420">
        <v>2020003630101</v>
      </c>
      <c r="S34" s="411" t="s">
        <v>1557</v>
      </c>
      <c r="T34" s="416">
        <f t="shared" si="5"/>
        <v>1</v>
      </c>
      <c r="U34" s="411" t="s">
        <v>1558</v>
      </c>
      <c r="V34" s="411" t="s">
        <v>1559</v>
      </c>
      <c r="W34" s="411" t="s">
        <v>1566</v>
      </c>
      <c r="X34" s="417">
        <v>4000000</v>
      </c>
      <c r="Y34" s="417"/>
      <c r="Z34" s="417"/>
      <c r="AA34" s="417"/>
      <c r="AB34" s="405">
        <f t="shared" si="4"/>
        <v>4000000</v>
      </c>
      <c r="AC34" s="406" t="s">
        <v>1567</v>
      </c>
      <c r="AD34" s="415"/>
      <c r="AE34" s="408">
        <v>20</v>
      </c>
      <c r="AF34" s="409" t="s">
        <v>132</v>
      </c>
      <c r="AG34" s="51">
        <v>325</v>
      </c>
      <c r="AH34" s="51">
        <v>200</v>
      </c>
      <c r="AI34" s="51">
        <v>25</v>
      </c>
      <c r="AJ34" s="51">
        <v>375</v>
      </c>
      <c r="AK34" s="51">
        <v>125</v>
      </c>
      <c r="AL34" s="51" t="s">
        <v>1506</v>
      </c>
      <c r="AM34" s="51" t="s">
        <v>1506</v>
      </c>
      <c r="AN34" s="51" t="s">
        <v>1506</v>
      </c>
      <c r="AO34" s="51" t="s">
        <v>1506</v>
      </c>
      <c r="AP34" s="51" t="s">
        <v>1506</v>
      </c>
      <c r="AQ34" s="51" t="s">
        <v>1506</v>
      </c>
      <c r="AR34" s="51" t="s">
        <v>1506</v>
      </c>
      <c r="AS34" s="51" t="s">
        <v>1506</v>
      </c>
      <c r="AT34" s="51" t="s">
        <v>1506</v>
      </c>
      <c r="AU34" s="51" t="s">
        <v>1506</v>
      </c>
      <c r="AV34" s="51">
        <f t="shared" si="2"/>
        <v>525</v>
      </c>
      <c r="AW34" s="293">
        <v>45292</v>
      </c>
      <c r="AX34" s="293">
        <v>45657</v>
      </c>
      <c r="AY34" s="402" t="s">
        <v>1507</v>
      </c>
    </row>
    <row r="35" spans="1:51" ht="112.5" customHeight="1" x14ac:dyDescent="0.25">
      <c r="A35" s="410">
        <v>1</v>
      </c>
      <c r="B35" s="401" t="s">
        <v>315</v>
      </c>
      <c r="C35" s="419">
        <v>41</v>
      </c>
      <c r="D35" s="411" t="s">
        <v>1525</v>
      </c>
      <c r="E35" s="412">
        <v>4102</v>
      </c>
      <c r="F35" s="411" t="s">
        <v>1526</v>
      </c>
      <c r="G35" s="412" t="s">
        <v>70</v>
      </c>
      <c r="H35" s="411" t="s">
        <v>1553</v>
      </c>
      <c r="I35" s="412">
        <v>4102043</v>
      </c>
      <c r="J35" s="411" t="s">
        <v>1554</v>
      </c>
      <c r="K35" s="412" t="s">
        <v>70</v>
      </c>
      <c r="L35" s="411" t="s">
        <v>1555</v>
      </c>
      <c r="M35" s="412">
        <v>410204301</v>
      </c>
      <c r="N35" s="411" t="s">
        <v>1556</v>
      </c>
      <c r="O35" s="412">
        <v>1</v>
      </c>
      <c r="P35" s="412" t="s">
        <v>285</v>
      </c>
      <c r="Q35" s="403">
        <f t="shared" si="1"/>
        <v>1</v>
      </c>
      <c r="R35" s="420">
        <v>2020003630101</v>
      </c>
      <c r="S35" s="411" t="s">
        <v>1557</v>
      </c>
      <c r="T35" s="416">
        <f t="shared" si="5"/>
        <v>1</v>
      </c>
      <c r="U35" s="411" t="s">
        <v>1558</v>
      </c>
      <c r="V35" s="411" t="s">
        <v>1559</v>
      </c>
      <c r="W35" s="411" t="s">
        <v>1568</v>
      </c>
      <c r="X35" s="417">
        <v>2000000</v>
      </c>
      <c r="Y35" s="417"/>
      <c r="Z35" s="417"/>
      <c r="AA35" s="417"/>
      <c r="AB35" s="417">
        <f>X35-Y35+Z35-AA35</f>
        <v>2000000</v>
      </c>
      <c r="AC35" s="406" t="s">
        <v>1569</v>
      </c>
      <c r="AD35" s="409"/>
      <c r="AE35" s="408">
        <v>20</v>
      </c>
      <c r="AF35" s="409" t="s">
        <v>132</v>
      </c>
      <c r="AG35" s="51">
        <v>325</v>
      </c>
      <c r="AH35" s="51">
        <v>200</v>
      </c>
      <c r="AI35" s="51">
        <v>25</v>
      </c>
      <c r="AJ35" s="51">
        <v>375</v>
      </c>
      <c r="AK35" s="51">
        <v>125</v>
      </c>
      <c r="AL35" s="51" t="s">
        <v>1506</v>
      </c>
      <c r="AM35" s="51" t="s">
        <v>1506</v>
      </c>
      <c r="AN35" s="51" t="s">
        <v>1506</v>
      </c>
      <c r="AO35" s="51" t="s">
        <v>1506</v>
      </c>
      <c r="AP35" s="51" t="s">
        <v>1506</v>
      </c>
      <c r="AQ35" s="51" t="s">
        <v>1506</v>
      </c>
      <c r="AR35" s="51" t="s">
        <v>1506</v>
      </c>
      <c r="AS35" s="51" t="s">
        <v>1506</v>
      </c>
      <c r="AT35" s="51" t="s">
        <v>1506</v>
      </c>
      <c r="AU35" s="51" t="s">
        <v>1506</v>
      </c>
      <c r="AV35" s="51">
        <f t="shared" si="2"/>
        <v>525</v>
      </c>
      <c r="AW35" s="293">
        <v>45292</v>
      </c>
      <c r="AX35" s="293">
        <v>45657</v>
      </c>
      <c r="AY35" s="402" t="s">
        <v>1507</v>
      </c>
    </row>
    <row r="36" spans="1:51" ht="72" customHeight="1" x14ac:dyDescent="0.25">
      <c r="A36" s="410">
        <v>1</v>
      </c>
      <c r="B36" s="401" t="s">
        <v>315</v>
      </c>
      <c r="C36" s="419">
        <v>41</v>
      </c>
      <c r="D36" s="411" t="s">
        <v>1525</v>
      </c>
      <c r="E36" s="412">
        <v>4102</v>
      </c>
      <c r="F36" s="411" t="s">
        <v>1526</v>
      </c>
      <c r="G36" s="412" t="s">
        <v>70</v>
      </c>
      <c r="H36" s="411" t="s">
        <v>1570</v>
      </c>
      <c r="I36" s="412">
        <v>4102038</v>
      </c>
      <c r="J36" s="411" t="s">
        <v>1571</v>
      </c>
      <c r="K36" s="412" t="s">
        <v>70</v>
      </c>
      <c r="L36" s="411" t="s">
        <v>1572</v>
      </c>
      <c r="M36" s="412">
        <v>410203800</v>
      </c>
      <c r="N36" s="411" t="s">
        <v>1573</v>
      </c>
      <c r="O36" s="412">
        <v>1</v>
      </c>
      <c r="P36" s="412" t="s">
        <v>285</v>
      </c>
      <c r="Q36" s="403">
        <f t="shared" si="1"/>
        <v>1</v>
      </c>
      <c r="R36" s="420">
        <v>2020003630102</v>
      </c>
      <c r="S36" s="411" t="s">
        <v>1574</v>
      </c>
      <c r="T36" s="416">
        <f t="shared" ref="T36:T42" si="6">SUM($X$36:$X$42)/SUM($X$36:$X$42)</f>
        <v>1</v>
      </c>
      <c r="U36" s="411" t="s">
        <v>1575</v>
      </c>
      <c r="V36" s="411" t="s">
        <v>1522</v>
      </c>
      <c r="W36" s="411" t="s">
        <v>1576</v>
      </c>
      <c r="X36" s="417">
        <v>119000000</v>
      </c>
      <c r="Y36" s="417">
        <f>10000000+1050000+1050000+10000000+11000000</f>
        <v>33100000</v>
      </c>
      <c r="Z36" s="417"/>
      <c r="AA36" s="417"/>
      <c r="AB36" s="417">
        <f t="shared" ref="AB36:AB44" si="7">X36-Y36+Z36-AA36</f>
        <v>85900000</v>
      </c>
      <c r="AC36" s="406" t="s">
        <v>1577</v>
      </c>
      <c r="AD36" s="415"/>
      <c r="AE36" s="408">
        <v>20</v>
      </c>
      <c r="AF36" s="409" t="s">
        <v>132</v>
      </c>
      <c r="AG36" s="418">
        <v>750</v>
      </c>
      <c r="AH36" s="418">
        <v>450</v>
      </c>
      <c r="AI36" s="418"/>
      <c r="AJ36" s="418">
        <v>450</v>
      </c>
      <c r="AK36" s="418">
        <v>735</v>
      </c>
      <c r="AL36" s="418"/>
      <c r="AM36" s="418">
        <v>5</v>
      </c>
      <c r="AN36" s="418"/>
      <c r="AO36" s="418"/>
      <c r="AP36" s="418"/>
      <c r="AQ36" s="418"/>
      <c r="AR36" s="418"/>
      <c r="AS36" s="418"/>
      <c r="AT36" s="418">
        <v>5</v>
      </c>
      <c r="AU36" s="418">
        <v>5</v>
      </c>
      <c r="AV36" s="51">
        <f t="shared" si="2"/>
        <v>1200</v>
      </c>
      <c r="AW36" s="293">
        <v>45292</v>
      </c>
      <c r="AX36" s="293">
        <v>45657</v>
      </c>
      <c r="AY36" s="402" t="s">
        <v>1507</v>
      </c>
    </row>
    <row r="37" spans="1:51" ht="72" customHeight="1" x14ac:dyDescent="0.25">
      <c r="A37" s="410">
        <v>1</v>
      </c>
      <c r="B37" s="401" t="s">
        <v>315</v>
      </c>
      <c r="C37" s="419">
        <v>41</v>
      </c>
      <c r="D37" s="411" t="s">
        <v>1525</v>
      </c>
      <c r="E37" s="412">
        <v>4102</v>
      </c>
      <c r="F37" s="411" t="s">
        <v>1526</v>
      </c>
      <c r="G37" s="412" t="s">
        <v>70</v>
      </c>
      <c r="H37" s="411" t="s">
        <v>1570</v>
      </c>
      <c r="I37" s="412">
        <v>4102038</v>
      </c>
      <c r="J37" s="411" t="s">
        <v>1571</v>
      </c>
      <c r="K37" s="412" t="s">
        <v>70</v>
      </c>
      <c r="L37" s="411" t="s">
        <v>1572</v>
      </c>
      <c r="M37" s="412">
        <v>410203800</v>
      </c>
      <c r="N37" s="411" t="s">
        <v>1573</v>
      </c>
      <c r="O37" s="412">
        <v>1</v>
      </c>
      <c r="P37" s="412" t="s">
        <v>285</v>
      </c>
      <c r="Q37" s="403">
        <f>SUM(O37:P37)</f>
        <v>1</v>
      </c>
      <c r="R37" s="420">
        <v>2020003630102</v>
      </c>
      <c r="S37" s="411" t="s">
        <v>1574</v>
      </c>
      <c r="T37" s="416">
        <f t="shared" si="6"/>
        <v>1</v>
      </c>
      <c r="U37" s="411" t="s">
        <v>1575</v>
      </c>
      <c r="V37" s="411" t="s">
        <v>1522</v>
      </c>
      <c r="W37" s="411" t="s">
        <v>1578</v>
      </c>
      <c r="X37" s="417">
        <v>26000000</v>
      </c>
      <c r="Y37" s="417">
        <f>2800000+3300000+3000000+2000000+3300000+3000000</f>
        <v>17400000</v>
      </c>
      <c r="Z37" s="417"/>
      <c r="AA37" s="417"/>
      <c r="AB37" s="417">
        <f t="shared" si="7"/>
        <v>8600000</v>
      </c>
      <c r="AC37" s="406" t="s">
        <v>1577</v>
      </c>
      <c r="AD37" s="415"/>
      <c r="AE37" s="408">
        <v>20</v>
      </c>
      <c r="AF37" s="409" t="s">
        <v>132</v>
      </c>
      <c r="AG37" s="418">
        <v>750</v>
      </c>
      <c r="AH37" s="418">
        <v>450</v>
      </c>
      <c r="AI37" s="418"/>
      <c r="AJ37" s="418">
        <v>450</v>
      </c>
      <c r="AK37" s="418">
        <v>735</v>
      </c>
      <c r="AL37" s="418"/>
      <c r="AM37" s="418">
        <v>5</v>
      </c>
      <c r="AN37" s="418"/>
      <c r="AO37" s="418"/>
      <c r="AP37" s="418"/>
      <c r="AQ37" s="418"/>
      <c r="AR37" s="418"/>
      <c r="AS37" s="418"/>
      <c r="AT37" s="418">
        <v>5</v>
      </c>
      <c r="AU37" s="418">
        <v>5</v>
      </c>
      <c r="AV37" s="51">
        <f t="shared" si="2"/>
        <v>1200</v>
      </c>
      <c r="AW37" s="293">
        <v>45292</v>
      </c>
      <c r="AX37" s="293">
        <v>45657</v>
      </c>
      <c r="AY37" s="402" t="s">
        <v>1507</v>
      </c>
    </row>
    <row r="38" spans="1:51" ht="90.75" customHeight="1" x14ac:dyDescent="0.25">
      <c r="A38" s="410">
        <v>1</v>
      </c>
      <c r="B38" s="401" t="s">
        <v>315</v>
      </c>
      <c r="C38" s="419">
        <v>41</v>
      </c>
      <c r="D38" s="411" t="s">
        <v>1525</v>
      </c>
      <c r="E38" s="412">
        <v>4102</v>
      </c>
      <c r="F38" s="411" t="s">
        <v>1526</v>
      </c>
      <c r="G38" s="412" t="s">
        <v>70</v>
      </c>
      <c r="H38" s="411" t="s">
        <v>1570</v>
      </c>
      <c r="I38" s="412">
        <v>4102038</v>
      </c>
      <c r="J38" s="411" t="s">
        <v>1571</v>
      </c>
      <c r="K38" s="412" t="s">
        <v>70</v>
      </c>
      <c r="L38" s="411" t="s">
        <v>1572</v>
      </c>
      <c r="M38" s="412">
        <v>410203800</v>
      </c>
      <c r="N38" s="411" t="s">
        <v>1573</v>
      </c>
      <c r="O38" s="412">
        <v>1</v>
      </c>
      <c r="P38" s="412" t="s">
        <v>285</v>
      </c>
      <c r="Q38" s="403">
        <f t="shared" si="1"/>
        <v>1</v>
      </c>
      <c r="R38" s="420">
        <v>2020003630102</v>
      </c>
      <c r="S38" s="411" t="s">
        <v>1574</v>
      </c>
      <c r="T38" s="416">
        <f t="shared" si="6"/>
        <v>1</v>
      </c>
      <c r="U38" s="411" t="s">
        <v>1575</v>
      </c>
      <c r="V38" s="411" t="s">
        <v>1522</v>
      </c>
      <c r="W38" s="411" t="s">
        <v>1579</v>
      </c>
      <c r="X38" s="417">
        <v>13000000</v>
      </c>
      <c r="Y38" s="417">
        <f>7000000+4000000+2000000</f>
        <v>13000000</v>
      </c>
      <c r="Z38" s="417"/>
      <c r="AA38" s="417"/>
      <c r="AB38" s="417">
        <f t="shared" si="7"/>
        <v>0</v>
      </c>
      <c r="AC38" s="406" t="s">
        <v>1577</v>
      </c>
      <c r="AD38" s="415"/>
      <c r="AE38" s="408">
        <v>20</v>
      </c>
      <c r="AF38" s="409" t="s">
        <v>132</v>
      </c>
      <c r="AG38" s="418">
        <v>750</v>
      </c>
      <c r="AH38" s="418">
        <v>450</v>
      </c>
      <c r="AI38" s="418"/>
      <c r="AJ38" s="418">
        <v>450</v>
      </c>
      <c r="AK38" s="418">
        <v>735</v>
      </c>
      <c r="AL38" s="418"/>
      <c r="AM38" s="418">
        <v>5</v>
      </c>
      <c r="AN38" s="418"/>
      <c r="AO38" s="418"/>
      <c r="AP38" s="418"/>
      <c r="AQ38" s="418"/>
      <c r="AR38" s="418"/>
      <c r="AS38" s="418"/>
      <c r="AT38" s="418">
        <v>5</v>
      </c>
      <c r="AU38" s="418">
        <v>5</v>
      </c>
      <c r="AV38" s="51">
        <f t="shared" si="2"/>
        <v>1200</v>
      </c>
      <c r="AW38" s="293">
        <v>45292</v>
      </c>
      <c r="AX38" s="293">
        <v>45657</v>
      </c>
      <c r="AY38" s="402" t="s">
        <v>1507</v>
      </c>
    </row>
    <row r="39" spans="1:51" ht="90.75" customHeight="1" x14ac:dyDescent="0.25">
      <c r="A39" s="410">
        <v>1</v>
      </c>
      <c r="B39" s="401" t="s">
        <v>315</v>
      </c>
      <c r="C39" s="419">
        <v>41</v>
      </c>
      <c r="D39" s="411" t="s">
        <v>1525</v>
      </c>
      <c r="E39" s="412">
        <v>4102</v>
      </c>
      <c r="F39" s="411" t="s">
        <v>1526</v>
      </c>
      <c r="G39" s="412" t="s">
        <v>70</v>
      </c>
      <c r="H39" s="411" t="s">
        <v>1570</v>
      </c>
      <c r="I39" s="412">
        <v>4102038</v>
      </c>
      <c r="J39" s="411" t="s">
        <v>1571</v>
      </c>
      <c r="K39" s="412" t="s">
        <v>70</v>
      </c>
      <c r="L39" s="411" t="s">
        <v>1572</v>
      </c>
      <c r="M39" s="412">
        <v>410203800</v>
      </c>
      <c r="N39" s="411" t="s">
        <v>1573</v>
      </c>
      <c r="O39" s="412">
        <v>1</v>
      </c>
      <c r="P39" s="412" t="s">
        <v>285</v>
      </c>
      <c r="Q39" s="403">
        <f>SUM(O39:P39)</f>
        <v>1</v>
      </c>
      <c r="R39" s="420">
        <v>2020003630102</v>
      </c>
      <c r="S39" s="411" t="s">
        <v>1574</v>
      </c>
      <c r="T39" s="416">
        <f t="shared" si="6"/>
        <v>1</v>
      </c>
      <c r="U39" s="411" t="s">
        <v>1575</v>
      </c>
      <c r="V39" s="411" t="s">
        <v>1522</v>
      </c>
      <c r="W39" s="411" t="s">
        <v>1580</v>
      </c>
      <c r="X39" s="417">
        <v>12000000</v>
      </c>
      <c r="Y39" s="417">
        <f>7800000+800000+2800000+800000</f>
        <v>12200000</v>
      </c>
      <c r="Z39" s="417"/>
      <c r="AA39" s="417"/>
      <c r="AB39" s="417">
        <f t="shared" si="7"/>
        <v>-200000</v>
      </c>
      <c r="AC39" s="406" t="s">
        <v>1577</v>
      </c>
      <c r="AD39" s="415"/>
      <c r="AE39" s="408">
        <v>20</v>
      </c>
      <c r="AF39" s="409" t="s">
        <v>132</v>
      </c>
      <c r="AG39" s="418">
        <v>750</v>
      </c>
      <c r="AH39" s="418">
        <v>450</v>
      </c>
      <c r="AI39" s="418"/>
      <c r="AJ39" s="418">
        <v>450</v>
      </c>
      <c r="AK39" s="418">
        <v>735</v>
      </c>
      <c r="AL39" s="418"/>
      <c r="AM39" s="418">
        <v>5</v>
      </c>
      <c r="AN39" s="418"/>
      <c r="AO39" s="418"/>
      <c r="AP39" s="418"/>
      <c r="AQ39" s="418"/>
      <c r="AR39" s="418"/>
      <c r="AS39" s="418"/>
      <c r="AT39" s="418">
        <v>5</v>
      </c>
      <c r="AU39" s="418">
        <v>5</v>
      </c>
      <c r="AV39" s="51">
        <f t="shared" si="2"/>
        <v>1200</v>
      </c>
      <c r="AW39" s="293">
        <v>45292</v>
      </c>
      <c r="AX39" s="293">
        <v>45657</v>
      </c>
      <c r="AY39" s="402" t="s">
        <v>1507</v>
      </c>
    </row>
    <row r="40" spans="1:51" ht="83.25" customHeight="1" x14ac:dyDescent="0.25">
      <c r="A40" s="410">
        <v>1</v>
      </c>
      <c r="B40" s="401" t="s">
        <v>315</v>
      </c>
      <c r="C40" s="419">
        <v>41</v>
      </c>
      <c r="D40" s="411" t="s">
        <v>1525</v>
      </c>
      <c r="E40" s="412">
        <v>4102</v>
      </c>
      <c r="F40" s="411" t="s">
        <v>1526</v>
      </c>
      <c r="G40" s="412" t="s">
        <v>70</v>
      </c>
      <c r="H40" s="411" t="s">
        <v>1570</v>
      </c>
      <c r="I40" s="412">
        <v>4102038</v>
      </c>
      <c r="J40" s="411" t="s">
        <v>1571</v>
      </c>
      <c r="K40" s="412" t="s">
        <v>70</v>
      </c>
      <c r="L40" s="411" t="s">
        <v>1572</v>
      </c>
      <c r="M40" s="412">
        <v>410203800</v>
      </c>
      <c r="N40" s="411" t="s">
        <v>1573</v>
      </c>
      <c r="O40" s="412">
        <v>1</v>
      </c>
      <c r="P40" s="412" t="s">
        <v>285</v>
      </c>
      <c r="Q40" s="403">
        <f t="shared" si="1"/>
        <v>1</v>
      </c>
      <c r="R40" s="420">
        <v>2020003630102</v>
      </c>
      <c r="S40" s="411" t="s">
        <v>1574</v>
      </c>
      <c r="T40" s="416">
        <f t="shared" si="6"/>
        <v>1</v>
      </c>
      <c r="U40" s="411" t="s">
        <v>1575</v>
      </c>
      <c r="V40" s="411" t="s">
        <v>1522</v>
      </c>
      <c r="W40" s="411" t="s">
        <v>1515</v>
      </c>
      <c r="X40" s="417">
        <v>3000000</v>
      </c>
      <c r="Y40" s="417"/>
      <c r="Z40" s="417"/>
      <c r="AA40" s="417"/>
      <c r="AB40" s="417">
        <f t="shared" si="7"/>
        <v>3000000</v>
      </c>
      <c r="AC40" s="406" t="s">
        <v>1581</v>
      </c>
      <c r="AD40" s="415"/>
      <c r="AE40" s="408">
        <v>20</v>
      </c>
      <c r="AF40" s="409" t="s">
        <v>132</v>
      </c>
      <c r="AG40" s="418">
        <v>750</v>
      </c>
      <c r="AH40" s="418">
        <v>450</v>
      </c>
      <c r="AI40" s="418"/>
      <c r="AJ40" s="418">
        <v>450</v>
      </c>
      <c r="AK40" s="418">
        <v>735</v>
      </c>
      <c r="AL40" s="418"/>
      <c r="AM40" s="418">
        <v>5</v>
      </c>
      <c r="AN40" s="418"/>
      <c r="AO40" s="418"/>
      <c r="AP40" s="418"/>
      <c r="AQ40" s="418"/>
      <c r="AR40" s="418"/>
      <c r="AS40" s="418"/>
      <c r="AT40" s="418">
        <v>5</v>
      </c>
      <c r="AU40" s="418">
        <v>5</v>
      </c>
      <c r="AV40" s="51">
        <f t="shared" si="2"/>
        <v>1200</v>
      </c>
      <c r="AW40" s="293">
        <v>45292</v>
      </c>
      <c r="AX40" s="293">
        <v>45657</v>
      </c>
      <c r="AY40" s="402" t="s">
        <v>1507</v>
      </c>
    </row>
    <row r="41" spans="1:51" ht="145.5" customHeight="1" x14ac:dyDescent="0.25">
      <c r="A41" s="410">
        <v>1</v>
      </c>
      <c r="B41" s="401" t="s">
        <v>315</v>
      </c>
      <c r="C41" s="419">
        <v>41</v>
      </c>
      <c r="D41" s="411" t="s">
        <v>1525</v>
      </c>
      <c r="E41" s="412">
        <v>4102</v>
      </c>
      <c r="F41" s="411" t="s">
        <v>1526</v>
      </c>
      <c r="G41" s="412" t="s">
        <v>70</v>
      </c>
      <c r="H41" s="411" t="s">
        <v>1570</v>
      </c>
      <c r="I41" s="412">
        <v>4102038</v>
      </c>
      <c r="J41" s="411" t="s">
        <v>1571</v>
      </c>
      <c r="K41" s="412" t="s">
        <v>70</v>
      </c>
      <c r="L41" s="411" t="s">
        <v>1572</v>
      </c>
      <c r="M41" s="412">
        <v>410203800</v>
      </c>
      <c r="N41" s="411" t="s">
        <v>1573</v>
      </c>
      <c r="O41" s="412">
        <v>1</v>
      </c>
      <c r="P41" s="412" t="s">
        <v>285</v>
      </c>
      <c r="Q41" s="403">
        <f>SUM(O41:P41)</f>
        <v>1</v>
      </c>
      <c r="R41" s="420">
        <v>2020003630102</v>
      </c>
      <c r="S41" s="411" t="s">
        <v>1574</v>
      </c>
      <c r="T41" s="416">
        <f t="shared" si="6"/>
        <v>1</v>
      </c>
      <c r="U41" s="411" t="s">
        <v>1575</v>
      </c>
      <c r="V41" s="411" t="s">
        <v>1522</v>
      </c>
      <c r="W41" s="411" t="s">
        <v>1582</v>
      </c>
      <c r="X41" s="417">
        <v>5000000</v>
      </c>
      <c r="Y41" s="417"/>
      <c r="Z41" s="417"/>
      <c r="AA41" s="417"/>
      <c r="AB41" s="417">
        <f t="shared" si="7"/>
        <v>5000000</v>
      </c>
      <c r="AC41" s="406" t="s">
        <v>1583</v>
      </c>
      <c r="AD41" s="421"/>
      <c r="AE41" s="408">
        <v>20</v>
      </c>
      <c r="AF41" s="409" t="s">
        <v>132</v>
      </c>
      <c r="AG41" s="418">
        <v>750</v>
      </c>
      <c r="AH41" s="418">
        <v>450</v>
      </c>
      <c r="AI41" s="418"/>
      <c r="AJ41" s="418">
        <v>450</v>
      </c>
      <c r="AK41" s="418">
        <v>735</v>
      </c>
      <c r="AL41" s="418"/>
      <c r="AM41" s="418">
        <v>5</v>
      </c>
      <c r="AN41" s="418"/>
      <c r="AO41" s="418"/>
      <c r="AP41" s="418"/>
      <c r="AQ41" s="418"/>
      <c r="AR41" s="418"/>
      <c r="AS41" s="418"/>
      <c r="AT41" s="418">
        <v>5</v>
      </c>
      <c r="AU41" s="418">
        <v>5</v>
      </c>
      <c r="AV41" s="51">
        <f t="shared" si="2"/>
        <v>1200</v>
      </c>
      <c r="AW41" s="293">
        <v>45292</v>
      </c>
      <c r="AX41" s="293">
        <v>45657</v>
      </c>
      <c r="AY41" s="402" t="s">
        <v>1507</v>
      </c>
    </row>
    <row r="42" spans="1:51" ht="127.5" customHeight="1" x14ac:dyDescent="0.25">
      <c r="A42" s="410">
        <v>1</v>
      </c>
      <c r="B42" s="401" t="s">
        <v>315</v>
      </c>
      <c r="C42" s="419">
        <v>41</v>
      </c>
      <c r="D42" s="411" t="s">
        <v>1525</v>
      </c>
      <c r="E42" s="412">
        <v>4102</v>
      </c>
      <c r="F42" s="411" t="s">
        <v>1526</v>
      </c>
      <c r="G42" s="412" t="s">
        <v>70</v>
      </c>
      <c r="H42" s="411" t="s">
        <v>1570</v>
      </c>
      <c r="I42" s="412">
        <v>4102038</v>
      </c>
      <c r="J42" s="411" t="s">
        <v>1571</v>
      </c>
      <c r="K42" s="412" t="s">
        <v>70</v>
      </c>
      <c r="L42" s="411" t="s">
        <v>1572</v>
      </c>
      <c r="M42" s="412">
        <v>410203800</v>
      </c>
      <c r="N42" s="411" t="s">
        <v>1573</v>
      </c>
      <c r="O42" s="412">
        <v>1</v>
      </c>
      <c r="P42" s="412" t="s">
        <v>285</v>
      </c>
      <c r="Q42" s="403">
        <f t="shared" si="1"/>
        <v>1</v>
      </c>
      <c r="R42" s="420">
        <v>2020003630102</v>
      </c>
      <c r="S42" s="411" t="s">
        <v>1574</v>
      </c>
      <c r="T42" s="416">
        <f t="shared" si="6"/>
        <v>1</v>
      </c>
      <c r="U42" s="411" t="s">
        <v>1575</v>
      </c>
      <c r="V42" s="411" t="s">
        <v>1522</v>
      </c>
      <c r="W42" s="411" t="s">
        <v>1568</v>
      </c>
      <c r="X42" s="417">
        <v>2000000</v>
      </c>
      <c r="Y42" s="417"/>
      <c r="Z42" s="417"/>
      <c r="AA42" s="417"/>
      <c r="AB42" s="417">
        <f t="shared" si="7"/>
        <v>2000000</v>
      </c>
      <c r="AC42" s="406" t="s">
        <v>1584</v>
      </c>
      <c r="AD42" s="409"/>
      <c r="AE42" s="408">
        <v>20</v>
      </c>
      <c r="AF42" s="409" t="s">
        <v>132</v>
      </c>
      <c r="AG42" s="418">
        <v>750</v>
      </c>
      <c r="AH42" s="418">
        <v>450</v>
      </c>
      <c r="AI42" s="418"/>
      <c r="AJ42" s="418">
        <v>450</v>
      </c>
      <c r="AK42" s="418">
        <v>735</v>
      </c>
      <c r="AL42" s="418"/>
      <c r="AM42" s="418">
        <v>5</v>
      </c>
      <c r="AN42" s="418"/>
      <c r="AO42" s="418"/>
      <c r="AP42" s="418"/>
      <c r="AQ42" s="418"/>
      <c r="AR42" s="418"/>
      <c r="AS42" s="418"/>
      <c r="AT42" s="418">
        <v>5</v>
      </c>
      <c r="AU42" s="418">
        <v>5</v>
      </c>
      <c r="AV42" s="51">
        <f t="shared" si="2"/>
        <v>1200</v>
      </c>
      <c r="AW42" s="293">
        <v>45292</v>
      </c>
      <c r="AX42" s="293">
        <v>45657</v>
      </c>
      <c r="AY42" s="402" t="s">
        <v>1507</v>
      </c>
    </row>
    <row r="43" spans="1:51" ht="111.75" customHeight="1" x14ac:dyDescent="0.25">
      <c r="A43" s="410">
        <v>1</v>
      </c>
      <c r="B43" s="401" t="s">
        <v>315</v>
      </c>
      <c r="C43" s="419">
        <v>41</v>
      </c>
      <c r="D43" s="411" t="s">
        <v>1525</v>
      </c>
      <c r="E43" s="412">
        <v>4102</v>
      </c>
      <c r="F43" s="411" t="s">
        <v>1526</v>
      </c>
      <c r="G43" s="412" t="s">
        <v>70</v>
      </c>
      <c r="H43" s="411" t="s">
        <v>1585</v>
      </c>
      <c r="I43" s="412">
        <v>4102042</v>
      </c>
      <c r="J43" s="411" t="s">
        <v>1586</v>
      </c>
      <c r="K43" s="412" t="s">
        <v>70</v>
      </c>
      <c r="L43" s="411" t="s">
        <v>1587</v>
      </c>
      <c r="M43" s="412">
        <v>410204200</v>
      </c>
      <c r="N43" s="411" t="s">
        <v>1588</v>
      </c>
      <c r="O43" s="412">
        <v>12</v>
      </c>
      <c r="P43" s="412" t="s">
        <v>285</v>
      </c>
      <c r="Q43" s="403">
        <f t="shared" si="1"/>
        <v>12</v>
      </c>
      <c r="R43" s="420">
        <v>2021003630010</v>
      </c>
      <c r="S43" s="411" t="s">
        <v>1589</v>
      </c>
      <c r="T43" s="416">
        <f>SUM($X$43:$X$44)/SUM($X$43:$X$44)</f>
        <v>1</v>
      </c>
      <c r="U43" s="411" t="s">
        <v>1590</v>
      </c>
      <c r="V43" s="411" t="s">
        <v>1591</v>
      </c>
      <c r="W43" s="411" t="s">
        <v>1592</v>
      </c>
      <c r="X43" s="405">
        <f>8000000+8000000</f>
        <v>16000000</v>
      </c>
      <c r="Y43" s="405"/>
      <c r="Z43" s="405"/>
      <c r="AA43" s="405"/>
      <c r="AB43" s="417">
        <f t="shared" si="7"/>
        <v>16000000</v>
      </c>
      <c r="AC43" s="406" t="s">
        <v>1593</v>
      </c>
      <c r="AD43" s="415"/>
      <c r="AE43" s="408">
        <v>20</v>
      </c>
      <c r="AF43" s="409" t="s">
        <v>132</v>
      </c>
      <c r="AG43" s="51">
        <v>430</v>
      </c>
      <c r="AH43" s="51">
        <v>420</v>
      </c>
      <c r="AI43" s="51">
        <v>480</v>
      </c>
      <c r="AJ43" s="51">
        <v>15</v>
      </c>
      <c r="AK43" s="51">
        <v>154</v>
      </c>
      <c r="AL43" s="51">
        <v>1</v>
      </c>
      <c r="AM43" s="51">
        <v>50</v>
      </c>
      <c r="AN43" s="51">
        <v>50</v>
      </c>
      <c r="AO43" s="51" t="s">
        <v>1506</v>
      </c>
      <c r="AP43" s="51" t="s">
        <v>1506</v>
      </c>
      <c r="AQ43" s="51" t="s">
        <v>1506</v>
      </c>
      <c r="AR43" s="51" t="s">
        <v>1506</v>
      </c>
      <c r="AS43" s="51">
        <v>50</v>
      </c>
      <c r="AT43" s="51">
        <v>50</v>
      </c>
      <c r="AU43" s="51" t="s">
        <v>1506</v>
      </c>
      <c r="AV43" s="51">
        <f t="shared" si="2"/>
        <v>850</v>
      </c>
      <c r="AW43" s="293">
        <v>45292</v>
      </c>
      <c r="AX43" s="293">
        <v>45657</v>
      </c>
      <c r="AY43" s="402" t="s">
        <v>1507</v>
      </c>
    </row>
    <row r="44" spans="1:51" ht="111.75" customHeight="1" x14ac:dyDescent="0.25">
      <c r="A44" s="410">
        <v>1</v>
      </c>
      <c r="B44" s="401" t="s">
        <v>315</v>
      </c>
      <c r="C44" s="419">
        <v>41</v>
      </c>
      <c r="D44" s="411" t="s">
        <v>1525</v>
      </c>
      <c r="E44" s="412">
        <v>4102</v>
      </c>
      <c r="F44" s="411" t="s">
        <v>1526</v>
      </c>
      <c r="G44" s="412" t="s">
        <v>70</v>
      </c>
      <c r="H44" s="411" t="s">
        <v>1585</v>
      </c>
      <c r="I44" s="412">
        <v>4102042</v>
      </c>
      <c r="J44" s="411" t="s">
        <v>1586</v>
      </c>
      <c r="K44" s="412" t="s">
        <v>70</v>
      </c>
      <c r="L44" s="411" t="s">
        <v>1587</v>
      </c>
      <c r="M44" s="412">
        <v>410204200</v>
      </c>
      <c r="N44" s="411" t="s">
        <v>1588</v>
      </c>
      <c r="O44" s="412">
        <v>12</v>
      </c>
      <c r="P44" s="412" t="s">
        <v>285</v>
      </c>
      <c r="Q44" s="403">
        <f t="shared" si="1"/>
        <v>12</v>
      </c>
      <c r="R44" s="420">
        <v>2021003630010</v>
      </c>
      <c r="S44" s="411" t="s">
        <v>1589</v>
      </c>
      <c r="T44" s="416">
        <f>SUM($X$43:$X$44)/SUM($X$43:$X$44)</f>
        <v>1</v>
      </c>
      <c r="U44" s="411" t="s">
        <v>1590</v>
      </c>
      <c r="V44" s="411" t="s">
        <v>1591</v>
      </c>
      <c r="W44" s="411" t="s">
        <v>1594</v>
      </c>
      <c r="X44" s="405">
        <f>12000000+7000000</f>
        <v>19000000</v>
      </c>
      <c r="Y44" s="405">
        <f>8400000+5800000+5400000</f>
        <v>19600000</v>
      </c>
      <c r="Z44" s="405">
        <f>5800000</f>
        <v>5800000</v>
      </c>
      <c r="AA44" s="405"/>
      <c r="AB44" s="417">
        <f t="shared" si="7"/>
        <v>5200000</v>
      </c>
      <c r="AC44" s="406" t="s">
        <v>1593</v>
      </c>
      <c r="AD44" s="415"/>
      <c r="AE44" s="408">
        <v>20</v>
      </c>
      <c r="AF44" s="409" t="s">
        <v>132</v>
      </c>
      <c r="AG44" s="51">
        <v>430</v>
      </c>
      <c r="AH44" s="51">
        <v>420</v>
      </c>
      <c r="AI44" s="51">
        <v>480</v>
      </c>
      <c r="AJ44" s="51">
        <v>15</v>
      </c>
      <c r="AK44" s="51">
        <v>154</v>
      </c>
      <c r="AL44" s="51">
        <v>1</v>
      </c>
      <c r="AM44" s="51">
        <v>50</v>
      </c>
      <c r="AN44" s="51">
        <v>50</v>
      </c>
      <c r="AO44" s="51" t="s">
        <v>1506</v>
      </c>
      <c r="AP44" s="51" t="s">
        <v>1506</v>
      </c>
      <c r="AQ44" s="51" t="s">
        <v>1506</v>
      </c>
      <c r="AR44" s="51" t="s">
        <v>1506</v>
      </c>
      <c r="AS44" s="51">
        <v>50</v>
      </c>
      <c r="AT44" s="51">
        <v>50</v>
      </c>
      <c r="AU44" s="51" t="s">
        <v>1506</v>
      </c>
      <c r="AV44" s="51">
        <f t="shared" si="2"/>
        <v>850</v>
      </c>
      <c r="AW44" s="293">
        <v>45292</v>
      </c>
      <c r="AX44" s="293">
        <v>45657</v>
      </c>
      <c r="AY44" s="402" t="s">
        <v>1507</v>
      </c>
    </row>
    <row r="45" spans="1:51" ht="74.45" customHeight="1" x14ac:dyDescent="0.25">
      <c r="A45" s="410">
        <v>1</v>
      </c>
      <c r="B45" s="401" t="s">
        <v>315</v>
      </c>
      <c r="C45" s="419">
        <v>41</v>
      </c>
      <c r="D45" s="411" t="s">
        <v>1525</v>
      </c>
      <c r="E45" s="412">
        <v>4102</v>
      </c>
      <c r="F45" s="411" t="s">
        <v>1526</v>
      </c>
      <c r="G45" s="412" t="s">
        <v>70</v>
      </c>
      <c r="H45" s="411" t="s">
        <v>1595</v>
      </c>
      <c r="I45" s="412">
        <v>4102001</v>
      </c>
      <c r="J45" s="411" t="s">
        <v>1596</v>
      </c>
      <c r="K45" s="412" t="s">
        <v>70</v>
      </c>
      <c r="L45" s="411" t="s">
        <v>1597</v>
      </c>
      <c r="M45" s="412">
        <v>410200100</v>
      </c>
      <c r="N45" s="411" t="s">
        <v>1537</v>
      </c>
      <c r="O45" s="412">
        <v>1</v>
      </c>
      <c r="P45" s="412" t="s">
        <v>285</v>
      </c>
      <c r="Q45" s="403">
        <f t="shared" si="1"/>
        <v>1</v>
      </c>
      <c r="R45" s="420">
        <v>2020003630033</v>
      </c>
      <c r="S45" s="411" t="s">
        <v>1598</v>
      </c>
      <c r="T45" s="416">
        <f>SUM($X$45:$X$45)/SUM($X$45:$X$47)</f>
        <v>0.5714285714285714</v>
      </c>
      <c r="U45" s="411" t="s">
        <v>1599</v>
      </c>
      <c r="V45" s="411" t="s">
        <v>1600</v>
      </c>
      <c r="W45" s="411" t="s">
        <v>1601</v>
      </c>
      <c r="X45" s="422">
        <v>40000000</v>
      </c>
      <c r="Y45" s="422"/>
      <c r="Z45" s="422"/>
      <c r="AA45" s="422"/>
      <c r="AB45" s="417">
        <f>X45-Y45+Z45-AA45</f>
        <v>40000000</v>
      </c>
      <c r="AC45" s="406" t="s">
        <v>1602</v>
      </c>
      <c r="AD45" s="415"/>
      <c r="AE45" s="408">
        <v>20</v>
      </c>
      <c r="AF45" s="409" t="s">
        <v>132</v>
      </c>
      <c r="AG45" s="51">
        <v>260</v>
      </c>
      <c r="AH45" s="51">
        <v>240</v>
      </c>
      <c r="AI45" s="51">
        <v>125</v>
      </c>
      <c r="AJ45" s="51">
        <v>250</v>
      </c>
      <c r="AK45" s="51">
        <v>125</v>
      </c>
      <c r="AL45" s="51" t="s">
        <v>1506</v>
      </c>
      <c r="AM45" s="51" t="s">
        <v>1506</v>
      </c>
      <c r="AN45" s="51" t="s">
        <v>1506</v>
      </c>
      <c r="AO45" s="51" t="s">
        <v>1506</v>
      </c>
      <c r="AP45" s="51" t="s">
        <v>1506</v>
      </c>
      <c r="AQ45" s="51" t="s">
        <v>1506</v>
      </c>
      <c r="AR45" s="51" t="s">
        <v>1506</v>
      </c>
      <c r="AS45" s="51" t="s">
        <v>1506</v>
      </c>
      <c r="AT45" s="51" t="s">
        <v>1506</v>
      </c>
      <c r="AU45" s="51" t="s">
        <v>1506</v>
      </c>
      <c r="AV45" s="51">
        <f t="shared" si="2"/>
        <v>500</v>
      </c>
      <c r="AW45" s="293">
        <v>45292</v>
      </c>
      <c r="AX45" s="293">
        <v>45657</v>
      </c>
      <c r="AY45" s="402" t="s">
        <v>1507</v>
      </c>
    </row>
    <row r="46" spans="1:51" ht="72.75" customHeight="1" x14ac:dyDescent="0.25">
      <c r="A46" s="410">
        <v>1</v>
      </c>
      <c r="B46" s="401" t="s">
        <v>315</v>
      </c>
      <c r="C46" s="419">
        <v>41</v>
      </c>
      <c r="D46" s="411" t="s">
        <v>1525</v>
      </c>
      <c r="E46" s="412">
        <v>4102</v>
      </c>
      <c r="F46" s="411" t="s">
        <v>1526</v>
      </c>
      <c r="G46" s="412" t="s">
        <v>70</v>
      </c>
      <c r="H46" s="411" t="s">
        <v>1603</v>
      </c>
      <c r="I46" s="412">
        <v>4102022</v>
      </c>
      <c r="J46" s="411" t="s">
        <v>1604</v>
      </c>
      <c r="K46" s="412" t="s">
        <v>70</v>
      </c>
      <c r="L46" s="411" t="s">
        <v>1605</v>
      </c>
      <c r="M46" s="412">
        <v>410202200</v>
      </c>
      <c r="N46" s="411" t="s">
        <v>1606</v>
      </c>
      <c r="O46" s="412">
        <v>18</v>
      </c>
      <c r="P46" s="412" t="s">
        <v>285</v>
      </c>
      <c r="Q46" s="403">
        <f t="shared" si="1"/>
        <v>18</v>
      </c>
      <c r="R46" s="420">
        <v>2020003630033</v>
      </c>
      <c r="S46" s="411" t="s">
        <v>1598</v>
      </c>
      <c r="T46" s="416">
        <f>SUM($X$46:$X$47)/SUM($X$45:$X$47)</f>
        <v>0.42857142857142855</v>
      </c>
      <c r="U46" s="411" t="s">
        <v>1599</v>
      </c>
      <c r="V46" s="411" t="s">
        <v>1600</v>
      </c>
      <c r="W46" s="411" t="s">
        <v>1607</v>
      </c>
      <c r="X46" s="422">
        <v>15000000</v>
      </c>
      <c r="Y46" s="422"/>
      <c r="Z46" s="422"/>
      <c r="AA46" s="422"/>
      <c r="AB46" s="417">
        <f>X46-Y46+Z46-AA46</f>
        <v>15000000</v>
      </c>
      <c r="AC46" s="406" t="s">
        <v>1602</v>
      </c>
      <c r="AD46" s="415"/>
      <c r="AE46" s="408">
        <v>20</v>
      </c>
      <c r="AF46" s="409" t="s">
        <v>132</v>
      </c>
      <c r="AG46" s="51">
        <v>260</v>
      </c>
      <c r="AH46" s="51">
        <v>240</v>
      </c>
      <c r="AI46" s="51">
        <v>125</v>
      </c>
      <c r="AJ46" s="51">
        <v>250</v>
      </c>
      <c r="AK46" s="51">
        <v>125</v>
      </c>
      <c r="AL46" s="51" t="s">
        <v>1506</v>
      </c>
      <c r="AM46" s="51" t="s">
        <v>1506</v>
      </c>
      <c r="AN46" s="51" t="s">
        <v>1506</v>
      </c>
      <c r="AO46" s="51" t="s">
        <v>1506</v>
      </c>
      <c r="AP46" s="51" t="s">
        <v>1506</v>
      </c>
      <c r="AQ46" s="51" t="s">
        <v>1506</v>
      </c>
      <c r="AR46" s="51" t="s">
        <v>1506</v>
      </c>
      <c r="AS46" s="51" t="s">
        <v>1506</v>
      </c>
      <c r="AT46" s="51" t="s">
        <v>1506</v>
      </c>
      <c r="AU46" s="51" t="s">
        <v>1506</v>
      </c>
      <c r="AV46" s="51">
        <f t="shared" si="2"/>
        <v>500</v>
      </c>
      <c r="AW46" s="293">
        <v>45292</v>
      </c>
      <c r="AX46" s="293">
        <v>45657</v>
      </c>
      <c r="AY46" s="402" t="s">
        <v>1507</v>
      </c>
    </row>
    <row r="47" spans="1:51" ht="89.25" customHeight="1" x14ac:dyDescent="0.25">
      <c r="A47" s="410">
        <v>1</v>
      </c>
      <c r="B47" s="401" t="s">
        <v>315</v>
      </c>
      <c r="C47" s="419">
        <v>41</v>
      </c>
      <c r="D47" s="411" t="s">
        <v>1525</v>
      </c>
      <c r="E47" s="412">
        <v>4102</v>
      </c>
      <c r="F47" s="411" t="s">
        <v>1526</v>
      </c>
      <c r="G47" s="412" t="s">
        <v>70</v>
      </c>
      <c r="H47" s="411" t="s">
        <v>1603</v>
      </c>
      <c r="I47" s="412">
        <v>4102022</v>
      </c>
      <c r="J47" s="411" t="s">
        <v>1604</v>
      </c>
      <c r="K47" s="412" t="s">
        <v>70</v>
      </c>
      <c r="L47" s="411" t="s">
        <v>1605</v>
      </c>
      <c r="M47" s="412">
        <v>410202200</v>
      </c>
      <c r="N47" s="411" t="s">
        <v>1606</v>
      </c>
      <c r="O47" s="412">
        <v>18</v>
      </c>
      <c r="P47" s="412" t="s">
        <v>285</v>
      </c>
      <c r="Q47" s="403">
        <f t="shared" si="1"/>
        <v>18</v>
      </c>
      <c r="R47" s="420">
        <v>2020003630033</v>
      </c>
      <c r="S47" s="411" t="s">
        <v>1598</v>
      </c>
      <c r="T47" s="416">
        <f>SUM($X$46:$X$47)/SUM($X$45:$X$47)</f>
        <v>0.42857142857142855</v>
      </c>
      <c r="U47" s="411" t="s">
        <v>1599</v>
      </c>
      <c r="V47" s="411" t="s">
        <v>1600</v>
      </c>
      <c r="W47" s="411" t="s">
        <v>1608</v>
      </c>
      <c r="X47" s="422">
        <v>15000000</v>
      </c>
      <c r="Y47" s="422"/>
      <c r="Z47" s="422"/>
      <c r="AA47" s="422"/>
      <c r="AB47" s="417">
        <f>X47-Y47+Z47-AA47</f>
        <v>15000000</v>
      </c>
      <c r="AC47" s="406" t="s">
        <v>1602</v>
      </c>
      <c r="AD47" s="415"/>
      <c r="AE47" s="408">
        <v>20</v>
      </c>
      <c r="AF47" s="409" t="s">
        <v>132</v>
      </c>
      <c r="AG47" s="51">
        <v>260</v>
      </c>
      <c r="AH47" s="51">
        <v>240</v>
      </c>
      <c r="AI47" s="51">
        <v>125</v>
      </c>
      <c r="AJ47" s="51">
        <v>250</v>
      </c>
      <c r="AK47" s="51">
        <v>125</v>
      </c>
      <c r="AL47" s="51" t="s">
        <v>1506</v>
      </c>
      <c r="AM47" s="51" t="s">
        <v>1506</v>
      </c>
      <c r="AN47" s="51" t="s">
        <v>1506</v>
      </c>
      <c r="AO47" s="51" t="s">
        <v>1506</v>
      </c>
      <c r="AP47" s="51" t="s">
        <v>1506</v>
      </c>
      <c r="AQ47" s="51" t="s">
        <v>1506</v>
      </c>
      <c r="AR47" s="51" t="s">
        <v>1506</v>
      </c>
      <c r="AS47" s="51" t="s">
        <v>1506</v>
      </c>
      <c r="AT47" s="51" t="s">
        <v>1506</v>
      </c>
      <c r="AU47" s="51" t="s">
        <v>1506</v>
      </c>
      <c r="AV47" s="51">
        <f t="shared" si="2"/>
        <v>500</v>
      </c>
      <c r="AW47" s="293">
        <v>45292</v>
      </c>
      <c r="AX47" s="293">
        <v>45657</v>
      </c>
      <c r="AY47" s="402" t="s">
        <v>1507</v>
      </c>
    </row>
    <row r="48" spans="1:51" ht="66" customHeight="1" x14ac:dyDescent="0.25">
      <c r="A48" s="410">
        <v>1</v>
      </c>
      <c r="B48" s="401" t="s">
        <v>315</v>
      </c>
      <c r="C48" s="419">
        <v>41</v>
      </c>
      <c r="D48" s="411" t="s">
        <v>1525</v>
      </c>
      <c r="E48" s="412">
        <v>4102</v>
      </c>
      <c r="F48" s="411" t="s">
        <v>1526</v>
      </c>
      <c r="G48" s="412">
        <v>4102038</v>
      </c>
      <c r="H48" s="411" t="s">
        <v>1609</v>
      </c>
      <c r="I48" s="412">
        <v>4102038</v>
      </c>
      <c r="J48" s="411" t="s">
        <v>1609</v>
      </c>
      <c r="K48" s="412">
        <v>410203800</v>
      </c>
      <c r="L48" s="411" t="s">
        <v>1610</v>
      </c>
      <c r="M48" s="412">
        <v>410203800</v>
      </c>
      <c r="N48" s="411" t="s">
        <v>1610</v>
      </c>
      <c r="O48" s="412">
        <v>10</v>
      </c>
      <c r="P48" s="412" t="s">
        <v>285</v>
      </c>
      <c r="Q48" s="403">
        <f t="shared" si="1"/>
        <v>10</v>
      </c>
      <c r="R48" s="420">
        <v>2020003630034</v>
      </c>
      <c r="S48" s="411" t="s">
        <v>1611</v>
      </c>
      <c r="T48" s="416">
        <f>SUM($X$48:$X$51)/SUM($X$48:$X$51)</f>
        <v>1</v>
      </c>
      <c r="U48" s="411" t="s">
        <v>1612</v>
      </c>
      <c r="V48" s="411" t="s">
        <v>1613</v>
      </c>
      <c r="W48" s="411" t="s">
        <v>1614</v>
      </c>
      <c r="X48" s="422">
        <v>20000000</v>
      </c>
      <c r="Y48" s="422">
        <f>8000000+8150000</f>
        <v>16150000</v>
      </c>
      <c r="Z48" s="422"/>
      <c r="AA48" s="422"/>
      <c r="AB48" s="422">
        <f>X48-Y48+Z48-AA48</f>
        <v>3850000</v>
      </c>
      <c r="AC48" s="406" t="s">
        <v>1615</v>
      </c>
      <c r="AD48" s="415"/>
      <c r="AE48" s="408">
        <v>20</v>
      </c>
      <c r="AF48" s="409" t="s">
        <v>132</v>
      </c>
      <c r="AG48" s="418">
        <v>15</v>
      </c>
      <c r="AH48" s="418">
        <v>15</v>
      </c>
      <c r="AI48" s="418"/>
      <c r="AJ48" s="418"/>
      <c r="AK48" s="418">
        <v>10</v>
      </c>
      <c r="AL48" s="418">
        <v>20</v>
      </c>
      <c r="AM48" s="418"/>
      <c r="AN48" s="418"/>
      <c r="AO48" s="418"/>
      <c r="AP48" s="418"/>
      <c r="AQ48" s="418"/>
      <c r="AR48" s="418"/>
      <c r="AS48" s="418"/>
      <c r="AT48" s="418"/>
      <c r="AU48" s="418"/>
      <c r="AV48" s="51">
        <f t="shared" si="2"/>
        <v>30</v>
      </c>
      <c r="AW48" s="293">
        <v>45292</v>
      </c>
      <c r="AX48" s="293">
        <v>45657</v>
      </c>
      <c r="AY48" s="402" t="s">
        <v>1507</v>
      </c>
    </row>
    <row r="49" spans="1:51" ht="88.5" customHeight="1" x14ac:dyDescent="0.25">
      <c r="A49" s="410">
        <v>1</v>
      </c>
      <c r="B49" s="401" t="s">
        <v>315</v>
      </c>
      <c r="C49" s="419">
        <v>41</v>
      </c>
      <c r="D49" s="411" t="s">
        <v>1525</v>
      </c>
      <c r="E49" s="412">
        <v>4102</v>
      </c>
      <c r="F49" s="411" t="s">
        <v>1526</v>
      </c>
      <c r="G49" s="412">
        <v>4102038</v>
      </c>
      <c r="H49" s="411" t="s">
        <v>1609</v>
      </c>
      <c r="I49" s="412">
        <v>4102038</v>
      </c>
      <c r="J49" s="411" t="s">
        <v>1609</v>
      </c>
      <c r="K49" s="412">
        <v>410203800</v>
      </c>
      <c r="L49" s="411" t="s">
        <v>1610</v>
      </c>
      <c r="M49" s="412">
        <v>410203800</v>
      </c>
      <c r="N49" s="411" t="s">
        <v>1610</v>
      </c>
      <c r="O49" s="412">
        <v>10</v>
      </c>
      <c r="P49" s="412" t="s">
        <v>285</v>
      </c>
      <c r="Q49" s="403">
        <f t="shared" si="1"/>
        <v>10</v>
      </c>
      <c r="R49" s="420">
        <v>2020003630034</v>
      </c>
      <c r="S49" s="411" t="s">
        <v>1611</v>
      </c>
      <c r="T49" s="416">
        <f>SUM($X$48:$X$51)/SUM($X$48:$X$51)</f>
        <v>1</v>
      </c>
      <c r="U49" s="411" t="s">
        <v>1612</v>
      </c>
      <c r="V49" s="411" t="s">
        <v>1613</v>
      </c>
      <c r="W49" s="411" t="s">
        <v>1616</v>
      </c>
      <c r="X49" s="422">
        <v>10000000</v>
      </c>
      <c r="Y49" s="422">
        <f>3000000+3150000</f>
        <v>6150000</v>
      </c>
      <c r="Z49" s="422"/>
      <c r="AA49" s="422"/>
      <c r="AB49" s="422">
        <f t="shared" ref="AB49:AB113" si="8">X49-Y49+Z49-AA49</f>
        <v>3850000</v>
      </c>
      <c r="AC49" s="406" t="s">
        <v>1615</v>
      </c>
      <c r="AD49" s="415"/>
      <c r="AE49" s="408">
        <v>20</v>
      </c>
      <c r="AF49" s="409" t="s">
        <v>132</v>
      </c>
      <c r="AG49" s="418">
        <v>15</v>
      </c>
      <c r="AH49" s="418">
        <v>15</v>
      </c>
      <c r="AI49" s="418"/>
      <c r="AJ49" s="418"/>
      <c r="AK49" s="418">
        <v>10</v>
      </c>
      <c r="AL49" s="418">
        <v>20</v>
      </c>
      <c r="AM49" s="418"/>
      <c r="AN49" s="418"/>
      <c r="AO49" s="418"/>
      <c r="AP49" s="418"/>
      <c r="AQ49" s="418"/>
      <c r="AR49" s="418"/>
      <c r="AS49" s="418"/>
      <c r="AT49" s="418"/>
      <c r="AU49" s="418"/>
      <c r="AV49" s="51">
        <f t="shared" si="2"/>
        <v>30</v>
      </c>
      <c r="AW49" s="293">
        <v>45292</v>
      </c>
      <c r="AX49" s="293">
        <v>45657</v>
      </c>
      <c r="AY49" s="402" t="s">
        <v>1507</v>
      </c>
    </row>
    <row r="50" spans="1:51" ht="71.25" customHeight="1" x14ac:dyDescent="0.25">
      <c r="A50" s="410">
        <v>1</v>
      </c>
      <c r="B50" s="401" t="s">
        <v>315</v>
      </c>
      <c r="C50" s="419">
        <v>41</v>
      </c>
      <c r="D50" s="411" t="s">
        <v>1525</v>
      </c>
      <c r="E50" s="412">
        <v>4102</v>
      </c>
      <c r="F50" s="411" t="s">
        <v>1526</v>
      </c>
      <c r="G50" s="412">
        <v>4102038</v>
      </c>
      <c r="H50" s="411" t="s">
        <v>1609</v>
      </c>
      <c r="I50" s="412">
        <v>4102038</v>
      </c>
      <c r="J50" s="411" t="s">
        <v>1609</v>
      </c>
      <c r="K50" s="412">
        <v>410203800</v>
      </c>
      <c r="L50" s="411" t="s">
        <v>1610</v>
      </c>
      <c r="M50" s="412">
        <v>410203800</v>
      </c>
      <c r="N50" s="411" t="s">
        <v>1610</v>
      </c>
      <c r="O50" s="412">
        <v>10</v>
      </c>
      <c r="P50" s="412" t="s">
        <v>285</v>
      </c>
      <c r="Q50" s="403">
        <f t="shared" si="1"/>
        <v>10</v>
      </c>
      <c r="R50" s="420">
        <v>2020003630034</v>
      </c>
      <c r="S50" s="411" t="s">
        <v>1611</v>
      </c>
      <c r="T50" s="416">
        <f>SUM($X$48:$X$51)/SUM($X$48:$X$51)</f>
        <v>1</v>
      </c>
      <c r="U50" s="411" t="s">
        <v>1612</v>
      </c>
      <c r="V50" s="411" t="s">
        <v>1613</v>
      </c>
      <c r="W50" s="411" t="s">
        <v>1617</v>
      </c>
      <c r="X50" s="422">
        <v>10000000</v>
      </c>
      <c r="Y50" s="422">
        <f>2000000+2500000</f>
        <v>4500000</v>
      </c>
      <c r="Z50" s="422"/>
      <c r="AA50" s="422"/>
      <c r="AB50" s="422">
        <f t="shared" si="8"/>
        <v>5500000</v>
      </c>
      <c r="AC50" s="406" t="s">
        <v>1615</v>
      </c>
      <c r="AD50" s="415"/>
      <c r="AE50" s="408">
        <v>20</v>
      </c>
      <c r="AF50" s="409" t="s">
        <v>132</v>
      </c>
      <c r="AG50" s="418">
        <v>15</v>
      </c>
      <c r="AH50" s="418">
        <v>15</v>
      </c>
      <c r="AI50" s="418"/>
      <c r="AJ50" s="418"/>
      <c r="AK50" s="418">
        <v>10</v>
      </c>
      <c r="AL50" s="418">
        <v>20</v>
      </c>
      <c r="AM50" s="418"/>
      <c r="AN50" s="418"/>
      <c r="AO50" s="418"/>
      <c r="AP50" s="418"/>
      <c r="AQ50" s="418"/>
      <c r="AR50" s="418"/>
      <c r="AS50" s="418"/>
      <c r="AT50" s="418"/>
      <c r="AU50" s="418"/>
      <c r="AV50" s="51">
        <f t="shared" si="2"/>
        <v>30</v>
      </c>
      <c r="AW50" s="293">
        <v>45292</v>
      </c>
      <c r="AX50" s="293">
        <v>45657</v>
      </c>
      <c r="AY50" s="402" t="s">
        <v>1507</v>
      </c>
    </row>
    <row r="51" spans="1:51" ht="60" customHeight="1" x14ac:dyDescent="0.25">
      <c r="A51" s="410">
        <v>1</v>
      </c>
      <c r="B51" s="401" t="s">
        <v>315</v>
      </c>
      <c r="C51" s="419">
        <v>41</v>
      </c>
      <c r="D51" s="411" t="s">
        <v>1525</v>
      </c>
      <c r="E51" s="412">
        <v>4102</v>
      </c>
      <c r="F51" s="411" t="s">
        <v>1526</v>
      </c>
      <c r="G51" s="412">
        <v>4102038</v>
      </c>
      <c r="H51" s="411" t="s">
        <v>1609</v>
      </c>
      <c r="I51" s="412">
        <v>4102038</v>
      </c>
      <c r="J51" s="411" t="s">
        <v>1609</v>
      </c>
      <c r="K51" s="412">
        <v>410203800</v>
      </c>
      <c r="L51" s="411" t="s">
        <v>1610</v>
      </c>
      <c r="M51" s="412">
        <v>410203800</v>
      </c>
      <c r="N51" s="411" t="s">
        <v>1610</v>
      </c>
      <c r="O51" s="412">
        <v>10</v>
      </c>
      <c r="P51" s="412" t="s">
        <v>285</v>
      </c>
      <c r="Q51" s="403">
        <f t="shared" si="1"/>
        <v>10</v>
      </c>
      <c r="R51" s="420">
        <v>2020003630034</v>
      </c>
      <c r="S51" s="411" t="s">
        <v>1611</v>
      </c>
      <c r="T51" s="416">
        <f>SUM($X$48:$X$51)/SUM($X$48:$X$51)</f>
        <v>1</v>
      </c>
      <c r="U51" s="411" t="s">
        <v>1612</v>
      </c>
      <c r="V51" s="411" t="s">
        <v>1613</v>
      </c>
      <c r="W51" s="411" t="s">
        <v>1618</v>
      </c>
      <c r="X51" s="422">
        <v>5000000</v>
      </c>
      <c r="Y51" s="422">
        <f>1800000+1000000</f>
        <v>2800000</v>
      </c>
      <c r="Z51" s="422"/>
      <c r="AA51" s="422"/>
      <c r="AB51" s="422">
        <f t="shared" si="8"/>
        <v>2200000</v>
      </c>
      <c r="AC51" s="406" t="s">
        <v>1615</v>
      </c>
      <c r="AD51" s="415"/>
      <c r="AE51" s="408">
        <v>20</v>
      </c>
      <c r="AF51" s="409" t="s">
        <v>132</v>
      </c>
      <c r="AG51" s="418">
        <v>15</v>
      </c>
      <c r="AH51" s="418">
        <v>15</v>
      </c>
      <c r="AI51" s="418"/>
      <c r="AJ51" s="418"/>
      <c r="AK51" s="418">
        <v>10</v>
      </c>
      <c r="AL51" s="418">
        <v>20</v>
      </c>
      <c r="AM51" s="418"/>
      <c r="AN51" s="418"/>
      <c r="AO51" s="418"/>
      <c r="AP51" s="418"/>
      <c r="AQ51" s="418"/>
      <c r="AR51" s="418"/>
      <c r="AS51" s="418"/>
      <c r="AT51" s="418"/>
      <c r="AU51" s="418"/>
      <c r="AV51" s="51">
        <f t="shared" si="2"/>
        <v>30</v>
      </c>
      <c r="AW51" s="293">
        <v>45292</v>
      </c>
      <c r="AX51" s="293">
        <v>45657</v>
      </c>
      <c r="AY51" s="402" t="s">
        <v>1507</v>
      </c>
    </row>
    <row r="52" spans="1:51" ht="96" customHeight="1" x14ac:dyDescent="0.25">
      <c r="A52" s="410">
        <v>1</v>
      </c>
      <c r="B52" s="401" t="s">
        <v>315</v>
      </c>
      <c r="C52" s="412">
        <v>41</v>
      </c>
      <c r="D52" s="411" t="s">
        <v>1525</v>
      </c>
      <c r="E52" s="412">
        <v>4103</v>
      </c>
      <c r="F52" s="411" t="s">
        <v>1619</v>
      </c>
      <c r="G52" s="412">
        <v>4103059</v>
      </c>
      <c r="H52" s="411" t="s">
        <v>1620</v>
      </c>
      <c r="I52" s="412">
        <v>4103059</v>
      </c>
      <c r="J52" s="411" t="s">
        <v>1620</v>
      </c>
      <c r="K52" s="412">
        <v>410305900</v>
      </c>
      <c r="L52" s="411" t="s">
        <v>1621</v>
      </c>
      <c r="M52" s="412">
        <v>410305900</v>
      </c>
      <c r="N52" s="411" t="s">
        <v>1621</v>
      </c>
      <c r="O52" s="412">
        <v>16</v>
      </c>
      <c r="P52" s="412" t="s">
        <v>285</v>
      </c>
      <c r="Q52" s="403">
        <f t="shared" si="1"/>
        <v>16</v>
      </c>
      <c r="R52" s="420">
        <v>2020003630103</v>
      </c>
      <c r="S52" s="411" t="s">
        <v>1622</v>
      </c>
      <c r="T52" s="416">
        <f>SUM($X$52:$X$52)/SUM($X$52:$X$52)</f>
        <v>1</v>
      </c>
      <c r="U52" s="411" t="s">
        <v>1623</v>
      </c>
      <c r="V52" s="411" t="s">
        <v>1522</v>
      </c>
      <c r="W52" s="411" t="s">
        <v>1624</v>
      </c>
      <c r="X52" s="417">
        <v>45000000</v>
      </c>
      <c r="Y52" s="747">
        <f>10800000</f>
        <v>10800000</v>
      </c>
      <c r="Z52" s="747"/>
      <c r="AA52" s="747"/>
      <c r="AB52" s="422">
        <f t="shared" si="8"/>
        <v>34200000</v>
      </c>
      <c r="AC52" s="423" t="s">
        <v>1625</v>
      </c>
      <c r="AD52" s="415"/>
      <c r="AE52" s="408">
        <v>20</v>
      </c>
      <c r="AF52" s="409" t="s">
        <v>132</v>
      </c>
      <c r="AG52" s="424">
        <v>15</v>
      </c>
      <c r="AH52" s="418">
        <v>15</v>
      </c>
      <c r="AI52" s="418"/>
      <c r="AJ52" s="424">
        <v>5</v>
      </c>
      <c r="AK52" s="424">
        <v>25</v>
      </c>
      <c r="AL52" s="418"/>
      <c r="AM52" s="418"/>
      <c r="AN52" s="418"/>
      <c r="AO52" s="418"/>
      <c r="AP52" s="418"/>
      <c r="AQ52" s="418"/>
      <c r="AR52" s="418"/>
      <c r="AS52" s="418"/>
      <c r="AT52" s="418"/>
      <c r="AU52" s="418"/>
      <c r="AV52" s="51">
        <f t="shared" si="2"/>
        <v>30</v>
      </c>
      <c r="AW52" s="293">
        <v>45292</v>
      </c>
      <c r="AX52" s="293">
        <v>45657</v>
      </c>
      <c r="AY52" s="402" t="s">
        <v>1507</v>
      </c>
    </row>
    <row r="53" spans="1:51" ht="57.75" customHeight="1" x14ac:dyDescent="0.25">
      <c r="A53" s="410">
        <v>1</v>
      </c>
      <c r="B53" s="401" t="s">
        <v>315</v>
      </c>
      <c r="C53" s="412">
        <v>41</v>
      </c>
      <c r="D53" s="411" t="s">
        <v>1525</v>
      </c>
      <c r="E53" s="412">
        <v>4103</v>
      </c>
      <c r="F53" s="411" t="s">
        <v>1619</v>
      </c>
      <c r="G53" s="412">
        <v>4103052</v>
      </c>
      <c r="H53" s="411" t="s">
        <v>741</v>
      </c>
      <c r="I53" s="412">
        <v>4103052</v>
      </c>
      <c r="J53" s="411" t="s">
        <v>741</v>
      </c>
      <c r="K53" s="412">
        <v>410305202</v>
      </c>
      <c r="L53" s="411" t="s">
        <v>1626</v>
      </c>
      <c r="M53" s="412">
        <v>410305202</v>
      </c>
      <c r="N53" s="411" t="s">
        <v>1626</v>
      </c>
      <c r="O53" s="412">
        <v>1</v>
      </c>
      <c r="P53" s="412" t="s">
        <v>285</v>
      </c>
      <c r="Q53" s="403">
        <f t="shared" si="1"/>
        <v>1</v>
      </c>
      <c r="R53" s="420">
        <v>2020003630104</v>
      </c>
      <c r="S53" s="411" t="s">
        <v>1627</v>
      </c>
      <c r="T53" s="416">
        <f>SUM($X$53:$X$54)/SUM($X$53:$X$54)</f>
        <v>1</v>
      </c>
      <c r="U53" s="411" t="s">
        <v>1628</v>
      </c>
      <c r="V53" s="411" t="s">
        <v>1629</v>
      </c>
      <c r="W53" s="411" t="s">
        <v>1630</v>
      </c>
      <c r="X53" s="425">
        <v>41000000</v>
      </c>
      <c r="Y53" s="702">
        <f>4800000+500000</f>
        <v>5300000</v>
      </c>
      <c r="Z53" s="702"/>
      <c r="AA53" s="702"/>
      <c r="AB53" s="422">
        <f t="shared" si="8"/>
        <v>35700000</v>
      </c>
      <c r="AC53" s="406" t="s">
        <v>1631</v>
      </c>
      <c r="AD53" s="415"/>
      <c r="AE53" s="408">
        <v>20</v>
      </c>
      <c r="AF53" s="409" t="s">
        <v>132</v>
      </c>
      <c r="AG53" s="418">
        <v>300</v>
      </c>
      <c r="AH53" s="418">
        <v>350</v>
      </c>
      <c r="AI53" s="418"/>
      <c r="AJ53" s="418"/>
      <c r="AK53" s="418"/>
      <c r="AL53" s="418"/>
      <c r="AM53" s="418"/>
      <c r="AN53" s="418"/>
      <c r="AO53" s="418"/>
      <c r="AP53" s="418"/>
      <c r="AQ53" s="418"/>
      <c r="AR53" s="418"/>
      <c r="AS53" s="418"/>
      <c r="AT53" s="418"/>
      <c r="AU53" s="418"/>
      <c r="AV53" s="51">
        <f t="shared" si="2"/>
        <v>650</v>
      </c>
      <c r="AW53" s="293">
        <v>45292</v>
      </c>
      <c r="AX53" s="293">
        <v>45657</v>
      </c>
      <c r="AY53" s="402" t="s">
        <v>1507</v>
      </c>
    </row>
    <row r="54" spans="1:51" ht="100.5" customHeight="1" x14ac:dyDescent="0.25">
      <c r="A54" s="410">
        <v>1</v>
      </c>
      <c r="B54" s="401" t="s">
        <v>315</v>
      </c>
      <c r="C54" s="412">
        <v>41</v>
      </c>
      <c r="D54" s="411" t="s">
        <v>1525</v>
      </c>
      <c r="E54" s="412">
        <v>4103</v>
      </c>
      <c r="F54" s="411" t="s">
        <v>1619</v>
      </c>
      <c r="G54" s="412">
        <v>4103052</v>
      </c>
      <c r="H54" s="411" t="s">
        <v>741</v>
      </c>
      <c r="I54" s="412">
        <v>4103052</v>
      </c>
      <c r="J54" s="411" t="s">
        <v>741</v>
      </c>
      <c r="K54" s="412">
        <v>410305202</v>
      </c>
      <c r="L54" s="411" t="s">
        <v>1626</v>
      </c>
      <c r="M54" s="412">
        <v>410305202</v>
      </c>
      <c r="N54" s="411" t="s">
        <v>1626</v>
      </c>
      <c r="O54" s="412">
        <v>1</v>
      </c>
      <c r="P54" s="412" t="s">
        <v>285</v>
      </c>
      <c r="Q54" s="403">
        <f>SUM(O54:P54)</f>
        <v>1</v>
      </c>
      <c r="R54" s="420">
        <v>2020003630104</v>
      </c>
      <c r="S54" s="411" t="s">
        <v>1627</v>
      </c>
      <c r="T54" s="416">
        <f>SUM($X$53:$X$54)/SUM($X$53:$X$54)</f>
        <v>1</v>
      </c>
      <c r="U54" s="411" t="s">
        <v>1628</v>
      </c>
      <c r="V54" s="411" t="s">
        <v>1629</v>
      </c>
      <c r="W54" s="411" t="s">
        <v>1515</v>
      </c>
      <c r="X54" s="425">
        <v>5000000</v>
      </c>
      <c r="Y54" s="702"/>
      <c r="Z54" s="702"/>
      <c r="AA54" s="702"/>
      <c r="AB54" s="422">
        <f t="shared" si="8"/>
        <v>5000000</v>
      </c>
      <c r="AC54" s="426" t="s">
        <v>1632</v>
      </c>
      <c r="AD54" s="427"/>
      <c r="AE54" s="408">
        <v>20</v>
      </c>
      <c r="AF54" s="409" t="s">
        <v>132</v>
      </c>
      <c r="AG54" s="418">
        <v>300</v>
      </c>
      <c r="AH54" s="418">
        <v>350</v>
      </c>
      <c r="AI54" s="418"/>
      <c r="AJ54" s="418"/>
      <c r="AK54" s="418"/>
      <c r="AL54" s="418"/>
      <c r="AM54" s="418"/>
      <c r="AN54" s="418"/>
      <c r="AO54" s="418"/>
      <c r="AP54" s="418"/>
      <c r="AQ54" s="418"/>
      <c r="AR54" s="418"/>
      <c r="AS54" s="418"/>
      <c r="AT54" s="418"/>
      <c r="AU54" s="418"/>
      <c r="AV54" s="51">
        <f t="shared" si="2"/>
        <v>650</v>
      </c>
      <c r="AW54" s="293">
        <v>45292</v>
      </c>
      <c r="AX54" s="293">
        <v>45657</v>
      </c>
      <c r="AY54" s="402" t="s">
        <v>1507</v>
      </c>
    </row>
    <row r="55" spans="1:51" ht="71.25" customHeight="1" x14ac:dyDescent="0.25">
      <c r="A55" s="410">
        <v>1</v>
      </c>
      <c r="B55" s="401" t="s">
        <v>315</v>
      </c>
      <c r="C55" s="412">
        <v>41</v>
      </c>
      <c r="D55" s="411" t="s">
        <v>1525</v>
      </c>
      <c r="E55" s="412">
        <v>4103</v>
      </c>
      <c r="F55" s="411" t="s">
        <v>1619</v>
      </c>
      <c r="G55" s="412">
        <v>4103050</v>
      </c>
      <c r="H55" s="411" t="s">
        <v>1633</v>
      </c>
      <c r="I55" s="412">
        <v>4103050</v>
      </c>
      <c r="J55" s="411" t="s">
        <v>1633</v>
      </c>
      <c r="K55" s="412">
        <v>410305001</v>
      </c>
      <c r="L55" s="411" t="s">
        <v>1634</v>
      </c>
      <c r="M55" s="412">
        <v>410305001</v>
      </c>
      <c r="N55" s="411" t="s">
        <v>1634</v>
      </c>
      <c r="O55" s="412">
        <v>12</v>
      </c>
      <c r="P55" s="412" t="s">
        <v>285</v>
      </c>
      <c r="Q55" s="403">
        <f t="shared" si="1"/>
        <v>12</v>
      </c>
      <c r="R55" s="420">
        <v>2020003630105</v>
      </c>
      <c r="S55" s="411" t="s">
        <v>1635</v>
      </c>
      <c r="T55" s="416">
        <f>SUM($X$55:$X$56)/SUM($X$55:$X$56)</f>
        <v>1</v>
      </c>
      <c r="U55" s="411" t="s">
        <v>1636</v>
      </c>
      <c r="V55" s="411" t="s">
        <v>1591</v>
      </c>
      <c r="W55" s="411" t="s">
        <v>1637</v>
      </c>
      <c r="X55" s="417">
        <v>20000000</v>
      </c>
      <c r="Y55" s="417"/>
      <c r="Z55" s="417"/>
      <c r="AA55" s="417"/>
      <c r="AB55" s="422">
        <f t="shared" si="8"/>
        <v>20000000</v>
      </c>
      <c r="AC55" s="406" t="s">
        <v>1638</v>
      </c>
      <c r="AD55" s="415"/>
      <c r="AE55" s="408">
        <v>20</v>
      </c>
      <c r="AF55" s="409" t="s">
        <v>132</v>
      </c>
      <c r="AG55" s="418">
        <v>800</v>
      </c>
      <c r="AH55" s="418">
        <v>800</v>
      </c>
      <c r="AI55" s="418"/>
      <c r="AJ55" s="418"/>
      <c r="AK55" s="418"/>
      <c r="AL55" s="418"/>
      <c r="AM55" s="418"/>
      <c r="AN55" s="418"/>
      <c r="AO55" s="418"/>
      <c r="AP55" s="418"/>
      <c r="AQ55" s="418"/>
      <c r="AR55" s="418"/>
      <c r="AS55" s="418"/>
      <c r="AT55" s="418"/>
      <c r="AU55" s="418"/>
      <c r="AV55" s="51">
        <f t="shared" si="2"/>
        <v>1600</v>
      </c>
      <c r="AW55" s="293">
        <v>45292</v>
      </c>
      <c r="AX55" s="293">
        <v>45657</v>
      </c>
      <c r="AY55" s="402" t="s">
        <v>1507</v>
      </c>
    </row>
    <row r="56" spans="1:51" ht="71.25" customHeight="1" x14ac:dyDescent="0.25">
      <c r="A56" s="410">
        <v>1</v>
      </c>
      <c r="B56" s="401" t="s">
        <v>315</v>
      </c>
      <c r="C56" s="412">
        <v>41</v>
      </c>
      <c r="D56" s="411" t="s">
        <v>1525</v>
      </c>
      <c r="E56" s="412">
        <v>4103</v>
      </c>
      <c r="F56" s="411" t="s">
        <v>1619</v>
      </c>
      <c r="G56" s="412">
        <v>4103050</v>
      </c>
      <c r="H56" s="411" t="s">
        <v>1633</v>
      </c>
      <c r="I56" s="412">
        <v>4103050</v>
      </c>
      <c r="J56" s="411" t="s">
        <v>1633</v>
      </c>
      <c r="K56" s="412">
        <v>410305001</v>
      </c>
      <c r="L56" s="411" t="s">
        <v>1634</v>
      </c>
      <c r="M56" s="412">
        <v>410305001</v>
      </c>
      <c r="N56" s="411" t="s">
        <v>1634</v>
      </c>
      <c r="O56" s="412">
        <v>12</v>
      </c>
      <c r="P56" s="412" t="s">
        <v>285</v>
      </c>
      <c r="Q56" s="403">
        <f t="shared" si="1"/>
        <v>12</v>
      </c>
      <c r="R56" s="420">
        <v>2020003630105</v>
      </c>
      <c r="S56" s="411" t="s">
        <v>1635</v>
      </c>
      <c r="T56" s="416">
        <f>SUM($X$55:$X$56)/SUM($X$55:$X$56)</f>
        <v>1</v>
      </c>
      <c r="U56" s="411" t="s">
        <v>1636</v>
      </c>
      <c r="V56" s="411" t="s">
        <v>1591</v>
      </c>
      <c r="W56" s="411" t="s">
        <v>1639</v>
      </c>
      <c r="X56" s="417">
        <v>20000000</v>
      </c>
      <c r="Y56" s="417"/>
      <c r="Z56" s="417"/>
      <c r="AA56" s="417"/>
      <c r="AB56" s="422">
        <f t="shared" si="8"/>
        <v>20000000</v>
      </c>
      <c r="AC56" s="406" t="s">
        <v>1638</v>
      </c>
      <c r="AD56" s="415"/>
      <c r="AE56" s="408">
        <v>20</v>
      </c>
      <c r="AF56" s="409" t="s">
        <v>132</v>
      </c>
      <c r="AG56" s="418">
        <v>800</v>
      </c>
      <c r="AH56" s="418">
        <v>800</v>
      </c>
      <c r="AI56" s="418"/>
      <c r="AJ56" s="418"/>
      <c r="AK56" s="418"/>
      <c r="AL56" s="418"/>
      <c r="AM56" s="418"/>
      <c r="AN56" s="418"/>
      <c r="AO56" s="418"/>
      <c r="AP56" s="418"/>
      <c r="AQ56" s="418"/>
      <c r="AR56" s="418"/>
      <c r="AS56" s="418"/>
      <c r="AT56" s="418"/>
      <c r="AU56" s="418"/>
      <c r="AV56" s="51">
        <f t="shared" si="2"/>
        <v>1600</v>
      </c>
      <c r="AW56" s="293">
        <v>45292</v>
      </c>
      <c r="AX56" s="293">
        <v>45657</v>
      </c>
      <c r="AY56" s="402" t="s">
        <v>1507</v>
      </c>
    </row>
    <row r="57" spans="1:51" ht="69" customHeight="1" x14ac:dyDescent="0.25">
      <c r="A57" s="410">
        <v>1</v>
      </c>
      <c r="B57" s="401" t="s">
        <v>315</v>
      </c>
      <c r="C57" s="412">
        <v>41</v>
      </c>
      <c r="D57" s="411" t="s">
        <v>1525</v>
      </c>
      <c r="E57" s="412">
        <v>4103</v>
      </c>
      <c r="F57" s="411" t="s">
        <v>1619</v>
      </c>
      <c r="G57" s="412">
        <v>4103058</v>
      </c>
      <c r="H57" s="411" t="s">
        <v>1640</v>
      </c>
      <c r="I57" s="412">
        <v>4103058</v>
      </c>
      <c r="J57" s="411" t="s">
        <v>1640</v>
      </c>
      <c r="K57" s="412">
        <v>410305800</v>
      </c>
      <c r="L57" s="411" t="s">
        <v>1641</v>
      </c>
      <c r="M57" s="412">
        <v>410305800</v>
      </c>
      <c r="N57" s="411" t="s">
        <v>1641</v>
      </c>
      <c r="O57" s="412">
        <v>5</v>
      </c>
      <c r="P57" s="412" t="s">
        <v>285</v>
      </c>
      <c r="Q57" s="403">
        <f t="shared" si="1"/>
        <v>5</v>
      </c>
      <c r="R57" s="420">
        <v>2020003630106</v>
      </c>
      <c r="S57" s="411" t="s">
        <v>1642</v>
      </c>
      <c r="T57" s="416">
        <f>SUM($X$57:$X$59)/SUM($X$57:$X$59)</f>
        <v>1</v>
      </c>
      <c r="U57" s="411" t="s">
        <v>1643</v>
      </c>
      <c r="V57" s="411" t="s">
        <v>1591</v>
      </c>
      <c r="W57" s="411" t="s">
        <v>1644</v>
      </c>
      <c r="X57" s="417">
        <v>25000000</v>
      </c>
      <c r="Y57" s="417"/>
      <c r="Z57" s="417"/>
      <c r="AA57" s="417"/>
      <c r="AB57" s="422">
        <f t="shared" si="8"/>
        <v>25000000</v>
      </c>
      <c r="AC57" s="406" t="s">
        <v>1645</v>
      </c>
      <c r="AD57" s="415"/>
      <c r="AE57" s="408">
        <v>20</v>
      </c>
      <c r="AF57" s="409" t="s">
        <v>132</v>
      </c>
      <c r="AG57" s="418">
        <v>800</v>
      </c>
      <c r="AH57" s="418">
        <v>800</v>
      </c>
      <c r="AI57" s="418"/>
      <c r="AJ57" s="418"/>
      <c r="AK57" s="418"/>
      <c r="AL57" s="418"/>
      <c r="AM57" s="418"/>
      <c r="AN57" s="418"/>
      <c r="AO57" s="418"/>
      <c r="AP57" s="418"/>
      <c r="AQ57" s="418"/>
      <c r="AR57" s="418"/>
      <c r="AS57" s="418"/>
      <c r="AT57" s="418"/>
      <c r="AU57" s="418"/>
      <c r="AV57" s="51">
        <f t="shared" si="2"/>
        <v>1600</v>
      </c>
      <c r="AW57" s="293">
        <v>45292</v>
      </c>
      <c r="AX57" s="293">
        <v>45657</v>
      </c>
      <c r="AY57" s="402" t="s">
        <v>1507</v>
      </c>
    </row>
    <row r="58" spans="1:51" ht="104.25" customHeight="1" x14ac:dyDescent="0.25">
      <c r="A58" s="410">
        <v>1</v>
      </c>
      <c r="B58" s="401" t="s">
        <v>315</v>
      </c>
      <c r="C58" s="412">
        <v>41</v>
      </c>
      <c r="D58" s="411" t="s">
        <v>1525</v>
      </c>
      <c r="E58" s="412">
        <v>4103</v>
      </c>
      <c r="F58" s="411" t="s">
        <v>1619</v>
      </c>
      <c r="G58" s="412">
        <v>4103058</v>
      </c>
      <c r="H58" s="411" t="s">
        <v>1640</v>
      </c>
      <c r="I58" s="412">
        <v>4103058</v>
      </c>
      <c r="J58" s="411" t="s">
        <v>1640</v>
      </c>
      <c r="K58" s="412">
        <v>410305800</v>
      </c>
      <c r="L58" s="411" t="s">
        <v>1641</v>
      </c>
      <c r="M58" s="412">
        <v>410305800</v>
      </c>
      <c r="N58" s="411" t="s">
        <v>1641</v>
      </c>
      <c r="O58" s="412">
        <v>5</v>
      </c>
      <c r="P58" s="412" t="s">
        <v>285</v>
      </c>
      <c r="Q58" s="403">
        <f t="shared" si="1"/>
        <v>5</v>
      </c>
      <c r="R58" s="420">
        <v>2020003630106</v>
      </c>
      <c r="S58" s="411" t="s">
        <v>1642</v>
      </c>
      <c r="T58" s="416">
        <f>SUM($X$57:$X$59)/SUM($X$57:$X$59)</f>
        <v>1</v>
      </c>
      <c r="U58" s="411" t="s">
        <v>1643</v>
      </c>
      <c r="V58" s="411" t="s">
        <v>1591</v>
      </c>
      <c r="W58" s="411" t="s">
        <v>1646</v>
      </c>
      <c r="X58" s="428">
        <v>20000000</v>
      </c>
      <c r="Y58" s="428"/>
      <c r="Z58" s="428"/>
      <c r="AA58" s="428"/>
      <c r="AB58" s="422">
        <f t="shared" si="8"/>
        <v>20000000</v>
      </c>
      <c r="AC58" s="406" t="s">
        <v>1645</v>
      </c>
      <c r="AD58" s="415"/>
      <c r="AE58" s="408">
        <v>20</v>
      </c>
      <c r="AF58" s="409" t="s">
        <v>132</v>
      </c>
      <c r="AG58" s="418">
        <v>800</v>
      </c>
      <c r="AH58" s="418">
        <v>800</v>
      </c>
      <c r="AI58" s="418"/>
      <c r="AJ58" s="418"/>
      <c r="AK58" s="418"/>
      <c r="AL58" s="418"/>
      <c r="AM58" s="418"/>
      <c r="AN58" s="418"/>
      <c r="AO58" s="418"/>
      <c r="AP58" s="418"/>
      <c r="AQ58" s="418"/>
      <c r="AR58" s="418"/>
      <c r="AS58" s="418"/>
      <c r="AT58" s="418"/>
      <c r="AU58" s="418"/>
      <c r="AV58" s="51">
        <f t="shared" si="2"/>
        <v>1600</v>
      </c>
      <c r="AW58" s="293">
        <v>45292</v>
      </c>
      <c r="AX58" s="293">
        <v>45657</v>
      </c>
      <c r="AY58" s="402" t="s">
        <v>1507</v>
      </c>
    </row>
    <row r="59" spans="1:51" ht="78" customHeight="1" x14ac:dyDescent="0.25">
      <c r="A59" s="410">
        <v>1</v>
      </c>
      <c r="B59" s="401" t="s">
        <v>315</v>
      </c>
      <c r="C59" s="412">
        <v>41</v>
      </c>
      <c r="D59" s="411" t="s">
        <v>1525</v>
      </c>
      <c r="E59" s="412">
        <v>4103</v>
      </c>
      <c r="F59" s="411" t="s">
        <v>1619</v>
      </c>
      <c r="G59" s="412">
        <v>4103058</v>
      </c>
      <c r="H59" s="411" t="s">
        <v>1640</v>
      </c>
      <c r="I59" s="412">
        <v>4103058</v>
      </c>
      <c r="J59" s="411" t="s">
        <v>1640</v>
      </c>
      <c r="K59" s="412">
        <v>410305800</v>
      </c>
      <c r="L59" s="411" t="s">
        <v>1641</v>
      </c>
      <c r="M59" s="412">
        <v>410305800</v>
      </c>
      <c r="N59" s="411" t="s">
        <v>1641</v>
      </c>
      <c r="O59" s="412">
        <v>5</v>
      </c>
      <c r="P59" s="412" t="s">
        <v>285</v>
      </c>
      <c r="Q59" s="403">
        <f t="shared" si="1"/>
        <v>5</v>
      </c>
      <c r="R59" s="420">
        <v>2020003630106</v>
      </c>
      <c r="S59" s="411" t="s">
        <v>1642</v>
      </c>
      <c r="T59" s="416">
        <f>SUM($X$57:$X$59)/SUM($X$57:$X$59)</f>
        <v>1</v>
      </c>
      <c r="U59" s="411" t="s">
        <v>1643</v>
      </c>
      <c r="V59" s="411" t="s">
        <v>1591</v>
      </c>
      <c r="W59" s="411" t="s">
        <v>1647</v>
      </c>
      <c r="X59" s="428">
        <v>5000000</v>
      </c>
      <c r="Y59" s="428"/>
      <c r="Z59" s="428"/>
      <c r="AA59" s="428"/>
      <c r="AB59" s="422">
        <f t="shared" si="8"/>
        <v>5000000</v>
      </c>
      <c r="AC59" s="406" t="s">
        <v>1648</v>
      </c>
      <c r="AD59" s="421"/>
      <c r="AE59" s="408">
        <v>20</v>
      </c>
      <c r="AF59" s="409" t="s">
        <v>132</v>
      </c>
      <c r="AG59" s="418">
        <v>800</v>
      </c>
      <c r="AH59" s="418">
        <v>800</v>
      </c>
      <c r="AI59" s="418"/>
      <c r="AJ59" s="418"/>
      <c r="AK59" s="418"/>
      <c r="AL59" s="418"/>
      <c r="AM59" s="418"/>
      <c r="AN59" s="418"/>
      <c r="AO59" s="418"/>
      <c r="AP59" s="418"/>
      <c r="AQ59" s="418"/>
      <c r="AR59" s="418"/>
      <c r="AS59" s="418"/>
      <c r="AT59" s="418"/>
      <c r="AU59" s="418"/>
      <c r="AV59" s="51">
        <f t="shared" si="2"/>
        <v>1600</v>
      </c>
      <c r="AW59" s="293">
        <v>45292</v>
      </c>
      <c r="AX59" s="293">
        <v>45657</v>
      </c>
      <c r="AY59" s="402" t="s">
        <v>1507</v>
      </c>
    </row>
    <row r="60" spans="1:51" ht="89.25" x14ac:dyDescent="0.25">
      <c r="A60" s="410">
        <v>1</v>
      </c>
      <c r="B60" s="401" t="s">
        <v>315</v>
      </c>
      <c r="C60" s="412">
        <v>41</v>
      </c>
      <c r="D60" s="411" t="s">
        <v>1525</v>
      </c>
      <c r="E60" s="412">
        <v>4103</v>
      </c>
      <c r="F60" s="411" t="s">
        <v>1619</v>
      </c>
      <c r="G60" s="412" t="s">
        <v>70</v>
      </c>
      <c r="H60" s="411" t="s">
        <v>1649</v>
      </c>
      <c r="I60" s="412">
        <v>4103060</v>
      </c>
      <c r="J60" s="411" t="s">
        <v>1650</v>
      </c>
      <c r="K60" s="412" t="s">
        <v>70</v>
      </c>
      <c r="L60" s="411" t="s">
        <v>1651</v>
      </c>
      <c r="M60" s="412">
        <v>410306000</v>
      </c>
      <c r="N60" s="411" t="s">
        <v>1652</v>
      </c>
      <c r="O60" s="412">
        <v>5</v>
      </c>
      <c r="P60" s="412" t="s">
        <v>285</v>
      </c>
      <c r="Q60" s="403">
        <f t="shared" si="1"/>
        <v>5</v>
      </c>
      <c r="R60" s="420">
        <v>2020003630036</v>
      </c>
      <c r="S60" s="411" t="s">
        <v>1653</v>
      </c>
      <c r="T60" s="416">
        <f>SUM($X$60:$X$62)/SUM($X$60:$X$65)</f>
        <v>0.5</v>
      </c>
      <c r="U60" s="411" t="s">
        <v>1654</v>
      </c>
      <c r="V60" s="411" t="s">
        <v>1655</v>
      </c>
      <c r="W60" s="411" t="s">
        <v>1656</v>
      </c>
      <c r="X60" s="429">
        <v>30000000</v>
      </c>
      <c r="Y60" s="429"/>
      <c r="Z60" s="429"/>
      <c r="AA60" s="429"/>
      <c r="AB60" s="422">
        <f t="shared" si="8"/>
        <v>30000000</v>
      </c>
      <c r="AC60" s="406" t="s">
        <v>1657</v>
      </c>
      <c r="AD60" s="415"/>
      <c r="AE60" s="408">
        <v>20</v>
      </c>
      <c r="AF60" s="409" t="s">
        <v>132</v>
      </c>
      <c r="AG60" s="418">
        <v>800</v>
      </c>
      <c r="AH60" s="418">
        <v>800</v>
      </c>
      <c r="AI60" s="418"/>
      <c r="AJ60" s="418"/>
      <c r="AK60" s="418"/>
      <c r="AL60" s="418"/>
      <c r="AM60" s="418"/>
      <c r="AN60" s="418"/>
      <c r="AO60" s="418"/>
      <c r="AP60" s="418"/>
      <c r="AQ60" s="418"/>
      <c r="AR60" s="418"/>
      <c r="AS60" s="418"/>
      <c r="AT60" s="418"/>
      <c r="AU60" s="418"/>
      <c r="AV60" s="51">
        <f t="shared" si="2"/>
        <v>1600</v>
      </c>
      <c r="AW60" s="293">
        <v>45292</v>
      </c>
      <c r="AX60" s="293">
        <v>45657</v>
      </c>
      <c r="AY60" s="402" t="s">
        <v>1507</v>
      </c>
    </row>
    <row r="61" spans="1:51" ht="89.25" x14ac:dyDescent="0.25">
      <c r="A61" s="410">
        <v>1</v>
      </c>
      <c r="B61" s="401" t="s">
        <v>315</v>
      </c>
      <c r="C61" s="412">
        <v>41</v>
      </c>
      <c r="D61" s="411" t="s">
        <v>1525</v>
      </c>
      <c r="E61" s="412">
        <v>4103</v>
      </c>
      <c r="F61" s="411" t="s">
        <v>1619</v>
      </c>
      <c r="G61" s="412" t="s">
        <v>70</v>
      </c>
      <c r="H61" s="411" t="s">
        <v>1649</v>
      </c>
      <c r="I61" s="412">
        <v>4103060</v>
      </c>
      <c r="J61" s="411" t="s">
        <v>1650</v>
      </c>
      <c r="K61" s="412" t="s">
        <v>70</v>
      </c>
      <c r="L61" s="411" t="s">
        <v>1651</v>
      </c>
      <c r="M61" s="412">
        <v>410306000</v>
      </c>
      <c r="N61" s="411" t="s">
        <v>1652</v>
      </c>
      <c r="O61" s="412">
        <v>5</v>
      </c>
      <c r="P61" s="412" t="s">
        <v>285</v>
      </c>
      <c r="Q61" s="403">
        <f>SUM(O61:P61)</f>
        <v>5</v>
      </c>
      <c r="R61" s="420">
        <v>2020003630036</v>
      </c>
      <c r="S61" s="411" t="s">
        <v>1653</v>
      </c>
      <c r="T61" s="416">
        <f t="shared" ref="T61:T62" si="9">SUM($X$60:$X$62)/SUM($X$60:$X$65)</f>
        <v>0.5</v>
      </c>
      <c r="U61" s="411" t="s">
        <v>1654</v>
      </c>
      <c r="V61" s="411" t="s">
        <v>1655</v>
      </c>
      <c r="W61" s="411" t="s">
        <v>1658</v>
      </c>
      <c r="X61" s="429">
        <v>30000000</v>
      </c>
      <c r="Y61" s="429"/>
      <c r="Z61" s="429"/>
      <c r="AA61" s="429"/>
      <c r="AB61" s="422">
        <f t="shared" si="8"/>
        <v>30000000</v>
      </c>
      <c r="AC61" s="406" t="s">
        <v>1657</v>
      </c>
      <c r="AD61" s="415"/>
      <c r="AE61" s="408">
        <v>20</v>
      </c>
      <c r="AF61" s="409" t="s">
        <v>132</v>
      </c>
      <c r="AG61" s="418">
        <v>800</v>
      </c>
      <c r="AH61" s="418">
        <v>800</v>
      </c>
      <c r="AI61" s="418"/>
      <c r="AJ61" s="418"/>
      <c r="AK61" s="418"/>
      <c r="AL61" s="418"/>
      <c r="AM61" s="418"/>
      <c r="AN61" s="418"/>
      <c r="AO61" s="418"/>
      <c r="AP61" s="418"/>
      <c r="AQ61" s="418"/>
      <c r="AR61" s="418"/>
      <c r="AS61" s="418"/>
      <c r="AT61" s="418"/>
      <c r="AU61" s="418"/>
      <c r="AV61" s="51">
        <f t="shared" si="2"/>
        <v>1600</v>
      </c>
      <c r="AW61" s="293">
        <v>45292</v>
      </c>
      <c r="AX61" s="293">
        <v>45657</v>
      </c>
      <c r="AY61" s="402" t="s">
        <v>1507</v>
      </c>
    </row>
    <row r="62" spans="1:51" ht="89.25" x14ac:dyDescent="0.25">
      <c r="A62" s="410">
        <v>1</v>
      </c>
      <c r="B62" s="401" t="s">
        <v>315</v>
      </c>
      <c r="C62" s="412">
        <v>41</v>
      </c>
      <c r="D62" s="411" t="s">
        <v>1525</v>
      </c>
      <c r="E62" s="412">
        <v>4103</v>
      </c>
      <c r="F62" s="411" t="s">
        <v>1619</v>
      </c>
      <c r="G62" s="412" t="s">
        <v>70</v>
      </c>
      <c r="H62" s="411" t="s">
        <v>1649</v>
      </c>
      <c r="I62" s="412">
        <v>4103060</v>
      </c>
      <c r="J62" s="411" t="s">
        <v>1650</v>
      </c>
      <c r="K62" s="412" t="s">
        <v>70</v>
      </c>
      <c r="L62" s="411" t="s">
        <v>1651</v>
      </c>
      <c r="M62" s="412">
        <v>410306000</v>
      </c>
      <c r="N62" s="411" t="s">
        <v>1652</v>
      </c>
      <c r="O62" s="412">
        <v>5</v>
      </c>
      <c r="P62" s="412" t="s">
        <v>285</v>
      </c>
      <c r="Q62" s="403">
        <f t="shared" si="1"/>
        <v>5</v>
      </c>
      <c r="R62" s="420">
        <v>2020003630036</v>
      </c>
      <c r="S62" s="411" t="s">
        <v>1653</v>
      </c>
      <c r="T62" s="416">
        <f t="shared" si="9"/>
        <v>0.5</v>
      </c>
      <c r="U62" s="411" t="s">
        <v>1654</v>
      </c>
      <c r="V62" s="411" t="s">
        <v>1655</v>
      </c>
      <c r="W62" s="411" t="s">
        <v>1566</v>
      </c>
      <c r="X62" s="429">
        <v>5000000</v>
      </c>
      <c r="Y62" s="429"/>
      <c r="Z62" s="429"/>
      <c r="AA62" s="429"/>
      <c r="AB62" s="422">
        <f t="shared" si="8"/>
        <v>5000000</v>
      </c>
      <c r="AC62" s="406" t="s">
        <v>1659</v>
      </c>
      <c r="AD62" s="415"/>
      <c r="AE62" s="408">
        <v>20</v>
      </c>
      <c r="AF62" s="409" t="s">
        <v>132</v>
      </c>
      <c r="AG62" s="418">
        <v>800</v>
      </c>
      <c r="AH62" s="418">
        <v>800</v>
      </c>
      <c r="AI62" s="418"/>
      <c r="AJ62" s="418"/>
      <c r="AK62" s="418"/>
      <c r="AL62" s="418"/>
      <c r="AM62" s="418"/>
      <c r="AN62" s="418"/>
      <c r="AO62" s="418"/>
      <c r="AP62" s="418"/>
      <c r="AQ62" s="418"/>
      <c r="AR62" s="418"/>
      <c r="AS62" s="418"/>
      <c r="AT62" s="418"/>
      <c r="AU62" s="418"/>
      <c r="AV62" s="51">
        <f t="shared" si="2"/>
        <v>1600</v>
      </c>
      <c r="AW62" s="293">
        <v>45292</v>
      </c>
      <c r="AX62" s="293">
        <v>45657</v>
      </c>
      <c r="AY62" s="402" t="s">
        <v>1507</v>
      </c>
    </row>
    <row r="63" spans="1:51" ht="89.25" x14ac:dyDescent="0.25">
      <c r="A63" s="410">
        <v>1</v>
      </c>
      <c r="B63" s="401" t="s">
        <v>315</v>
      </c>
      <c r="C63" s="412">
        <v>41</v>
      </c>
      <c r="D63" s="411" t="s">
        <v>1525</v>
      </c>
      <c r="E63" s="412">
        <v>4103</v>
      </c>
      <c r="F63" s="411" t="s">
        <v>1619</v>
      </c>
      <c r="G63" s="412" t="s">
        <v>70</v>
      </c>
      <c r="H63" s="411" t="s">
        <v>1661</v>
      </c>
      <c r="I63" s="412">
        <v>4103060</v>
      </c>
      <c r="J63" s="411" t="s">
        <v>1650</v>
      </c>
      <c r="K63" s="412" t="s">
        <v>70</v>
      </c>
      <c r="L63" s="411" t="s">
        <v>1662</v>
      </c>
      <c r="M63" s="412">
        <v>410306000</v>
      </c>
      <c r="N63" s="411" t="s">
        <v>1652</v>
      </c>
      <c r="O63" s="412">
        <v>2</v>
      </c>
      <c r="P63" s="412" t="s">
        <v>285</v>
      </c>
      <c r="Q63" s="403">
        <f t="shared" si="1"/>
        <v>2</v>
      </c>
      <c r="R63" s="420">
        <v>2020003630036</v>
      </c>
      <c r="S63" s="411" t="s">
        <v>1653</v>
      </c>
      <c r="T63" s="416">
        <f>SUM($X$63:$X$65)/SUM($X$60:$X$65)</f>
        <v>0.5</v>
      </c>
      <c r="U63" s="411" t="s">
        <v>1654</v>
      </c>
      <c r="V63" s="411" t="s">
        <v>1663</v>
      </c>
      <c r="W63" s="411" t="s">
        <v>1664</v>
      </c>
      <c r="X63" s="429">
        <v>30000000</v>
      </c>
      <c r="Y63" s="429"/>
      <c r="Z63" s="429"/>
      <c r="AA63" s="429"/>
      <c r="AB63" s="422">
        <f t="shared" si="8"/>
        <v>30000000</v>
      </c>
      <c r="AC63" s="406" t="s">
        <v>1657</v>
      </c>
      <c r="AD63" s="415"/>
      <c r="AE63" s="408">
        <v>20</v>
      </c>
      <c r="AF63" s="409" t="s">
        <v>132</v>
      </c>
      <c r="AG63" s="418">
        <v>800</v>
      </c>
      <c r="AH63" s="418">
        <v>800</v>
      </c>
      <c r="AI63" s="418"/>
      <c r="AJ63" s="418"/>
      <c r="AK63" s="418"/>
      <c r="AL63" s="418"/>
      <c r="AM63" s="418"/>
      <c r="AN63" s="418"/>
      <c r="AO63" s="418"/>
      <c r="AP63" s="418"/>
      <c r="AQ63" s="418"/>
      <c r="AR63" s="418"/>
      <c r="AS63" s="418"/>
      <c r="AT63" s="418"/>
      <c r="AU63" s="418"/>
      <c r="AV63" s="51">
        <f t="shared" si="2"/>
        <v>1600</v>
      </c>
      <c r="AW63" s="293">
        <v>45292</v>
      </c>
      <c r="AX63" s="293">
        <v>45657</v>
      </c>
      <c r="AY63" s="402" t="s">
        <v>1507</v>
      </c>
    </row>
    <row r="64" spans="1:51" ht="89.25" x14ac:dyDescent="0.25">
      <c r="A64" s="410">
        <v>1</v>
      </c>
      <c r="B64" s="401" t="s">
        <v>315</v>
      </c>
      <c r="C64" s="412">
        <v>41</v>
      </c>
      <c r="D64" s="411" t="s">
        <v>1525</v>
      </c>
      <c r="E64" s="412">
        <v>4103</v>
      </c>
      <c r="F64" s="411" t="s">
        <v>1619</v>
      </c>
      <c r="G64" s="412" t="s">
        <v>70</v>
      </c>
      <c r="H64" s="411" t="s">
        <v>1661</v>
      </c>
      <c r="I64" s="412">
        <v>4103060</v>
      </c>
      <c r="J64" s="411" t="s">
        <v>1650</v>
      </c>
      <c r="K64" s="412" t="s">
        <v>70</v>
      </c>
      <c r="L64" s="411" t="s">
        <v>1662</v>
      </c>
      <c r="M64" s="412">
        <v>410306000</v>
      </c>
      <c r="N64" s="411" t="s">
        <v>1652</v>
      </c>
      <c r="O64" s="412">
        <v>2</v>
      </c>
      <c r="P64" s="412" t="s">
        <v>285</v>
      </c>
      <c r="Q64" s="403">
        <f>SUM(O64:P64)</f>
        <v>2</v>
      </c>
      <c r="R64" s="420">
        <v>2020003630036</v>
      </c>
      <c r="S64" s="411" t="s">
        <v>1653</v>
      </c>
      <c r="T64" s="416">
        <f t="shared" ref="T64:T65" si="10">SUM($X$63:$X$65)/SUM($X$60:$X$65)</f>
        <v>0.5</v>
      </c>
      <c r="U64" s="411" t="s">
        <v>1654</v>
      </c>
      <c r="V64" s="411" t="s">
        <v>1663</v>
      </c>
      <c r="W64" s="411" t="s">
        <v>1665</v>
      </c>
      <c r="X64" s="429">
        <v>30000000</v>
      </c>
      <c r="Y64" s="429"/>
      <c r="Z64" s="429"/>
      <c r="AA64" s="429"/>
      <c r="AB64" s="422">
        <f t="shared" si="8"/>
        <v>30000000</v>
      </c>
      <c r="AC64" s="406" t="s">
        <v>1657</v>
      </c>
      <c r="AD64" s="415"/>
      <c r="AE64" s="408">
        <v>20</v>
      </c>
      <c r="AF64" s="409" t="s">
        <v>132</v>
      </c>
      <c r="AG64" s="418">
        <v>800</v>
      </c>
      <c r="AH64" s="418">
        <v>800</v>
      </c>
      <c r="AI64" s="418"/>
      <c r="AJ64" s="418"/>
      <c r="AK64" s="418"/>
      <c r="AL64" s="418"/>
      <c r="AM64" s="418"/>
      <c r="AN64" s="418"/>
      <c r="AO64" s="418"/>
      <c r="AP64" s="418"/>
      <c r="AQ64" s="418"/>
      <c r="AR64" s="418"/>
      <c r="AS64" s="418"/>
      <c r="AT64" s="418"/>
      <c r="AU64" s="418"/>
      <c r="AV64" s="51">
        <f t="shared" si="2"/>
        <v>1600</v>
      </c>
      <c r="AW64" s="293">
        <v>45292</v>
      </c>
      <c r="AX64" s="293">
        <v>45657</v>
      </c>
      <c r="AY64" s="402" t="s">
        <v>1507</v>
      </c>
    </row>
    <row r="65" spans="1:51" ht="89.25" x14ac:dyDescent="0.25">
      <c r="A65" s="410">
        <v>1</v>
      </c>
      <c r="B65" s="401" t="s">
        <v>315</v>
      </c>
      <c r="C65" s="412">
        <v>41</v>
      </c>
      <c r="D65" s="411" t="s">
        <v>1525</v>
      </c>
      <c r="E65" s="412">
        <v>4103</v>
      </c>
      <c r="F65" s="411" t="s">
        <v>1619</v>
      </c>
      <c r="G65" s="412" t="s">
        <v>70</v>
      </c>
      <c r="H65" s="411" t="s">
        <v>1661</v>
      </c>
      <c r="I65" s="412">
        <v>4103060</v>
      </c>
      <c r="J65" s="411" t="s">
        <v>1650</v>
      </c>
      <c r="K65" s="412" t="s">
        <v>70</v>
      </c>
      <c r="L65" s="411" t="s">
        <v>1662</v>
      </c>
      <c r="M65" s="412">
        <v>410306000</v>
      </c>
      <c r="N65" s="411" t="s">
        <v>1652</v>
      </c>
      <c r="O65" s="412">
        <v>2</v>
      </c>
      <c r="P65" s="412" t="s">
        <v>285</v>
      </c>
      <c r="Q65" s="403">
        <f t="shared" ref="Q65:Q125" si="11">SUM(O65:P65)</f>
        <v>2</v>
      </c>
      <c r="R65" s="420">
        <v>2020003630036</v>
      </c>
      <c r="S65" s="411" t="s">
        <v>1653</v>
      </c>
      <c r="T65" s="416">
        <f t="shared" si="10"/>
        <v>0.5</v>
      </c>
      <c r="U65" s="411" t="s">
        <v>1654</v>
      </c>
      <c r="V65" s="411" t="s">
        <v>1663</v>
      </c>
      <c r="W65" s="411" t="s">
        <v>1515</v>
      </c>
      <c r="X65" s="429">
        <v>5000000</v>
      </c>
      <c r="Y65" s="429"/>
      <c r="Z65" s="429"/>
      <c r="AA65" s="429"/>
      <c r="AB65" s="422">
        <f t="shared" si="8"/>
        <v>5000000</v>
      </c>
      <c r="AC65" s="406" t="s">
        <v>1659</v>
      </c>
      <c r="AD65" s="415"/>
      <c r="AE65" s="408">
        <v>20</v>
      </c>
      <c r="AF65" s="409" t="s">
        <v>132</v>
      </c>
      <c r="AG65" s="418">
        <v>800</v>
      </c>
      <c r="AH65" s="418">
        <v>800</v>
      </c>
      <c r="AI65" s="418"/>
      <c r="AJ65" s="418"/>
      <c r="AK65" s="418"/>
      <c r="AL65" s="418"/>
      <c r="AM65" s="418"/>
      <c r="AN65" s="418"/>
      <c r="AO65" s="418"/>
      <c r="AP65" s="418"/>
      <c r="AQ65" s="418"/>
      <c r="AR65" s="418"/>
      <c r="AS65" s="418"/>
      <c r="AT65" s="418"/>
      <c r="AU65" s="418"/>
      <c r="AV65" s="51">
        <f t="shared" si="2"/>
        <v>1600</v>
      </c>
      <c r="AW65" s="293">
        <v>45292</v>
      </c>
      <c r="AX65" s="293">
        <v>45657</v>
      </c>
      <c r="AY65" s="402" t="s">
        <v>1507</v>
      </c>
    </row>
    <row r="66" spans="1:51" ht="102" x14ac:dyDescent="0.25">
      <c r="A66" s="410">
        <v>1</v>
      </c>
      <c r="B66" s="401" t="s">
        <v>315</v>
      </c>
      <c r="C66" s="412">
        <v>41</v>
      </c>
      <c r="D66" s="411" t="s">
        <v>1525</v>
      </c>
      <c r="E66" s="412">
        <v>4103</v>
      </c>
      <c r="F66" s="411" t="s">
        <v>1619</v>
      </c>
      <c r="G66" s="412" t="s">
        <v>70</v>
      </c>
      <c r="H66" s="411" t="s">
        <v>1666</v>
      </c>
      <c r="I66" s="412">
        <v>4103052</v>
      </c>
      <c r="J66" s="411" t="s">
        <v>741</v>
      </c>
      <c r="K66" s="412" t="s">
        <v>70</v>
      </c>
      <c r="L66" s="411" t="s">
        <v>1667</v>
      </c>
      <c r="M66" s="412">
        <v>410305202</v>
      </c>
      <c r="N66" s="411" t="s">
        <v>1626</v>
      </c>
      <c r="O66" s="412">
        <v>1</v>
      </c>
      <c r="P66" s="412" t="s">
        <v>285</v>
      </c>
      <c r="Q66" s="403">
        <f t="shared" si="11"/>
        <v>1</v>
      </c>
      <c r="R66" s="420">
        <v>2020003630037</v>
      </c>
      <c r="S66" s="411" t="s">
        <v>1668</v>
      </c>
      <c r="T66" s="416">
        <f>SUM($X$66:$X$68)/SUM($X$66:$X$68)</f>
        <v>1</v>
      </c>
      <c r="U66" s="411" t="s">
        <v>1669</v>
      </c>
      <c r="V66" s="411" t="s">
        <v>1670</v>
      </c>
      <c r="W66" s="411" t="s">
        <v>1671</v>
      </c>
      <c r="X66" s="430">
        <f>52000000+20000000</f>
        <v>72000000</v>
      </c>
      <c r="Y66" s="430">
        <f>2500000+14800000</f>
        <v>17300000</v>
      </c>
      <c r="Z66" s="430"/>
      <c r="AA66" s="430"/>
      <c r="AB66" s="422">
        <f t="shared" si="8"/>
        <v>54700000</v>
      </c>
      <c r="AC66" s="406" t="s">
        <v>1672</v>
      </c>
      <c r="AD66" s="415"/>
      <c r="AE66" s="408">
        <v>20</v>
      </c>
      <c r="AF66" s="409" t="s">
        <v>132</v>
      </c>
      <c r="AG66" s="418">
        <v>600</v>
      </c>
      <c r="AH66" s="418">
        <v>600</v>
      </c>
      <c r="AI66" s="418"/>
      <c r="AJ66" s="418"/>
      <c r="AK66" s="418"/>
      <c r="AL66" s="418"/>
      <c r="AM66" s="418"/>
      <c r="AN66" s="418"/>
      <c r="AO66" s="418"/>
      <c r="AP66" s="418"/>
      <c r="AQ66" s="418"/>
      <c r="AR66" s="418"/>
      <c r="AS66" s="418"/>
      <c r="AT66" s="418"/>
      <c r="AU66" s="418"/>
      <c r="AV66" s="51">
        <f t="shared" si="2"/>
        <v>1200</v>
      </c>
      <c r="AW66" s="293">
        <v>45292</v>
      </c>
      <c r="AX66" s="293">
        <v>45657</v>
      </c>
      <c r="AY66" s="402" t="s">
        <v>1507</v>
      </c>
    </row>
    <row r="67" spans="1:51" ht="102" x14ac:dyDescent="0.25">
      <c r="A67" s="410">
        <v>1</v>
      </c>
      <c r="B67" s="401" t="s">
        <v>315</v>
      </c>
      <c r="C67" s="412">
        <v>41</v>
      </c>
      <c r="D67" s="411" t="s">
        <v>1525</v>
      </c>
      <c r="E67" s="412">
        <v>4103</v>
      </c>
      <c r="F67" s="411" t="s">
        <v>1619</v>
      </c>
      <c r="G67" s="412" t="s">
        <v>70</v>
      </c>
      <c r="H67" s="411" t="s">
        <v>1666</v>
      </c>
      <c r="I67" s="412">
        <v>4103052</v>
      </c>
      <c r="J67" s="411" t="s">
        <v>741</v>
      </c>
      <c r="K67" s="412" t="s">
        <v>70</v>
      </c>
      <c r="L67" s="411" t="s">
        <v>1667</v>
      </c>
      <c r="M67" s="412">
        <v>410305202</v>
      </c>
      <c r="N67" s="411" t="s">
        <v>1626</v>
      </c>
      <c r="O67" s="412">
        <v>1</v>
      </c>
      <c r="P67" s="412" t="s">
        <v>285</v>
      </c>
      <c r="Q67" s="403">
        <f t="shared" si="11"/>
        <v>1</v>
      </c>
      <c r="R67" s="420">
        <v>2020003630037</v>
      </c>
      <c r="S67" s="411" t="s">
        <v>1668</v>
      </c>
      <c r="T67" s="416">
        <f t="shared" ref="T67:T68" si="12">SUM($X$66:$X$68)/SUM($X$66:$X$68)</f>
        <v>1</v>
      </c>
      <c r="U67" s="411" t="s">
        <v>1669</v>
      </c>
      <c r="V67" s="411" t="s">
        <v>1670</v>
      </c>
      <c r="W67" s="411" t="s">
        <v>1568</v>
      </c>
      <c r="X67" s="430">
        <v>3000000</v>
      </c>
      <c r="Y67" s="430"/>
      <c r="Z67" s="430"/>
      <c r="AA67" s="430"/>
      <c r="AB67" s="422">
        <f t="shared" si="8"/>
        <v>3000000</v>
      </c>
      <c r="AC67" s="406" t="s">
        <v>1673</v>
      </c>
      <c r="AD67" s="409"/>
      <c r="AE67" s="408">
        <v>20</v>
      </c>
      <c r="AF67" s="409" t="s">
        <v>132</v>
      </c>
      <c r="AG67" s="418">
        <v>600</v>
      </c>
      <c r="AH67" s="418">
        <v>600</v>
      </c>
      <c r="AI67" s="418"/>
      <c r="AJ67" s="418"/>
      <c r="AK67" s="418"/>
      <c r="AL67" s="418"/>
      <c r="AM67" s="418"/>
      <c r="AN67" s="418"/>
      <c r="AO67" s="418"/>
      <c r="AP67" s="418"/>
      <c r="AQ67" s="418"/>
      <c r="AR67" s="418"/>
      <c r="AS67" s="418"/>
      <c r="AT67" s="418"/>
      <c r="AU67" s="418"/>
      <c r="AV67" s="51">
        <f t="shared" si="2"/>
        <v>1200</v>
      </c>
      <c r="AW67" s="293">
        <v>45292</v>
      </c>
      <c r="AX67" s="293">
        <v>45657</v>
      </c>
      <c r="AY67" s="402" t="s">
        <v>1507</v>
      </c>
    </row>
    <row r="68" spans="1:51" ht="102" x14ac:dyDescent="0.25">
      <c r="A68" s="410">
        <v>1</v>
      </c>
      <c r="B68" s="401" t="s">
        <v>315</v>
      </c>
      <c r="C68" s="412">
        <v>41</v>
      </c>
      <c r="D68" s="411" t="s">
        <v>1525</v>
      </c>
      <c r="E68" s="412">
        <v>4103</v>
      </c>
      <c r="F68" s="411" t="s">
        <v>1619</v>
      </c>
      <c r="G68" s="412" t="s">
        <v>70</v>
      </c>
      <c r="H68" s="411" t="s">
        <v>1666</v>
      </c>
      <c r="I68" s="412">
        <v>4103052</v>
      </c>
      <c r="J68" s="411" t="s">
        <v>741</v>
      </c>
      <c r="K68" s="412" t="s">
        <v>70</v>
      </c>
      <c r="L68" s="411" t="s">
        <v>1667</v>
      </c>
      <c r="M68" s="412">
        <v>410305202</v>
      </c>
      <c r="N68" s="411" t="s">
        <v>1626</v>
      </c>
      <c r="O68" s="412">
        <v>1</v>
      </c>
      <c r="P68" s="412" t="s">
        <v>285</v>
      </c>
      <c r="Q68" s="403">
        <f>SUM(O68:P68)</f>
        <v>1</v>
      </c>
      <c r="R68" s="420">
        <v>2020003630037</v>
      </c>
      <c r="S68" s="411" t="s">
        <v>1668</v>
      </c>
      <c r="T68" s="416">
        <f t="shared" si="12"/>
        <v>1</v>
      </c>
      <c r="U68" s="411" t="s">
        <v>1669</v>
      </c>
      <c r="V68" s="411" t="s">
        <v>1670</v>
      </c>
      <c r="W68" s="411" t="s">
        <v>1515</v>
      </c>
      <c r="X68" s="430">
        <v>5000000</v>
      </c>
      <c r="Y68" s="430"/>
      <c r="Z68" s="430"/>
      <c r="AA68" s="430"/>
      <c r="AB68" s="422">
        <f t="shared" si="8"/>
        <v>5000000</v>
      </c>
      <c r="AC68" s="406" t="s">
        <v>1674</v>
      </c>
      <c r="AD68" s="415"/>
      <c r="AE68" s="408">
        <v>20</v>
      </c>
      <c r="AF68" s="409" t="s">
        <v>132</v>
      </c>
      <c r="AG68" s="418">
        <v>600</v>
      </c>
      <c r="AH68" s="418">
        <v>600</v>
      </c>
      <c r="AI68" s="418"/>
      <c r="AJ68" s="418"/>
      <c r="AK68" s="418"/>
      <c r="AL68" s="418"/>
      <c r="AM68" s="418"/>
      <c r="AN68" s="418"/>
      <c r="AO68" s="418"/>
      <c r="AP68" s="418"/>
      <c r="AQ68" s="418"/>
      <c r="AR68" s="418"/>
      <c r="AS68" s="418"/>
      <c r="AT68" s="418"/>
      <c r="AU68" s="418"/>
      <c r="AV68" s="51">
        <f t="shared" si="2"/>
        <v>1200</v>
      </c>
      <c r="AW68" s="293">
        <v>45292</v>
      </c>
      <c r="AX68" s="293">
        <v>45657</v>
      </c>
      <c r="AY68" s="402" t="s">
        <v>1507</v>
      </c>
    </row>
    <row r="69" spans="1:51" ht="66" customHeight="1" x14ac:dyDescent="0.25">
      <c r="A69" s="410">
        <v>1</v>
      </c>
      <c r="B69" s="401" t="s">
        <v>315</v>
      </c>
      <c r="C69" s="412">
        <v>41</v>
      </c>
      <c r="D69" s="411" t="s">
        <v>1525</v>
      </c>
      <c r="E69" s="412">
        <v>4104</v>
      </c>
      <c r="F69" s="411" t="s">
        <v>1660</v>
      </c>
      <c r="G69" s="412">
        <v>4104020</v>
      </c>
      <c r="H69" s="411" t="s">
        <v>1675</v>
      </c>
      <c r="I69" s="412">
        <v>4104020</v>
      </c>
      <c r="J69" s="411" t="s">
        <v>1675</v>
      </c>
      <c r="K69" s="412">
        <v>410402000</v>
      </c>
      <c r="L69" s="411" t="s">
        <v>1676</v>
      </c>
      <c r="M69" s="412">
        <v>410402000</v>
      </c>
      <c r="N69" s="411" t="s">
        <v>1677</v>
      </c>
      <c r="O69" s="412">
        <v>315</v>
      </c>
      <c r="P69" s="412" t="s">
        <v>285</v>
      </c>
      <c r="Q69" s="403">
        <f t="shared" si="11"/>
        <v>315</v>
      </c>
      <c r="R69" s="420">
        <v>2020003630035</v>
      </c>
      <c r="S69" s="411" t="s">
        <v>1678</v>
      </c>
      <c r="T69" s="416">
        <f>SUM($X$69:$X$69)/SUM($X$69:$X$75)</f>
        <v>0.29629629629629628</v>
      </c>
      <c r="U69" s="411" t="s">
        <v>1679</v>
      </c>
      <c r="V69" s="411" t="s">
        <v>1680</v>
      </c>
      <c r="W69" s="411" t="s">
        <v>1681</v>
      </c>
      <c r="X69" s="431">
        <v>80000000</v>
      </c>
      <c r="Y69" s="431"/>
      <c r="Z69" s="431"/>
      <c r="AA69" s="431"/>
      <c r="AB69" s="422">
        <f t="shared" si="8"/>
        <v>80000000</v>
      </c>
      <c r="AC69" s="426" t="s">
        <v>1682</v>
      </c>
      <c r="AD69" s="415"/>
      <c r="AE69" s="408">
        <v>20</v>
      </c>
      <c r="AF69" s="409" t="s">
        <v>132</v>
      </c>
      <c r="AG69" s="51">
        <v>500</v>
      </c>
      <c r="AH69" s="51">
        <v>500</v>
      </c>
      <c r="AI69" s="51" t="s">
        <v>285</v>
      </c>
      <c r="AJ69" s="51" t="s">
        <v>285</v>
      </c>
      <c r="AK69" s="51" t="s">
        <v>285</v>
      </c>
      <c r="AL69" s="51" t="s">
        <v>285</v>
      </c>
      <c r="AM69" s="51" t="s">
        <v>285</v>
      </c>
      <c r="AN69" s="51" t="s">
        <v>285</v>
      </c>
      <c r="AO69" s="51" t="s">
        <v>285</v>
      </c>
      <c r="AP69" s="51" t="s">
        <v>285</v>
      </c>
      <c r="AQ69" s="51" t="s">
        <v>285</v>
      </c>
      <c r="AR69" s="51" t="s">
        <v>285</v>
      </c>
      <c r="AS69" s="51" t="s">
        <v>285</v>
      </c>
      <c r="AT69" s="51">
        <v>1000</v>
      </c>
      <c r="AU69" s="51" t="s">
        <v>285</v>
      </c>
      <c r="AV69" s="51">
        <f t="shared" si="2"/>
        <v>1000</v>
      </c>
      <c r="AW69" s="293">
        <v>45292</v>
      </c>
      <c r="AX69" s="293">
        <v>45657</v>
      </c>
      <c r="AY69" s="402" t="s">
        <v>1507</v>
      </c>
    </row>
    <row r="70" spans="1:51" ht="65.25" customHeight="1" x14ac:dyDescent="0.25">
      <c r="A70" s="410">
        <v>1</v>
      </c>
      <c r="B70" s="401" t="s">
        <v>315</v>
      </c>
      <c r="C70" s="412">
        <v>41</v>
      </c>
      <c r="D70" s="411" t="s">
        <v>1525</v>
      </c>
      <c r="E70" s="412">
        <v>4104</v>
      </c>
      <c r="F70" s="411" t="s">
        <v>1660</v>
      </c>
      <c r="G70" s="412">
        <v>4104020</v>
      </c>
      <c r="H70" s="411" t="s">
        <v>1675</v>
      </c>
      <c r="I70" s="412">
        <v>4104020</v>
      </c>
      <c r="J70" s="411" t="s">
        <v>1676</v>
      </c>
      <c r="K70" s="412">
        <v>410402000</v>
      </c>
      <c r="L70" s="411" t="s">
        <v>1677</v>
      </c>
      <c r="M70" s="412">
        <v>410402000</v>
      </c>
      <c r="N70" s="411" t="s">
        <v>1677</v>
      </c>
      <c r="O70" s="412">
        <v>12</v>
      </c>
      <c r="P70" s="412">
        <v>1</v>
      </c>
      <c r="Q70" s="403">
        <f t="shared" si="11"/>
        <v>13</v>
      </c>
      <c r="R70" s="420">
        <v>2020003630035</v>
      </c>
      <c r="S70" s="411" t="s">
        <v>1678</v>
      </c>
      <c r="T70" s="416">
        <f t="shared" ref="T70:T75" si="13">SUM($X$70:$X$75)/SUM($X$69:$X$75)</f>
        <v>0.70370370370370372</v>
      </c>
      <c r="U70" s="411" t="s">
        <v>1679</v>
      </c>
      <c r="V70" s="411" t="s">
        <v>1683</v>
      </c>
      <c r="W70" s="411" t="s">
        <v>1684</v>
      </c>
      <c r="X70" s="422">
        <v>50000000</v>
      </c>
      <c r="Y70" s="422">
        <f>2800000+3500000+5600000+7400000+2500000+10000000+1050000+1050000+3500000</f>
        <v>37400000</v>
      </c>
      <c r="Z70" s="422"/>
      <c r="AA70" s="422"/>
      <c r="AB70" s="422">
        <f t="shared" si="8"/>
        <v>12600000</v>
      </c>
      <c r="AC70" s="406" t="s">
        <v>1685</v>
      </c>
      <c r="AD70" s="415"/>
      <c r="AE70" s="408">
        <v>20</v>
      </c>
      <c r="AF70" s="409" t="s">
        <v>132</v>
      </c>
      <c r="AG70" s="51">
        <v>500</v>
      </c>
      <c r="AH70" s="51">
        <v>500</v>
      </c>
      <c r="AI70" s="51" t="s">
        <v>285</v>
      </c>
      <c r="AJ70" s="51" t="s">
        <v>285</v>
      </c>
      <c r="AK70" s="51" t="s">
        <v>285</v>
      </c>
      <c r="AL70" s="51" t="s">
        <v>285</v>
      </c>
      <c r="AM70" s="51" t="s">
        <v>285</v>
      </c>
      <c r="AN70" s="51" t="s">
        <v>285</v>
      </c>
      <c r="AO70" s="51" t="s">
        <v>285</v>
      </c>
      <c r="AP70" s="51" t="s">
        <v>285</v>
      </c>
      <c r="AQ70" s="51" t="s">
        <v>285</v>
      </c>
      <c r="AR70" s="51" t="s">
        <v>285</v>
      </c>
      <c r="AS70" s="51" t="s">
        <v>285</v>
      </c>
      <c r="AT70" s="51">
        <v>1000</v>
      </c>
      <c r="AU70" s="51" t="s">
        <v>285</v>
      </c>
      <c r="AV70" s="51">
        <f t="shared" si="2"/>
        <v>1000</v>
      </c>
      <c r="AW70" s="293">
        <v>45292</v>
      </c>
      <c r="AX70" s="293">
        <v>45657</v>
      </c>
      <c r="AY70" s="402" t="s">
        <v>1507</v>
      </c>
    </row>
    <row r="71" spans="1:51" ht="65.25" customHeight="1" x14ac:dyDescent="0.25">
      <c r="A71" s="410">
        <v>1</v>
      </c>
      <c r="B71" s="401" t="s">
        <v>315</v>
      </c>
      <c r="C71" s="412">
        <v>41</v>
      </c>
      <c r="D71" s="411" t="s">
        <v>1525</v>
      </c>
      <c r="E71" s="412">
        <v>4104</v>
      </c>
      <c r="F71" s="411" t="s">
        <v>1660</v>
      </c>
      <c r="G71" s="412">
        <v>4104020</v>
      </c>
      <c r="H71" s="411" t="s">
        <v>1675</v>
      </c>
      <c r="I71" s="412">
        <v>4104020</v>
      </c>
      <c r="J71" s="411" t="s">
        <v>1676</v>
      </c>
      <c r="K71" s="412">
        <v>410402000</v>
      </c>
      <c r="L71" s="411" t="s">
        <v>1677</v>
      </c>
      <c r="M71" s="412">
        <v>410402000</v>
      </c>
      <c r="N71" s="411" t="s">
        <v>1677</v>
      </c>
      <c r="O71" s="412">
        <v>12</v>
      </c>
      <c r="P71" s="412" t="s">
        <v>285</v>
      </c>
      <c r="Q71" s="403">
        <f>SUM(O71:P71)</f>
        <v>12</v>
      </c>
      <c r="R71" s="420">
        <v>2020003630035</v>
      </c>
      <c r="S71" s="411" t="s">
        <v>1678</v>
      </c>
      <c r="T71" s="416">
        <f t="shared" si="13"/>
        <v>0.70370370370370372</v>
      </c>
      <c r="U71" s="411" t="s">
        <v>1679</v>
      </c>
      <c r="V71" s="411" t="s">
        <v>1683</v>
      </c>
      <c r="W71" s="411" t="s">
        <v>1686</v>
      </c>
      <c r="X71" s="422">
        <v>40000000</v>
      </c>
      <c r="Y71" s="422"/>
      <c r="Z71" s="422"/>
      <c r="AA71" s="422"/>
      <c r="AB71" s="422">
        <f t="shared" si="8"/>
        <v>40000000</v>
      </c>
      <c r="AC71" s="406" t="s">
        <v>1685</v>
      </c>
      <c r="AD71" s="415"/>
      <c r="AE71" s="408">
        <v>20</v>
      </c>
      <c r="AF71" s="409" t="s">
        <v>132</v>
      </c>
      <c r="AG71" s="51">
        <v>500</v>
      </c>
      <c r="AH71" s="51">
        <v>500</v>
      </c>
      <c r="AI71" s="51" t="s">
        <v>285</v>
      </c>
      <c r="AJ71" s="51" t="s">
        <v>285</v>
      </c>
      <c r="AK71" s="51" t="s">
        <v>285</v>
      </c>
      <c r="AL71" s="51" t="s">
        <v>285</v>
      </c>
      <c r="AM71" s="51" t="s">
        <v>285</v>
      </c>
      <c r="AN71" s="51" t="s">
        <v>285</v>
      </c>
      <c r="AO71" s="51" t="s">
        <v>285</v>
      </c>
      <c r="AP71" s="51" t="s">
        <v>285</v>
      </c>
      <c r="AQ71" s="51" t="s">
        <v>285</v>
      </c>
      <c r="AR71" s="51" t="s">
        <v>285</v>
      </c>
      <c r="AS71" s="51" t="s">
        <v>285</v>
      </c>
      <c r="AT71" s="51">
        <v>1000</v>
      </c>
      <c r="AU71" s="51" t="s">
        <v>285</v>
      </c>
      <c r="AV71" s="51">
        <f t="shared" si="2"/>
        <v>1000</v>
      </c>
      <c r="AW71" s="293">
        <v>45292</v>
      </c>
      <c r="AX71" s="293">
        <v>45657</v>
      </c>
      <c r="AY71" s="402" t="s">
        <v>1507</v>
      </c>
    </row>
    <row r="72" spans="1:51" ht="65.25" customHeight="1" x14ac:dyDescent="0.25">
      <c r="A72" s="410">
        <v>1</v>
      </c>
      <c r="B72" s="401" t="s">
        <v>315</v>
      </c>
      <c r="C72" s="412">
        <v>41</v>
      </c>
      <c r="D72" s="411" t="s">
        <v>1525</v>
      </c>
      <c r="E72" s="412">
        <v>4104</v>
      </c>
      <c r="F72" s="411" t="s">
        <v>1660</v>
      </c>
      <c r="G72" s="412">
        <v>4104020</v>
      </c>
      <c r="H72" s="411" t="s">
        <v>1675</v>
      </c>
      <c r="I72" s="412">
        <v>4104020</v>
      </c>
      <c r="J72" s="411" t="s">
        <v>1675</v>
      </c>
      <c r="K72" s="412" t="s">
        <v>70</v>
      </c>
      <c r="L72" s="411" t="s">
        <v>1687</v>
      </c>
      <c r="M72" s="412">
        <v>410402000</v>
      </c>
      <c r="N72" s="411" t="s">
        <v>1677</v>
      </c>
      <c r="O72" s="412">
        <v>12</v>
      </c>
      <c r="P72" s="412" t="s">
        <v>285</v>
      </c>
      <c r="Q72" s="403">
        <f>SUM(O72:P72)</f>
        <v>12</v>
      </c>
      <c r="R72" s="420">
        <v>2020003630035</v>
      </c>
      <c r="S72" s="411" t="s">
        <v>1678</v>
      </c>
      <c r="T72" s="416">
        <f t="shared" si="13"/>
        <v>0.70370370370370372</v>
      </c>
      <c r="U72" s="411" t="s">
        <v>1679</v>
      </c>
      <c r="V72" s="411" t="s">
        <v>1683</v>
      </c>
      <c r="W72" s="411" t="s">
        <v>1688</v>
      </c>
      <c r="X72" s="422">
        <v>30000000</v>
      </c>
      <c r="Y72" s="422"/>
      <c r="Z72" s="422"/>
      <c r="AA72" s="422"/>
      <c r="AB72" s="422">
        <f t="shared" si="8"/>
        <v>30000000</v>
      </c>
      <c r="AC72" s="406" t="s">
        <v>1685</v>
      </c>
      <c r="AD72" s="415"/>
      <c r="AE72" s="408">
        <v>20</v>
      </c>
      <c r="AF72" s="409" t="s">
        <v>132</v>
      </c>
      <c r="AG72" s="51">
        <v>500</v>
      </c>
      <c r="AH72" s="51">
        <v>500</v>
      </c>
      <c r="AI72" s="51" t="s">
        <v>285</v>
      </c>
      <c r="AJ72" s="51" t="s">
        <v>285</v>
      </c>
      <c r="AK72" s="51" t="s">
        <v>285</v>
      </c>
      <c r="AL72" s="51" t="s">
        <v>285</v>
      </c>
      <c r="AM72" s="51" t="s">
        <v>285</v>
      </c>
      <c r="AN72" s="51" t="s">
        <v>285</v>
      </c>
      <c r="AO72" s="51" t="s">
        <v>285</v>
      </c>
      <c r="AP72" s="51" t="s">
        <v>285</v>
      </c>
      <c r="AQ72" s="51" t="s">
        <v>285</v>
      </c>
      <c r="AR72" s="51" t="s">
        <v>285</v>
      </c>
      <c r="AS72" s="51" t="s">
        <v>285</v>
      </c>
      <c r="AT72" s="51">
        <v>1000</v>
      </c>
      <c r="AU72" s="51" t="s">
        <v>285</v>
      </c>
      <c r="AV72" s="51">
        <f t="shared" si="2"/>
        <v>1000</v>
      </c>
      <c r="AW72" s="293">
        <v>45292</v>
      </c>
      <c r="AX72" s="293">
        <v>45657</v>
      </c>
      <c r="AY72" s="402" t="s">
        <v>1507</v>
      </c>
    </row>
    <row r="73" spans="1:51" ht="64.5" customHeight="1" x14ac:dyDescent="0.25">
      <c r="A73" s="410">
        <v>1</v>
      </c>
      <c r="B73" s="401" t="s">
        <v>315</v>
      </c>
      <c r="C73" s="412">
        <v>41</v>
      </c>
      <c r="D73" s="411" t="s">
        <v>1525</v>
      </c>
      <c r="E73" s="412">
        <v>4104</v>
      </c>
      <c r="F73" s="411" t="s">
        <v>1660</v>
      </c>
      <c r="G73" s="412">
        <v>4104020</v>
      </c>
      <c r="H73" s="411" t="s">
        <v>1675</v>
      </c>
      <c r="I73" s="412">
        <v>4104020</v>
      </c>
      <c r="J73" s="411" t="s">
        <v>1675</v>
      </c>
      <c r="K73" s="412" t="s">
        <v>70</v>
      </c>
      <c r="L73" s="411" t="s">
        <v>1687</v>
      </c>
      <c r="M73" s="412">
        <v>410402000</v>
      </c>
      <c r="N73" s="411" t="s">
        <v>1677</v>
      </c>
      <c r="O73" s="412">
        <v>12</v>
      </c>
      <c r="P73" s="412" t="s">
        <v>285</v>
      </c>
      <c r="Q73" s="403">
        <f t="shared" si="11"/>
        <v>12</v>
      </c>
      <c r="R73" s="420">
        <v>2020003630035</v>
      </c>
      <c r="S73" s="411" t="s">
        <v>1678</v>
      </c>
      <c r="T73" s="416">
        <f t="shared" si="13"/>
        <v>0.70370370370370372</v>
      </c>
      <c r="U73" s="411" t="s">
        <v>1679</v>
      </c>
      <c r="V73" s="411" t="s">
        <v>1683</v>
      </c>
      <c r="W73" s="411" t="s">
        <v>1689</v>
      </c>
      <c r="X73" s="422">
        <v>20000000</v>
      </c>
      <c r="Y73" s="422"/>
      <c r="Z73" s="422"/>
      <c r="AA73" s="422"/>
      <c r="AB73" s="422">
        <f t="shared" si="8"/>
        <v>20000000</v>
      </c>
      <c r="AC73" s="406" t="s">
        <v>1685</v>
      </c>
      <c r="AD73" s="415"/>
      <c r="AE73" s="408">
        <v>20</v>
      </c>
      <c r="AF73" s="409" t="s">
        <v>132</v>
      </c>
      <c r="AG73" s="51">
        <v>500</v>
      </c>
      <c r="AH73" s="51">
        <v>500</v>
      </c>
      <c r="AI73" s="51" t="s">
        <v>285</v>
      </c>
      <c r="AJ73" s="51" t="s">
        <v>285</v>
      </c>
      <c r="AK73" s="51" t="s">
        <v>285</v>
      </c>
      <c r="AL73" s="51" t="s">
        <v>285</v>
      </c>
      <c r="AM73" s="51" t="s">
        <v>285</v>
      </c>
      <c r="AN73" s="51" t="s">
        <v>285</v>
      </c>
      <c r="AO73" s="51" t="s">
        <v>285</v>
      </c>
      <c r="AP73" s="51" t="s">
        <v>285</v>
      </c>
      <c r="AQ73" s="51" t="s">
        <v>285</v>
      </c>
      <c r="AR73" s="51" t="s">
        <v>285</v>
      </c>
      <c r="AS73" s="51" t="s">
        <v>285</v>
      </c>
      <c r="AT73" s="51">
        <v>1000</v>
      </c>
      <c r="AU73" s="51" t="s">
        <v>285</v>
      </c>
      <c r="AV73" s="51">
        <f t="shared" si="2"/>
        <v>1000</v>
      </c>
      <c r="AW73" s="293">
        <v>45292</v>
      </c>
      <c r="AX73" s="293">
        <v>45657</v>
      </c>
      <c r="AY73" s="402" t="s">
        <v>1507</v>
      </c>
    </row>
    <row r="74" spans="1:51" ht="64.5" customHeight="1" x14ac:dyDescent="0.25">
      <c r="A74" s="410">
        <v>1</v>
      </c>
      <c r="B74" s="401" t="s">
        <v>315</v>
      </c>
      <c r="C74" s="412">
        <v>41</v>
      </c>
      <c r="D74" s="411" t="s">
        <v>1525</v>
      </c>
      <c r="E74" s="412">
        <v>4104</v>
      </c>
      <c r="F74" s="411" t="s">
        <v>1660</v>
      </c>
      <c r="G74" s="412">
        <v>4104020</v>
      </c>
      <c r="H74" s="411" t="s">
        <v>1675</v>
      </c>
      <c r="I74" s="412">
        <v>4104020</v>
      </c>
      <c r="J74" s="411" t="s">
        <v>1675</v>
      </c>
      <c r="K74" s="412" t="s">
        <v>70</v>
      </c>
      <c r="L74" s="411" t="s">
        <v>1687</v>
      </c>
      <c r="M74" s="412">
        <v>410402000</v>
      </c>
      <c r="N74" s="411" t="s">
        <v>1677</v>
      </c>
      <c r="O74" s="412">
        <v>12</v>
      </c>
      <c r="P74" s="412" t="s">
        <v>285</v>
      </c>
      <c r="Q74" s="403">
        <f t="shared" si="11"/>
        <v>12</v>
      </c>
      <c r="R74" s="420">
        <v>2020003630035</v>
      </c>
      <c r="S74" s="411" t="s">
        <v>1678</v>
      </c>
      <c r="T74" s="416">
        <f t="shared" si="13"/>
        <v>0.70370370370370372</v>
      </c>
      <c r="U74" s="411" t="s">
        <v>1679</v>
      </c>
      <c r="V74" s="411" t="s">
        <v>1683</v>
      </c>
      <c r="W74" s="411" t="s">
        <v>1690</v>
      </c>
      <c r="X74" s="422">
        <v>20000000</v>
      </c>
      <c r="Y74" s="422"/>
      <c r="Z74" s="422"/>
      <c r="AA74" s="422"/>
      <c r="AB74" s="422">
        <f t="shared" si="8"/>
        <v>20000000</v>
      </c>
      <c r="AC74" s="406" t="s">
        <v>1685</v>
      </c>
      <c r="AD74" s="415"/>
      <c r="AE74" s="408">
        <v>20</v>
      </c>
      <c r="AF74" s="409" t="s">
        <v>132</v>
      </c>
      <c r="AG74" s="51">
        <v>500</v>
      </c>
      <c r="AH74" s="51">
        <v>500</v>
      </c>
      <c r="AI74" s="51" t="s">
        <v>285</v>
      </c>
      <c r="AJ74" s="51" t="s">
        <v>285</v>
      </c>
      <c r="AK74" s="51" t="s">
        <v>285</v>
      </c>
      <c r="AL74" s="51" t="s">
        <v>285</v>
      </c>
      <c r="AM74" s="51" t="s">
        <v>285</v>
      </c>
      <c r="AN74" s="51" t="s">
        <v>285</v>
      </c>
      <c r="AO74" s="51" t="s">
        <v>285</v>
      </c>
      <c r="AP74" s="51" t="s">
        <v>285</v>
      </c>
      <c r="AQ74" s="51" t="s">
        <v>285</v>
      </c>
      <c r="AR74" s="51" t="s">
        <v>285</v>
      </c>
      <c r="AS74" s="51" t="s">
        <v>285</v>
      </c>
      <c r="AT74" s="51">
        <v>1000</v>
      </c>
      <c r="AU74" s="51" t="s">
        <v>285</v>
      </c>
      <c r="AV74" s="51">
        <f t="shared" si="2"/>
        <v>1000</v>
      </c>
      <c r="AW74" s="293">
        <v>45292</v>
      </c>
      <c r="AX74" s="293">
        <v>45657</v>
      </c>
      <c r="AY74" s="402" t="s">
        <v>1507</v>
      </c>
    </row>
    <row r="75" spans="1:51" ht="84.75" customHeight="1" x14ac:dyDescent="0.25">
      <c r="A75" s="410">
        <v>1</v>
      </c>
      <c r="B75" s="401" t="s">
        <v>315</v>
      </c>
      <c r="C75" s="412">
        <v>41</v>
      </c>
      <c r="D75" s="411" t="s">
        <v>1525</v>
      </c>
      <c r="E75" s="412">
        <v>4104</v>
      </c>
      <c r="F75" s="411" t="s">
        <v>1660</v>
      </c>
      <c r="G75" s="412">
        <v>4104020</v>
      </c>
      <c r="H75" s="411" t="s">
        <v>1675</v>
      </c>
      <c r="I75" s="412">
        <v>4104020</v>
      </c>
      <c r="J75" s="411" t="s">
        <v>1675</v>
      </c>
      <c r="K75" s="412" t="s">
        <v>70</v>
      </c>
      <c r="L75" s="411" t="s">
        <v>1687</v>
      </c>
      <c r="M75" s="412">
        <v>410402000</v>
      </c>
      <c r="N75" s="411" t="s">
        <v>1677</v>
      </c>
      <c r="O75" s="412">
        <v>12</v>
      </c>
      <c r="P75" s="412" t="s">
        <v>285</v>
      </c>
      <c r="Q75" s="403">
        <f t="shared" si="11"/>
        <v>12</v>
      </c>
      <c r="R75" s="420">
        <v>2020003630035</v>
      </c>
      <c r="S75" s="411" t="s">
        <v>1678</v>
      </c>
      <c r="T75" s="416">
        <f t="shared" si="13"/>
        <v>0.70370370370370372</v>
      </c>
      <c r="U75" s="411" t="s">
        <v>1679</v>
      </c>
      <c r="V75" s="411" t="s">
        <v>1683</v>
      </c>
      <c r="W75" s="411" t="s">
        <v>1691</v>
      </c>
      <c r="X75" s="422">
        <v>30000000</v>
      </c>
      <c r="Y75" s="422">
        <f>7400000</f>
        <v>7400000</v>
      </c>
      <c r="Z75" s="422"/>
      <c r="AA75" s="422"/>
      <c r="AB75" s="422">
        <f t="shared" si="8"/>
        <v>22600000</v>
      </c>
      <c r="AC75" s="406" t="s">
        <v>1685</v>
      </c>
      <c r="AD75" s="415"/>
      <c r="AE75" s="408">
        <v>20</v>
      </c>
      <c r="AF75" s="409" t="s">
        <v>132</v>
      </c>
      <c r="AG75" s="51">
        <v>500</v>
      </c>
      <c r="AH75" s="51">
        <v>500</v>
      </c>
      <c r="AI75" s="51" t="s">
        <v>285</v>
      </c>
      <c r="AJ75" s="51" t="s">
        <v>285</v>
      </c>
      <c r="AK75" s="51" t="s">
        <v>285</v>
      </c>
      <c r="AL75" s="51" t="s">
        <v>285</v>
      </c>
      <c r="AM75" s="51" t="s">
        <v>285</v>
      </c>
      <c r="AN75" s="51" t="s">
        <v>285</v>
      </c>
      <c r="AO75" s="51" t="s">
        <v>285</v>
      </c>
      <c r="AP75" s="51" t="s">
        <v>285</v>
      </c>
      <c r="AQ75" s="51" t="s">
        <v>285</v>
      </c>
      <c r="AR75" s="51" t="s">
        <v>285</v>
      </c>
      <c r="AS75" s="51" t="s">
        <v>285</v>
      </c>
      <c r="AT75" s="51">
        <v>1000</v>
      </c>
      <c r="AU75" s="51" t="s">
        <v>285</v>
      </c>
      <c r="AV75" s="51">
        <f t="shared" si="2"/>
        <v>1000</v>
      </c>
      <c r="AW75" s="293">
        <v>45292</v>
      </c>
      <c r="AX75" s="293">
        <v>45657</v>
      </c>
      <c r="AY75" s="402" t="s">
        <v>1507</v>
      </c>
    </row>
    <row r="76" spans="1:51" ht="81" customHeight="1" x14ac:dyDescent="0.25">
      <c r="A76" s="410">
        <v>1</v>
      </c>
      <c r="B76" s="401" t="s">
        <v>315</v>
      </c>
      <c r="C76" s="412">
        <v>41</v>
      </c>
      <c r="D76" s="411" t="s">
        <v>1525</v>
      </c>
      <c r="E76" s="412">
        <v>4104</v>
      </c>
      <c r="F76" s="411" t="s">
        <v>1660</v>
      </c>
      <c r="G76" s="412">
        <v>4104026</v>
      </c>
      <c r="H76" s="411" t="s">
        <v>1692</v>
      </c>
      <c r="I76" s="412">
        <v>4104027</v>
      </c>
      <c r="J76" s="411" t="s">
        <v>1693</v>
      </c>
      <c r="K76" s="412" t="s">
        <v>70</v>
      </c>
      <c r="L76" s="411" t="s">
        <v>1694</v>
      </c>
      <c r="M76" s="412">
        <v>410402700</v>
      </c>
      <c r="N76" s="411" t="s">
        <v>1695</v>
      </c>
      <c r="O76" s="412">
        <v>12</v>
      </c>
      <c r="P76" s="412" t="s">
        <v>285</v>
      </c>
      <c r="Q76" s="403">
        <f t="shared" si="11"/>
        <v>12</v>
      </c>
      <c r="R76" s="420">
        <v>2020003630012</v>
      </c>
      <c r="S76" s="411" t="s">
        <v>1696</v>
      </c>
      <c r="T76" s="432">
        <f>SUM($X$76:$X$77)/SUM($X$76:$X$77)</f>
        <v>1</v>
      </c>
      <c r="U76" s="411" t="s">
        <v>1697</v>
      </c>
      <c r="V76" s="411" t="s">
        <v>1698</v>
      </c>
      <c r="W76" s="411" t="s">
        <v>1699</v>
      </c>
      <c r="X76" s="433">
        <v>55000000</v>
      </c>
      <c r="Y76" s="433">
        <f>10000000+500000</f>
        <v>10500000</v>
      </c>
      <c r="Z76" s="433"/>
      <c r="AA76" s="433"/>
      <c r="AB76" s="422">
        <f t="shared" si="8"/>
        <v>44500000</v>
      </c>
      <c r="AC76" s="406" t="s">
        <v>1700</v>
      </c>
      <c r="AD76" s="415"/>
      <c r="AE76" s="408">
        <v>20</v>
      </c>
      <c r="AF76" s="409" t="s">
        <v>132</v>
      </c>
      <c r="AG76" s="418">
        <v>200</v>
      </c>
      <c r="AH76" s="418">
        <v>400</v>
      </c>
      <c r="AI76" s="418"/>
      <c r="AJ76" s="418"/>
      <c r="AK76" s="418"/>
      <c r="AL76" s="418"/>
      <c r="AM76" s="418"/>
      <c r="AN76" s="418"/>
      <c r="AO76" s="418"/>
      <c r="AP76" s="418"/>
      <c r="AQ76" s="418"/>
      <c r="AR76" s="418"/>
      <c r="AS76" s="418"/>
      <c r="AT76" s="418"/>
      <c r="AU76" s="418"/>
      <c r="AV76" s="51">
        <f t="shared" si="2"/>
        <v>600</v>
      </c>
      <c r="AW76" s="293">
        <v>45292</v>
      </c>
      <c r="AX76" s="293">
        <v>45657</v>
      </c>
      <c r="AY76" s="402" t="s">
        <v>1507</v>
      </c>
    </row>
    <row r="77" spans="1:51" ht="75.75" customHeight="1" x14ac:dyDescent="0.25">
      <c r="A77" s="410">
        <v>1</v>
      </c>
      <c r="B77" s="401" t="s">
        <v>315</v>
      </c>
      <c r="C77" s="412">
        <v>41</v>
      </c>
      <c r="D77" s="411" t="s">
        <v>1525</v>
      </c>
      <c r="E77" s="412">
        <v>4104</v>
      </c>
      <c r="F77" s="411" t="s">
        <v>1660</v>
      </c>
      <c r="G77" s="412">
        <v>4104026</v>
      </c>
      <c r="H77" s="411" t="s">
        <v>1692</v>
      </c>
      <c r="I77" s="412">
        <v>4104027</v>
      </c>
      <c r="J77" s="411" t="s">
        <v>1693</v>
      </c>
      <c r="K77" s="412" t="s">
        <v>70</v>
      </c>
      <c r="L77" s="411" t="s">
        <v>1694</v>
      </c>
      <c r="M77" s="412">
        <v>410402700</v>
      </c>
      <c r="N77" s="411" t="s">
        <v>1695</v>
      </c>
      <c r="O77" s="412">
        <v>12</v>
      </c>
      <c r="P77" s="412" t="s">
        <v>285</v>
      </c>
      <c r="Q77" s="403">
        <f t="shared" si="11"/>
        <v>12</v>
      </c>
      <c r="R77" s="420">
        <v>2020003630012</v>
      </c>
      <c r="S77" s="411" t="s">
        <v>1696</v>
      </c>
      <c r="T77" s="432">
        <f>SUM($X$76:$X$77)/SUM($X$76:$X$77)</f>
        <v>1</v>
      </c>
      <c r="U77" s="411" t="s">
        <v>1697</v>
      </c>
      <c r="V77" s="411" t="s">
        <v>1698</v>
      </c>
      <c r="W77" s="411" t="s">
        <v>1515</v>
      </c>
      <c r="X77" s="433">
        <v>5000000</v>
      </c>
      <c r="Y77" s="433"/>
      <c r="Z77" s="433"/>
      <c r="AA77" s="433"/>
      <c r="AB77" s="422">
        <f t="shared" si="8"/>
        <v>5000000</v>
      </c>
      <c r="AC77" s="406" t="s">
        <v>1701</v>
      </c>
      <c r="AD77" s="415"/>
      <c r="AE77" s="408">
        <v>20</v>
      </c>
      <c r="AF77" s="409" t="s">
        <v>132</v>
      </c>
      <c r="AG77" s="418">
        <v>200</v>
      </c>
      <c r="AH77" s="418">
        <v>400</v>
      </c>
      <c r="AI77" s="418"/>
      <c r="AJ77" s="418"/>
      <c r="AK77" s="418"/>
      <c r="AL77" s="418"/>
      <c r="AM77" s="418"/>
      <c r="AN77" s="418"/>
      <c r="AO77" s="418"/>
      <c r="AP77" s="418"/>
      <c r="AQ77" s="418"/>
      <c r="AR77" s="418"/>
      <c r="AS77" s="418"/>
      <c r="AT77" s="418"/>
      <c r="AU77" s="418"/>
      <c r="AV77" s="51">
        <f t="shared" si="2"/>
        <v>600</v>
      </c>
      <c r="AW77" s="293">
        <v>45292</v>
      </c>
      <c r="AX77" s="293">
        <v>45657</v>
      </c>
      <c r="AY77" s="402" t="s">
        <v>1507</v>
      </c>
    </row>
    <row r="78" spans="1:51" ht="92.25" customHeight="1" x14ac:dyDescent="0.25">
      <c r="A78" s="410">
        <v>1</v>
      </c>
      <c r="B78" s="401" t="s">
        <v>315</v>
      </c>
      <c r="C78" s="412">
        <v>41</v>
      </c>
      <c r="D78" s="411" t="s">
        <v>1525</v>
      </c>
      <c r="E78" s="412">
        <v>4104</v>
      </c>
      <c r="F78" s="411" t="s">
        <v>1660</v>
      </c>
      <c r="G78" s="412">
        <v>4104015</v>
      </c>
      <c r="H78" s="411" t="s">
        <v>1702</v>
      </c>
      <c r="I78" s="412">
        <v>4104015</v>
      </c>
      <c r="J78" s="411" t="s">
        <v>1703</v>
      </c>
      <c r="K78" s="412">
        <v>410401500</v>
      </c>
      <c r="L78" s="411" t="s">
        <v>1704</v>
      </c>
      <c r="M78" s="412">
        <v>410401500</v>
      </c>
      <c r="N78" s="411" t="s">
        <v>1705</v>
      </c>
      <c r="O78" s="412">
        <v>7500</v>
      </c>
      <c r="P78" s="412" t="s">
        <v>285</v>
      </c>
      <c r="Q78" s="403">
        <f t="shared" si="11"/>
        <v>7500</v>
      </c>
      <c r="R78" s="420">
        <v>2020003630109</v>
      </c>
      <c r="S78" s="411" t="s">
        <v>1706</v>
      </c>
      <c r="T78" s="416">
        <f t="shared" ref="T78:T85" si="14">SUM($X$78:$X$85)/SUM($X$78:$X$105)</f>
        <v>2.6461289263260364E-2</v>
      </c>
      <c r="U78" s="411" t="s">
        <v>1707</v>
      </c>
      <c r="V78" s="411" t="s">
        <v>1708</v>
      </c>
      <c r="W78" s="411" t="s">
        <v>1709</v>
      </c>
      <c r="X78" s="434">
        <v>50000000</v>
      </c>
      <c r="Y78" s="434"/>
      <c r="Z78" s="434"/>
      <c r="AA78" s="434"/>
      <c r="AB78" s="422">
        <f t="shared" si="8"/>
        <v>50000000</v>
      </c>
      <c r="AC78" s="435" t="s">
        <v>1710</v>
      </c>
      <c r="AD78" s="415"/>
      <c r="AE78" s="408">
        <v>20</v>
      </c>
      <c r="AF78" s="409" t="s">
        <v>132</v>
      </c>
      <c r="AG78" s="51">
        <v>35</v>
      </c>
      <c r="AH78" s="51">
        <v>40</v>
      </c>
      <c r="AI78" s="51" t="s">
        <v>1506</v>
      </c>
      <c r="AJ78" s="51" t="s">
        <v>1506</v>
      </c>
      <c r="AK78" s="51" t="s">
        <v>1506</v>
      </c>
      <c r="AL78" s="51">
        <v>75</v>
      </c>
      <c r="AM78" s="51" t="s">
        <v>285</v>
      </c>
      <c r="AN78" s="51" t="s">
        <v>285</v>
      </c>
      <c r="AO78" s="51" t="s">
        <v>285</v>
      </c>
      <c r="AP78" s="51" t="s">
        <v>285</v>
      </c>
      <c r="AQ78" s="51" t="s">
        <v>285</v>
      </c>
      <c r="AR78" s="51" t="s">
        <v>285</v>
      </c>
      <c r="AS78" s="436" t="s">
        <v>285</v>
      </c>
      <c r="AT78" s="436" t="s">
        <v>285</v>
      </c>
      <c r="AU78" s="436" t="s">
        <v>285</v>
      </c>
      <c r="AV78" s="51">
        <f t="shared" si="2"/>
        <v>75</v>
      </c>
      <c r="AW78" s="293">
        <v>45292</v>
      </c>
      <c r="AX78" s="293">
        <v>45657</v>
      </c>
      <c r="AY78" s="402" t="s">
        <v>1507</v>
      </c>
    </row>
    <row r="79" spans="1:51" ht="92.25" customHeight="1" x14ac:dyDescent="0.25">
      <c r="A79" s="410">
        <v>1</v>
      </c>
      <c r="B79" s="401" t="s">
        <v>315</v>
      </c>
      <c r="C79" s="412">
        <v>41</v>
      </c>
      <c r="D79" s="411" t="s">
        <v>1525</v>
      </c>
      <c r="E79" s="412">
        <v>4104</v>
      </c>
      <c r="F79" s="411" t="s">
        <v>1660</v>
      </c>
      <c r="G79" s="412">
        <v>4104015</v>
      </c>
      <c r="H79" s="411" t="s">
        <v>1702</v>
      </c>
      <c r="I79" s="412">
        <v>4104015</v>
      </c>
      <c r="J79" s="411" t="s">
        <v>1703</v>
      </c>
      <c r="K79" s="412">
        <v>410401500</v>
      </c>
      <c r="L79" s="411" t="s">
        <v>1704</v>
      </c>
      <c r="M79" s="412">
        <v>410401500</v>
      </c>
      <c r="N79" s="411" t="s">
        <v>1705</v>
      </c>
      <c r="O79" s="412">
        <v>7500</v>
      </c>
      <c r="P79" s="412" t="s">
        <v>285</v>
      </c>
      <c r="Q79" s="403">
        <f t="shared" si="11"/>
        <v>7500</v>
      </c>
      <c r="R79" s="420">
        <v>2020003630109</v>
      </c>
      <c r="S79" s="411" t="s">
        <v>1706</v>
      </c>
      <c r="T79" s="416">
        <f t="shared" si="14"/>
        <v>2.6461289263260364E-2</v>
      </c>
      <c r="U79" s="411" t="s">
        <v>1707</v>
      </c>
      <c r="V79" s="411" t="s">
        <v>1708</v>
      </c>
      <c r="W79" s="411" t="s">
        <v>1711</v>
      </c>
      <c r="X79" s="417">
        <v>25000000</v>
      </c>
      <c r="Y79" s="417">
        <f>3000000</f>
        <v>3000000</v>
      </c>
      <c r="Z79" s="417"/>
      <c r="AA79" s="417"/>
      <c r="AB79" s="422">
        <f t="shared" si="8"/>
        <v>22000000</v>
      </c>
      <c r="AC79" s="435" t="s">
        <v>1710</v>
      </c>
      <c r="AD79" s="415"/>
      <c r="AE79" s="408">
        <v>20</v>
      </c>
      <c r="AF79" s="409" t="s">
        <v>132</v>
      </c>
      <c r="AG79" s="51">
        <v>35</v>
      </c>
      <c r="AH79" s="51">
        <v>40</v>
      </c>
      <c r="AI79" s="51" t="s">
        <v>1506</v>
      </c>
      <c r="AJ79" s="51" t="s">
        <v>1506</v>
      </c>
      <c r="AK79" s="51" t="s">
        <v>1506</v>
      </c>
      <c r="AL79" s="51">
        <v>75</v>
      </c>
      <c r="AM79" s="51" t="s">
        <v>285</v>
      </c>
      <c r="AN79" s="51" t="s">
        <v>285</v>
      </c>
      <c r="AO79" s="51" t="s">
        <v>285</v>
      </c>
      <c r="AP79" s="51" t="s">
        <v>285</v>
      </c>
      <c r="AQ79" s="51" t="s">
        <v>285</v>
      </c>
      <c r="AR79" s="51" t="s">
        <v>285</v>
      </c>
      <c r="AS79" s="436" t="s">
        <v>285</v>
      </c>
      <c r="AT79" s="436" t="s">
        <v>285</v>
      </c>
      <c r="AU79" s="436" t="s">
        <v>285</v>
      </c>
      <c r="AV79" s="51">
        <f t="shared" si="2"/>
        <v>75</v>
      </c>
      <c r="AW79" s="293">
        <v>45292</v>
      </c>
      <c r="AX79" s="293">
        <v>45657</v>
      </c>
      <c r="AY79" s="402" t="s">
        <v>1507</v>
      </c>
    </row>
    <row r="80" spans="1:51" ht="92.25" customHeight="1" x14ac:dyDescent="0.25">
      <c r="A80" s="410">
        <v>1</v>
      </c>
      <c r="B80" s="401" t="s">
        <v>315</v>
      </c>
      <c r="C80" s="412">
        <v>41</v>
      </c>
      <c r="D80" s="411" t="s">
        <v>1525</v>
      </c>
      <c r="E80" s="412">
        <v>4104</v>
      </c>
      <c r="F80" s="411" t="s">
        <v>1660</v>
      </c>
      <c r="G80" s="412">
        <v>4104015</v>
      </c>
      <c r="H80" s="411" t="s">
        <v>1702</v>
      </c>
      <c r="I80" s="412">
        <v>4104015</v>
      </c>
      <c r="J80" s="411" t="s">
        <v>1703</v>
      </c>
      <c r="K80" s="412">
        <v>410401500</v>
      </c>
      <c r="L80" s="411" t="s">
        <v>1704</v>
      </c>
      <c r="M80" s="412">
        <v>410401500</v>
      </c>
      <c r="N80" s="411" t="s">
        <v>1705</v>
      </c>
      <c r="O80" s="412">
        <v>7500</v>
      </c>
      <c r="P80" s="412" t="s">
        <v>285</v>
      </c>
      <c r="Q80" s="403">
        <f t="shared" si="11"/>
        <v>7500</v>
      </c>
      <c r="R80" s="420">
        <v>2020003630109</v>
      </c>
      <c r="S80" s="411" t="s">
        <v>1706</v>
      </c>
      <c r="T80" s="416">
        <f t="shared" si="14"/>
        <v>2.6461289263260364E-2</v>
      </c>
      <c r="U80" s="411" t="s">
        <v>1707</v>
      </c>
      <c r="V80" s="411" t="s">
        <v>1708</v>
      </c>
      <c r="W80" s="411" t="s">
        <v>1712</v>
      </c>
      <c r="X80" s="417">
        <v>20000000</v>
      </c>
      <c r="Y80" s="417">
        <f>3800000</f>
        <v>3800000</v>
      </c>
      <c r="Z80" s="417"/>
      <c r="AA80" s="417"/>
      <c r="AB80" s="422">
        <f t="shared" si="8"/>
        <v>16200000</v>
      </c>
      <c r="AC80" s="435" t="s">
        <v>1710</v>
      </c>
      <c r="AD80" s="415"/>
      <c r="AE80" s="408">
        <v>20</v>
      </c>
      <c r="AF80" s="409" t="s">
        <v>132</v>
      </c>
      <c r="AG80" s="51">
        <v>35</v>
      </c>
      <c r="AH80" s="51">
        <v>40</v>
      </c>
      <c r="AI80" s="51" t="s">
        <v>1506</v>
      </c>
      <c r="AJ80" s="51" t="s">
        <v>1506</v>
      </c>
      <c r="AK80" s="51" t="s">
        <v>1506</v>
      </c>
      <c r="AL80" s="51">
        <v>75</v>
      </c>
      <c r="AM80" s="51" t="s">
        <v>285</v>
      </c>
      <c r="AN80" s="51" t="s">
        <v>285</v>
      </c>
      <c r="AO80" s="51" t="s">
        <v>285</v>
      </c>
      <c r="AP80" s="51" t="s">
        <v>285</v>
      </c>
      <c r="AQ80" s="51" t="s">
        <v>285</v>
      </c>
      <c r="AR80" s="51" t="s">
        <v>285</v>
      </c>
      <c r="AS80" s="436" t="s">
        <v>285</v>
      </c>
      <c r="AT80" s="436" t="s">
        <v>285</v>
      </c>
      <c r="AU80" s="436" t="s">
        <v>285</v>
      </c>
      <c r="AV80" s="51">
        <f t="shared" ref="AV80:AV125" si="15">+AG80+AH80</f>
        <v>75</v>
      </c>
      <c r="AW80" s="293">
        <v>45292</v>
      </c>
      <c r="AX80" s="293">
        <v>45657</v>
      </c>
      <c r="AY80" s="402" t="s">
        <v>1507</v>
      </c>
    </row>
    <row r="81" spans="1:51" ht="92.25" customHeight="1" x14ac:dyDescent="0.25">
      <c r="A81" s="410">
        <v>1</v>
      </c>
      <c r="B81" s="401" t="s">
        <v>315</v>
      </c>
      <c r="C81" s="412">
        <v>41</v>
      </c>
      <c r="D81" s="411" t="s">
        <v>1525</v>
      </c>
      <c r="E81" s="412">
        <v>4104</v>
      </c>
      <c r="F81" s="411" t="s">
        <v>1660</v>
      </c>
      <c r="G81" s="412">
        <v>4104015</v>
      </c>
      <c r="H81" s="411" t="s">
        <v>1702</v>
      </c>
      <c r="I81" s="412">
        <v>4104015</v>
      </c>
      <c r="J81" s="411" t="s">
        <v>1703</v>
      </c>
      <c r="K81" s="412">
        <v>410401500</v>
      </c>
      <c r="L81" s="411" t="s">
        <v>1704</v>
      </c>
      <c r="M81" s="412">
        <v>410401500</v>
      </c>
      <c r="N81" s="411" t="s">
        <v>1705</v>
      </c>
      <c r="O81" s="412">
        <v>7500</v>
      </c>
      <c r="P81" s="412" t="s">
        <v>285</v>
      </c>
      <c r="Q81" s="403">
        <f t="shared" si="11"/>
        <v>7500</v>
      </c>
      <c r="R81" s="420">
        <v>2020003630109</v>
      </c>
      <c r="S81" s="411" t="s">
        <v>1706</v>
      </c>
      <c r="T81" s="416">
        <f t="shared" si="14"/>
        <v>2.6461289263260364E-2</v>
      </c>
      <c r="U81" s="411" t="s">
        <v>1707</v>
      </c>
      <c r="V81" s="411" t="s">
        <v>1708</v>
      </c>
      <c r="W81" s="411" t="s">
        <v>1713</v>
      </c>
      <c r="X81" s="417">
        <v>23000000</v>
      </c>
      <c r="Y81" s="417">
        <f>14800000+14800000</f>
        <v>29600000</v>
      </c>
      <c r="Z81" s="417"/>
      <c r="AA81" s="417"/>
      <c r="AB81" s="422">
        <f t="shared" si="8"/>
        <v>-6600000</v>
      </c>
      <c r="AC81" s="435" t="s">
        <v>1710</v>
      </c>
      <c r="AD81" s="415"/>
      <c r="AE81" s="408">
        <v>20</v>
      </c>
      <c r="AF81" s="409" t="s">
        <v>132</v>
      </c>
      <c r="AG81" s="51">
        <v>35</v>
      </c>
      <c r="AH81" s="51">
        <v>40</v>
      </c>
      <c r="AI81" s="51" t="s">
        <v>1506</v>
      </c>
      <c r="AJ81" s="51" t="s">
        <v>1506</v>
      </c>
      <c r="AK81" s="51" t="s">
        <v>1506</v>
      </c>
      <c r="AL81" s="51">
        <v>75</v>
      </c>
      <c r="AM81" s="51" t="s">
        <v>285</v>
      </c>
      <c r="AN81" s="51" t="s">
        <v>285</v>
      </c>
      <c r="AO81" s="51" t="s">
        <v>285</v>
      </c>
      <c r="AP81" s="51" t="s">
        <v>285</v>
      </c>
      <c r="AQ81" s="51" t="s">
        <v>285</v>
      </c>
      <c r="AR81" s="51" t="s">
        <v>285</v>
      </c>
      <c r="AS81" s="436" t="s">
        <v>285</v>
      </c>
      <c r="AT81" s="436" t="s">
        <v>285</v>
      </c>
      <c r="AU81" s="436" t="s">
        <v>285</v>
      </c>
      <c r="AV81" s="51">
        <f t="shared" si="15"/>
        <v>75</v>
      </c>
      <c r="AW81" s="293">
        <v>45292</v>
      </c>
      <c r="AX81" s="293">
        <v>45657</v>
      </c>
      <c r="AY81" s="402" t="s">
        <v>1507</v>
      </c>
    </row>
    <row r="82" spans="1:51" ht="75.75" customHeight="1" x14ac:dyDescent="0.25">
      <c r="A82" s="410">
        <v>1</v>
      </c>
      <c r="B82" s="401" t="s">
        <v>315</v>
      </c>
      <c r="C82" s="412">
        <v>41</v>
      </c>
      <c r="D82" s="411" t="s">
        <v>1525</v>
      </c>
      <c r="E82" s="412">
        <v>4104</v>
      </c>
      <c r="F82" s="411" t="s">
        <v>1660</v>
      </c>
      <c r="G82" s="412">
        <v>4104015</v>
      </c>
      <c r="H82" s="411" t="s">
        <v>1702</v>
      </c>
      <c r="I82" s="412">
        <v>4104015</v>
      </c>
      <c r="J82" s="411" t="s">
        <v>1703</v>
      </c>
      <c r="K82" s="412">
        <v>410401500</v>
      </c>
      <c r="L82" s="411" t="s">
        <v>1704</v>
      </c>
      <c r="M82" s="412">
        <v>410401500</v>
      </c>
      <c r="N82" s="411" t="s">
        <v>1705</v>
      </c>
      <c r="O82" s="412">
        <v>7500</v>
      </c>
      <c r="P82" s="412" t="s">
        <v>285</v>
      </c>
      <c r="Q82" s="403">
        <f t="shared" si="11"/>
        <v>7500</v>
      </c>
      <c r="R82" s="420">
        <v>2020003630109</v>
      </c>
      <c r="S82" s="411" t="s">
        <v>1706</v>
      </c>
      <c r="T82" s="416">
        <f t="shared" si="14"/>
        <v>2.6461289263260364E-2</v>
      </c>
      <c r="U82" s="411" t="s">
        <v>1707</v>
      </c>
      <c r="V82" s="411" t="s">
        <v>1708</v>
      </c>
      <c r="W82" s="411" t="s">
        <v>1714</v>
      </c>
      <c r="X82" s="417">
        <v>20000000</v>
      </c>
      <c r="Y82" s="417"/>
      <c r="Z82" s="417"/>
      <c r="AA82" s="417"/>
      <c r="AB82" s="422">
        <f t="shared" si="8"/>
        <v>20000000</v>
      </c>
      <c r="AC82" s="435" t="s">
        <v>1710</v>
      </c>
      <c r="AD82" s="415"/>
      <c r="AE82" s="408">
        <v>20</v>
      </c>
      <c r="AF82" s="409" t="s">
        <v>132</v>
      </c>
      <c r="AG82" s="51">
        <v>35</v>
      </c>
      <c r="AH82" s="51">
        <v>40</v>
      </c>
      <c r="AI82" s="51" t="s">
        <v>1506</v>
      </c>
      <c r="AJ82" s="51" t="s">
        <v>1506</v>
      </c>
      <c r="AK82" s="51" t="s">
        <v>1506</v>
      </c>
      <c r="AL82" s="51">
        <v>75</v>
      </c>
      <c r="AM82" s="51" t="s">
        <v>285</v>
      </c>
      <c r="AN82" s="51" t="s">
        <v>285</v>
      </c>
      <c r="AO82" s="51" t="s">
        <v>285</v>
      </c>
      <c r="AP82" s="51" t="s">
        <v>285</v>
      </c>
      <c r="AQ82" s="51" t="s">
        <v>285</v>
      </c>
      <c r="AR82" s="51" t="s">
        <v>285</v>
      </c>
      <c r="AS82" s="436" t="s">
        <v>285</v>
      </c>
      <c r="AT82" s="436" t="s">
        <v>285</v>
      </c>
      <c r="AU82" s="436" t="s">
        <v>285</v>
      </c>
      <c r="AV82" s="51">
        <f t="shared" si="15"/>
        <v>75</v>
      </c>
      <c r="AW82" s="293">
        <v>45292</v>
      </c>
      <c r="AX82" s="293">
        <v>45657</v>
      </c>
      <c r="AY82" s="402" t="s">
        <v>1507</v>
      </c>
    </row>
    <row r="83" spans="1:51" ht="58.5" customHeight="1" x14ac:dyDescent="0.25">
      <c r="A83" s="410">
        <v>1</v>
      </c>
      <c r="B83" s="401" t="s">
        <v>315</v>
      </c>
      <c r="C83" s="412">
        <v>41</v>
      </c>
      <c r="D83" s="411" t="s">
        <v>1525</v>
      </c>
      <c r="E83" s="412">
        <v>4104</v>
      </c>
      <c r="F83" s="411" t="s">
        <v>1660</v>
      </c>
      <c r="G83" s="412">
        <v>4104015</v>
      </c>
      <c r="H83" s="411" t="s">
        <v>1702</v>
      </c>
      <c r="I83" s="412">
        <v>4104015</v>
      </c>
      <c r="J83" s="411" t="s">
        <v>1703</v>
      </c>
      <c r="K83" s="412">
        <v>410401500</v>
      </c>
      <c r="L83" s="411" t="s">
        <v>1704</v>
      </c>
      <c r="M83" s="412">
        <v>410401500</v>
      </c>
      <c r="N83" s="411" t="s">
        <v>1705</v>
      </c>
      <c r="O83" s="412">
        <v>7500</v>
      </c>
      <c r="P83" s="412" t="s">
        <v>285</v>
      </c>
      <c r="Q83" s="403">
        <f t="shared" si="11"/>
        <v>7500</v>
      </c>
      <c r="R83" s="420">
        <v>2020003630109</v>
      </c>
      <c r="S83" s="411" t="s">
        <v>1706</v>
      </c>
      <c r="T83" s="416">
        <f t="shared" si="14"/>
        <v>2.6461289263260364E-2</v>
      </c>
      <c r="U83" s="411" t="s">
        <v>1707</v>
      </c>
      <c r="V83" s="411" t="s">
        <v>1708</v>
      </c>
      <c r="W83" s="411" t="s">
        <v>1715</v>
      </c>
      <c r="X83" s="417">
        <f>14000000+3575038.4</f>
        <v>17575038.399999999</v>
      </c>
      <c r="Y83" s="417">
        <f>13800000</f>
        <v>13800000</v>
      </c>
      <c r="Z83" s="417"/>
      <c r="AA83" s="417"/>
      <c r="AB83" s="422">
        <f t="shared" si="8"/>
        <v>3775038.3999999985</v>
      </c>
      <c r="AC83" s="435" t="s">
        <v>1710</v>
      </c>
      <c r="AD83" s="415"/>
      <c r="AE83" s="408">
        <v>20</v>
      </c>
      <c r="AF83" s="409" t="s">
        <v>132</v>
      </c>
      <c r="AG83" s="51">
        <v>35</v>
      </c>
      <c r="AH83" s="51">
        <v>40</v>
      </c>
      <c r="AI83" s="51" t="s">
        <v>1506</v>
      </c>
      <c r="AJ83" s="51" t="s">
        <v>1506</v>
      </c>
      <c r="AK83" s="51" t="s">
        <v>1506</v>
      </c>
      <c r="AL83" s="51">
        <v>75</v>
      </c>
      <c r="AM83" s="51" t="s">
        <v>285</v>
      </c>
      <c r="AN83" s="51" t="s">
        <v>285</v>
      </c>
      <c r="AO83" s="51" t="s">
        <v>285</v>
      </c>
      <c r="AP83" s="51" t="s">
        <v>285</v>
      </c>
      <c r="AQ83" s="51" t="s">
        <v>285</v>
      </c>
      <c r="AR83" s="51" t="s">
        <v>285</v>
      </c>
      <c r="AS83" s="436" t="s">
        <v>285</v>
      </c>
      <c r="AT83" s="436" t="s">
        <v>285</v>
      </c>
      <c r="AU83" s="436" t="s">
        <v>285</v>
      </c>
      <c r="AV83" s="51">
        <f t="shared" si="15"/>
        <v>75</v>
      </c>
      <c r="AW83" s="293">
        <v>45292</v>
      </c>
      <c r="AX83" s="293">
        <v>45657</v>
      </c>
      <c r="AY83" s="402" t="s">
        <v>1507</v>
      </c>
    </row>
    <row r="84" spans="1:51" ht="58.5" customHeight="1" x14ac:dyDescent="0.25">
      <c r="A84" s="410">
        <v>1</v>
      </c>
      <c r="B84" s="401" t="s">
        <v>315</v>
      </c>
      <c r="C84" s="412">
        <v>41</v>
      </c>
      <c r="D84" s="411" t="s">
        <v>1525</v>
      </c>
      <c r="E84" s="412">
        <v>4104</v>
      </c>
      <c r="F84" s="411" t="s">
        <v>1660</v>
      </c>
      <c r="G84" s="412">
        <v>4104015</v>
      </c>
      <c r="H84" s="411" t="s">
        <v>1702</v>
      </c>
      <c r="I84" s="412">
        <v>4104015</v>
      </c>
      <c r="J84" s="411" t="s">
        <v>1703</v>
      </c>
      <c r="K84" s="412">
        <v>410401500</v>
      </c>
      <c r="L84" s="411" t="s">
        <v>1704</v>
      </c>
      <c r="M84" s="412">
        <v>410401500</v>
      </c>
      <c r="N84" s="411" t="s">
        <v>1705</v>
      </c>
      <c r="O84" s="412">
        <v>7500</v>
      </c>
      <c r="P84" s="412" t="s">
        <v>285</v>
      </c>
      <c r="Q84" s="403">
        <f t="shared" si="11"/>
        <v>7500</v>
      </c>
      <c r="R84" s="420">
        <v>2020003630109</v>
      </c>
      <c r="S84" s="411" t="s">
        <v>1706</v>
      </c>
      <c r="T84" s="416">
        <f t="shared" si="14"/>
        <v>2.6461289263260364E-2</v>
      </c>
      <c r="U84" s="411" t="s">
        <v>1707</v>
      </c>
      <c r="V84" s="411" t="s">
        <v>1708</v>
      </c>
      <c r="W84" s="411" t="s">
        <v>1716</v>
      </c>
      <c r="X84" s="417">
        <v>6000000</v>
      </c>
      <c r="Y84" s="417">
        <v>3000000</v>
      </c>
      <c r="Z84" s="417"/>
      <c r="AA84" s="417"/>
      <c r="AB84" s="422">
        <f t="shared" si="8"/>
        <v>3000000</v>
      </c>
      <c r="AC84" s="435" t="s">
        <v>1710</v>
      </c>
      <c r="AD84" s="415"/>
      <c r="AE84" s="408">
        <v>20</v>
      </c>
      <c r="AF84" s="409" t="s">
        <v>132</v>
      </c>
      <c r="AG84" s="51">
        <v>35</v>
      </c>
      <c r="AH84" s="51">
        <v>40</v>
      </c>
      <c r="AI84" s="51" t="s">
        <v>1506</v>
      </c>
      <c r="AJ84" s="51" t="s">
        <v>1506</v>
      </c>
      <c r="AK84" s="51" t="s">
        <v>1506</v>
      </c>
      <c r="AL84" s="51">
        <v>75</v>
      </c>
      <c r="AM84" s="51" t="s">
        <v>285</v>
      </c>
      <c r="AN84" s="51" t="s">
        <v>285</v>
      </c>
      <c r="AO84" s="51" t="s">
        <v>285</v>
      </c>
      <c r="AP84" s="51" t="s">
        <v>285</v>
      </c>
      <c r="AQ84" s="51" t="s">
        <v>285</v>
      </c>
      <c r="AR84" s="51" t="s">
        <v>285</v>
      </c>
      <c r="AS84" s="436" t="s">
        <v>285</v>
      </c>
      <c r="AT84" s="436" t="s">
        <v>285</v>
      </c>
      <c r="AU84" s="436" t="s">
        <v>285</v>
      </c>
      <c r="AV84" s="51">
        <f t="shared" si="15"/>
        <v>75</v>
      </c>
      <c r="AW84" s="293">
        <v>45292</v>
      </c>
      <c r="AX84" s="293">
        <v>45657</v>
      </c>
      <c r="AY84" s="402" t="s">
        <v>1507</v>
      </c>
    </row>
    <row r="85" spans="1:51" ht="84" customHeight="1" x14ac:dyDescent="0.25">
      <c r="A85" s="410">
        <v>1</v>
      </c>
      <c r="B85" s="401" t="s">
        <v>315</v>
      </c>
      <c r="C85" s="412">
        <v>41</v>
      </c>
      <c r="D85" s="411" t="s">
        <v>1526</v>
      </c>
      <c r="E85" s="412">
        <v>4104</v>
      </c>
      <c r="F85" s="411" t="s">
        <v>1660</v>
      </c>
      <c r="G85" s="412">
        <v>4104015</v>
      </c>
      <c r="H85" s="411" t="s">
        <v>1702</v>
      </c>
      <c r="I85" s="412">
        <v>4104015</v>
      </c>
      <c r="J85" s="411" t="s">
        <v>1703</v>
      </c>
      <c r="K85" s="412">
        <v>410401500</v>
      </c>
      <c r="L85" s="411" t="s">
        <v>1704</v>
      </c>
      <c r="M85" s="412">
        <v>410401500</v>
      </c>
      <c r="N85" s="411" t="s">
        <v>1705</v>
      </c>
      <c r="O85" s="412">
        <v>7500</v>
      </c>
      <c r="P85" s="412" t="s">
        <v>285</v>
      </c>
      <c r="Q85" s="403">
        <f t="shared" si="11"/>
        <v>7500</v>
      </c>
      <c r="R85" s="420">
        <v>2020003630109</v>
      </c>
      <c r="S85" s="411" t="s">
        <v>1706</v>
      </c>
      <c r="T85" s="416">
        <f t="shared" si="14"/>
        <v>2.6461289263260364E-2</v>
      </c>
      <c r="U85" s="411" t="s">
        <v>1707</v>
      </c>
      <c r="V85" s="411" t="s">
        <v>1708</v>
      </c>
      <c r="W85" s="411" t="s">
        <v>1568</v>
      </c>
      <c r="X85" s="417">
        <v>2000000</v>
      </c>
      <c r="Y85" s="417"/>
      <c r="Z85" s="417"/>
      <c r="AA85" s="417"/>
      <c r="AB85" s="422">
        <f t="shared" si="8"/>
        <v>2000000</v>
      </c>
      <c r="AC85" s="406" t="s">
        <v>1717</v>
      </c>
      <c r="AD85" s="409"/>
      <c r="AE85" s="408">
        <v>20</v>
      </c>
      <c r="AF85" s="409" t="s">
        <v>132</v>
      </c>
      <c r="AG85" s="51">
        <v>35</v>
      </c>
      <c r="AH85" s="51">
        <v>40</v>
      </c>
      <c r="AI85" s="51" t="s">
        <v>1506</v>
      </c>
      <c r="AJ85" s="51" t="s">
        <v>1506</v>
      </c>
      <c r="AK85" s="51" t="s">
        <v>1506</v>
      </c>
      <c r="AL85" s="51">
        <v>75</v>
      </c>
      <c r="AM85" s="51" t="s">
        <v>285</v>
      </c>
      <c r="AN85" s="51" t="s">
        <v>285</v>
      </c>
      <c r="AO85" s="51" t="s">
        <v>285</v>
      </c>
      <c r="AP85" s="51" t="s">
        <v>285</v>
      </c>
      <c r="AQ85" s="51" t="s">
        <v>285</v>
      </c>
      <c r="AR85" s="51" t="s">
        <v>285</v>
      </c>
      <c r="AS85" s="436" t="s">
        <v>285</v>
      </c>
      <c r="AT85" s="436" t="s">
        <v>285</v>
      </c>
      <c r="AU85" s="436" t="s">
        <v>285</v>
      </c>
      <c r="AV85" s="51">
        <f t="shared" si="15"/>
        <v>75</v>
      </c>
      <c r="AW85" s="293">
        <v>45292</v>
      </c>
      <c r="AX85" s="293">
        <v>45657</v>
      </c>
      <c r="AY85" s="402" t="s">
        <v>1507</v>
      </c>
    </row>
    <row r="86" spans="1:51" s="444" customFormat="1" ht="71.25" customHeight="1" x14ac:dyDescent="0.25">
      <c r="A86" s="437">
        <v>1</v>
      </c>
      <c r="B86" s="401" t="s">
        <v>315</v>
      </c>
      <c r="C86" s="439">
        <v>41</v>
      </c>
      <c r="D86" s="438" t="s">
        <v>1526</v>
      </c>
      <c r="E86" s="439">
        <v>4104</v>
      </c>
      <c r="F86" s="438" t="s">
        <v>1660</v>
      </c>
      <c r="G86" s="439" t="s">
        <v>70</v>
      </c>
      <c r="H86" s="438" t="s">
        <v>1718</v>
      </c>
      <c r="I86" s="439">
        <v>4104008</v>
      </c>
      <c r="J86" s="438" t="s">
        <v>1719</v>
      </c>
      <c r="K86" s="439" t="s">
        <v>70</v>
      </c>
      <c r="L86" s="438" t="s">
        <v>1720</v>
      </c>
      <c r="M86" s="439">
        <v>410400800</v>
      </c>
      <c r="N86" s="438" t="s">
        <v>1721</v>
      </c>
      <c r="O86" s="439">
        <v>12</v>
      </c>
      <c r="P86" s="439" t="s">
        <v>285</v>
      </c>
      <c r="Q86" s="440">
        <f t="shared" si="11"/>
        <v>12</v>
      </c>
      <c r="R86" s="441">
        <v>2020003630109</v>
      </c>
      <c r="S86" s="438" t="s">
        <v>1706</v>
      </c>
      <c r="T86" s="447">
        <f t="shared" ref="T86:T105" si="16">SUM($X$86:$X$105)/SUM($X$78:$X$105)</f>
        <v>0.97353871073673959</v>
      </c>
      <c r="U86" s="438" t="s">
        <v>1707</v>
      </c>
      <c r="V86" s="438" t="s">
        <v>1708</v>
      </c>
      <c r="W86" s="438" t="s">
        <v>1722</v>
      </c>
      <c r="X86" s="417">
        <v>587738707.55999994</v>
      </c>
      <c r="Y86" s="417"/>
      <c r="Z86" s="417"/>
      <c r="AA86" s="417"/>
      <c r="AB86" s="422">
        <f t="shared" si="8"/>
        <v>587738707.55999994</v>
      </c>
      <c r="AC86" s="280" t="s">
        <v>1723</v>
      </c>
      <c r="AD86" s="415"/>
      <c r="AE86" s="442" t="s">
        <v>1724</v>
      </c>
      <c r="AF86" s="409" t="s">
        <v>1725</v>
      </c>
      <c r="AG86" s="418">
        <f>7500/2</f>
        <v>3750</v>
      </c>
      <c r="AH86" s="418">
        <v>3750</v>
      </c>
      <c r="AI86" s="418"/>
      <c r="AJ86" s="418"/>
      <c r="AK86" s="418"/>
      <c r="AL86" s="418">
        <v>7500</v>
      </c>
      <c r="AM86" s="418"/>
      <c r="AN86" s="418"/>
      <c r="AO86" s="418"/>
      <c r="AP86" s="418"/>
      <c r="AQ86" s="418"/>
      <c r="AR86" s="418"/>
      <c r="AS86" s="443"/>
      <c r="AT86" s="443"/>
      <c r="AU86" s="443"/>
      <c r="AV86" s="51">
        <f t="shared" si="15"/>
        <v>7500</v>
      </c>
      <c r="AW86" s="293">
        <v>45292</v>
      </c>
      <c r="AX86" s="293">
        <v>45657</v>
      </c>
      <c r="AY86" s="402" t="s">
        <v>1507</v>
      </c>
    </row>
    <row r="87" spans="1:51" ht="71.25" customHeight="1" x14ac:dyDescent="0.25">
      <c r="A87" s="410">
        <v>1</v>
      </c>
      <c r="B87" s="401" t="s">
        <v>315</v>
      </c>
      <c r="C87" s="412">
        <v>41</v>
      </c>
      <c r="D87" s="411" t="s">
        <v>1526</v>
      </c>
      <c r="E87" s="412">
        <v>4104</v>
      </c>
      <c r="F87" s="411" t="s">
        <v>1660</v>
      </c>
      <c r="G87" s="412" t="s">
        <v>70</v>
      </c>
      <c r="H87" s="411" t="s">
        <v>1718</v>
      </c>
      <c r="I87" s="412">
        <v>4104008</v>
      </c>
      <c r="J87" s="411" t="s">
        <v>1719</v>
      </c>
      <c r="K87" s="412" t="s">
        <v>70</v>
      </c>
      <c r="L87" s="411" t="s">
        <v>1720</v>
      </c>
      <c r="M87" s="412">
        <v>410400800</v>
      </c>
      <c r="N87" s="411" t="s">
        <v>1721</v>
      </c>
      <c r="O87" s="412">
        <v>12</v>
      </c>
      <c r="P87" s="412" t="s">
        <v>285</v>
      </c>
      <c r="Q87" s="403">
        <f t="shared" si="11"/>
        <v>12</v>
      </c>
      <c r="R87" s="420">
        <v>2020003630109</v>
      </c>
      <c r="S87" s="411" t="s">
        <v>1706</v>
      </c>
      <c r="T87" s="416">
        <f t="shared" si="16"/>
        <v>0.97353871073673959</v>
      </c>
      <c r="U87" s="411" t="s">
        <v>1707</v>
      </c>
      <c r="V87" s="411" t="s">
        <v>1708</v>
      </c>
      <c r="W87" s="411" t="s">
        <v>1722</v>
      </c>
      <c r="X87" s="417">
        <v>51954802.880000003</v>
      </c>
      <c r="Y87" s="417"/>
      <c r="Z87" s="417"/>
      <c r="AA87" s="417"/>
      <c r="AB87" s="422">
        <f t="shared" si="8"/>
        <v>51954802.880000003</v>
      </c>
      <c r="AC87" s="319" t="s">
        <v>1726</v>
      </c>
      <c r="AD87" s="415"/>
      <c r="AE87" s="442" t="s">
        <v>1724</v>
      </c>
      <c r="AF87" s="409" t="s">
        <v>1725</v>
      </c>
      <c r="AG87" s="418">
        <f t="shared" ref="AG87:AG105" si="17">7500/2</f>
        <v>3750</v>
      </c>
      <c r="AH87" s="418">
        <v>3750</v>
      </c>
      <c r="AI87" s="418"/>
      <c r="AJ87" s="418"/>
      <c r="AK87" s="418"/>
      <c r="AL87" s="418">
        <v>7500</v>
      </c>
      <c r="AM87" s="418"/>
      <c r="AN87" s="418"/>
      <c r="AO87" s="418"/>
      <c r="AP87" s="418"/>
      <c r="AQ87" s="418"/>
      <c r="AR87" s="418"/>
      <c r="AS87" s="443"/>
      <c r="AT87" s="443"/>
      <c r="AU87" s="443"/>
      <c r="AV87" s="51">
        <f t="shared" si="15"/>
        <v>7500</v>
      </c>
      <c r="AW87" s="293">
        <v>45292</v>
      </c>
      <c r="AX87" s="293">
        <v>45657</v>
      </c>
      <c r="AY87" s="402" t="s">
        <v>1507</v>
      </c>
    </row>
    <row r="88" spans="1:51" ht="71.25" customHeight="1" x14ac:dyDescent="0.25">
      <c r="A88" s="410">
        <v>1</v>
      </c>
      <c r="B88" s="401" t="s">
        <v>315</v>
      </c>
      <c r="C88" s="412">
        <v>41</v>
      </c>
      <c r="D88" s="411" t="s">
        <v>1526</v>
      </c>
      <c r="E88" s="412">
        <v>4104</v>
      </c>
      <c r="F88" s="411" t="s">
        <v>1660</v>
      </c>
      <c r="G88" s="412" t="s">
        <v>70</v>
      </c>
      <c r="H88" s="411" t="s">
        <v>1718</v>
      </c>
      <c r="I88" s="412">
        <v>4104008</v>
      </c>
      <c r="J88" s="411" t="s">
        <v>1719</v>
      </c>
      <c r="K88" s="412" t="s">
        <v>70</v>
      </c>
      <c r="L88" s="411" t="s">
        <v>1720</v>
      </c>
      <c r="M88" s="412">
        <v>410400800</v>
      </c>
      <c r="N88" s="411" t="s">
        <v>1721</v>
      </c>
      <c r="O88" s="412">
        <v>12</v>
      </c>
      <c r="P88" s="412" t="s">
        <v>285</v>
      </c>
      <c r="Q88" s="403">
        <f t="shared" si="11"/>
        <v>12</v>
      </c>
      <c r="R88" s="420">
        <v>2020003630109</v>
      </c>
      <c r="S88" s="411" t="s">
        <v>1706</v>
      </c>
      <c r="T88" s="416">
        <f t="shared" si="16"/>
        <v>0.97353871073673959</v>
      </c>
      <c r="U88" s="411" t="s">
        <v>1707</v>
      </c>
      <c r="V88" s="411" t="s">
        <v>1708</v>
      </c>
      <c r="W88" s="411" t="s">
        <v>1722</v>
      </c>
      <c r="X88" s="417">
        <v>207819211.5</v>
      </c>
      <c r="Y88" s="417"/>
      <c r="Z88" s="417"/>
      <c r="AA88" s="417"/>
      <c r="AB88" s="422">
        <f t="shared" si="8"/>
        <v>207819211.5</v>
      </c>
      <c r="AC88" s="280" t="s">
        <v>1727</v>
      </c>
      <c r="AD88" s="415"/>
      <c r="AE88" s="442" t="s">
        <v>1724</v>
      </c>
      <c r="AF88" s="409" t="s">
        <v>1725</v>
      </c>
      <c r="AG88" s="418">
        <f t="shared" si="17"/>
        <v>3750</v>
      </c>
      <c r="AH88" s="418">
        <v>3750</v>
      </c>
      <c r="AI88" s="418"/>
      <c r="AJ88" s="418"/>
      <c r="AK88" s="418"/>
      <c r="AL88" s="418">
        <v>7500</v>
      </c>
      <c r="AM88" s="418"/>
      <c r="AN88" s="418"/>
      <c r="AO88" s="418"/>
      <c r="AP88" s="418"/>
      <c r="AQ88" s="418"/>
      <c r="AR88" s="418"/>
      <c r="AS88" s="443"/>
      <c r="AT88" s="443"/>
      <c r="AU88" s="443"/>
      <c r="AV88" s="51">
        <f t="shared" si="15"/>
        <v>7500</v>
      </c>
      <c r="AW88" s="293">
        <v>45292</v>
      </c>
      <c r="AX88" s="293">
        <v>45657</v>
      </c>
      <c r="AY88" s="402" t="s">
        <v>1507</v>
      </c>
    </row>
    <row r="89" spans="1:51" ht="71.25" customHeight="1" x14ac:dyDescent="0.25">
      <c r="A89" s="410">
        <v>1</v>
      </c>
      <c r="B89" s="401" t="s">
        <v>315</v>
      </c>
      <c r="C89" s="412">
        <v>41</v>
      </c>
      <c r="D89" s="411" t="s">
        <v>1526</v>
      </c>
      <c r="E89" s="412">
        <v>4104</v>
      </c>
      <c r="F89" s="411" t="s">
        <v>1660</v>
      </c>
      <c r="G89" s="412" t="s">
        <v>70</v>
      </c>
      <c r="H89" s="411" t="s">
        <v>1718</v>
      </c>
      <c r="I89" s="412">
        <v>4104008</v>
      </c>
      <c r="J89" s="411" t="s">
        <v>1719</v>
      </c>
      <c r="K89" s="412" t="s">
        <v>70</v>
      </c>
      <c r="L89" s="411" t="s">
        <v>1720</v>
      </c>
      <c r="M89" s="412">
        <v>410400800</v>
      </c>
      <c r="N89" s="411" t="s">
        <v>1721</v>
      </c>
      <c r="O89" s="412">
        <v>12</v>
      </c>
      <c r="P89" s="412" t="s">
        <v>285</v>
      </c>
      <c r="Q89" s="403">
        <f t="shared" si="11"/>
        <v>12</v>
      </c>
      <c r="R89" s="420">
        <v>2020003630109</v>
      </c>
      <c r="S89" s="411" t="s">
        <v>1706</v>
      </c>
      <c r="T89" s="416">
        <f t="shared" si="16"/>
        <v>0.97353871073673959</v>
      </c>
      <c r="U89" s="411" t="s">
        <v>1707</v>
      </c>
      <c r="V89" s="411" t="s">
        <v>1708</v>
      </c>
      <c r="W89" s="411" t="s">
        <v>1722</v>
      </c>
      <c r="X89" s="417">
        <v>58449153.240000002</v>
      </c>
      <c r="Y89" s="417"/>
      <c r="Z89" s="417"/>
      <c r="AA89" s="417"/>
      <c r="AB89" s="422">
        <f t="shared" si="8"/>
        <v>58449153.240000002</v>
      </c>
      <c r="AC89" s="280" t="s">
        <v>1728</v>
      </c>
      <c r="AD89" s="415"/>
      <c r="AE89" s="442" t="s">
        <v>1724</v>
      </c>
      <c r="AF89" s="409" t="s">
        <v>1725</v>
      </c>
      <c r="AG89" s="418">
        <f t="shared" si="17"/>
        <v>3750</v>
      </c>
      <c r="AH89" s="418">
        <v>3750</v>
      </c>
      <c r="AI89" s="418"/>
      <c r="AJ89" s="418"/>
      <c r="AK89" s="418"/>
      <c r="AL89" s="418">
        <v>7500</v>
      </c>
      <c r="AM89" s="418"/>
      <c r="AN89" s="418"/>
      <c r="AO89" s="418"/>
      <c r="AP89" s="418"/>
      <c r="AQ89" s="418"/>
      <c r="AR89" s="418"/>
      <c r="AS89" s="443"/>
      <c r="AT89" s="443"/>
      <c r="AU89" s="443"/>
      <c r="AV89" s="51">
        <f t="shared" si="15"/>
        <v>7500</v>
      </c>
      <c r="AW89" s="293">
        <v>45292</v>
      </c>
      <c r="AX89" s="293">
        <v>45657</v>
      </c>
      <c r="AY89" s="402" t="s">
        <v>1507</v>
      </c>
    </row>
    <row r="90" spans="1:51" ht="71.25" customHeight="1" x14ac:dyDescent="0.25">
      <c r="A90" s="410">
        <v>1</v>
      </c>
      <c r="B90" s="401" t="s">
        <v>315</v>
      </c>
      <c r="C90" s="412">
        <v>41</v>
      </c>
      <c r="D90" s="411" t="s">
        <v>1526</v>
      </c>
      <c r="E90" s="412">
        <v>4104</v>
      </c>
      <c r="F90" s="411" t="s">
        <v>1660</v>
      </c>
      <c r="G90" s="412" t="s">
        <v>70</v>
      </c>
      <c r="H90" s="411" t="s">
        <v>1718</v>
      </c>
      <c r="I90" s="412">
        <v>4104008</v>
      </c>
      <c r="J90" s="411" t="s">
        <v>1719</v>
      </c>
      <c r="K90" s="412" t="s">
        <v>70</v>
      </c>
      <c r="L90" s="411" t="s">
        <v>1720</v>
      </c>
      <c r="M90" s="412">
        <v>410400800</v>
      </c>
      <c r="N90" s="411" t="s">
        <v>1721</v>
      </c>
      <c r="O90" s="412">
        <v>12</v>
      </c>
      <c r="P90" s="412" t="s">
        <v>285</v>
      </c>
      <c r="Q90" s="403">
        <f t="shared" si="11"/>
        <v>12</v>
      </c>
      <c r="R90" s="420">
        <v>2020003630109</v>
      </c>
      <c r="S90" s="411" t="s">
        <v>1706</v>
      </c>
      <c r="T90" s="416">
        <f t="shared" si="16"/>
        <v>0.97353871073673959</v>
      </c>
      <c r="U90" s="411" t="s">
        <v>1707</v>
      </c>
      <c r="V90" s="411" t="s">
        <v>1708</v>
      </c>
      <c r="W90" s="411" t="s">
        <v>1722</v>
      </c>
      <c r="X90" s="417">
        <v>51954802.880000003</v>
      </c>
      <c r="Y90" s="417"/>
      <c r="Z90" s="417"/>
      <c r="AA90" s="417"/>
      <c r="AB90" s="422">
        <f t="shared" si="8"/>
        <v>51954802.880000003</v>
      </c>
      <c r="AC90" s="280" t="s">
        <v>1729</v>
      </c>
      <c r="AD90" s="415"/>
      <c r="AE90" s="442" t="s">
        <v>1724</v>
      </c>
      <c r="AF90" s="409" t="s">
        <v>1725</v>
      </c>
      <c r="AG90" s="418">
        <f t="shared" si="17"/>
        <v>3750</v>
      </c>
      <c r="AH90" s="418">
        <v>3750</v>
      </c>
      <c r="AI90" s="418"/>
      <c r="AJ90" s="418"/>
      <c r="AK90" s="418"/>
      <c r="AL90" s="418">
        <v>7500</v>
      </c>
      <c r="AM90" s="418"/>
      <c r="AN90" s="418"/>
      <c r="AO90" s="418"/>
      <c r="AP90" s="418"/>
      <c r="AQ90" s="418"/>
      <c r="AR90" s="418"/>
      <c r="AS90" s="443"/>
      <c r="AT90" s="443"/>
      <c r="AU90" s="443"/>
      <c r="AV90" s="51">
        <f t="shared" si="15"/>
        <v>7500</v>
      </c>
      <c r="AW90" s="293">
        <v>45292</v>
      </c>
      <c r="AX90" s="293">
        <v>45657</v>
      </c>
      <c r="AY90" s="402" t="s">
        <v>1507</v>
      </c>
    </row>
    <row r="91" spans="1:51" ht="71.25" customHeight="1" x14ac:dyDescent="0.25">
      <c r="A91" s="410">
        <v>1</v>
      </c>
      <c r="B91" s="401" t="s">
        <v>315</v>
      </c>
      <c r="C91" s="412">
        <v>41</v>
      </c>
      <c r="D91" s="411" t="s">
        <v>1526</v>
      </c>
      <c r="E91" s="412">
        <v>4104</v>
      </c>
      <c r="F91" s="411" t="s">
        <v>1660</v>
      </c>
      <c r="G91" s="412" t="s">
        <v>70</v>
      </c>
      <c r="H91" s="411" t="s">
        <v>1718</v>
      </c>
      <c r="I91" s="412">
        <v>4104008</v>
      </c>
      <c r="J91" s="411" t="s">
        <v>1719</v>
      </c>
      <c r="K91" s="412" t="s">
        <v>70</v>
      </c>
      <c r="L91" s="411" t="s">
        <v>1720</v>
      </c>
      <c r="M91" s="412">
        <v>410400800</v>
      </c>
      <c r="N91" s="411" t="s">
        <v>1721</v>
      </c>
      <c r="O91" s="412">
        <v>12</v>
      </c>
      <c r="P91" s="412" t="s">
        <v>285</v>
      </c>
      <c r="Q91" s="403">
        <f t="shared" si="11"/>
        <v>12</v>
      </c>
      <c r="R91" s="420">
        <v>2020003630109</v>
      </c>
      <c r="S91" s="411" t="s">
        <v>1706</v>
      </c>
      <c r="T91" s="416">
        <f t="shared" si="16"/>
        <v>0.97353871073673959</v>
      </c>
      <c r="U91" s="411" t="s">
        <v>1707</v>
      </c>
      <c r="V91" s="411" t="s">
        <v>1708</v>
      </c>
      <c r="W91" s="411" t="s">
        <v>1722</v>
      </c>
      <c r="X91" s="417">
        <v>126639832.01000001</v>
      </c>
      <c r="Y91" s="417"/>
      <c r="Z91" s="417"/>
      <c r="AA91" s="417"/>
      <c r="AB91" s="422">
        <f t="shared" si="8"/>
        <v>126639832.01000001</v>
      </c>
      <c r="AC91" s="280" t="s">
        <v>1730</v>
      </c>
      <c r="AD91" s="415"/>
      <c r="AE91" s="442" t="s">
        <v>1724</v>
      </c>
      <c r="AF91" s="409" t="s">
        <v>1725</v>
      </c>
      <c r="AG91" s="418">
        <f t="shared" si="17"/>
        <v>3750</v>
      </c>
      <c r="AH91" s="418">
        <v>3750</v>
      </c>
      <c r="AI91" s="418"/>
      <c r="AJ91" s="418"/>
      <c r="AK91" s="418"/>
      <c r="AL91" s="418">
        <v>7500</v>
      </c>
      <c r="AM91" s="418"/>
      <c r="AN91" s="418"/>
      <c r="AO91" s="418"/>
      <c r="AP91" s="418"/>
      <c r="AQ91" s="418"/>
      <c r="AR91" s="418"/>
      <c r="AS91" s="443"/>
      <c r="AT91" s="443"/>
      <c r="AU91" s="443"/>
      <c r="AV91" s="51">
        <f t="shared" si="15"/>
        <v>7500</v>
      </c>
      <c r="AW91" s="293">
        <v>45292</v>
      </c>
      <c r="AX91" s="293">
        <v>45657</v>
      </c>
      <c r="AY91" s="402" t="s">
        <v>1507</v>
      </c>
    </row>
    <row r="92" spans="1:51" ht="71.25" customHeight="1" x14ac:dyDescent="0.25">
      <c r="A92" s="410">
        <v>1</v>
      </c>
      <c r="B92" s="401" t="s">
        <v>315</v>
      </c>
      <c r="C92" s="412">
        <v>41</v>
      </c>
      <c r="D92" s="411" t="s">
        <v>1526</v>
      </c>
      <c r="E92" s="412">
        <v>4104</v>
      </c>
      <c r="F92" s="411" t="s">
        <v>1660</v>
      </c>
      <c r="G92" s="412" t="s">
        <v>70</v>
      </c>
      <c r="H92" s="411" t="s">
        <v>1718</v>
      </c>
      <c r="I92" s="412">
        <v>4104008</v>
      </c>
      <c r="J92" s="411" t="s">
        <v>1719</v>
      </c>
      <c r="K92" s="412" t="s">
        <v>70</v>
      </c>
      <c r="L92" s="411" t="s">
        <v>1720</v>
      </c>
      <c r="M92" s="412">
        <v>410400800</v>
      </c>
      <c r="N92" s="411" t="s">
        <v>1721</v>
      </c>
      <c r="O92" s="412">
        <v>12</v>
      </c>
      <c r="P92" s="412" t="s">
        <v>285</v>
      </c>
      <c r="Q92" s="403">
        <f t="shared" si="11"/>
        <v>12</v>
      </c>
      <c r="R92" s="420">
        <v>2020003630109</v>
      </c>
      <c r="S92" s="411" t="s">
        <v>1706</v>
      </c>
      <c r="T92" s="416">
        <f t="shared" si="16"/>
        <v>0.97353871073673959</v>
      </c>
      <c r="U92" s="411" t="s">
        <v>1707</v>
      </c>
      <c r="V92" s="411" t="s">
        <v>1708</v>
      </c>
      <c r="W92" s="411" t="s">
        <v>1722</v>
      </c>
      <c r="X92" s="417">
        <v>48707627.700000003</v>
      </c>
      <c r="Y92" s="417"/>
      <c r="Z92" s="417"/>
      <c r="AA92" s="417"/>
      <c r="AB92" s="422">
        <f t="shared" si="8"/>
        <v>48707627.700000003</v>
      </c>
      <c r="AC92" s="280" t="s">
        <v>1731</v>
      </c>
      <c r="AD92" s="415"/>
      <c r="AE92" s="442" t="s">
        <v>1724</v>
      </c>
      <c r="AF92" s="409" t="s">
        <v>1725</v>
      </c>
      <c r="AG92" s="418">
        <f t="shared" si="17"/>
        <v>3750</v>
      </c>
      <c r="AH92" s="418">
        <v>3750</v>
      </c>
      <c r="AI92" s="418"/>
      <c r="AJ92" s="418"/>
      <c r="AK92" s="418"/>
      <c r="AL92" s="418">
        <v>7500</v>
      </c>
      <c r="AM92" s="418"/>
      <c r="AN92" s="418"/>
      <c r="AO92" s="418"/>
      <c r="AP92" s="418"/>
      <c r="AQ92" s="418"/>
      <c r="AR92" s="418"/>
      <c r="AS92" s="443"/>
      <c r="AT92" s="443"/>
      <c r="AU92" s="443"/>
      <c r="AV92" s="51">
        <f t="shared" si="15"/>
        <v>7500</v>
      </c>
      <c r="AW92" s="293">
        <v>45292</v>
      </c>
      <c r="AX92" s="293">
        <v>45657</v>
      </c>
      <c r="AY92" s="402" t="s">
        <v>1507</v>
      </c>
    </row>
    <row r="93" spans="1:51" ht="71.25" customHeight="1" x14ac:dyDescent="0.25">
      <c r="A93" s="410">
        <v>1</v>
      </c>
      <c r="B93" s="401" t="s">
        <v>315</v>
      </c>
      <c r="C93" s="412">
        <v>41</v>
      </c>
      <c r="D93" s="411" t="s">
        <v>1526</v>
      </c>
      <c r="E93" s="412">
        <v>4104</v>
      </c>
      <c r="F93" s="411" t="s">
        <v>1660</v>
      </c>
      <c r="G93" s="412" t="s">
        <v>70</v>
      </c>
      <c r="H93" s="411" t="s">
        <v>1718</v>
      </c>
      <c r="I93" s="412">
        <v>4104008</v>
      </c>
      <c r="J93" s="411" t="s">
        <v>1719</v>
      </c>
      <c r="K93" s="412" t="s">
        <v>70</v>
      </c>
      <c r="L93" s="411" t="s">
        <v>1720</v>
      </c>
      <c r="M93" s="412">
        <v>410400800</v>
      </c>
      <c r="N93" s="411" t="s">
        <v>1721</v>
      </c>
      <c r="O93" s="412">
        <v>12</v>
      </c>
      <c r="P93" s="412" t="s">
        <v>285</v>
      </c>
      <c r="Q93" s="403">
        <f t="shared" si="11"/>
        <v>12</v>
      </c>
      <c r="R93" s="420">
        <v>2020003630109</v>
      </c>
      <c r="S93" s="411" t="s">
        <v>1706</v>
      </c>
      <c r="T93" s="416">
        <f t="shared" si="16"/>
        <v>0.97353871073673959</v>
      </c>
      <c r="U93" s="411" t="s">
        <v>1707</v>
      </c>
      <c r="V93" s="411" t="s">
        <v>1708</v>
      </c>
      <c r="W93" s="411" t="s">
        <v>1722</v>
      </c>
      <c r="X93" s="417">
        <v>113651131.29000001</v>
      </c>
      <c r="Y93" s="417"/>
      <c r="Z93" s="417"/>
      <c r="AA93" s="417"/>
      <c r="AB93" s="422">
        <f t="shared" si="8"/>
        <v>113651131.29000001</v>
      </c>
      <c r="AC93" s="280" t="s">
        <v>1732</v>
      </c>
      <c r="AD93" s="415"/>
      <c r="AE93" s="442" t="s">
        <v>1724</v>
      </c>
      <c r="AF93" s="409" t="s">
        <v>1725</v>
      </c>
      <c r="AG93" s="418">
        <f t="shared" si="17"/>
        <v>3750</v>
      </c>
      <c r="AH93" s="418">
        <v>3750</v>
      </c>
      <c r="AI93" s="418"/>
      <c r="AJ93" s="418"/>
      <c r="AK93" s="418"/>
      <c r="AL93" s="418">
        <v>7500</v>
      </c>
      <c r="AM93" s="418"/>
      <c r="AN93" s="418"/>
      <c r="AO93" s="418"/>
      <c r="AP93" s="418"/>
      <c r="AQ93" s="418"/>
      <c r="AR93" s="418"/>
      <c r="AS93" s="443"/>
      <c r="AT93" s="443"/>
      <c r="AU93" s="443"/>
      <c r="AV93" s="51">
        <f t="shared" si="15"/>
        <v>7500</v>
      </c>
      <c r="AW93" s="293">
        <v>45292</v>
      </c>
      <c r="AX93" s="293">
        <v>45657</v>
      </c>
      <c r="AY93" s="402" t="s">
        <v>1507</v>
      </c>
    </row>
    <row r="94" spans="1:51" ht="71.25" customHeight="1" x14ac:dyDescent="0.25">
      <c r="A94" s="410">
        <v>1</v>
      </c>
      <c r="B94" s="401" t="s">
        <v>315</v>
      </c>
      <c r="C94" s="412">
        <v>41</v>
      </c>
      <c r="D94" s="411" t="s">
        <v>1526</v>
      </c>
      <c r="E94" s="412">
        <v>4104</v>
      </c>
      <c r="F94" s="411" t="s">
        <v>1660</v>
      </c>
      <c r="G94" s="412" t="s">
        <v>70</v>
      </c>
      <c r="H94" s="411" t="s">
        <v>1718</v>
      </c>
      <c r="I94" s="412">
        <v>4104008</v>
      </c>
      <c r="J94" s="411" t="s">
        <v>1719</v>
      </c>
      <c r="K94" s="412" t="s">
        <v>70</v>
      </c>
      <c r="L94" s="411" t="s">
        <v>1720</v>
      </c>
      <c r="M94" s="412">
        <v>410400800</v>
      </c>
      <c r="N94" s="411" t="s">
        <v>1721</v>
      </c>
      <c r="O94" s="412">
        <v>12</v>
      </c>
      <c r="P94" s="412" t="s">
        <v>285</v>
      </c>
      <c r="Q94" s="403">
        <f t="shared" si="11"/>
        <v>12</v>
      </c>
      <c r="R94" s="420">
        <v>2020003630109</v>
      </c>
      <c r="S94" s="411" t="s">
        <v>1706</v>
      </c>
      <c r="T94" s="416">
        <f t="shared" si="16"/>
        <v>0.97353871073673959</v>
      </c>
      <c r="U94" s="411" t="s">
        <v>1707</v>
      </c>
      <c r="V94" s="411" t="s">
        <v>1708</v>
      </c>
      <c r="W94" s="411" t="s">
        <v>1722</v>
      </c>
      <c r="X94" s="417">
        <v>94168080.219999999</v>
      </c>
      <c r="Y94" s="417"/>
      <c r="Z94" s="417"/>
      <c r="AA94" s="417"/>
      <c r="AB94" s="422">
        <f t="shared" si="8"/>
        <v>94168080.219999999</v>
      </c>
      <c r="AC94" s="280" t="s">
        <v>1733</v>
      </c>
      <c r="AD94" s="415"/>
      <c r="AE94" s="442" t="s">
        <v>1724</v>
      </c>
      <c r="AF94" s="409" t="s">
        <v>1725</v>
      </c>
      <c r="AG94" s="418">
        <f t="shared" si="17"/>
        <v>3750</v>
      </c>
      <c r="AH94" s="418">
        <v>3750</v>
      </c>
      <c r="AI94" s="418"/>
      <c r="AJ94" s="418"/>
      <c r="AK94" s="418"/>
      <c r="AL94" s="418">
        <v>7500</v>
      </c>
      <c r="AM94" s="418"/>
      <c r="AN94" s="418"/>
      <c r="AO94" s="418"/>
      <c r="AP94" s="418"/>
      <c r="AQ94" s="418"/>
      <c r="AR94" s="418"/>
      <c r="AS94" s="443"/>
      <c r="AT94" s="443"/>
      <c r="AU94" s="443"/>
      <c r="AV94" s="51">
        <f t="shared" si="15"/>
        <v>7500</v>
      </c>
      <c r="AW94" s="293">
        <v>45292</v>
      </c>
      <c r="AX94" s="293">
        <v>45657</v>
      </c>
      <c r="AY94" s="402" t="s">
        <v>1507</v>
      </c>
    </row>
    <row r="95" spans="1:51" ht="71.25" customHeight="1" x14ac:dyDescent="0.25">
      <c r="A95" s="410">
        <v>1</v>
      </c>
      <c r="B95" s="401" t="s">
        <v>315</v>
      </c>
      <c r="C95" s="412">
        <v>41</v>
      </c>
      <c r="D95" s="411" t="s">
        <v>1526</v>
      </c>
      <c r="E95" s="412">
        <v>4104</v>
      </c>
      <c r="F95" s="411" t="s">
        <v>1660</v>
      </c>
      <c r="G95" s="412" t="s">
        <v>70</v>
      </c>
      <c r="H95" s="411" t="s">
        <v>1718</v>
      </c>
      <c r="I95" s="412">
        <v>4104008</v>
      </c>
      <c r="J95" s="411" t="s">
        <v>1719</v>
      </c>
      <c r="K95" s="412" t="s">
        <v>70</v>
      </c>
      <c r="L95" s="411" t="s">
        <v>1720</v>
      </c>
      <c r="M95" s="412">
        <v>410400800</v>
      </c>
      <c r="N95" s="411" t="s">
        <v>1721</v>
      </c>
      <c r="O95" s="412">
        <v>12</v>
      </c>
      <c r="P95" s="412" t="s">
        <v>285</v>
      </c>
      <c r="Q95" s="403">
        <f t="shared" si="11"/>
        <v>12</v>
      </c>
      <c r="R95" s="420">
        <v>2020003630109</v>
      </c>
      <c r="S95" s="411" t="s">
        <v>1706</v>
      </c>
      <c r="T95" s="416">
        <f t="shared" si="16"/>
        <v>0.97353871073673959</v>
      </c>
      <c r="U95" s="411" t="s">
        <v>1707</v>
      </c>
      <c r="V95" s="411" t="s">
        <v>1708</v>
      </c>
      <c r="W95" s="411" t="s">
        <v>1722</v>
      </c>
      <c r="X95" s="417">
        <v>51954802.880000003</v>
      </c>
      <c r="Y95" s="417"/>
      <c r="Z95" s="417"/>
      <c r="AA95" s="417"/>
      <c r="AB95" s="422">
        <f t="shared" si="8"/>
        <v>51954802.880000003</v>
      </c>
      <c r="AC95" s="280" t="s">
        <v>1734</v>
      </c>
      <c r="AD95" s="415"/>
      <c r="AE95" s="442" t="s">
        <v>1724</v>
      </c>
      <c r="AF95" s="409" t="s">
        <v>1725</v>
      </c>
      <c r="AG95" s="418">
        <f t="shared" si="17"/>
        <v>3750</v>
      </c>
      <c r="AH95" s="418">
        <v>3750</v>
      </c>
      <c r="AI95" s="418"/>
      <c r="AJ95" s="418"/>
      <c r="AK95" s="418"/>
      <c r="AL95" s="418">
        <v>7500</v>
      </c>
      <c r="AM95" s="418"/>
      <c r="AN95" s="418"/>
      <c r="AO95" s="418"/>
      <c r="AP95" s="418"/>
      <c r="AQ95" s="418"/>
      <c r="AR95" s="418"/>
      <c r="AS95" s="443"/>
      <c r="AT95" s="443"/>
      <c r="AU95" s="443"/>
      <c r="AV95" s="51">
        <f t="shared" si="15"/>
        <v>7500</v>
      </c>
      <c r="AW95" s="293">
        <v>45292</v>
      </c>
      <c r="AX95" s="293">
        <v>45657</v>
      </c>
      <c r="AY95" s="402" t="s">
        <v>1507</v>
      </c>
    </row>
    <row r="96" spans="1:51" ht="71.25" customHeight="1" x14ac:dyDescent="0.25">
      <c r="A96" s="410">
        <v>1</v>
      </c>
      <c r="B96" s="401" t="s">
        <v>315</v>
      </c>
      <c r="C96" s="412">
        <v>41</v>
      </c>
      <c r="D96" s="411" t="s">
        <v>1526</v>
      </c>
      <c r="E96" s="412">
        <v>4104</v>
      </c>
      <c r="F96" s="411" t="s">
        <v>1660</v>
      </c>
      <c r="G96" s="412" t="s">
        <v>70</v>
      </c>
      <c r="H96" s="411" t="s">
        <v>1718</v>
      </c>
      <c r="I96" s="412">
        <v>4104008</v>
      </c>
      <c r="J96" s="411" t="s">
        <v>1719</v>
      </c>
      <c r="K96" s="412" t="s">
        <v>70</v>
      </c>
      <c r="L96" s="411" t="s">
        <v>1720</v>
      </c>
      <c r="M96" s="412">
        <v>410400800</v>
      </c>
      <c r="N96" s="411" t="s">
        <v>1721</v>
      </c>
      <c r="O96" s="412">
        <v>12</v>
      </c>
      <c r="P96" s="412" t="s">
        <v>285</v>
      </c>
      <c r="Q96" s="403">
        <f t="shared" si="11"/>
        <v>12</v>
      </c>
      <c r="R96" s="420">
        <v>2020003630109</v>
      </c>
      <c r="S96" s="411" t="s">
        <v>1706</v>
      </c>
      <c r="T96" s="416">
        <f t="shared" si="16"/>
        <v>0.97353871073673959</v>
      </c>
      <c r="U96" s="411" t="s">
        <v>1707</v>
      </c>
      <c r="V96" s="411" t="s">
        <v>1708</v>
      </c>
      <c r="W96" s="411" t="s">
        <v>1722</v>
      </c>
      <c r="X96" s="445">
        <v>298740116.54000002</v>
      </c>
      <c r="Y96" s="445"/>
      <c r="Z96" s="445"/>
      <c r="AA96" s="445"/>
      <c r="AB96" s="422">
        <f t="shared" si="8"/>
        <v>298740116.54000002</v>
      </c>
      <c r="AC96" s="280" t="s">
        <v>1735</v>
      </c>
      <c r="AD96" s="415"/>
      <c r="AE96" s="442" t="s">
        <v>1724</v>
      </c>
      <c r="AF96" s="409" t="s">
        <v>1725</v>
      </c>
      <c r="AG96" s="418">
        <f t="shared" si="17"/>
        <v>3750</v>
      </c>
      <c r="AH96" s="418">
        <v>3750</v>
      </c>
      <c r="AI96" s="418"/>
      <c r="AJ96" s="418"/>
      <c r="AK96" s="418"/>
      <c r="AL96" s="418">
        <v>7500</v>
      </c>
      <c r="AM96" s="418"/>
      <c r="AN96" s="418"/>
      <c r="AO96" s="418"/>
      <c r="AP96" s="418"/>
      <c r="AQ96" s="418"/>
      <c r="AR96" s="418"/>
      <c r="AS96" s="443"/>
      <c r="AT96" s="443"/>
      <c r="AU96" s="443"/>
      <c r="AV96" s="51">
        <f t="shared" si="15"/>
        <v>7500</v>
      </c>
      <c r="AW96" s="293">
        <v>45292</v>
      </c>
      <c r="AX96" s="293">
        <v>45657</v>
      </c>
      <c r="AY96" s="402" t="s">
        <v>1507</v>
      </c>
    </row>
    <row r="97" spans="1:51" ht="71.25" customHeight="1" x14ac:dyDescent="0.25">
      <c r="A97" s="410">
        <v>1</v>
      </c>
      <c r="B97" s="401" t="s">
        <v>315</v>
      </c>
      <c r="C97" s="412">
        <v>41</v>
      </c>
      <c r="D97" s="411" t="s">
        <v>1526</v>
      </c>
      <c r="E97" s="412">
        <v>4104</v>
      </c>
      <c r="F97" s="411" t="s">
        <v>1660</v>
      </c>
      <c r="G97" s="412" t="s">
        <v>70</v>
      </c>
      <c r="H97" s="411" t="s">
        <v>1718</v>
      </c>
      <c r="I97" s="412">
        <v>4104008</v>
      </c>
      <c r="J97" s="411" t="s">
        <v>1719</v>
      </c>
      <c r="K97" s="412" t="s">
        <v>70</v>
      </c>
      <c r="L97" s="411" t="s">
        <v>1720</v>
      </c>
      <c r="M97" s="412">
        <v>410400800</v>
      </c>
      <c r="N97" s="411" t="s">
        <v>1721</v>
      </c>
      <c r="O97" s="412">
        <v>12</v>
      </c>
      <c r="P97" s="412" t="s">
        <v>285</v>
      </c>
      <c r="Q97" s="403">
        <f t="shared" si="11"/>
        <v>12</v>
      </c>
      <c r="R97" s="420">
        <v>2020003630109</v>
      </c>
      <c r="S97" s="411" t="s">
        <v>1706</v>
      </c>
      <c r="T97" s="416">
        <f t="shared" si="16"/>
        <v>0.97353871073673959</v>
      </c>
      <c r="U97" s="411" t="s">
        <v>1707</v>
      </c>
      <c r="V97" s="411" t="s">
        <v>1708</v>
      </c>
      <c r="W97" s="411" t="s">
        <v>1722</v>
      </c>
      <c r="X97" s="445">
        <v>113651131.3</v>
      </c>
      <c r="Y97" s="445"/>
      <c r="Z97" s="445"/>
      <c r="AA97" s="445"/>
      <c r="AB97" s="422">
        <f t="shared" si="8"/>
        <v>113651131.3</v>
      </c>
      <c r="AC97" s="280" t="s">
        <v>1736</v>
      </c>
      <c r="AD97" s="415"/>
      <c r="AE97" s="442" t="s">
        <v>1724</v>
      </c>
      <c r="AF97" s="409" t="s">
        <v>1725</v>
      </c>
      <c r="AG97" s="418">
        <f t="shared" si="17"/>
        <v>3750</v>
      </c>
      <c r="AH97" s="418">
        <v>3750</v>
      </c>
      <c r="AI97" s="418"/>
      <c r="AJ97" s="418"/>
      <c r="AK97" s="418"/>
      <c r="AL97" s="418">
        <v>7500</v>
      </c>
      <c r="AM97" s="418"/>
      <c r="AN97" s="418"/>
      <c r="AO97" s="418"/>
      <c r="AP97" s="418"/>
      <c r="AQ97" s="418"/>
      <c r="AR97" s="418"/>
      <c r="AS97" s="443"/>
      <c r="AT97" s="443"/>
      <c r="AU97" s="443"/>
      <c r="AV97" s="51">
        <f t="shared" si="15"/>
        <v>7500</v>
      </c>
      <c r="AW97" s="293">
        <v>45292</v>
      </c>
      <c r="AX97" s="293">
        <v>45657</v>
      </c>
      <c r="AY97" s="402" t="s">
        <v>1507</v>
      </c>
    </row>
    <row r="98" spans="1:51" ht="71.25" customHeight="1" x14ac:dyDescent="0.25">
      <c r="A98" s="410">
        <v>1</v>
      </c>
      <c r="B98" s="401" t="s">
        <v>315</v>
      </c>
      <c r="C98" s="412">
        <v>41</v>
      </c>
      <c r="D98" s="411" t="s">
        <v>1526</v>
      </c>
      <c r="E98" s="412">
        <v>4104</v>
      </c>
      <c r="F98" s="411" t="s">
        <v>1660</v>
      </c>
      <c r="G98" s="412" t="s">
        <v>70</v>
      </c>
      <c r="H98" s="411" t="s">
        <v>1718</v>
      </c>
      <c r="I98" s="412">
        <v>4104008</v>
      </c>
      <c r="J98" s="411" t="s">
        <v>1719</v>
      </c>
      <c r="K98" s="412" t="s">
        <v>70</v>
      </c>
      <c r="L98" s="411" t="s">
        <v>1720</v>
      </c>
      <c r="M98" s="412">
        <v>410400800</v>
      </c>
      <c r="N98" s="411" t="s">
        <v>1721</v>
      </c>
      <c r="O98" s="412">
        <v>12</v>
      </c>
      <c r="P98" s="412" t="s">
        <v>285</v>
      </c>
      <c r="Q98" s="403">
        <f t="shared" si="11"/>
        <v>12</v>
      </c>
      <c r="R98" s="420">
        <v>2020003630109</v>
      </c>
      <c r="S98" s="411" t="s">
        <v>1706</v>
      </c>
      <c r="T98" s="416">
        <f t="shared" si="16"/>
        <v>0.97353871073673959</v>
      </c>
      <c r="U98" s="411" t="s">
        <v>1707</v>
      </c>
      <c r="V98" s="411" t="s">
        <v>1708</v>
      </c>
      <c r="W98" s="411" t="s">
        <v>1737</v>
      </c>
      <c r="X98" s="445">
        <v>1654400503.8099999</v>
      </c>
      <c r="Y98" s="445"/>
      <c r="Z98" s="445"/>
      <c r="AA98" s="445"/>
      <c r="AB98" s="422">
        <f t="shared" si="8"/>
        <v>1654400503.8099999</v>
      </c>
      <c r="AC98" s="280" t="s">
        <v>1723</v>
      </c>
      <c r="AD98" s="415"/>
      <c r="AE98" s="442" t="s">
        <v>1724</v>
      </c>
      <c r="AF98" s="409" t="s">
        <v>1725</v>
      </c>
      <c r="AG98" s="418">
        <f t="shared" si="17"/>
        <v>3750</v>
      </c>
      <c r="AH98" s="418">
        <v>3750</v>
      </c>
      <c r="AI98" s="418"/>
      <c r="AJ98" s="418"/>
      <c r="AK98" s="418"/>
      <c r="AL98" s="418">
        <v>7500</v>
      </c>
      <c r="AM98" s="418"/>
      <c r="AN98" s="418"/>
      <c r="AO98" s="418"/>
      <c r="AP98" s="418"/>
      <c r="AQ98" s="418"/>
      <c r="AR98" s="418"/>
      <c r="AS98" s="443"/>
      <c r="AT98" s="443"/>
      <c r="AU98" s="443"/>
      <c r="AV98" s="51">
        <f t="shared" si="15"/>
        <v>7500</v>
      </c>
      <c r="AW98" s="293">
        <v>45292</v>
      </c>
      <c r="AX98" s="293">
        <v>45657</v>
      </c>
      <c r="AY98" s="402" t="s">
        <v>1507</v>
      </c>
    </row>
    <row r="99" spans="1:51" ht="71.25" customHeight="1" x14ac:dyDescent="0.25">
      <c r="A99" s="410">
        <v>1</v>
      </c>
      <c r="B99" s="401" t="s">
        <v>315</v>
      </c>
      <c r="C99" s="412">
        <v>41</v>
      </c>
      <c r="D99" s="411" t="s">
        <v>1526</v>
      </c>
      <c r="E99" s="412">
        <v>4104</v>
      </c>
      <c r="F99" s="411" t="s">
        <v>1660</v>
      </c>
      <c r="G99" s="412" t="s">
        <v>70</v>
      </c>
      <c r="H99" s="411" t="s">
        <v>1718</v>
      </c>
      <c r="I99" s="412">
        <v>4104008</v>
      </c>
      <c r="J99" s="411" t="s">
        <v>1719</v>
      </c>
      <c r="K99" s="412" t="s">
        <v>70</v>
      </c>
      <c r="L99" s="411" t="s">
        <v>1720</v>
      </c>
      <c r="M99" s="412">
        <v>410400800</v>
      </c>
      <c r="N99" s="411" t="s">
        <v>1721</v>
      </c>
      <c r="O99" s="412">
        <v>12</v>
      </c>
      <c r="P99" s="412" t="s">
        <v>285</v>
      </c>
      <c r="Q99" s="403">
        <f t="shared" si="11"/>
        <v>12</v>
      </c>
      <c r="R99" s="420">
        <v>2020003630109</v>
      </c>
      <c r="S99" s="411" t="s">
        <v>1706</v>
      </c>
      <c r="T99" s="416">
        <f t="shared" si="16"/>
        <v>0.97353871073673959</v>
      </c>
      <c r="U99" s="411" t="s">
        <v>1707</v>
      </c>
      <c r="V99" s="411" t="s">
        <v>1708</v>
      </c>
      <c r="W99" s="411" t="s">
        <v>1737</v>
      </c>
      <c r="X99" s="445">
        <v>464039165.72000003</v>
      </c>
      <c r="Y99" s="445"/>
      <c r="Z99" s="445"/>
      <c r="AA99" s="445"/>
      <c r="AB99" s="422">
        <f t="shared" si="8"/>
        <v>464039165.72000003</v>
      </c>
      <c r="AC99" s="280" t="s">
        <v>1727</v>
      </c>
      <c r="AD99" s="415"/>
      <c r="AE99" s="442" t="s">
        <v>1724</v>
      </c>
      <c r="AF99" s="409" t="s">
        <v>1725</v>
      </c>
      <c r="AG99" s="418">
        <f t="shared" si="17"/>
        <v>3750</v>
      </c>
      <c r="AH99" s="418">
        <v>3750</v>
      </c>
      <c r="AI99" s="418"/>
      <c r="AJ99" s="418"/>
      <c r="AK99" s="418"/>
      <c r="AL99" s="418">
        <v>7500</v>
      </c>
      <c r="AM99" s="418"/>
      <c r="AN99" s="418"/>
      <c r="AO99" s="418"/>
      <c r="AP99" s="418"/>
      <c r="AQ99" s="418"/>
      <c r="AR99" s="418"/>
      <c r="AS99" s="443"/>
      <c r="AT99" s="443"/>
      <c r="AU99" s="443"/>
      <c r="AV99" s="51">
        <f t="shared" si="15"/>
        <v>7500</v>
      </c>
      <c r="AW99" s="293">
        <v>45292</v>
      </c>
      <c r="AX99" s="293">
        <v>45657</v>
      </c>
      <c r="AY99" s="402" t="s">
        <v>1507</v>
      </c>
    </row>
    <row r="100" spans="1:51" ht="71.25" customHeight="1" x14ac:dyDescent="0.25">
      <c r="A100" s="410">
        <v>1</v>
      </c>
      <c r="B100" s="401" t="s">
        <v>315</v>
      </c>
      <c r="C100" s="412">
        <v>41</v>
      </c>
      <c r="D100" s="411" t="s">
        <v>1526</v>
      </c>
      <c r="E100" s="412">
        <v>4104</v>
      </c>
      <c r="F100" s="411" t="s">
        <v>1660</v>
      </c>
      <c r="G100" s="412" t="s">
        <v>70</v>
      </c>
      <c r="H100" s="411" t="s">
        <v>1718</v>
      </c>
      <c r="I100" s="412">
        <v>4104008</v>
      </c>
      <c r="J100" s="411" t="s">
        <v>1719</v>
      </c>
      <c r="K100" s="412" t="s">
        <v>70</v>
      </c>
      <c r="L100" s="411" t="s">
        <v>1720</v>
      </c>
      <c r="M100" s="412">
        <v>410400800</v>
      </c>
      <c r="N100" s="411" t="s">
        <v>1721</v>
      </c>
      <c r="O100" s="412">
        <v>12</v>
      </c>
      <c r="P100" s="412" t="s">
        <v>285</v>
      </c>
      <c r="Q100" s="403">
        <f>SUM(O100:P100)</f>
        <v>12</v>
      </c>
      <c r="R100" s="420">
        <v>2020003630109</v>
      </c>
      <c r="S100" s="411" t="s">
        <v>1706</v>
      </c>
      <c r="T100" s="416">
        <f t="shared" si="16"/>
        <v>0.97353871073673959</v>
      </c>
      <c r="U100" s="411" t="s">
        <v>1707</v>
      </c>
      <c r="V100" s="411" t="s">
        <v>1708</v>
      </c>
      <c r="W100" s="411" t="s">
        <v>1737</v>
      </c>
      <c r="X100" s="445">
        <v>201756159</v>
      </c>
      <c r="Y100" s="445"/>
      <c r="Z100" s="445"/>
      <c r="AA100" s="445"/>
      <c r="AB100" s="422">
        <f t="shared" si="8"/>
        <v>201756159</v>
      </c>
      <c r="AC100" s="280" t="s">
        <v>1728</v>
      </c>
      <c r="AD100" s="415"/>
      <c r="AE100" s="442" t="s">
        <v>1724</v>
      </c>
      <c r="AF100" s="409" t="s">
        <v>1725</v>
      </c>
      <c r="AG100" s="418">
        <f t="shared" si="17"/>
        <v>3750</v>
      </c>
      <c r="AH100" s="418">
        <v>3750</v>
      </c>
      <c r="AI100" s="418"/>
      <c r="AJ100" s="418"/>
      <c r="AK100" s="418"/>
      <c r="AL100" s="418">
        <v>7500</v>
      </c>
      <c r="AM100" s="418"/>
      <c r="AN100" s="418"/>
      <c r="AO100" s="418"/>
      <c r="AP100" s="418"/>
      <c r="AQ100" s="418"/>
      <c r="AR100" s="418"/>
      <c r="AS100" s="443"/>
      <c r="AT100" s="443"/>
      <c r="AU100" s="443"/>
      <c r="AV100" s="51">
        <f t="shared" si="15"/>
        <v>7500</v>
      </c>
      <c r="AW100" s="293">
        <v>45292</v>
      </c>
      <c r="AX100" s="293">
        <v>45657</v>
      </c>
      <c r="AY100" s="402" t="s">
        <v>1507</v>
      </c>
    </row>
    <row r="101" spans="1:51" ht="71.25" customHeight="1" x14ac:dyDescent="0.25">
      <c r="A101" s="410">
        <v>1</v>
      </c>
      <c r="B101" s="401" t="s">
        <v>315</v>
      </c>
      <c r="C101" s="412">
        <v>41</v>
      </c>
      <c r="D101" s="411" t="s">
        <v>1526</v>
      </c>
      <c r="E101" s="412">
        <v>4104</v>
      </c>
      <c r="F101" s="411" t="s">
        <v>1660</v>
      </c>
      <c r="G101" s="412" t="s">
        <v>70</v>
      </c>
      <c r="H101" s="411" t="s">
        <v>1718</v>
      </c>
      <c r="I101" s="412">
        <v>4104008</v>
      </c>
      <c r="J101" s="411" t="s">
        <v>1719</v>
      </c>
      <c r="K101" s="412" t="s">
        <v>70</v>
      </c>
      <c r="L101" s="411" t="s">
        <v>1720</v>
      </c>
      <c r="M101" s="412">
        <v>410400800</v>
      </c>
      <c r="N101" s="411" t="s">
        <v>1721</v>
      </c>
      <c r="O101" s="412">
        <v>12</v>
      </c>
      <c r="P101" s="412" t="s">
        <v>285</v>
      </c>
      <c r="Q101" s="403">
        <f t="shared" si="11"/>
        <v>12</v>
      </c>
      <c r="R101" s="420">
        <v>2020003630109</v>
      </c>
      <c r="S101" s="411" t="s">
        <v>1706</v>
      </c>
      <c r="T101" s="416">
        <f t="shared" si="16"/>
        <v>0.97353871073673959</v>
      </c>
      <c r="U101" s="411" t="s">
        <v>1707</v>
      </c>
      <c r="V101" s="411" t="s">
        <v>1708</v>
      </c>
      <c r="W101" s="411" t="s">
        <v>1737</v>
      </c>
      <c r="X101" s="445">
        <v>112983449.04000001</v>
      </c>
      <c r="Y101" s="445"/>
      <c r="Z101" s="445"/>
      <c r="AA101" s="445"/>
      <c r="AB101" s="422">
        <f t="shared" si="8"/>
        <v>112983449.04000001</v>
      </c>
      <c r="AC101" s="280" t="s">
        <v>1730</v>
      </c>
      <c r="AD101" s="415"/>
      <c r="AE101" s="442" t="s">
        <v>1724</v>
      </c>
      <c r="AF101" s="409" t="s">
        <v>1725</v>
      </c>
      <c r="AG101" s="418">
        <f t="shared" si="17"/>
        <v>3750</v>
      </c>
      <c r="AH101" s="418">
        <v>3750</v>
      </c>
      <c r="AI101" s="418"/>
      <c r="AJ101" s="418"/>
      <c r="AK101" s="418"/>
      <c r="AL101" s="418">
        <v>7500</v>
      </c>
      <c r="AM101" s="418"/>
      <c r="AN101" s="418"/>
      <c r="AO101" s="418"/>
      <c r="AP101" s="418"/>
      <c r="AQ101" s="418"/>
      <c r="AR101" s="418"/>
      <c r="AS101" s="443"/>
      <c r="AT101" s="443"/>
      <c r="AU101" s="443"/>
      <c r="AV101" s="51">
        <f t="shared" si="15"/>
        <v>7500</v>
      </c>
      <c r="AW101" s="293">
        <v>45292</v>
      </c>
      <c r="AX101" s="293">
        <v>45657</v>
      </c>
      <c r="AY101" s="402" t="s">
        <v>1507</v>
      </c>
    </row>
    <row r="102" spans="1:51" ht="71.25" customHeight="1" x14ac:dyDescent="0.25">
      <c r="A102" s="410">
        <v>1</v>
      </c>
      <c r="B102" s="401" t="s">
        <v>315</v>
      </c>
      <c r="C102" s="412">
        <v>41</v>
      </c>
      <c r="D102" s="411" t="s">
        <v>1526</v>
      </c>
      <c r="E102" s="412">
        <v>4104</v>
      </c>
      <c r="F102" s="411" t="s">
        <v>1660</v>
      </c>
      <c r="G102" s="412" t="s">
        <v>70</v>
      </c>
      <c r="H102" s="411" t="s">
        <v>1718</v>
      </c>
      <c r="I102" s="412">
        <v>4104008</v>
      </c>
      <c r="J102" s="411" t="s">
        <v>1719</v>
      </c>
      <c r="K102" s="412" t="s">
        <v>70</v>
      </c>
      <c r="L102" s="411" t="s">
        <v>1720</v>
      </c>
      <c r="M102" s="412">
        <v>410400800</v>
      </c>
      <c r="N102" s="411" t="s">
        <v>1721</v>
      </c>
      <c r="O102" s="412">
        <v>12</v>
      </c>
      <c r="P102" s="412" t="s">
        <v>285</v>
      </c>
      <c r="Q102" s="403">
        <f t="shared" si="11"/>
        <v>12</v>
      </c>
      <c r="R102" s="420">
        <v>2020003630109</v>
      </c>
      <c r="S102" s="411" t="s">
        <v>1706</v>
      </c>
      <c r="T102" s="416">
        <f t="shared" si="16"/>
        <v>0.97353871073673959</v>
      </c>
      <c r="U102" s="411" t="s">
        <v>1707</v>
      </c>
      <c r="V102" s="411" t="s">
        <v>1708</v>
      </c>
      <c r="W102" s="411" t="s">
        <v>1737</v>
      </c>
      <c r="X102" s="445">
        <v>201756159</v>
      </c>
      <c r="Y102" s="445"/>
      <c r="Z102" s="445"/>
      <c r="AA102" s="445"/>
      <c r="AB102" s="422">
        <f t="shared" si="8"/>
        <v>201756159</v>
      </c>
      <c r="AC102" s="280" t="s">
        <v>1731</v>
      </c>
      <c r="AD102" s="415"/>
      <c r="AE102" s="442" t="s">
        <v>1724</v>
      </c>
      <c r="AF102" s="409" t="s">
        <v>1725</v>
      </c>
      <c r="AG102" s="418">
        <f t="shared" si="17"/>
        <v>3750</v>
      </c>
      <c r="AH102" s="418">
        <v>3750</v>
      </c>
      <c r="AI102" s="418"/>
      <c r="AJ102" s="418"/>
      <c r="AK102" s="418"/>
      <c r="AL102" s="418">
        <v>7500</v>
      </c>
      <c r="AM102" s="418"/>
      <c r="AN102" s="418"/>
      <c r="AO102" s="418"/>
      <c r="AP102" s="418"/>
      <c r="AQ102" s="418"/>
      <c r="AR102" s="418"/>
      <c r="AS102" s="443"/>
      <c r="AT102" s="443"/>
      <c r="AU102" s="443"/>
      <c r="AV102" s="51">
        <f t="shared" si="15"/>
        <v>7500</v>
      </c>
      <c r="AW102" s="293">
        <v>45292</v>
      </c>
      <c r="AX102" s="293">
        <v>45657</v>
      </c>
      <c r="AY102" s="402" t="s">
        <v>1507</v>
      </c>
    </row>
    <row r="103" spans="1:51" ht="71.25" customHeight="1" x14ac:dyDescent="0.25">
      <c r="A103" s="410">
        <v>1</v>
      </c>
      <c r="B103" s="401" t="s">
        <v>315</v>
      </c>
      <c r="C103" s="412">
        <v>41</v>
      </c>
      <c r="D103" s="411" t="s">
        <v>1526</v>
      </c>
      <c r="E103" s="412">
        <v>4104</v>
      </c>
      <c r="F103" s="411" t="s">
        <v>1660</v>
      </c>
      <c r="G103" s="412" t="s">
        <v>70</v>
      </c>
      <c r="H103" s="411" t="s">
        <v>1718</v>
      </c>
      <c r="I103" s="412">
        <v>4104008</v>
      </c>
      <c r="J103" s="411" t="s">
        <v>1719</v>
      </c>
      <c r="K103" s="412" t="s">
        <v>70</v>
      </c>
      <c r="L103" s="411" t="s">
        <v>1720</v>
      </c>
      <c r="M103" s="412">
        <v>410400800</v>
      </c>
      <c r="N103" s="411" t="s">
        <v>1721</v>
      </c>
      <c r="O103" s="412">
        <v>12</v>
      </c>
      <c r="P103" s="412" t="s">
        <v>285</v>
      </c>
      <c r="Q103" s="403">
        <f>SUM(O103:P103)</f>
        <v>12</v>
      </c>
      <c r="R103" s="420">
        <v>2020003630109</v>
      </c>
      <c r="S103" s="411" t="s">
        <v>1706</v>
      </c>
      <c r="T103" s="416">
        <f t="shared" si="16"/>
        <v>0.97353871073673959</v>
      </c>
      <c r="U103" s="411" t="s">
        <v>1707</v>
      </c>
      <c r="V103" s="411" t="s">
        <v>1708</v>
      </c>
      <c r="W103" s="411" t="s">
        <v>1737</v>
      </c>
      <c r="X103" s="445">
        <v>201756159</v>
      </c>
      <c r="Y103" s="445"/>
      <c r="Z103" s="445"/>
      <c r="AA103" s="445"/>
      <c r="AB103" s="422">
        <f t="shared" si="8"/>
        <v>201756159</v>
      </c>
      <c r="AC103" s="280" t="s">
        <v>1732</v>
      </c>
      <c r="AD103" s="415"/>
      <c r="AE103" s="442" t="s">
        <v>1724</v>
      </c>
      <c r="AF103" s="409" t="s">
        <v>1725</v>
      </c>
      <c r="AG103" s="418">
        <f t="shared" si="17"/>
        <v>3750</v>
      </c>
      <c r="AH103" s="418">
        <v>3750</v>
      </c>
      <c r="AI103" s="418"/>
      <c r="AJ103" s="418"/>
      <c r="AK103" s="418"/>
      <c r="AL103" s="418">
        <v>7500</v>
      </c>
      <c r="AM103" s="418"/>
      <c r="AN103" s="418"/>
      <c r="AO103" s="418"/>
      <c r="AP103" s="418"/>
      <c r="AQ103" s="418"/>
      <c r="AR103" s="418"/>
      <c r="AS103" s="443"/>
      <c r="AT103" s="443"/>
      <c r="AU103" s="443"/>
      <c r="AV103" s="51">
        <f t="shared" si="15"/>
        <v>7500</v>
      </c>
      <c r="AW103" s="293">
        <v>45292</v>
      </c>
      <c r="AX103" s="293">
        <v>45657</v>
      </c>
      <c r="AY103" s="402" t="s">
        <v>1507</v>
      </c>
    </row>
    <row r="104" spans="1:51" ht="71.25" customHeight="1" x14ac:dyDescent="0.25">
      <c r="A104" s="410">
        <v>1</v>
      </c>
      <c r="B104" s="401" t="s">
        <v>315</v>
      </c>
      <c r="C104" s="412">
        <v>41</v>
      </c>
      <c r="D104" s="411" t="s">
        <v>1526</v>
      </c>
      <c r="E104" s="412">
        <v>4104</v>
      </c>
      <c r="F104" s="411" t="s">
        <v>1660</v>
      </c>
      <c r="G104" s="412" t="s">
        <v>70</v>
      </c>
      <c r="H104" s="411" t="s">
        <v>1718</v>
      </c>
      <c r="I104" s="412">
        <v>4104008</v>
      </c>
      <c r="J104" s="411" t="s">
        <v>1719</v>
      </c>
      <c r="K104" s="412" t="s">
        <v>70</v>
      </c>
      <c r="L104" s="411" t="s">
        <v>1720</v>
      </c>
      <c r="M104" s="412">
        <v>410400800</v>
      </c>
      <c r="N104" s="411" t="s">
        <v>1721</v>
      </c>
      <c r="O104" s="412">
        <v>12</v>
      </c>
      <c r="P104" s="412" t="s">
        <v>285</v>
      </c>
      <c r="Q104" s="403">
        <f t="shared" si="11"/>
        <v>12</v>
      </c>
      <c r="R104" s="420">
        <v>2020003630109</v>
      </c>
      <c r="S104" s="411" t="s">
        <v>1706</v>
      </c>
      <c r="T104" s="416">
        <f t="shared" si="16"/>
        <v>0.97353871073673959</v>
      </c>
      <c r="U104" s="411" t="s">
        <v>1707</v>
      </c>
      <c r="V104" s="411" t="s">
        <v>1708</v>
      </c>
      <c r="W104" s="411" t="s">
        <v>1737</v>
      </c>
      <c r="X104" s="445">
        <v>911937838.71000004</v>
      </c>
      <c r="Y104" s="445"/>
      <c r="Z104" s="445"/>
      <c r="AA104" s="445"/>
      <c r="AB104" s="422">
        <f t="shared" si="8"/>
        <v>911937838.71000004</v>
      </c>
      <c r="AC104" s="280" t="s">
        <v>1733</v>
      </c>
      <c r="AD104" s="415"/>
      <c r="AE104" s="442" t="s">
        <v>1724</v>
      </c>
      <c r="AF104" s="409" t="s">
        <v>1725</v>
      </c>
      <c r="AG104" s="418">
        <f t="shared" si="17"/>
        <v>3750</v>
      </c>
      <c r="AH104" s="418">
        <v>3750</v>
      </c>
      <c r="AI104" s="418"/>
      <c r="AJ104" s="418"/>
      <c r="AK104" s="418"/>
      <c r="AL104" s="418">
        <v>7500</v>
      </c>
      <c r="AM104" s="418"/>
      <c r="AN104" s="418"/>
      <c r="AO104" s="418"/>
      <c r="AP104" s="418"/>
      <c r="AQ104" s="418"/>
      <c r="AR104" s="418"/>
      <c r="AS104" s="443"/>
      <c r="AT104" s="443"/>
      <c r="AU104" s="443"/>
      <c r="AV104" s="51">
        <f t="shared" si="15"/>
        <v>7500</v>
      </c>
      <c r="AW104" s="293">
        <v>45292</v>
      </c>
      <c r="AX104" s="293">
        <v>45657</v>
      </c>
      <c r="AY104" s="402" t="s">
        <v>1507</v>
      </c>
    </row>
    <row r="105" spans="1:51" ht="71.25" customHeight="1" x14ac:dyDescent="0.25">
      <c r="A105" s="410">
        <v>1</v>
      </c>
      <c r="B105" s="401" t="s">
        <v>315</v>
      </c>
      <c r="C105" s="412">
        <v>41</v>
      </c>
      <c r="D105" s="411" t="s">
        <v>1526</v>
      </c>
      <c r="E105" s="412">
        <v>4104</v>
      </c>
      <c r="F105" s="411" t="s">
        <v>1660</v>
      </c>
      <c r="G105" s="412" t="s">
        <v>70</v>
      </c>
      <c r="H105" s="411" t="s">
        <v>1718</v>
      </c>
      <c r="I105" s="412">
        <v>4104008</v>
      </c>
      <c r="J105" s="411" t="s">
        <v>1719</v>
      </c>
      <c r="K105" s="412" t="s">
        <v>70</v>
      </c>
      <c r="L105" s="411" t="s">
        <v>1720</v>
      </c>
      <c r="M105" s="412">
        <v>410400800</v>
      </c>
      <c r="N105" s="411" t="s">
        <v>1721</v>
      </c>
      <c r="O105" s="412">
        <v>12</v>
      </c>
      <c r="P105" s="412" t="s">
        <v>285</v>
      </c>
      <c r="Q105" s="403">
        <f t="shared" si="11"/>
        <v>12</v>
      </c>
      <c r="R105" s="420">
        <v>2020003630109</v>
      </c>
      <c r="S105" s="411" t="s">
        <v>1706</v>
      </c>
      <c r="T105" s="416">
        <f t="shared" si="16"/>
        <v>0.97353871073673959</v>
      </c>
      <c r="U105" s="411" t="s">
        <v>1707</v>
      </c>
      <c r="V105" s="411" t="s">
        <v>1708</v>
      </c>
      <c r="W105" s="411" t="s">
        <v>1737</v>
      </c>
      <c r="X105" s="446">
        <v>464039165.72000003</v>
      </c>
      <c r="Y105" s="446"/>
      <c r="Z105" s="446"/>
      <c r="AA105" s="446"/>
      <c r="AB105" s="422">
        <f t="shared" si="8"/>
        <v>464039165.72000003</v>
      </c>
      <c r="AC105" s="280" t="s">
        <v>1735</v>
      </c>
      <c r="AD105" s="415"/>
      <c r="AE105" s="442" t="s">
        <v>1724</v>
      </c>
      <c r="AF105" s="409" t="s">
        <v>1725</v>
      </c>
      <c r="AG105" s="418">
        <f t="shared" si="17"/>
        <v>3750</v>
      </c>
      <c r="AH105" s="418">
        <v>3750</v>
      </c>
      <c r="AI105" s="418"/>
      <c r="AJ105" s="418"/>
      <c r="AK105" s="418"/>
      <c r="AL105" s="418">
        <v>7500</v>
      </c>
      <c r="AM105" s="418"/>
      <c r="AN105" s="418"/>
      <c r="AO105" s="418"/>
      <c r="AP105" s="418"/>
      <c r="AQ105" s="418"/>
      <c r="AR105" s="418"/>
      <c r="AS105" s="443"/>
      <c r="AT105" s="443"/>
      <c r="AU105" s="443"/>
      <c r="AV105" s="51">
        <f t="shared" si="15"/>
        <v>7500</v>
      </c>
      <c r="AW105" s="293">
        <v>45292</v>
      </c>
      <c r="AX105" s="293">
        <v>45657</v>
      </c>
      <c r="AY105" s="402" t="s">
        <v>1507</v>
      </c>
    </row>
    <row r="106" spans="1:51" s="444" customFormat="1" ht="105.75" customHeight="1" x14ac:dyDescent="0.25">
      <c r="A106" s="437">
        <v>2</v>
      </c>
      <c r="B106" s="438" t="s">
        <v>2536</v>
      </c>
      <c r="C106" s="439">
        <v>17</v>
      </c>
      <c r="D106" s="438" t="s">
        <v>1240</v>
      </c>
      <c r="E106" s="439">
        <v>1702</v>
      </c>
      <c r="F106" s="438" t="s">
        <v>1738</v>
      </c>
      <c r="G106" s="439">
        <v>1702011</v>
      </c>
      <c r="H106" s="438" t="s">
        <v>1739</v>
      </c>
      <c r="I106" s="439">
        <v>1702011</v>
      </c>
      <c r="J106" s="438" t="s">
        <v>1739</v>
      </c>
      <c r="K106" s="439">
        <v>170201102</v>
      </c>
      <c r="L106" s="438" t="s">
        <v>1740</v>
      </c>
      <c r="M106" s="439">
        <v>170201102</v>
      </c>
      <c r="N106" s="438" t="s">
        <v>1740</v>
      </c>
      <c r="O106" s="439">
        <v>10</v>
      </c>
      <c r="P106" s="439" t="s">
        <v>285</v>
      </c>
      <c r="Q106" s="440">
        <f t="shared" si="11"/>
        <v>10</v>
      </c>
      <c r="R106" s="441">
        <v>2020003630113</v>
      </c>
      <c r="S106" s="438" t="s">
        <v>1741</v>
      </c>
      <c r="T106" s="447">
        <f>SUM($X$106:$X$107)/SUM($X$106:$X$107)</f>
        <v>1</v>
      </c>
      <c r="U106" s="438" t="s">
        <v>1742</v>
      </c>
      <c r="V106" s="438" t="s">
        <v>1743</v>
      </c>
      <c r="W106" s="438" t="s">
        <v>1744</v>
      </c>
      <c r="X106" s="417">
        <v>30000000</v>
      </c>
      <c r="Y106" s="417">
        <f>6800000</f>
        <v>6800000</v>
      </c>
      <c r="Z106" s="417"/>
      <c r="AA106" s="417"/>
      <c r="AB106" s="422">
        <f t="shared" si="8"/>
        <v>23200000</v>
      </c>
      <c r="AC106" s="448" t="s">
        <v>1745</v>
      </c>
      <c r="AD106" s="415"/>
      <c r="AE106" s="408">
        <v>20</v>
      </c>
      <c r="AF106" s="409" t="s">
        <v>132</v>
      </c>
      <c r="AG106" s="418">
        <v>50</v>
      </c>
      <c r="AH106" s="418"/>
      <c r="AI106" s="418"/>
      <c r="AJ106" s="418"/>
      <c r="AK106" s="418">
        <v>25</v>
      </c>
      <c r="AL106" s="418">
        <v>25</v>
      </c>
      <c r="AM106" s="418"/>
      <c r="AN106" s="418"/>
      <c r="AO106" s="418"/>
      <c r="AP106" s="418"/>
      <c r="AQ106" s="418"/>
      <c r="AR106" s="418"/>
      <c r="AS106" s="418"/>
      <c r="AT106" s="418"/>
      <c r="AU106" s="418"/>
      <c r="AV106" s="51">
        <f t="shared" si="15"/>
        <v>50</v>
      </c>
      <c r="AW106" s="293">
        <v>45292</v>
      </c>
      <c r="AX106" s="293">
        <v>45657</v>
      </c>
      <c r="AY106" s="402" t="s">
        <v>1507</v>
      </c>
    </row>
    <row r="107" spans="1:51" s="444" customFormat="1" ht="105.75" customHeight="1" x14ac:dyDescent="0.25">
      <c r="A107" s="437">
        <v>2</v>
      </c>
      <c r="B107" s="438" t="s">
        <v>2536</v>
      </c>
      <c r="C107" s="439">
        <v>17</v>
      </c>
      <c r="D107" s="438" t="s">
        <v>1240</v>
      </c>
      <c r="E107" s="439">
        <v>1702</v>
      </c>
      <c r="F107" s="438" t="s">
        <v>1738</v>
      </c>
      <c r="G107" s="439">
        <v>1702011</v>
      </c>
      <c r="H107" s="438" t="s">
        <v>1739</v>
      </c>
      <c r="I107" s="439">
        <v>1702011</v>
      </c>
      <c r="J107" s="438" t="s">
        <v>1739</v>
      </c>
      <c r="K107" s="439">
        <v>170201102</v>
      </c>
      <c r="L107" s="438" t="s">
        <v>1740</v>
      </c>
      <c r="M107" s="439">
        <v>170201102</v>
      </c>
      <c r="N107" s="438" t="s">
        <v>1740</v>
      </c>
      <c r="O107" s="439">
        <v>10</v>
      </c>
      <c r="P107" s="439" t="s">
        <v>285</v>
      </c>
      <c r="Q107" s="440">
        <f t="shared" si="11"/>
        <v>10</v>
      </c>
      <c r="R107" s="441">
        <v>2020003630113</v>
      </c>
      <c r="S107" s="438" t="s">
        <v>1741</v>
      </c>
      <c r="T107" s="447">
        <f>SUM($X$106:$X$107)/SUM($X$106:$X$107)</f>
        <v>1</v>
      </c>
      <c r="U107" s="438" t="s">
        <v>1742</v>
      </c>
      <c r="V107" s="438" t="s">
        <v>1743</v>
      </c>
      <c r="W107" s="438" t="s">
        <v>1746</v>
      </c>
      <c r="X107" s="417">
        <v>30000000</v>
      </c>
      <c r="Y107" s="417"/>
      <c r="Z107" s="417"/>
      <c r="AA107" s="417"/>
      <c r="AB107" s="422">
        <f t="shared" si="8"/>
        <v>30000000</v>
      </c>
      <c r="AC107" s="448" t="s">
        <v>1745</v>
      </c>
      <c r="AD107" s="415"/>
      <c r="AE107" s="408">
        <v>20</v>
      </c>
      <c r="AF107" s="409" t="s">
        <v>132</v>
      </c>
      <c r="AG107" s="418">
        <v>50</v>
      </c>
      <c r="AH107" s="418"/>
      <c r="AI107" s="418"/>
      <c r="AJ107" s="418"/>
      <c r="AK107" s="418">
        <v>25</v>
      </c>
      <c r="AL107" s="418">
        <v>25</v>
      </c>
      <c r="AM107" s="418"/>
      <c r="AN107" s="418"/>
      <c r="AO107" s="418"/>
      <c r="AP107" s="418"/>
      <c r="AQ107" s="418"/>
      <c r="AR107" s="418"/>
      <c r="AS107" s="418"/>
      <c r="AT107" s="418"/>
      <c r="AU107" s="418"/>
      <c r="AV107" s="51">
        <f t="shared" si="15"/>
        <v>50</v>
      </c>
      <c r="AW107" s="293">
        <v>45292</v>
      </c>
      <c r="AX107" s="293">
        <v>45657</v>
      </c>
      <c r="AY107" s="402" t="s">
        <v>1507</v>
      </c>
    </row>
    <row r="108" spans="1:51" ht="108.75" customHeight="1" x14ac:dyDescent="0.25">
      <c r="A108" s="410">
        <v>2</v>
      </c>
      <c r="B108" s="438" t="s">
        <v>2536</v>
      </c>
      <c r="C108" s="412">
        <v>36</v>
      </c>
      <c r="D108" s="411" t="s">
        <v>936</v>
      </c>
      <c r="E108" s="412">
        <v>3604</v>
      </c>
      <c r="F108" s="411" t="s">
        <v>1747</v>
      </c>
      <c r="G108" s="412">
        <v>3604006</v>
      </c>
      <c r="H108" s="411" t="s">
        <v>1748</v>
      </c>
      <c r="I108" s="412">
        <v>3604006</v>
      </c>
      <c r="J108" s="411" t="s">
        <v>1748</v>
      </c>
      <c r="K108" s="412">
        <v>360400600</v>
      </c>
      <c r="L108" s="411" t="s">
        <v>530</v>
      </c>
      <c r="M108" s="412">
        <v>360400600</v>
      </c>
      <c r="N108" s="411" t="s">
        <v>530</v>
      </c>
      <c r="O108" s="412">
        <v>300</v>
      </c>
      <c r="P108" s="412" t="s">
        <v>285</v>
      </c>
      <c r="Q108" s="403">
        <f t="shared" si="11"/>
        <v>300</v>
      </c>
      <c r="R108" s="420">
        <v>2020003630114</v>
      </c>
      <c r="S108" s="411" t="s">
        <v>1749</v>
      </c>
      <c r="T108" s="416">
        <f>SUM($X$108:$X$109)/SUM($X$108:$X$109)</f>
        <v>1</v>
      </c>
      <c r="U108" s="411" t="s">
        <v>1750</v>
      </c>
      <c r="V108" s="411" t="s">
        <v>1559</v>
      </c>
      <c r="W108" s="411" t="s">
        <v>1751</v>
      </c>
      <c r="X108" s="417">
        <v>20000000</v>
      </c>
      <c r="Y108" s="417"/>
      <c r="Z108" s="417"/>
      <c r="AA108" s="417"/>
      <c r="AB108" s="422">
        <f t="shared" si="8"/>
        <v>20000000</v>
      </c>
      <c r="AC108" s="448" t="s">
        <v>1752</v>
      </c>
      <c r="AD108" s="415"/>
      <c r="AE108" s="408">
        <v>20</v>
      </c>
      <c r="AF108" s="409" t="s">
        <v>132</v>
      </c>
      <c r="AG108" s="51">
        <v>104</v>
      </c>
      <c r="AH108" s="51">
        <v>96</v>
      </c>
      <c r="AI108" s="51">
        <v>25</v>
      </c>
      <c r="AJ108" s="51">
        <v>50</v>
      </c>
      <c r="AK108" s="51">
        <v>125</v>
      </c>
      <c r="AL108" s="51" t="s">
        <v>285</v>
      </c>
      <c r="AM108" s="51" t="s">
        <v>285</v>
      </c>
      <c r="AN108" s="51" t="s">
        <v>285</v>
      </c>
      <c r="AO108" s="51" t="s">
        <v>285</v>
      </c>
      <c r="AP108" s="51" t="s">
        <v>285</v>
      </c>
      <c r="AQ108" s="51" t="s">
        <v>285</v>
      </c>
      <c r="AR108" s="51" t="s">
        <v>285</v>
      </c>
      <c r="AS108" s="51" t="s">
        <v>285</v>
      </c>
      <c r="AT108" s="51" t="s">
        <v>285</v>
      </c>
      <c r="AU108" s="51" t="s">
        <v>285</v>
      </c>
      <c r="AV108" s="51">
        <f t="shared" si="15"/>
        <v>200</v>
      </c>
      <c r="AW108" s="293">
        <v>45292</v>
      </c>
      <c r="AX108" s="293">
        <v>45657</v>
      </c>
      <c r="AY108" s="402" t="s">
        <v>1507</v>
      </c>
    </row>
    <row r="109" spans="1:51" ht="89.25" customHeight="1" x14ac:dyDescent="0.25">
      <c r="A109" s="410">
        <v>2</v>
      </c>
      <c r="B109" s="438" t="s">
        <v>2536</v>
      </c>
      <c r="C109" s="412">
        <v>36</v>
      </c>
      <c r="D109" s="411" t="s">
        <v>936</v>
      </c>
      <c r="E109" s="412">
        <v>3604</v>
      </c>
      <c r="F109" s="411" t="s">
        <v>1747</v>
      </c>
      <c r="G109" s="412">
        <v>3604006</v>
      </c>
      <c r="H109" s="411" t="s">
        <v>1748</v>
      </c>
      <c r="I109" s="412">
        <v>3604006</v>
      </c>
      <c r="J109" s="411" t="s">
        <v>1748</v>
      </c>
      <c r="K109" s="412">
        <v>360400600</v>
      </c>
      <c r="L109" s="411" t="s">
        <v>530</v>
      </c>
      <c r="M109" s="412">
        <v>360400600</v>
      </c>
      <c r="N109" s="411" t="s">
        <v>530</v>
      </c>
      <c r="O109" s="412">
        <v>300</v>
      </c>
      <c r="P109" s="412" t="s">
        <v>285</v>
      </c>
      <c r="Q109" s="403">
        <f t="shared" si="11"/>
        <v>300</v>
      </c>
      <c r="R109" s="420">
        <v>2020003630114</v>
      </c>
      <c r="S109" s="411" t="s">
        <v>1749</v>
      </c>
      <c r="T109" s="416">
        <f>SUM($X$108:$X$109)/SUM($X$108:$X$109)</f>
        <v>1</v>
      </c>
      <c r="U109" s="411" t="s">
        <v>1750</v>
      </c>
      <c r="V109" s="411" t="s">
        <v>1559</v>
      </c>
      <c r="W109" s="411" t="s">
        <v>1753</v>
      </c>
      <c r="X109" s="417">
        <v>25000000</v>
      </c>
      <c r="Y109" s="417"/>
      <c r="Z109" s="417"/>
      <c r="AA109" s="417"/>
      <c r="AB109" s="422">
        <f t="shared" si="8"/>
        <v>25000000</v>
      </c>
      <c r="AC109" s="448" t="s">
        <v>1752</v>
      </c>
      <c r="AD109" s="415"/>
      <c r="AE109" s="408">
        <v>20</v>
      </c>
      <c r="AF109" s="409" t="s">
        <v>132</v>
      </c>
      <c r="AG109" s="51">
        <v>104</v>
      </c>
      <c r="AH109" s="51">
        <v>96</v>
      </c>
      <c r="AI109" s="51">
        <v>25</v>
      </c>
      <c r="AJ109" s="51">
        <v>50</v>
      </c>
      <c r="AK109" s="51">
        <v>125</v>
      </c>
      <c r="AL109" s="51" t="s">
        <v>285</v>
      </c>
      <c r="AM109" s="51" t="s">
        <v>285</v>
      </c>
      <c r="AN109" s="51" t="s">
        <v>285</v>
      </c>
      <c r="AO109" s="51" t="s">
        <v>285</v>
      </c>
      <c r="AP109" s="51" t="s">
        <v>285</v>
      </c>
      <c r="AQ109" s="51" t="s">
        <v>285</v>
      </c>
      <c r="AR109" s="51" t="s">
        <v>285</v>
      </c>
      <c r="AS109" s="51" t="s">
        <v>285</v>
      </c>
      <c r="AT109" s="51" t="s">
        <v>285</v>
      </c>
      <c r="AU109" s="51" t="s">
        <v>285</v>
      </c>
      <c r="AV109" s="51">
        <f t="shared" si="15"/>
        <v>200</v>
      </c>
      <c r="AW109" s="293">
        <v>45292</v>
      </c>
      <c r="AX109" s="293">
        <v>45657</v>
      </c>
      <c r="AY109" s="402" t="s">
        <v>1507</v>
      </c>
    </row>
    <row r="110" spans="1:51" ht="89.25" customHeight="1" x14ac:dyDescent="0.25">
      <c r="A110" s="410">
        <v>4</v>
      </c>
      <c r="B110" s="411" t="s">
        <v>2842</v>
      </c>
      <c r="C110" s="412">
        <v>45</v>
      </c>
      <c r="D110" s="411" t="s">
        <v>1754</v>
      </c>
      <c r="E110" s="412">
        <v>4502</v>
      </c>
      <c r="F110" s="411" t="s">
        <v>1755</v>
      </c>
      <c r="G110" s="412">
        <v>4502001</v>
      </c>
      <c r="H110" s="411" t="s">
        <v>162</v>
      </c>
      <c r="I110" s="412">
        <v>4502001</v>
      </c>
      <c r="J110" s="411" t="s">
        <v>162</v>
      </c>
      <c r="K110" s="412" t="s">
        <v>70</v>
      </c>
      <c r="L110" s="411" t="s">
        <v>1756</v>
      </c>
      <c r="M110" s="412">
        <v>450200108</v>
      </c>
      <c r="N110" s="411" t="s">
        <v>1757</v>
      </c>
      <c r="O110" s="412">
        <v>1</v>
      </c>
      <c r="P110" s="412">
        <v>1</v>
      </c>
      <c r="Q110" s="403">
        <f t="shared" si="11"/>
        <v>2</v>
      </c>
      <c r="R110" s="420">
        <v>2020003630115</v>
      </c>
      <c r="S110" s="411" t="s">
        <v>1758</v>
      </c>
      <c r="T110" s="416">
        <f>SUM($X$110:$X$110)/SUM($X$110:$X$110)</f>
        <v>1</v>
      </c>
      <c r="U110" s="411" t="s">
        <v>1759</v>
      </c>
      <c r="V110" s="411" t="s">
        <v>1559</v>
      </c>
      <c r="W110" s="411" t="s">
        <v>1760</v>
      </c>
      <c r="X110" s="449">
        <v>30000000</v>
      </c>
      <c r="Y110" s="703"/>
      <c r="Z110" s="703"/>
      <c r="AA110" s="703"/>
      <c r="AB110" s="422">
        <f t="shared" si="8"/>
        <v>30000000</v>
      </c>
      <c r="AC110" s="412" t="s">
        <v>1761</v>
      </c>
      <c r="AD110" s="415"/>
      <c r="AE110" s="408">
        <v>20</v>
      </c>
      <c r="AF110" s="409" t="s">
        <v>132</v>
      </c>
      <c r="AG110" s="51">
        <v>400</v>
      </c>
      <c r="AH110" s="51">
        <v>0</v>
      </c>
      <c r="AI110" s="51" t="s">
        <v>285</v>
      </c>
      <c r="AJ110" s="51" t="s">
        <v>285</v>
      </c>
      <c r="AK110" s="51">
        <v>400</v>
      </c>
      <c r="AL110" s="51" t="s">
        <v>285</v>
      </c>
      <c r="AM110" s="51" t="s">
        <v>285</v>
      </c>
      <c r="AN110" s="51" t="s">
        <v>285</v>
      </c>
      <c r="AO110" s="51" t="s">
        <v>285</v>
      </c>
      <c r="AP110" s="51" t="s">
        <v>285</v>
      </c>
      <c r="AQ110" s="51" t="s">
        <v>285</v>
      </c>
      <c r="AR110" s="51" t="s">
        <v>285</v>
      </c>
      <c r="AS110" s="51" t="s">
        <v>285</v>
      </c>
      <c r="AT110" s="51" t="s">
        <v>285</v>
      </c>
      <c r="AU110" s="51" t="s">
        <v>285</v>
      </c>
      <c r="AV110" s="51">
        <f t="shared" si="15"/>
        <v>400</v>
      </c>
      <c r="AW110" s="293">
        <v>45292</v>
      </c>
      <c r="AX110" s="293">
        <v>45657</v>
      </c>
      <c r="AY110" s="402" t="s">
        <v>1507</v>
      </c>
    </row>
    <row r="111" spans="1:51" ht="108.75" customHeight="1" x14ac:dyDescent="0.25">
      <c r="A111" s="410">
        <v>4</v>
      </c>
      <c r="B111" s="411" t="s">
        <v>2842</v>
      </c>
      <c r="C111" s="412">
        <v>45</v>
      </c>
      <c r="D111" s="411" t="s">
        <v>1754</v>
      </c>
      <c r="E111" s="412">
        <v>4502</v>
      </c>
      <c r="F111" s="411" t="s">
        <v>1755</v>
      </c>
      <c r="G111" s="412" t="s">
        <v>70</v>
      </c>
      <c r="H111" s="411" t="s">
        <v>1762</v>
      </c>
      <c r="I111" s="412">
        <v>4502038</v>
      </c>
      <c r="J111" s="411" t="s">
        <v>1763</v>
      </c>
      <c r="K111" s="412" t="s">
        <v>70</v>
      </c>
      <c r="L111" s="411" t="s">
        <v>1764</v>
      </c>
      <c r="M111" s="412">
        <v>450203800</v>
      </c>
      <c r="N111" s="411" t="s">
        <v>1765</v>
      </c>
      <c r="O111" s="412">
        <v>1</v>
      </c>
      <c r="P111" s="412" t="s">
        <v>285</v>
      </c>
      <c r="Q111" s="403">
        <f t="shared" si="11"/>
        <v>1</v>
      </c>
      <c r="R111" s="420">
        <v>2021003630008</v>
      </c>
      <c r="S111" s="411" t="s">
        <v>1766</v>
      </c>
      <c r="T111" s="416">
        <f>SUM($X$111:$X$115)/SUM($X$111:$X$115)</f>
        <v>1</v>
      </c>
      <c r="U111" s="411" t="s">
        <v>1767</v>
      </c>
      <c r="V111" s="411" t="s">
        <v>1768</v>
      </c>
      <c r="W111" s="411" t="s">
        <v>1769</v>
      </c>
      <c r="X111" s="450">
        <v>60000000</v>
      </c>
      <c r="Y111" s="450">
        <f>3300000+5000000+2500000+10000000+7400000+1050000+1050000+10000000+5600000+3300000</f>
        <v>49200000</v>
      </c>
      <c r="Z111" s="450"/>
      <c r="AA111" s="450"/>
      <c r="AB111" s="422">
        <f t="shared" si="8"/>
        <v>10800000</v>
      </c>
      <c r="AC111" s="448" t="s">
        <v>1770</v>
      </c>
      <c r="AD111" s="415"/>
      <c r="AE111" s="408">
        <v>20</v>
      </c>
      <c r="AF111" s="409" t="s">
        <v>132</v>
      </c>
      <c r="AG111" s="418">
        <v>1715</v>
      </c>
      <c r="AH111" s="418">
        <v>0</v>
      </c>
      <c r="AI111" s="318">
        <v>500</v>
      </c>
      <c r="AJ111" s="318">
        <v>15</v>
      </c>
      <c r="AK111" s="318">
        <v>900</v>
      </c>
      <c r="AL111" s="318">
        <v>235</v>
      </c>
      <c r="AM111" s="318">
        <v>15</v>
      </c>
      <c r="AN111" s="318">
        <v>15</v>
      </c>
      <c r="AO111" s="318" t="s">
        <v>1506</v>
      </c>
      <c r="AP111" s="318" t="s">
        <v>1506</v>
      </c>
      <c r="AQ111" s="318" t="s">
        <v>1506</v>
      </c>
      <c r="AR111" s="318" t="s">
        <v>1506</v>
      </c>
      <c r="AS111" s="318">
        <v>10</v>
      </c>
      <c r="AT111" s="318">
        <v>15</v>
      </c>
      <c r="AU111" s="318">
        <v>10</v>
      </c>
      <c r="AV111" s="51">
        <f t="shared" si="15"/>
        <v>1715</v>
      </c>
      <c r="AW111" s="293">
        <v>45292</v>
      </c>
      <c r="AX111" s="293">
        <v>45657</v>
      </c>
      <c r="AY111" s="402" t="s">
        <v>1507</v>
      </c>
    </row>
    <row r="112" spans="1:51" ht="108.75" customHeight="1" x14ac:dyDescent="0.25">
      <c r="A112" s="410">
        <v>4</v>
      </c>
      <c r="B112" s="411" t="s">
        <v>2842</v>
      </c>
      <c r="C112" s="412">
        <v>45</v>
      </c>
      <c r="D112" s="411" t="s">
        <v>1754</v>
      </c>
      <c r="E112" s="412">
        <v>4502</v>
      </c>
      <c r="F112" s="411" t="s">
        <v>1755</v>
      </c>
      <c r="G112" s="412" t="s">
        <v>70</v>
      </c>
      <c r="H112" s="411" t="s">
        <v>1762</v>
      </c>
      <c r="I112" s="412">
        <v>4502038</v>
      </c>
      <c r="J112" s="411" t="s">
        <v>1763</v>
      </c>
      <c r="K112" s="412" t="s">
        <v>70</v>
      </c>
      <c r="L112" s="411" t="s">
        <v>1764</v>
      </c>
      <c r="M112" s="412">
        <v>450203800</v>
      </c>
      <c r="N112" s="411" t="s">
        <v>1765</v>
      </c>
      <c r="O112" s="412">
        <v>1</v>
      </c>
      <c r="P112" s="412" t="s">
        <v>285</v>
      </c>
      <c r="Q112" s="403">
        <f t="shared" si="11"/>
        <v>1</v>
      </c>
      <c r="R112" s="420">
        <v>2021003630008</v>
      </c>
      <c r="S112" s="411" t="s">
        <v>1766</v>
      </c>
      <c r="T112" s="416">
        <f>SUM($X$111:$X$115)/SUM($X$111:$X$115)</f>
        <v>1</v>
      </c>
      <c r="U112" s="411" t="s">
        <v>1767</v>
      </c>
      <c r="V112" s="411" t="s">
        <v>1768</v>
      </c>
      <c r="W112" s="411" t="s">
        <v>1771</v>
      </c>
      <c r="X112" s="451">
        <v>40000000</v>
      </c>
      <c r="Y112" s="451">
        <f>2800000+5600000+7400000</f>
        <v>15800000</v>
      </c>
      <c r="Z112" s="451"/>
      <c r="AA112" s="451"/>
      <c r="AB112" s="422">
        <f t="shared" si="8"/>
        <v>24200000</v>
      </c>
      <c r="AC112" s="448" t="s">
        <v>1770</v>
      </c>
      <c r="AD112" s="415"/>
      <c r="AE112" s="408">
        <v>20</v>
      </c>
      <c r="AF112" s="409" t="s">
        <v>132</v>
      </c>
      <c r="AG112" s="418">
        <v>1715</v>
      </c>
      <c r="AH112" s="418">
        <v>0</v>
      </c>
      <c r="AI112" s="318">
        <v>500</v>
      </c>
      <c r="AJ112" s="318">
        <v>15</v>
      </c>
      <c r="AK112" s="318">
        <v>900</v>
      </c>
      <c r="AL112" s="318">
        <v>235</v>
      </c>
      <c r="AM112" s="318">
        <v>15</v>
      </c>
      <c r="AN112" s="318">
        <v>15</v>
      </c>
      <c r="AO112" s="318" t="s">
        <v>1506</v>
      </c>
      <c r="AP112" s="318" t="s">
        <v>1506</v>
      </c>
      <c r="AQ112" s="318" t="s">
        <v>1506</v>
      </c>
      <c r="AR112" s="318" t="s">
        <v>1506</v>
      </c>
      <c r="AS112" s="318">
        <v>10</v>
      </c>
      <c r="AT112" s="318">
        <v>15</v>
      </c>
      <c r="AU112" s="318">
        <v>10</v>
      </c>
      <c r="AV112" s="51">
        <f t="shared" si="15"/>
        <v>1715</v>
      </c>
      <c r="AW112" s="293">
        <v>45292</v>
      </c>
      <c r="AX112" s="293">
        <v>45657</v>
      </c>
      <c r="AY112" s="402" t="s">
        <v>1507</v>
      </c>
    </row>
    <row r="113" spans="1:71" ht="87.75" customHeight="1" x14ac:dyDescent="0.25">
      <c r="A113" s="410">
        <v>4</v>
      </c>
      <c r="B113" s="411" t="s">
        <v>2842</v>
      </c>
      <c r="C113" s="412">
        <v>45</v>
      </c>
      <c r="D113" s="411" t="s">
        <v>1754</v>
      </c>
      <c r="E113" s="412">
        <v>4502</v>
      </c>
      <c r="F113" s="411" t="s">
        <v>1755</v>
      </c>
      <c r="G113" s="412" t="s">
        <v>70</v>
      </c>
      <c r="H113" s="411" t="s">
        <v>1762</v>
      </c>
      <c r="I113" s="412">
        <v>4502038</v>
      </c>
      <c r="J113" s="411" t="s">
        <v>1763</v>
      </c>
      <c r="K113" s="412" t="s">
        <v>70</v>
      </c>
      <c r="L113" s="411" t="s">
        <v>1764</v>
      </c>
      <c r="M113" s="412">
        <v>450203800</v>
      </c>
      <c r="N113" s="411" t="s">
        <v>1765</v>
      </c>
      <c r="O113" s="412">
        <v>1</v>
      </c>
      <c r="P113" s="412" t="s">
        <v>285</v>
      </c>
      <c r="Q113" s="403">
        <f t="shared" si="11"/>
        <v>1</v>
      </c>
      <c r="R113" s="420">
        <v>2021003630008</v>
      </c>
      <c r="S113" s="411" t="s">
        <v>1766</v>
      </c>
      <c r="T113" s="416">
        <f>SUM($X$111:$X$115)/SUM($X$111:$X$115)</f>
        <v>1</v>
      </c>
      <c r="U113" s="411" t="s">
        <v>1767</v>
      </c>
      <c r="V113" s="411" t="s">
        <v>1768</v>
      </c>
      <c r="W113" s="411" t="s">
        <v>1772</v>
      </c>
      <c r="X113" s="451">
        <v>5000000</v>
      </c>
      <c r="Y113" s="451"/>
      <c r="Z113" s="451"/>
      <c r="AA113" s="451"/>
      <c r="AB113" s="422">
        <f t="shared" si="8"/>
        <v>5000000</v>
      </c>
      <c r="AC113" s="448" t="s">
        <v>1773</v>
      </c>
      <c r="AD113" s="409"/>
      <c r="AE113" s="408">
        <v>20</v>
      </c>
      <c r="AF113" s="409" t="s">
        <v>132</v>
      </c>
      <c r="AG113" s="418">
        <v>1715</v>
      </c>
      <c r="AH113" s="418">
        <v>0</v>
      </c>
      <c r="AI113" s="318">
        <v>500</v>
      </c>
      <c r="AJ113" s="318">
        <v>15</v>
      </c>
      <c r="AK113" s="318">
        <v>900</v>
      </c>
      <c r="AL113" s="318">
        <v>235</v>
      </c>
      <c r="AM113" s="318">
        <v>15</v>
      </c>
      <c r="AN113" s="318">
        <v>15</v>
      </c>
      <c r="AO113" s="318" t="s">
        <v>1506</v>
      </c>
      <c r="AP113" s="318" t="s">
        <v>1506</v>
      </c>
      <c r="AQ113" s="318" t="s">
        <v>1506</v>
      </c>
      <c r="AR113" s="318" t="s">
        <v>1506</v>
      </c>
      <c r="AS113" s="318">
        <v>10</v>
      </c>
      <c r="AT113" s="318">
        <v>15</v>
      </c>
      <c r="AU113" s="318">
        <v>10</v>
      </c>
      <c r="AV113" s="51">
        <f t="shared" si="15"/>
        <v>1715</v>
      </c>
      <c r="AW113" s="293">
        <v>45292</v>
      </c>
      <c r="AX113" s="293">
        <v>45657</v>
      </c>
      <c r="AY113" s="402" t="s">
        <v>1507</v>
      </c>
    </row>
    <row r="114" spans="1:71" ht="87.75" customHeight="1" x14ac:dyDescent="0.25">
      <c r="A114" s="410">
        <v>4</v>
      </c>
      <c r="B114" s="411" t="s">
        <v>2842</v>
      </c>
      <c r="C114" s="412">
        <v>45</v>
      </c>
      <c r="D114" s="411" t="s">
        <v>1754</v>
      </c>
      <c r="E114" s="412">
        <v>4502</v>
      </c>
      <c r="F114" s="411" t="s">
        <v>1755</v>
      </c>
      <c r="G114" s="412" t="s">
        <v>70</v>
      </c>
      <c r="H114" s="411" t="s">
        <v>1762</v>
      </c>
      <c r="I114" s="412">
        <v>4502038</v>
      </c>
      <c r="J114" s="411" t="s">
        <v>1763</v>
      </c>
      <c r="K114" s="412" t="s">
        <v>70</v>
      </c>
      <c r="L114" s="411" t="s">
        <v>1764</v>
      </c>
      <c r="M114" s="412">
        <v>450203800</v>
      </c>
      <c r="N114" s="411" t="s">
        <v>1765</v>
      </c>
      <c r="O114" s="412">
        <v>1</v>
      </c>
      <c r="P114" s="412" t="s">
        <v>285</v>
      </c>
      <c r="Q114" s="403">
        <f>SUM(O114:P114)</f>
        <v>1</v>
      </c>
      <c r="R114" s="420">
        <v>2021003630008</v>
      </c>
      <c r="S114" s="411" t="s">
        <v>1766</v>
      </c>
      <c r="T114" s="416">
        <f>SUM($X$111:$X$115)/SUM($X$111:$X$115)</f>
        <v>1</v>
      </c>
      <c r="U114" s="411" t="s">
        <v>1767</v>
      </c>
      <c r="V114" s="411" t="s">
        <v>1768</v>
      </c>
      <c r="W114" s="411" t="s">
        <v>1774</v>
      </c>
      <c r="X114" s="451">
        <v>30000000</v>
      </c>
      <c r="Y114" s="451">
        <f>16800000</f>
        <v>16800000</v>
      </c>
      <c r="Z114" s="451"/>
      <c r="AA114" s="451"/>
      <c r="AB114" s="422">
        <f t="shared" ref="AB114:AB125" si="18">X114-Y114+Z114-AA114</f>
        <v>13200000</v>
      </c>
      <c r="AC114" s="448" t="s">
        <v>1770</v>
      </c>
      <c r="AD114" s="415"/>
      <c r="AE114" s="408">
        <v>20</v>
      </c>
      <c r="AF114" s="409" t="s">
        <v>132</v>
      </c>
      <c r="AG114" s="418">
        <v>1715</v>
      </c>
      <c r="AH114" s="418">
        <v>0</v>
      </c>
      <c r="AI114" s="318">
        <v>500</v>
      </c>
      <c r="AJ114" s="318">
        <v>15</v>
      </c>
      <c r="AK114" s="318">
        <v>900</v>
      </c>
      <c r="AL114" s="318">
        <v>235</v>
      </c>
      <c r="AM114" s="318">
        <v>15</v>
      </c>
      <c r="AN114" s="318">
        <v>15</v>
      </c>
      <c r="AO114" s="318" t="s">
        <v>1506</v>
      </c>
      <c r="AP114" s="318" t="s">
        <v>1506</v>
      </c>
      <c r="AQ114" s="318" t="s">
        <v>1506</v>
      </c>
      <c r="AR114" s="318" t="s">
        <v>1506</v>
      </c>
      <c r="AS114" s="318">
        <v>10</v>
      </c>
      <c r="AT114" s="318">
        <v>15</v>
      </c>
      <c r="AU114" s="318">
        <v>10</v>
      </c>
      <c r="AV114" s="51">
        <f t="shared" si="15"/>
        <v>1715</v>
      </c>
      <c r="AW114" s="293">
        <v>45292</v>
      </c>
      <c r="AX114" s="293">
        <v>45657</v>
      </c>
      <c r="AY114" s="402" t="s">
        <v>1507</v>
      </c>
    </row>
    <row r="115" spans="1:71" ht="100.5" customHeight="1" x14ac:dyDescent="0.25">
      <c r="A115" s="410">
        <v>4</v>
      </c>
      <c r="B115" s="411" t="s">
        <v>2842</v>
      </c>
      <c r="C115" s="412">
        <v>45</v>
      </c>
      <c r="D115" s="411" t="s">
        <v>1754</v>
      </c>
      <c r="E115" s="412">
        <v>4502</v>
      </c>
      <c r="F115" s="411" t="s">
        <v>1755</v>
      </c>
      <c r="G115" s="412" t="s">
        <v>70</v>
      </c>
      <c r="H115" s="411" t="s">
        <v>1762</v>
      </c>
      <c r="I115" s="412">
        <v>4502038</v>
      </c>
      <c r="J115" s="411" t="s">
        <v>1763</v>
      </c>
      <c r="K115" s="412" t="s">
        <v>70</v>
      </c>
      <c r="L115" s="411" t="s">
        <v>1764</v>
      </c>
      <c r="M115" s="412">
        <v>450203800</v>
      </c>
      <c r="N115" s="411" t="s">
        <v>1765</v>
      </c>
      <c r="O115" s="412">
        <v>1</v>
      </c>
      <c r="P115" s="412" t="s">
        <v>285</v>
      </c>
      <c r="Q115" s="403">
        <f t="shared" si="11"/>
        <v>1</v>
      </c>
      <c r="R115" s="420">
        <v>2021003630008</v>
      </c>
      <c r="S115" s="411" t="s">
        <v>1766</v>
      </c>
      <c r="T115" s="416">
        <f>SUM($X$111:$X$115)/SUM($X$111:$X$115)</f>
        <v>1</v>
      </c>
      <c r="U115" s="411" t="s">
        <v>1767</v>
      </c>
      <c r="V115" s="411" t="s">
        <v>1768</v>
      </c>
      <c r="W115" s="411" t="s">
        <v>1515</v>
      </c>
      <c r="X115" s="451">
        <v>5000000</v>
      </c>
      <c r="Y115" s="451"/>
      <c r="Z115" s="451"/>
      <c r="AA115" s="451"/>
      <c r="AB115" s="422">
        <f t="shared" si="18"/>
        <v>5000000</v>
      </c>
      <c r="AC115" s="448" t="s">
        <v>1775</v>
      </c>
      <c r="AD115" s="415"/>
      <c r="AE115" s="408">
        <v>20</v>
      </c>
      <c r="AF115" s="409" t="s">
        <v>132</v>
      </c>
      <c r="AG115" s="418">
        <v>1715</v>
      </c>
      <c r="AH115" s="418">
        <v>0</v>
      </c>
      <c r="AI115" s="318">
        <v>500</v>
      </c>
      <c r="AJ115" s="318">
        <v>15</v>
      </c>
      <c r="AK115" s="318">
        <v>900</v>
      </c>
      <c r="AL115" s="318">
        <v>235</v>
      </c>
      <c r="AM115" s="318">
        <v>15</v>
      </c>
      <c r="AN115" s="318">
        <v>15</v>
      </c>
      <c r="AO115" s="318" t="s">
        <v>1506</v>
      </c>
      <c r="AP115" s="318" t="s">
        <v>1506</v>
      </c>
      <c r="AQ115" s="318" t="s">
        <v>1506</v>
      </c>
      <c r="AR115" s="318" t="s">
        <v>1506</v>
      </c>
      <c r="AS115" s="318">
        <v>10</v>
      </c>
      <c r="AT115" s="318">
        <v>15</v>
      </c>
      <c r="AU115" s="318">
        <v>10</v>
      </c>
      <c r="AV115" s="51">
        <f t="shared" si="15"/>
        <v>1715</v>
      </c>
      <c r="AW115" s="293">
        <v>45292</v>
      </c>
      <c r="AX115" s="293">
        <v>45657</v>
      </c>
      <c r="AY115" s="402" t="s">
        <v>1507</v>
      </c>
    </row>
    <row r="116" spans="1:71" ht="99.75" customHeight="1" x14ac:dyDescent="0.25">
      <c r="A116" s="410">
        <v>4</v>
      </c>
      <c r="B116" s="411" t="s">
        <v>2842</v>
      </c>
      <c r="C116" s="412">
        <v>45</v>
      </c>
      <c r="D116" s="411" t="s">
        <v>1754</v>
      </c>
      <c r="E116" s="412">
        <v>4502</v>
      </c>
      <c r="F116" s="411" t="s">
        <v>1755</v>
      </c>
      <c r="G116" s="412" t="s">
        <v>70</v>
      </c>
      <c r="H116" s="411" t="s">
        <v>1776</v>
      </c>
      <c r="I116" s="412">
        <v>4502038</v>
      </c>
      <c r="J116" s="411" t="s">
        <v>1763</v>
      </c>
      <c r="K116" s="412" t="s">
        <v>70</v>
      </c>
      <c r="L116" s="411" t="s">
        <v>1777</v>
      </c>
      <c r="M116" s="412">
        <v>450203800</v>
      </c>
      <c r="N116" s="411" t="s">
        <v>1778</v>
      </c>
      <c r="O116" s="412">
        <v>1</v>
      </c>
      <c r="P116" s="412" t="s">
        <v>285</v>
      </c>
      <c r="Q116" s="403">
        <f t="shared" si="11"/>
        <v>1</v>
      </c>
      <c r="R116" s="420">
        <v>2021003630007</v>
      </c>
      <c r="S116" s="411" t="s">
        <v>1779</v>
      </c>
      <c r="T116" s="416">
        <f t="shared" ref="T116:T121" si="19">SUM($X$116:$X$121)/SUM($X$116:$X$121)</f>
        <v>1</v>
      </c>
      <c r="U116" s="411" t="s">
        <v>1780</v>
      </c>
      <c r="V116" s="411" t="s">
        <v>1781</v>
      </c>
      <c r="W116" s="411" t="s">
        <v>1782</v>
      </c>
      <c r="X116" s="429">
        <f>40000000+10000000</f>
        <v>50000000</v>
      </c>
      <c r="Y116" s="429">
        <f>2800000+3300000+5000000+2500000+14800000+3300000</f>
        <v>31700000</v>
      </c>
      <c r="Z116" s="429"/>
      <c r="AA116" s="429"/>
      <c r="AB116" s="422">
        <f t="shared" si="18"/>
        <v>18300000</v>
      </c>
      <c r="AC116" s="406" t="s">
        <v>1783</v>
      </c>
      <c r="AD116" s="415"/>
      <c r="AE116" s="408">
        <v>20</v>
      </c>
      <c r="AF116" s="409" t="s">
        <v>132</v>
      </c>
      <c r="AG116" s="51">
        <v>121</v>
      </c>
      <c r="AH116" s="51">
        <v>176</v>
      </c>
      <c r="AI116" s="51" t="s">
        <v>1506</v>
      </c>
      <c r="AJ116" s="51">
        <v>171</v>
      </c>
      <c r="AK116" s="51">
        <v>121</v>
      </c>
      <c r="AL116" s="51">
        <v>5</v>
      </c>
      <c r="AM116" s="51" t="s">
        <v>1506</v>
      </c>
      <c r="AN116" s="51" t="s">
        <v>285</v>
      </c>
      <c r="AO116" s="51" t="s">
        <v>285</v>
      </c>
      <c r="AP116" s="51" t="s">
        <v>285</v>
      </c>
      <c r="AQ116" s="51" t="s">
        <v>285</v>
      </c>
      <c r="AR116" s="51" t="s">
        <v>285</v>
      </c>
      <c r="AS116" s="51" t="s">
        <v>285</v>
      </c>
      <c r="AT116" s="51" t="s">
        <v>285</v>
      </c>
      <c r="AU116" s="51" t="s">
        <v>285</v>
      </c>
      <c r="AV116" s="51">
        <f t="shared" si="15"/>
        <v>297</v>
      </c>
      <c r="AW116" s="293">
        <v>45292</v>
      </c>
      <c r="AX116" s="293">
        <v>45657</v>
      </c>
      <c r="AY116" s="402" t="s">
        <v>1507</v>
      </c>
    </row>
    <row r="117" spans="1:71" ht="99.75" customHeight="1" x14ac:dyDescent="0.25">
      <c r="A117" s="410">
        <v>4</v>
      </c>
      <c r="B117" s="411" t="s">
        <v>2842</v>
      </c>
      <c r="C117" s="412">
        <v>45</v>
      </c>
      <c r="D117" s="411" t="s">
        <v>1754</v>
      </c>
      <c r="E117" s="412">
        <v>4502</v>
      </c>
      <c r="F117" s="411" t="s">
        <v>1755</v>
      </c>
      <c r="G117" s="412" t="s">
        <v>70</v>
      </c>
      <c r="H117" s="411" t="s">
        <v>1776</v>
      </c>
      <c r="I117" s="412">
        <v>4502038</v>
      </c>
      <c r="J117" s="411" t="s">
        <v>1763</v>
      </c>
      <c r="K117" s="412" t="s">
        <v>70</v>
      </c>
      <c r="L117" s="411" t="s">
        <v>1777</v>
      </c>
      <c r="M117" s="412">
        <v>450203800</v>
      </c>
      <c r="N117" s="411" t="s">
        <v>1778</v>
      </c>
      <c r="O117" s="412">
        <v>1</v>
      </c>
      <c r="P117" s="412" t="s">
        <v>285</v>
      </c>
      <c r="Q117" s="403">
        <f>SUM(O117:P117)</f>
        <v>1</v>
      </c>
      <c r="R117" s="420">
        <v>2021003630007</v>
      </c>
      <c r="S117" s="411" t="s">
        <v>1779</v>
      </c>
      <c r="T117" s="416">
        <f t="shared" si="19"/>
        <v>1</v>
      </c>
      <c r="U117" s="411" t="s">
        <v>1780</v>
      </c>
      <c r="V117" s="411" t="s">
        <v>1781</v>
      </c>
      <c r="W117" s="411" t="s">
        <v>1784</v>
      </c>
      <c r="X117" s="429">
        <v>30000000</v>
      </c>
      <c r="Y117" s="429">
        <f>16800000</f>
        <v>16800000</v>
      </c>
      <c r="Z117" s="429"/>
      <c r="AA117" s="429"/>
      <c r="AB117" s="422">
        <f t="shared" si="18"/>
        <v>13200000</v>
      </c>
      <c r="AC117" s="406" t="s">
        <v>1783</v>
      </c>
      <c r="AD117" s="415"/>
      <c r="AE117" s="408">
        <v>20</v>
      </c>
      <c r="AF117" s="409" t="s">
        <v>132</v>
      </c>
      <c r="AG117" s="51">
        <v>121</v>
      </c>
      <c r="AH117" s="51">
        <v>176</v>
      </c>
      <c r="AI117" s="51" t="s">
        <v>1506</v>
      </c>
      <c r="AJ117" s="51">
        <v>171</v>
      </c>
      <c r="AK117" s="51">
        <v>121</v>
      </c>
      <c r="AL117" s="51">
        <v>5</v>
      </c>
      <c r="AM117" s="51" t="s">
        <v>1506</v>
      </c>
      <c r="AN117" s="51" t="s">
        <v>285</v>
      </c>
      <c r="AO117" s="51" t="s">
        <v>285</v>
      </c>
      <c r="AP117" s="51" t="s">
        <v>285</v>
      </c>
      <c r="AQ117" s="51" t="s">
        <v>285</v>
      </c>
      <c r="AR117" s="51" t="s">
        <v>285</v>
      </c>
      <c r="AS117" s="51" t="s">
        <v>285</v>
      </c>
      <c r="AT117" s="51" t="s">
        <v>285</v>
      </c>
      <c r="AU117" s="51" t="s">
        <v>285</v>
      </c>
      <c r="AV117" s="51">
        <f t="shared" si="15"/>
        <v>297</v>
      </c>
      <c r="AW117" s="293">
        <v>45292</v>
      </c>
      <c r="AX117" s="293">
        <v>45657</v>
      </c>
      <c r="AY117" s="402" t="s">
        <v>1507</v>
      </c>
    </row>
    <row r="118" spans="1:71" ht="99.75" customHeight="1" x14ac:dyDescent="0.25">
      <c r="A118" s="410">
        <v>4</v>
      </c>
      <c r="B118" s="411" t="s">
        <v>2842</v>
      </c>
      <c r="C118" s="412">
        <v>45</v>
      </c>
      <c r="D118" s="411" t="s">
        <v>1754</v>
      </c>
      <c r="E118" s="412">
        <v>4502</v>
      </c>
      <c r="F118" s="411" t="s">
        <v>1755</v>
      </c>
      <c r="G118" s="412" t="s">
        <v>70</v>
      </c>
      <c r="H118" s="411" t="s">
        <v>1776</v>
      </c>
      <c r="I118" s="412">
        <v>4502038</v>
      </c>
      <c r="J118" s="411" t="s">
        <v>1763</v>
      </c>
      <c r="K118" s="412" t="s">
        <v>70</v>
      </c>
      <c r="L118" s="411" t="s">
        <v>1777</v>
      </c>
      <c r="M118" s="412">
        <v>450203800</v>
      </c>
      <c r="N118" s="411" t="s">
        <v>1778</v>
      </c>
      <c r="O118" s="412">
        <v>1</v>
      </c>
      <c r="P118" s="412" t="s">
        <v>285</v>
      </c>
      <c r="Q118" s="403">
        <f>SUM(O118:P118)</f>
        <v>1</v>
      </c>
      <c r="R118" s="420">
        <v>2021003630007</v>
      </c>
      <c r="S118" s="411" t="s">
        <v>1779</v>
      </c>
      <c r="T118" s="416">
        <f t="shared" si="19"/>
        <v>1</v>
      </c>
      <c r="U118" s="411" t="s">
        <v>1780</v>
      </c>
      <c r="V118" s="411" t="s">
        <v>1781</v>
      </c>
      <c r="W118" s="411" t="s">
        <v>1785</v>
      </c>
      <c r="X118" s="429">
        <v>22000000</v>
      </c>
      <c r="Y118" s="429">
        <f>1050000+1050000</f>
        <v>2100000</v>
      </c>
      <c r="Z118" s="429"/>
      <c r="AA118" s="429"/>
      <c r="AB118" s="422">
        <f t="shared" si="18"/>
        <v>19900000</v>
      </c>
      <c r="AC118" s="406" t="s">
        <v>1783</v>
      </c>
      <c r="AD118" s="415"/>
      <c r="AE118" s="408">
        <v>20</v>
      </c>
      <c r="AF118" s="409" t="s">
        <v>132</v>
      </c>
      <c r="AG118" s="51">
        <v>121</v>
      </c>
      <c r="AH118" s="51">
        <v>176</v>
      </c>
      <c r="AI118" s="51" t="s">
        <v>1506</v>
      </c>
      <c r="AJ118" s="51">
        <v>171</v>
      </c>
      <c r="AK118" s="51">
        <v>121</v>
      </c>
      <c r="AL118" s="51">
        <v>5</v>
      </c>
      <c r="AM118" s="51" t="s">
        <v>1506</v>
      </c>
      <c r="AN118" s="51" t="s">
        <v>285</v>
      </c>
      <c r="AO118" s="51" t="s">
        <v>285</v>
      </c>
      <c r="AP118" s="51" t="s">
        <v>285</v>
      </c>
      <c r="AQ118" s="51" t="s">
        <v>285</v>
      </c>
      <c r="AR118" s="51" t="s">
        <v>285</v>
      </c>
      <c r="AS118" s="51" t="s">
        <v>285</v>
      </c>
      <c r="AT118" s="51" t="s">
        <v>285</v>
      </c>
      <c r="AU118" s="51" t="s">
        <v>285</v>
      </c>
      <c r="AV118" s="51">
        <f t="shared" si="15"/>
        <v>297</v>
      </c>
      <c r="AW118" s="293">
        <v>45292</v>
      </c>
      <c r="AX118" s="293">
        <v>45657</v>
      </c>
      <c r="AY118" s="402" t="s">
        <v>1507</v>
      </c>
    </row>
    <row r="119" spans="1:71" ht="67.5" customHeight="1" x14ac:dyDescent="0.25">
      <c r="A119" s="410">
        <v>4</v>
      </c>
      <c r="B119" s="411" t="s">
        <v>2842</v>
      </c>
      <c r="C119" s="412">
        <v>45</v>
      </c>
      <c r="D119" s="411" t="s">
        <v>1754</v>
      </c>
      <c r="E119" s="412">
        <v>4502</v>
      </c>
      <c r="F119" s="411" t="s">
        <v>1755</v>
      </c>
      <c r="G119" s="412" t="s">
        <v>70</v>
      </c>
      <c r="H119" s="411" t="s">
        <v>1776</v>
      </c>
      <c r="I119" s="412">
        <v>4502038</v>
      </c>
      <c r="J119" s="411" t="s">
        <v>1763</v>
      </c>
      <c r="K119" s="412" t="s">
        <v>70</v>
      </c>
      <c r="L119" s="411" t="s">
        <v>1777</v>
      </c>
      <c r="M119" s="412">
        <v>450203800</v>
      </c>
      <c r="N119" s="411" t="s">
        <v>1778</v>
      </c>
      <c r="O119" s="412">
        <v>1</v>
      </c>
      <c r="P119" s="412" t="s">
        <v>285</v>
      </c>
      <c r="Q119" s="403">
        <f t="shared" si="11"/>
        <v>1</v>
      </c>
      <c r="R119" s="420">
        <v>2021003630007</v>
      </c>
      <c r="S119" s="411" t="s">
        <v>1779</v>
      </c>
      <c r="T119" s="416">
        <f t="shared" si="19"/>
        <v>1</v>
      </c>
      <c r="U119" s="411" t="s">
        <v>1780</v>
      </c>
      <c r="V119" s="411" t="s">
        <v>1781</v>
      </c>
      <c r="W119" s="411" t="s">
        <v>1786</v>
      </c>
      <c r="X119" s="778">
        <f>20000000+5000000</f>
        <v>25000000</v>
      </c>
      <c r="Y119" s="429"/>
      <c r="Z119" s="429"/>
      <c r="AA119" s="429"/>
      <c r="AB119" s="422">
        <f t="shared" si="18"/>
        <v>25000000</v>
      </c>
      <c r="AC119" s="406" t="s">
        <v>1783</v>
      </c>
      <c r="AD119" s="415"/>
      <c r="AE119" s="408">
        <v>20</v>
      </c>
      <c r="AF119" s="409" t="s">
        <v>132</v>
      </c>
      <c r="AG119" s="51">
        <v>121</v>
      </c>
      <c r="AH119" s="51">
        <v>176</v>
      </c>
      <c r="AI119" s="51" t="s">
        <v>1506</v>
      </c>
      <c r="AJ119" s="51">
        <v>171</v>
      </c>
      <c r="AK119" s="51">
        <v>121</v>
      </c>
      <c r="AL119" s="51">
        <v>5</v>
      </c>
      <c r="AM119" s="51" t="s">
        <v>1506</v>
      </c>
      <c r="AN119" s="51" t="s">
        <v>285</v>
      </c>
      <c r="AO119" s="51" t="s">
        <v>285</v>
      </c>
      <c r="AP119" s="51" t="s">
        <v>285</v>
      </c>
      <c r="AQ119" s="51" t="s">
        <v>285</v>
      </c>
      <c r="AR119" s="51" t="s">
        <v>285</v>
      </c>
      <c r="AS119" s="51" t="s">
        <v>285</v>
      </c>
      <c r="AT119" s="51" t="s">
        <v>285</v>
      </c>
      <c r="AU119" s="51" t="s">
        <v>285</v>
      </c>
      <c r="AV119" s="51">
        <f t="shared" si="15"/>
        <v>297</v>
      </c>
      <c r="AW119" s="293">
        <v>45292</v>
      </c>
      <c r="AX119" s="293">
        <v>45657</v>
      </c>
      <c r="AY119" s="402" t="s">
        <v>1507</v>
      </c>
    </row>
    <row r="120" spans="1:71" ht="117.75" customHeight="1" x14ac:dyDescent="0.25">
      <c r="A120" s="410">
        <v>4</v>
      </c>
      <c r="B120" s="411" t="s">
        <v>2842</v>
      </c>
      <c r="C120" s="412">
        <v>45</v>
      </c>
      <c r="D120" s="411" t="s">
        <v>1754</v>
      </c>
      <c r="E120" s="412">
        <v>4502</v>
      </c>
      <c r="F120" s="411" t="s">
        <v>1755</v>
      </c>
      <c r="G120" s="412" t="s">
        <v>70</v>
      </c>
      <c r="H120" s="411" t="s">
        <v>1776</v>
      </c>
      <c r="I120" s="412">
        <v>4502038</v>
      </c>
      <c r="J120" s="411" t="s">
        <v>1763</v>
      </c>
      <c r="K120" s="412" t="s">
        <v>70</v>
      </c>
      <c r="L120" s="411" t="s">
        <v>1777</v>
      </c>
      <c r="M120" s="412">
        <v>450203800</v>
      </c>
      <c r="N120" s="411" t="s">
        <v>1778</v>
      </c>
      <c r="O120" s="412">
        <v>1</v>
      </c>
      <c r="P120" s="412" t="s">
        <v>285</v>
      </c>
      <c r="Q120" s="403">
        <f>SUM(O120:P120)</f>
        <v>1</v>
      </c>
      <c r="R120" s="420">
        <v>2021003630007</v>
      </c>
      <c r="S120" s="411" t="s">
        <v>1779</v>
      </c>
      <c r="T120" s="416">
        <f t="shared" si="19"/>
        <v>1</v>
      </c>
      <c r="U120" s="411" t="s">
        <v>1780</v>
      </c>
      <c r="V120" s="411" t="s">
        <v>1781</v>
      </c>
      <c r="W120" s="411" t="s">
        <v>1568</v>
      </c>
      <c r="X120" s="429">
        <v>3000000</v>
      </c>
      <c r="Y120" s="429"/>
      <c r="Z120" s="429"/>
      <c r="AA120" s="429"/>
      <c r="AB120" s="422">
        <f t="shared" si="18"/>
        <v>3000000</v>
      </c>
      <c r="AC120" s="406" t="s">
        <v>1787</v>
      </c>
      <c r="AD120" s="409"/>
      <c r="AE120" s="408">
        <v>20</v>
      </c>
      <c r="AF120" s="409" t="s">
        <v>132</v>
      </c>
      <c r="AG120" s="51">
        <v>121</v>
      </c>
      <c r="AH120" s="51">
        <v>176</v>
      </c>
      <c r="AI120" s="51" t="s">
        <v>1506</v>
      </c>
      <c r="AJ120" s="51">
        <v>171</v>
      </c>
      <c r="AK120" s="51">
        <v>121</v>
      </c>
      <c r="AL120" s="51">
        <v>5</v>
      </c>
      <c r="AM120" s="51" t="s">
        <v>1506</v>
      </c>
      <c r="AN120" s="51" t="s">
        <v>285</v>
      </c>
      <c r="AO120" s="51" t="s">
        <v>285</v>
      </c>
      <c r="AP120" s="51" t="s">
        <v>285</v>
      </c>
      <c r="AQ120" s="51" t="s">
        <v>285</v>
      </c>
      <c r="AR120" s="51" t="s">
        <v>285</v>
      </c>
      <c r="AS120" s="51" t="s">
        <v>285</v>
      </c>
      <c r="AT120" s="51" t="s">
        <v>285</v>
      </c>
      <c r="AU120" s="51" t="s">
        <v>285</v>
      </c>
      <c r="AV120" s="51">
        <f t="shared" si="15"/>
        <v>297</v>
      </c>
      <c r="AW120" s="293">
        <v>45292</v>
      </c>
      <c r="AX120" s="293">
        <v>45657</v>
      </c>
      <c r="AY120" s="402" t="s">
        <v>1507</v>
      </c>
    </row>
    <row r="121" spans="1:71" ht="67.5" customHeight="1" x14ac:dyDescent="0.25">
      <c r="A121" s="410">
        <v>4</v>
      </c>
      <c r="B121" s="411" t="s">
        <v>2842</v>
      </c>
      <c r="C121" s="412">
        <v>45</v>
      </c>
      <c r="D121" s="411" t="s">
        <v>1754</v>
      </c>
      <c r="E121" s="412">
        <v>4502</v>
      </c>
      <c r="F121" s="411" t="s">
        <v>1755</v>
      </c>
      <c r="G121" s="412" t="s">
        <v>70</v>
      </c>
      <c r="H121" s="411" t="s">
        <v>1776</v>
      </c>
      <c r="I121" s="412">
        <v>4502038</v>
      </c>
      <c r="J121" s="411" t="s">
        <v>1763</v>
      </c>
      <c r="K121" s="412" t="s">
        <v>70</v>
      </c>
      <c r="L121" s="411" t="s">
        <v>1777</v>
      </c>
      <c r="M121" s="412">
        <v>450203800</v>
      </c>
      <c r="N121" s="411" t="s">
        <v>1778</v>
      </c>
      <c r="O121" s="412">
        <v>1</v>
      </c>
      <c r="P121" s="412" t="s">
        <v>285</v>
      </c>
      <c r="Q121" s="403">
        <f>SUM(O121:P121)</f>
        <v>1</v>
      </c>
      <c r="R121" s="420">
        <v>2021003630007</v>
      </c>
      <c r="S121" s="411" t="s">
        <v>1779</v>
      </c>
      <c r="T121" s="416">
        <f t="shared" si="19"/>
        <v>1</v>
      </c>
      <c r="U121" s="411" t="s">
        <v>1780</v>
      </c>
      <c r="V121" s="411" t="s">
        <v>1781</v>
      </c>
      <c r="W121" s="411" t="s">
        <v>1515</v>
      </c>
      <c r="X121" s="429">
        <v>5000000</v>
      </c>
      <c r="Y121" s="429"/>
      <c r="Z121" s="429"/>
      <c r="AA121" s="429"/>
      <c r="AB121" s="422">
        <f t="shared" si="18"/>
        <v>5000000</v>
      </c>
      <c r="AC121" s="406" t="s">
        <v>1788</v>
      </c>
      <c r="AD121" s="415"/>
      <c r="AE121" s="408">
        <v>20</v>
      </c>
      <c r="AF121" s="409" t="s">
        <v>132</v>
      </c>
      <c r="AG121" s="51">
        <v>121</v>
      </c>
      <c r="AH121" s="51">
        <v>176</v>
      </c>
      <c r="AI121" s="51" t="s">
        <v>1506</v>
      </c>
      <c r="AJ121" s="51">
        <v>171</v>
      </c>
      <c r="AK121" s="51">
        <v>121</v>
      </c>
      <c r="AL121" s="51">
        <v>5</v>
      </c>
      <c r="AM121" s="51" t="s">
        <v>1506</v>
      </c>
      <c r="AN121" s="51" t="s">
        <v>285</v>
      </c>
      <c r="AO121" s="51" t="s">
        <v>285</v>
      </c>
      <c r="AP121" s="51" t="s">
        <v>285</v>
      </c>
      <c r="AQ121" s="51" t="s">
        <v>285</v>
      </c>
      <c r="AR121" s="51" t="s">
        <v>285</v>
      </c>
      <c r="AS121" s="51" t="s">
        <v>285</v>
      </c>
      <c r="AT121" s="51" t="s">
        <v>285</v>
      </c>
      <c r="AU121" s="51" t="s">
        <v>285</v>
      </c>
      <c r="AV121" s="51">
        <f t="shared" si="15"/>
        <v>297</v>
      </c>
      <c r="AW121" s="293">
        <v>45292</v>
      </c>
      <c r="AX121" s="293">
        <v>45657</v>
      </c>
      <c r="AY121" s="402" t="s">
        <v>1507</v>
      </c>
    </row>
    <row r="122" spans="1:71" ht="90" customHeight="1" x14ac:dyDescent="0.25">
      <c r="A122" s="410">
        <v>4</v>
      </c>
      <c r="B122" s="411" t="s">
        <v>2842</v>
      </c>
      <c r="C122" s="412">
        <v>45</v>
      </c>
      <c r="D122" s="411" t="s">
        <v>1754</v>
      </c>
      <c r="E122" s="412">
        <v>4502</v>
      </c>
      <c r="F122" s="411" t="s">
        <v>1755</v>
      </c>
      <c r="G122" s="412">
        <v>4502024</v>
      </c>
      <c r="H122" s="411" t="s">
        <v>829</v>
      </c>
      <c r="I122" s="412">
        <v>4502024</v>
      </c>
      <c r="J122" s="411" t="s">
        <v>829</v>
      </c>
      <c r="K122" s="412" t="s">
        <v>70</v>
      </c>
      <c r="L122" s="411" t="s">
        <v>1789</v>
      </c>
      <c r="M122" s="412">
        <v>450202401</v>
      </c>
      <c r="N122" s="411" t="s">
        <v>1790</v>
      </c>
      <c r="O122" s="412">
        <v>1</v>
      </c>
      <c r="P122" s="412" t="s">
        <v>285</v>
      </c>
      <c r="Q122" s="403">
        <f t="shared" si="11"/>
        <v>1</v>
      </c>
      <c r="R122" s="420">
        <v>2020003630111</v>
      </c>
      <c r="S122" s="411" t="s">
        <v>1791</v>
      </c>
      <c r="T122" s="416">
        <f>SUM($X$122:$X$124)/SUM($X$122:$X$124)</f>
        <v>1</v>
      </c>
      <c r="U122" s="411" t="s">
        <v>1792</v>
      </c>
      <c r="V122" s="411" t="s">
        <v>1743</v>
      </c>
      <c r="W122" s="411" t="s">
        <v>1793</v>
      </c>
      <c r="X122" s="452">
        <v>50000000</v>
      </c>
      <c r="Y122" s="452">
        <v>4800000</v>
      </c>
      <c r="Z122" s="452"/>
      <c r="AA122" s="452"/>
      <c r="AB122" s="422">
        <f t="shared" si="18"/>
        <v>45200000</v>
      </c>
      <c r="AC122" s="406" t="s">
        <v>1794</v>
      </c>
      <c r="AD122" s="415"/>
      <c r="AE122" s="408">
        <v>20</v>
      </c>
      <c r="AF122" s="409" t="s">
        <v>132</v>
      </c>
      <c r="AG122" s="51">
        <v>1667</v>
      </c>
      <c r="AH122" s="51">
        <v>0</v>
      </c>
      <c r="AI122" s="51" t="s">
        <v>1506</v>
      </c>
      <c r="AJ122" s="51">
        <v>327</v>
      </c>
      <c r="AK122" s="51">
        <v>920</v>
      </c>
      <c r="AL122" s="51">
        <v>420</v>
      </c>
      <c r="AM122" s="51" t="s">
        <v>285</v>
      </c>
      <c r="AN122" s="51" t="s">
        <v>285</v>
      </c>
      <c r="AO122" s="51" t="s">
        <v>285</v>
      </c>
      <c r="AP122" s="51" t="s">
        <v>285</v>
      </c>
      <c r="AQ122" s="51" t="s">
        <v>285</v>
      </c>
      <c r="AR122" s="51" t="s">
        <v>285</v>
      </c>
      <c r="AS122" s="51" t="s">
        <v>285</v>
      </c>
      <c r="AT122" s="51" t="s">
        <v>285</v>
      </c>
      <c r="AU122" s="51" t="s">
        <v>285</v>
      </c>
      <c r="AV122" s="51">
        <f t="shared" si="15"/>
        <v>1667</v>
      </c>
      <c r="AW122" s="293">
        <v>45292</v>
      </c>
      <c r="AX122" s="293">
        <v>45657</v>
      </c>
      <c r="AY122" s="402" t="s">
        <v>1507</v>
      </c>
    </row>
    <row r="123" spans="1:71" ht="90" customHeight="1" x14ac:dyDescent="0.25">
      <c r="A123" s="410">
        <v>4</v>
      </c>
      <c r="B123" s="411" t="s">
        <v>2842</v>
      </c>
      <c r="C123" s="412">
        <v>45</v>
      </c>
      <c r="D123" s="411" t="s">
        <v>1754</v>
      </c>
      <c r="E123" s="412">
        <v>4502</v>
      </c>
      <c r="F123" s="411" t="s">
        <v>1755</v>
      </c>
      <c r="G123" s="412">
        <v>4502024</v>
      </c>
      <c r="H123" s="411" t="s">
        <v>829</v>
      </c>
      <c r="I123" s="412">
        <v>4502024</v>
      </c>
      <c r="J123" s="411" t="s">
        <v>829</v>
      </c>
      <c r="K123" s="412" t="s">
        <v>70</v>
      </c>
      <c r="L123" s="411" t="s">
        <v>1789</v>
      </c>
      <c r="M123" s="412">
        <v>450202401</v>
      </c>
      <c r="N123" s="411" t="s">
        <v>1790</v>
      </c>
      <c r="O123" s="412">
        <v>1</v>
      </c>
      <c r="P123" s="412" t="s">
        <v>285</v>
      </c>
      <c r="Q123" s="403">
        <f>SUM(O123:P123)</f>
        <v>1</v>
      </c>
      <c r="R123" s="420">
        <v>2020003630111</v>
      </c>
      <c r="S123" s="411" t="s">
        <v>1791</v>
      </c>
      <c r="T123" s="416">
        <f>SUM($X$122:$X$124)/SUM($X$122:$X$124)</f>
        <v>1</v>
      </c>
      <c r="U123" s="411" t="s">
        <v>1792</v>
      </c>
      <c r="V123" s="411" t="s">
        <v>1743</v>
      </c>
      <c r="W123" s="411" t="s">
        <v>1795</v>
      </c>
      <c r="X123" s="453">
        <v>10000000</v>
      </c>
      <c r="Y123" s="453"/>
      <c r="Z123" s="453"/>
      <c r="AA123" s="453"/>
      <c r="AB123" s="422">
        <f t="shared" si="18"/>
        <v>10000000</v>
      </c>
      <c r="AC123" s="406" t="s">
        <v>1794</v>
      </c>
      <c r="AD123" s="415"/>
      <c r="AE123" s="408">
        <v>20</v>
      </c>
      <c r="AF123" s="409" t="s">
        <v>132</v>
      </c>
      <c r="AG123" s="51">
        <v>1667</v>
      </c>
      <c r="AH123" s="51">
        <v>0</v>
      </c>
      <c r="AI123" s="51" t="s">
        <v>1506</v>
      </c>
      <c r="AJ123" s="51">
        <v>327</v>
      </c>
      <c r="AK123" s="51">
        <v>920</v>
      </c>
      <c r="AL123" s="51">
        <v>420</v>
      </c>
      <c r="AM123" s="51" t="s">
        <v>285</v>
      </c>
      <c r="AN123" s="51" t="s">
        <v>285</v>
      </c>
      <c r="AO123" s="51" t="s">
        <v>285</v>
      </c>
      <c r="AP123" s="51" t="s">
        <v>285</v>
      </c>
      <c r="AQ123" s="51" t="s">
        <v>285</v>
      </c>
      <c r="AR123" s="51" t="s">
        <v>285</v>
      </c>
      <c r="AS123" s="51" t="s">
        <v>285</v>
      </c>
      <c r="AT123" s="51" t="s">
        <v>285</v>
      </c>
      <c r="AU123" s="51" t="s">
        <v>285</v>
      </c>
      <c r="AV123" s="51">
        <f t="shared" si="15"/>
        <v>1667</v>
      </c>
      <c r="AW123" s="293">
        <v>45292</v>
      </c>
      <c r="AX123" s="293">
        <v>45657</v>
      </c>
      <c r="AY123" s="402" t="s">
        <v>1507</v>
      </c>
    </row>
    <row r="124" spans="1:71" ht="90" customHeight="1" x14ac:dyDescent="0.25">
      <c r="A124" s="410">
        <v>4</v>
      </c>
      <c r="B124" s="411" t="s">
        <v>2842</v>
      </c>
      <c r="C124" s="412">
        <v>45</v>
      </c>
      <c r="D124" s="411" t="s">
        <v>1754</v>
      </c>
      <c r="E124" s="412">
        <v>4502</v>
      </c>
      <c r="F124" s="411" t="s">
        <v>1755</v>
      </c>
      <c r="G124" s="412">
        <v>4502024</v>
      </c>
      <c r="H124" s="411" t="s">
        <v>829</v>
      </c>
      <c r="I124" s="412">
        <v>4502024</v>
      </c>
      <c r="J124" s="411" t="s">
        <v>829</v>
      </c>
      <c r="K124" s="412" t="s">
        <v>70</v>
      </c>
      <c r="L124" s="411" t="s">
        <v>1789</v>
      </c>
      <c r="M124" s="412">
        <v>450202401</v>
      </c>
      <c r="N124" s="411" t="s">
        <v>1790</v>
      </c>
      <c r="O124" s="412">
        <v>1</v>
      </c>
      <c r="P124" s="412" t="s">
        <v>285</v>
      </c>
      <c r="Q124" s="403">
        <f t="shared" si="11"/>
        <v>1</v>
      </c>
      <c r="R124" s="420">
        <v>2020003630111</v>
      </c>
      <c r="S124" s="411" t="s">
        <v>1791</v>
      </c>
      <c r="T124" s="416">
        <f>SUM($X$122:$X$124)/SUM($X$122:$X$124)</f>
        <v>1</v>
      </c>
      <c r="U124" s="411" t="s">
        <v>1792</v>
      </c>
      <c r="V124" s="411" t="s">
        <v>1743</v>
      </c>
      <c r="W124" s="411" t="s">
        <v>1796</v>
      </c>
      <c r="X124" s="454">
        <v>5000000</v>
      </c>
      <c r="Y124" s="454"/>
      <c r="Z124" s="454"/>
      <c r="AA124" s="454"/>
      <c r="AB124" s="422">
        <f t="shared" si="18"/>
        <v>5000000</v>
      </c>
      <c r="AC124" s="406" t="s">
        <v>1794</v>
      </c>
      <c r="AD124" s="415"/>
      <c r="AE124" s="408">
        <v>20</v>
      </c>
      <c r="AF124" s="409" t="s">
        <v>132</v>
      </c>
      <c r="AG124" s="51">
        <v>1667</v>
      </c>
      <c r="AH124" s="51">
        <v>0</v>
      </c>
      <c r="AI124" s="51" t="s">
        <v>1506</v>
      </c>
      <c r="AJ124" s="51">
        <v>327</v>
      </c>
      <c r="AK124" s="51">
        <v>920</v>
      </c>
      <c r="AL124" s="51">
        <v>420</v>
      </c>
      <c r="AM124" s="51" t="s">
        <v>285</v>
      </c>
      <c r="AN124" s="51" t="s">
        <v>285</v>
      </c>
      <c r="AO124" s="51" t="s">
        <v>285</v>
      </c>
      <c r="AP124" s="51" t="s">
        <v>285</v>
      </c>
      <c r="AQ124" s="51" t="s">
        <v>285</v>
      </c>
      <c r="AR124" s="51" t="s">
        <v>285</v>
      </c>
      <c r="AS124" s="51" t="s">
        <v>285</v>
      </c>
      <c r="AT124" s="51" t="s">
        <v>285</v>
      </c>
      <c r="AU124" s="51" t="s">
        <v>285</v>
      </c>
      <c r="AV124" s="51">
        <f t="shared" si="15"/>
        <v>1667</v>
      </c>
      <c r="AW124" s="293">
        <v>45292</v>
      </c>
      <c r="AX124" s="293">
        <v>45657</v>
      </c>
      <c r="AY124" s="402" t="s">
        <v>1507</v>
      </c>
    </row>
    <row r="125" spans="1:71" ht="84.75" customHeight="1" x14ac:dyDescent="0.25">
      <c r="A125" s="410">
        <v>4</v>
      </c>
      <c r="B125" s="411" t="s">
        <v>2842</v>
      </c>
      <c r="C125" s="412">
        <v>45</v>
      </c>
      <c r="D125" s="411" t="s">
        <v>1754</v>
      </c>
      <c r="E125" s="412">
        <v>4502</v>
      </c>
      <c r="F125" s="411" t="s">
        <v>1755</v>
      </c>
      <c r="G125" s="412">
        <v>4502024</v>
      </c>
      <c r="H125" s="411" t="s">
        <v>829</v>
      </c>
      <c r="I125" s="412">
        <v>4502024</v>
      </c>
      <c r="J125" s="411" t="s">
        <v>829</v>
      </c>
      <c r="K125" s="412" t="s">
        <v>70</v>
      </c>
      <c r="L125" s="411" t="s">
        <v>1797</v>
      </c>
      <c r="M125" s="412">
        <v>450202401</v>
      </c>
      <c r="N125" s="411" t="s">
        <v>1790</v>
      </c>
      <c r="O125" s="412">
        <v>1</v>
      </c>
      <c r="P125" s="412" t="s">
        <v>285</v>
      </c>
      <c r="Q125" s="403">
        <f t="shared" si="11"/>
        <v>1</v>
      </c>
      <c r="R125" s="420">
        <v>2020003630112</v>
      </c>
      <c r="S125" s="411" t="s">
        <v>1798</v>
      </c>
      <c r="T125" s="416">
        <f>SUM($X$125:$X$125)/SUM($X$125:$X$125)</f>
        <v>1</v>
      </c>
      <c r="U125" s="411" t="s">
        <v>1799</v>
      </c>
      <c r="V125" s="411" t="s">
        <v>1800</v>
      </c>
      <c r="W125" s="411" t="s">
        <v>1801</v>
      </c>
      <c r="X125" s="449">
        <v>75000000</v>
      </c>
      <c r="Y125" s="703">
        <f>1300000+1300000+1300000+1300000</f>
        <v>5200000</v>
      </c>
      <c r="Z125" s="703">
        <f>1300000+1300000</f>
        <v>2600000</v>
      </c>
      <c r="AA125" s="703"/>
      <c r="AB125" s="422">
        <f t="shared" si="18"/>
        <v>72400000</v>
      </c>
      <c r="AC125" s="439" t="s">
        <v>1802</v>
      </c>
      <c r="AD125" s="415"/>
      <c r="AE125" s="408">
        <v>20</v>
      </c>
      <c r="AF125" s="409" t="s">
        <v>132</v>
      </c>
      <c r="AG125" s="51">
        <v>856</v>
      </c>
      <c r="AH125" s="51">
        <v>0</v>
      </c>
      <c r="AI125" s="51" t="s">
        <v>1506</v>
      </c>
      <c r="AJ125" s="51">
        <v>50</v>
      </c>
      <c r="AK125" s="51">
        <v>560</v>
      </c>
      <c r="AL125" s="51">
        <v>246</v>
      </c>
      <c r="AM125" s="51" t="s">
        <v>285</v>
      </c>
      <c r="AN125" s="51" t="s">
        <v>285</v>
      </c>
      <c r="AO125" s="51" t="s">
        <v>285</v>
      </c>
      <c r="AP125" s="51" t="s">
        <v>285</v>
      </c>
      <c r="AQ125" s="51" t="s">
        <v>285</v>
      </c>
      <c r="AR125" s="51" t="s">
        <v>285</v>
      </c>
      <c r="AS125" s="51" t="s">
        <v>285</v>
      </c>
      <c r="AT125" s="51" t="s">
        <v>285</v>
      </c>
      <c r="AU125" s="51" t="s">
        <v>285</v>
      </c>
      <c r="AV125" s="51">
        <f t="shared" si="15"/>
        <v>856</v>
      </c>
      <c r="AW125" s="293">
        <v>45292</v>
      </c>
      <c r="AX125" s="293">
        <v>45657</v>
      </c>
      <c r="AY125" s="402" t="s">
        <v>1507</v>
      </c>
    </row>
    <row r="126" spans="1:71" ht="27" customHeight="1" x14ac:dyDescent="0.25">
      <c r="A126" s="336"/>
      <c r="B126" s="926"/>
      <c r="C126" s="336"/>
      <c r="D126" s="926"/>
      <c r="E126" s="336"/>
      <c r="F126" s="926"/>
      <c r="G126" s="336"/>
      <c r="H126" s="926"/>
      <c r="I126" s="336"/>
      <c r="J126" s="926"/>
      <c r="K126" s="336"/>
      <c r="L126" s="926"/>
      <c r="M126" s="336"/>
      <c r="N126" s="926"/>
      <c r="O126" s="336"/>
      <c r="P126" s="336"/>
      <c r="Q126" s="336"/>
      <c r="R126" s="455"/>
      <c r="S126" s="926"/>
      <c r="T126" s="456"/>
      <c r="U126" s="926"/>
      <c r="V126" s="926"/>
      <c r="W126" s="926" t="s">
        <v>526</v>
      </c>
      <c r="X126" s="457">
        <f>SUM(X15:X125)</f>
        <v>8449873038.4000006</v>
      </c>
      <c r="Y126" s="457">
        <f>SUM(Y15:Y125)</f>
        <v>625600000</v>
      </c>
      <c r="Z126" s="457">
        <f>SUM(Z15:Z125)</f>
        <v>14200000</v>
      </c>
      <c r="AA126" s="457">
        <f>SUM(AA15:AA125)</f>
        <v>0</v>
      </c>
      <c r="AB126" s="457">
        <f>SUM(AB15:AB125)</f>
        <v>7838473038.4000006</v>
      </c>
      <c r="AC126" s="458"/>
      <c r="AD126" s="458"/>
      <c r="AE126" s="455"/>
      <c r="AF126" s="336"/>
      <c r="AG126" s="459"/>
      <c r="AH126" s="459"/>
      <c r="AI126" s="459"/>
      <c r="AJ126" s="459"/>
      <c r="AK126" s="459"/>
      <c r="AL126" s="459"/>
      <c r="AM126" s="459"/>
      <c r="AN126" s="459"/>
      <c r="AO126" s="459"/>
      <c r="AP126" s="459"/>
      <c r="AQ126" s="459"/>
      <c r="AR126" s="459"/>
      <c r="AS126" s="459"/>
      <c r="AT126" s="459"/>
      <c r="AU126" s="460"/>
      <c r="AV126" s="459"/>
      <c r="AW126" s="461"/>
      <c r="AX126" s="461"/>
      <c r="AY126" s="336"/>
      <c r="AZ126" s="388"/>
      <c r="BA126" s="388"/>
      <c r="BB126" s="388"/>
      <c r="BC126" s="388"/>
      <c r="BD126" s="388"/>
      <c r="BE126" s="388"/>
      <c r="BF126" s="388"/>
      <c r="BG126" s="388"/>
      <c r="BH126" s="388"/>
      <c r="BI126" s="388"/>
      <c r="BJ126" s="388"/>
      <c r="BK126" s="388"/>
      <c r="BL126" s="388"/>
      <c r="BM126" s="388"/>
      <c r="BN126" s="388"/>
      <c r="BO126" s="388"/>
      <c r="BP126" s="388"/>
      <c r="BQ126" s="388"/>
      <c r="BR126" s="388"/>
      <c r="BS126" s="388"/>
    </row>
    <row r="127" spans="1:71" ht="39.75" customHeight="1" x14ac:dyDescent="0.25">
      <c r="A127" s="462"/>
      <c r="H127" s="929"/>
      <c r="I127" s="388"/>
      <c r="J127" s="929"/>
      <c r="K127" s="388"/>
      <c r="L127" s="929"/>
      <c r="M127" s="388"/>
      <c r="N127" s="929"/>
      <c r="O127" s="388"/>
      <c r="P127" s="388"/>
      <c r="Q127" s="388"/>
      <c r="R127" s="465"/>
      <c r="S127" s="929"/>
      <c r="T127" s="466"/>
      <c r="U127" s="929"/>
      <c r="V127" s="929"/>
      <c r="W127" s="931"/>
      <c r="X127" s="467"/>
      <c r="Y127" s="467"/>
      <c r="Z127" s="467"/>
      <c r="AA127" s="467"/>
      <c r="AB127" s="467"/>
      <c r="AC127" s="388"/>
      <c r="AD127" s="468"/>
      <c r="AE127" s="465"/>
      <c r="AF127" s="388"/>
      <c r="AW127" s="471"/>
      <c r="AX127" s="471"/>
    </row>
    <row r="128" spans="1:71" ht="27" customHeight="1" x14ac:dyDescent="0.25">
      <c r="A128" s="462"/>
      <c r="H128" s="929"/>
      <c r="I128" s="388"/>
      <c r="J128" s="929"/>
      <c r="K128" s="388"/>
      <c r="L128" s="929"/>
      <c r="M128" s="388"/>
      <c r="N128" s="929"/>
      <c r="O128" s="388"/>
      <c r="P128" s="388"/>
      <c r="Q128" s="388"/>
      <c r="R128" s="465"/>
      <c r="S128" s="929"/>
      <c r="T128" s="466"/>
      <c r="U128" s="929"/>
      <c r="V128" s="929"/>
      <c r="W128" s="929"/>
      <c r="X128" s="472"/>
      <c r="Y128" s="472"/>
      <c r="Z128" s="472"/>
      <c r="AA128" s="472"/>
      <c r="AB128" s="472"/>
      <c r="AC128" s="388"/>
      <c r="AD128" s="468"/>
      <c r="AE128" s="465"/>
      <c r="AF128" s="388"/>
      <c r="AG128" s="473"/>
      <c r="AH128" s="473"/>
      <c r="AI128" s="473"/>
      <c r="AJ128" s="473"/>
      <c r="AK128" s="473"/>
      <c r="AL128" s="473"/>
      <c r="AM128" s="473"/>
      <c r="AN128" s="473"/>
      <c r="AW128" s="471"/>
      <c r="AX128" s="471"/>
    </row>
    <row r="129" spans="1:50" ht="27" customHeight="1" x14ac:dyDescent="0.25">
      <c r="A129" s="462"/>
      <c r="H129" s="929"/>
      <c r="I129" s="388"/>
      <c r="J129" s="929"/>
      <c r="K129" s="388"/>
      <c r="L129" s="929"/>
      <c r="M129" s="388"/>
      <c r="N129" s="929"/>
      <c r="O129" s="388"/>
      <c r="P129" s="388"/>
      <c r="Q129" s="388"/>
      <c r="R129" s="465"/>
      <c r="S129" s="929"/>
      <c r="T129" s="466"/>
      <c r="U129" s="929"/>
      <c r="V129" s="929"/>
      <c r="W129" s="929"/>
      <c r="X129" s="474"/>
      <c r="Y129" s="474"/>
      <c r="Z129" s="474"/>
      <c r="AA129" s="474"/>
      <c r="AB129" s="474"/>
      <c r="AC129" s="388"/>
      <c r="AD129" s="464"/>
      <c r="AE129" s="465"/>
      <c r="AF129" s="388"/>
      <c r="AW129" s="471"/>
      <c r="AX129" s="471"/>
    </row>
    <row r="130" spans="1:50" ht="27" customHeight="1" x14ac:dyDescent="0.25">
      <c r="A130" s="462"/>
      <c r="H130" s="929"/>
      <c r="I130" s="388"/>
      <c r="J130" s="929"/>
      <c r="K130" s="388"/>
      <c r="L130" s="929"/>
      <c r="M130" s="388"/>
      <c r="N130" s="929"/>
      <c r="O130" s="388"/>
      <c r="P130" s="388"/>
      <c r="Q130" s="388"/>
      <c r="R130" s="465"/>
      <c r="S130" s="929"/>
      <c r="T130" s="466"/>
      <c r="U130" s="929"/>
      <c r="V130" s="929"/>
      <c r="W130" s="929"/>
      <c r="X130" s="474"/>
      <c r="Y130" s="474"/>
      <c r="Z130" s="474"/>
      <c r="AA130" s="474"/>
      <c r="AB130" s="474"/>
      <c r="AC130" s="388"/>
      <c r="AD130" s="464"/>
      <c r="AE130" s="465"/>
      <c r="AF130" s="388"/>
      <c r="AW130" s="471"/>
      <c r="AX130" s="471"/>
    </row>
    <row r="131" spans="1:50" ht="27" customHeight="1" x14ac:dyDescent="0.25">
      <c r="A131" s="462"/>
      <c r="H131" s="929"/>
      <c r="I131" s="388"/>
      <c r="J131" s="929"/>
      <c r="K131" s="1202" t="s">
        <v>1803</v>
      </c>
      <c r="L131" s="1202"/>
      <c r="M131" s="1202"/>
      <c r="N131" s="929"/>
      <c r="O131" s="388"/>
      <c r="P131" s="388"/>
      <c r="Q131" s="388"/>
      <c r="R131" s="465"/>
      <c r="S131" s="929"/>
      <c r="T131" s="466"/>
      <c r="U131" s="929"/>
      <c r="V131" s="929"/>
      <c r="W131" s="929"/>
      <c r="X131" s="474"/>
      <c r="Y131" s="474"/>
      <c r="Z131" s="474"/>
      <c r="AA131" s="474"/>
      <c r="AB131" s="474"/>
      <c r="AC131" s="388"/>
      <c r="AD131" s="464"/>
      <c r="AE131" s="465"/>
      <c r="AF131" s="388"/>
      <c r="AW131" s="471"/>
      <c r="AX131" s="471"/>
    </row>
    <row r="132" spans="1:50" ht="27" customHeight="1" x14ac:dyDescent="0.25">
      <c r="A132" s="462"/>
      <c r="H132" s="929"/>
      <c r="I132" s="388"/>
      <c r="J132" s="929"/>
      <c r="K132" s="388"/>
      <c r="L132" s="930" t="s">
        <v>1804</v>
      </c>
      <c r="M132" s="388"/>
      <c r="N132" s="929"/>
      <c r="O132" s="388"/>
      <c r="P132" s="388"/>
      <c r="Q132" s="388"/>
      <c r="R132" s="465"/>
      <c r="S132" s="929"/>
      <c r="T132" s="466"/>
      <c r="U132" s="929"/>
      <c r="V132" s="929"/>
      <c r="W132" s="929"/>
      <c r="X132" s="474"/>
      <c r="Y132" s="474"/>
      <c r="Z132" s="474"/>
      <c r="AA132" s="474"/>
      <c r="AB132" s="474"/>
      <c r="AC132" s="388"/>
      <c r="AD132" s="464"/>
      <c r="AE132" s="465"/>
      <c r="AF132" s="388"/>
      <c r="AW132" s="471"/>
      <c r="AX132" s="471"/>
    </row>
    <row r="133" spans="1:50" ht="27" customHeight="1" x14ac:dyDescent="0.25">
      <c r="A133" s="462"/>
      <c r="H133" s="929"/>
      <c r="I133" s="388"/>
      <c r="J133" s="929"/>
      <c r="K133" s="388"/>
      <c r="L133" s="929"/>
      <c r="M133" s="388"/>
      <c r="N133" s="929"/>
      <c r="O133" s="388"/>
      <c r="P133" s="388"/>
      <c r="Q133" s="388"/>
      <c r="R133" s="465"/>
      <c r="S133" s="929"/>
      <c r="T133" s="466"/>
      <c r="U133" s="929"/>
      <c r="V133" s="929"/>
      <c r="W133" s="929"/>
      <c r="X133" s="474"/>
      <c r="Y133" s="474"/>
      <c r="Z133" s="474"/>
      <c r="AA133" s="474"/>
      <c r="AB133" s="474"/>
      <c r="AC133" s="388"/>
      <c r="AD133" s="464"/>
      <c r="AE133" s="465"/>
      <c r="AF133" s="388"/>
      <c r="AW133" s="471"/>
      <c r="AX133" s="471"/>
    </row>
    <row r="134" spans="1:50" ht="27" customHeight="1" x14ac:dyDescent="0.25">
      <c r="A134" s="462"/>
      <c r="H134" s="929"/>
      <c r="I134" s="388"/>
      <c r="J134" s="929"/>
      <c r="K134" s="388"/>
      <c r="L134" s="929"/>
      <c r="M134" s="388"/>
      <c r="N134" s="929"/>
      <c r="O134" s="388"/>
      <c r="P134" s="388"/>
      <c r="Q134" s="388"/>
      <c r="R134" s="465"/>
      <c r="S134" s="929"/>
      <c r="T134" s="466"/>
      <c r="U134" s="929"/>
      <c r="V134" s="929"/>
      <c r="W134" s="929"/>
      <c r="X134" s="474"/>
      <c r="Y134" s="474"/>
      <c r="Z134" s="474"/>
      <c r="AA134" s="474"/>
      <c r="AB134" s="474"/>
      <c r="AC134" s="388"/>
      <c r="AD134" s="464"/>
      <c r="AE134" s="465"/>
      <c r="AF134" s="388"/>
      <c r="AW134" s="471"/>
      <c r="AX134" s="471"/>
    </row>
    <row r="135" spans="1:50" ht="27" customHeight="1" x14ac:dyDescent="0.25">
      <c r="A135" s="462"/>
      <c r="H135" s="929"/>
      <c r="I135" s="388"/>
      <c r="J135" s="929"/>
      <c r="K135" s="388"/>
      <c r="L135" s="929"/>
      <c r="M135" s="388"/>
      <c r="N135" s="929"/>
      <c r="O135" s="388"/>
      <c r="P135" s="388"/>
      <c r="Q135" s="388"/>
      <c r="R135" s="465"/>
      <c r="S135" s="929"/>
      <c r="T135" s="466"/>
      <c r="U135" s="929"/>
      <c r="V135" s="929"/>
      <c r="W135" s="929"/>
      <c r="X135" s="474"/>
      <c r="Y135" s="474"/>
      <c r="Z135" s="474"/>
      <c r="AA135" s="474"/>
      <c r="AB135" s="474"/>
      <c r="AC135" s="388"/>
      <c r="AD135" s="464"/>
      <c r="AE135" s="465"/>
      <c r="AF135" s="388"/>
      <c r="AW135" s="471"/>
      <c r="AX135" s="471"/>
    </row>
    <row r="136" spans="1:50" ht="27" customHeight="1" x14ac:dyDescent="0.25">
      <c r="A136" s="462"/>
      <c r="H136" s="929"/>
      <c r="I136" s="388"/>
      <c r="J136" s="929"/>
      <c r="K136" s="388"/>
      <c r="L136" s="929"/>
      <c r="M136" s="388"/>
      <c r="N136" s="929"/>
      <c r="O136" s="388"/>
      <c r="P136" s="388"/>
      <c r="Q136" s="388"/>
      <c r="R136" s="465"/>
      <c r="S136" s="929"/>
      <c r="T136" s="466"/>
      <c r="U136" s="929"/>
      <c r="V136" s="929"/>
      <c r="W136" s="929"/>
      <c r="X136" s="474"/>
      <c r="Y136" s="474"/>
      <c r="Z136" s="474"/>
      <c r="AA136" s="474"/>
      <c r="AB136" s="474"/>
      <c r="AC136" s="388"/>
      <c r="AD136" s="464"/>
      <c r="AE136" s="465"/>
      <c r="AF136" s="388"/>
      <c r="AW136" s="471"/>
      <c r="AX136" s="471"/>
    </row>
    <row r="137" spans="1:50" ht="27" customHeight="1" x14ac:dyDescent="0.25">
      <c r="A137" s="462"/>
      <c r="F137" s="1076" t="s">
        <v>113</v>
      </c>
      <c r="G137" s="1076"/>
      <c r="H137" s="1077" t="s">
        <v>114</v>
      </c>
      <c r="I137" s="1078"/>
      <c r="J137" s="1077" t="s">
        <v>115</v>
      </c>
      <c r="K137" s="1078"/>
      <c r="L137" s="929"/>
      <c r="M137" s="388"/>
      <c r="N137" s="929"/>
      <c r="O137" s="388"/>
      <c r="P137" s="388"/>
      <c r="Q137" s="388"/>
      <c r="R137" s="465"/>
      <c r="S137" s="929"/>
      <c r="T137" s="466"/>
      <c r="U137" s="929"/>
      <c r="V137" s="929"/>
      <c r="W137" s="929"/>
      <c r="X137" s="474"/>
      <c r="Y137" s="474"/>
      <c r="Z137" s="474"/>
      <c r="AA137" s="474"/>
      <c r="AB137" s="474"/>
      <c r="AC137" s="388"/>
      <c r="AD137" s="464"/>
      <c r="AE137" s="465"/>
      <c r="AF137" s="388"/>
      <c r="AW137" s="471"/>
      <c r="AX137" s="471"/>
    </row>
    <row r="138" spans="1:50" ht="27" customHeight="1" x14ac:dyDescent="0.25">
      <c r="A138" s="462"/>
      <c r="F138" s="1076" t="s">
        <v>116</v>
      </c>
      <c r="G138" s="1076"/>
      <c r="H138" s="1077" t="s">
        <v>117</v>
      </c>
      <c r="I138" s="1078"/>
      <c r="J138" s="1076" t="s">
        <v>118</v>
      </c>
      <c r="K138" s="1076"/>
      <c r="L138" s="929"/>
      <c r="M138" s="388"/>
      <c r="N138" s="929"/>
      <c r="O138" s="388"/>
      <c r="P138" s="388"/>
      <c r="Q138" s="388"/>
      <c r="R138" s="465"/>
      <c r="S138" s="929"/>
      <c r="T138" s="466"/>
      <c r="U138" s="929"/>
      <c r="V138" s="929"/>
      <c r="W138" s="929"/>
      <c r="X138" s="474"/>
      <c r="Y138" s="474"/>
      <c r="Z138" s="474"/>
      <c r="AA138" s="474"/>
      <c r="AB138" s="474"/>
      <c r="AC138" s="388"/>
      <c r="AD138" s="464"/>
      <c r="AE138" s="465"/>
      <c r="AF138" s="388"/>
      <c r="AW138" s="471"/>
      <c r="AX138" s="471"/>
    </row>
    <row r="139" spans="1:50" ht="27" customHeight="1" x14ac:dyDescent="0.25">
      <c r="A139" s="462"/>
      <c r="F139" s="1076" t="s">
        <v>119</v>
      </c>
      <c r="G139" s="1076"/>
      <c r="H139" s="1077" t="s">
        <v>120</v>
      </c>
      <c r="I139" s="1078"/>
      <c r="J139" s="1076" t="s">
        <v>121</v>
      </c>
      <c r="K139" s="1076"/>
      <c r="L139" s="929"/>
      <c r="M139" s="388"/>
      <c r="N139" s="929"/>
      <c r="O139" s="388"/>
      <c r="P139" s="388"/>
      <c r="Q139" s="388"/>
      <c r="R139" s="465"/>
      <c r="S139" s="929"/>
      <c r="T139" s="466"/>
      <c r="U139" s="929"/>
      <c r="V139" s="929"/>
      <c r="W139" s="929"/>
      <c r="X139" s="474"/>
      <c r="Y139" s="474"/>
      <c r="Z139" s="474"/>
      <c r="AA139" s="474"/>
      <c r="AB139" s="474"/>
      <c r="AC139" s="388"/>
      <c r="AD139" s="464"/>
      <c r="AE139" s="465"/>
      <c r="AF139" s="388"/>
      <c r="AW139" s="471"/>
      <c r="AX139" s="471"/>
    </row>
    <row r="140" spans="1:50" ht="27" customHeight="1" x14ac:dyDescent="0.25">
      <c r="A140" s="462"/>
      <c r="H140" s="929"/>
      <c r="I140" s="388"/>
      <c r="J140" s="929"/>
      <c r="K140" s="388"/>
      <c r="L140" s="929"/>
      <c r="M140" s="388"/>
      <c r="N140" s="929"/>
      <c r="O140" s="388"/>
      <c r="P140" s="388"/>
      <c r="Q140" s="388"/>
      <c r="R140" s="465"/>
      <c r="S140" s="929"/>
      <c r="T140" s="466"/>
      <c r="U140" s="929"/>
      <c r="V140" s="929"/>
      <c r="W140" s="929"/>
      <c r="X140" s="474"/>
      <c r="Y140" s="474"/>
      <c r="Z140" s="474"/>
      <c r="AA140" s="474"/>
      <c r="AB140" s="474"/>
      <c r="AC140" s="388"/>
      <c r="AD140" s="464"/>
      <c r="AE140" s="465"/>
      <c r="AF140" s="388"/>
      <c r="AW140" s="471"/>
      <c r="AX140" s="471"/>
    </row>
    <row r="141" spans="1:50" ht="27" customHeight="1" x14ac:dyDescent="0.25">
      <c r="A141" s="462"/>
      <c r="H141" s="929"/>
      <c r="I141" s="388"/>
      <c r="J141" s="929"/>
      <c r="K141" s="388"/>
      <c r="L141" s="929"/>
      <c r="M141" s="388"/>
      <c r="N141" s="929"/>
      <c r="O141" s="388"/>
      <c r="P141" s="388"/>
      <c r="Q141" s="388"/>
      <c r="R141" s="465"/>
      <c r="S141" s="929"/>
      <c r="T141" s="466"/>
      <c r="U141" s="929"/>
      <c r="V141" s="929"/>
      <c r="W141" s="929"/>
      <c r="X141" s="474"/>
      <c r="Y141" s="474"/>
      <c r="Z141" s="474"/>
      <c r="AA141" s="474"/>
      <c r="AB141" s="474"/>
      <c r="AC141" s="388"/>
      <c r="AD141" s="464"/>
      <c r="AE141" s="465"/>
      <c r="AF141" s="388"/>
      <c r="AW141" s="471"/>
      <c r="AX141" s="471"/>
    </row>
    <row r="142" spans="1:50" ht="27" customHeight="1" x14ac:dyDescent="0.25">
      <c r="A142" s="462"/>
      <c r="H142" s="929"/>
      <c r="I142" s="388"/>
      <c r="J142" s="929"/>
      <c r="K142" s="388"/>
      <c r="L142" s="929"/>
      <c r="M142" s="388"/>
      <c r="N142" s="929"/>
      <c r="O142" s="388"/>
      <c r="P142" s="388"/>
      <c r="Q142" s="388"/>
      <c r="R142" s="465"/>
      <c r="S142" s="929"/>
      <c r="T142" s="466"/>
      <c r="U142" s="929"/>
      <c r="V142" s="929"/>
      <c r="W142" s="929"/>
      <c r="X142" s="474"/>
      <c r="Y142" s="474"/>
      <c r="Z142" s="474"/>
      <c r="AA142" s="474"/>
      <c r="AB142" s="474"/>
      <c r="AC142" s="388"/>
      <c r="AD142" s="464"/>
      <c r="AE142" s="465"/>
      <c r="AF142" s="388"/>
      <c r="AW142" s="471"/>
      <c r="AX142" s="471"/>
    </row>
    <row r="143" spans="1:50" ht="27" customHeight="1" x14ac:dyDescent="0.25">
      <c r="A143" s="462"/>
      <c r="H143" s="929"/>
      <c r="I143" s="388"/>
      <c r="J143" s="929"/>
      <c r="K143" s="388"/>
      <c r="L143" s="929"/>
      <c r="M143" s="388"/>
      <c r="N143" s="929"/>
      <c r="O143" s="388"/>
      <c r="P143" s="388"/>
      <c r="Q143" s="388"/>
      <c r="R143" s="465"/>
      <c r="S143" s="929"/>
      <c r="T143" s="466"/>
      <c r="U143" s="929"/>
      <c r="V143" s="929"/>
      <c r="W143" s="929"/>
      <c r="X143" s="474"/>
      <c r="Y143" s="474"/>
      <c r="Z143" s="474"/>
      <c r="AA143" s="474"/>
      <c r="AB143" s="474"/>
      <c r="AC143" s="388"/>
      <c r="AD143" s="464"/>
      <c r="AE143" s="465"/>
      <c r="AF143" s="388"/>
      <c r="AW143" s="471"/>
      <c r="AX143" s="471"/>
    </row>
    <row r="144" spans="1:50" ht="27" customHeight="1" x14ac:dyDescent="0.25">
      <c r="A144" s="462"/>
      <c r="H144" s="929"/>
      <c r="I144" s="388"/>
      <c r="J144" s="929"/>
      <c r="K144" s="388"/>
      <c r="L144" s="929"/>
      <c r="M144" s="388"/>
      <c r="N144" s="929"/>
      <c r="O144" s="388"/>
      <c r="P144" s="388"/>
      <c r="Q144" s="388"/>
      <c r="R144" s="465"/>
      <c r="S144" s="929"/>
      <c r="T144" s="466"/>
      <c r="U144" s="929"/>
      <c r="V144" s="929"/>
      <c r="W144" s="929"/>
      <c r="X144" s="474"/>
      <c r="Y144" s="474"/>
      <c r="Z144" s="474"/>
      <c r="AA144" s="474"/>
      <c r="AB144" s="474"/>
      <c r="AC144" s="388"/>
      <c r="AD144" s="464"/>
      <c r="AE144" s="465"/>
      <c r="AF144" s="388"/>
      <c r="AW144" s="471"/>
      <c r="AX144" s="471"/>
    </row>
    <row r="145" spans="1:50" ht="27" customHeight="1" x14ac:dyDescent="0.25">
      <c r="A145" s="462"/>
      <c r="H145" s="929"/>
      <c r="I145" s="388"/>
      <c r="J145" s="929"/>
      <c r="K145" s="388"/>
      <c r="L145" s="929"/>
      <c r="M145" s="388"/>
      <c r="N145" s="929"/>
      <c r="O145" s="388"/>
      <c r="P145" s="388"/>
      <c r="Q145" s="388"/>
      <c r="R145" s="465"/>
      <c r="S145" s="929"/>
      <c r="T145" s="466"/>
      <c r="U145" s="929"/>
      <c r="V145" s="929"/>
      <c r="W145" s="929"/>
      <c r="X145" s="474"/>
      <c r="Y145" s="474"/>
      <c r="Z145" s="474"/>
      <c r="AA145" s="474"/>
      <c r="AB145" s="474"/>
      <c r="AC145" s="388"/>
      <c r="AD145" s="464"/>
      <c r="AE145" s="465"/>
      <c r="AF145" s="388"/>
      <c r="AW145" s="471"/>
      <c r="AX145" s="471"/>
    </row>
    <row r="146" spans="1:50" ht="27" customHeight="1" x14ac:dyDescent="0.25">
      <c r="A146" s="462"/>
      <c r="H146" s="929"/>
      <c r="I146" s="388"/>
      <c r="J146" s="929"/>
      <c r="K146" s="388"/>
      <c r="L146" s="929"/>
      <c r="M146" s="388"/>
      <c r="N146" s="929"/>
      <c r="O146" s="388"/>
      <c r="P146" s="388"/>
      <c r="Q146" s="388"/>
      <c r="R146" s="465"/>
      <c r="S146" s="929"/>
      <c r="T146" s="466"/>
      <c r="U146" s="929"/>
      <c r="V146" s="929"/>
      <c r="W146" s="929"/>
      <c r="X146" s="474"/>
      <c r="Y146" s="474"/>
      <c r="Z146" s="474"/>
      <c r="AA146" s="474"/>
      <c r="AB146" s="474"/>
      <c r="AC146" s="388"/>
      <c r="AD146" s="464"/>
      <c r="AE146" s="465"/>
      <c r="AF146" s="388"/>
      <c r="AW146" s="471"/>
      <c r="AX146" s="471"/>
    </row>
    <row r="147" spans="1:50" ht="27" customHeight="1" x14ac:dyDescent="0.25">
      <c r="A147" s="462"/>
      <c r="H147" s="929"/>
      <c r="I147" s="388"/>
      <c r="J147" s="929"/>
      <c r="K147" s="388"/>
      <c r="L147" s="929"/>
      <c r="M147" s="388"/>
      <c r="N147" s="929"/>
      <c r="O147" s="388"/>
      <c r="P147" s="388"/>
      <c r="Q147" s="388"/>
      <c r="R147" s="465"/>
      <c r="S147" s="929"/>
      <c r="T147" s="466"/>
      <c r="U147" s="929"/>
      <c r="V147" s="929"/>
      <c r="W147" s="929"/>
      <c r="X147" s="474"/>
      <c r="Y147" s="474"/>
      <c r="Z147" s="474"/>
      <c r="AA147" s="474"/>
      <c r="AB147" s="474"/>
      <c r="AC147" s="388"/>
      <c r="AD147" s="464"/>
      <c r="AE147" s="465"/>
      <c r="AF147" s="388"/>
      <c r="AW147" s="471"/>
      <c r="AX147" s="471"/>
    </row>
    <row r="148" spans="1:50" ht="27" customHeight="1" x14ac:dyDescent="0.25">
      <c r="A148" s="462"/>
      <c r="H148" s="929"/>
      <c r="I148" s="388"/>
      <c r="J148" s="929"/>
      <c r="K148" s="388"/>
      <c r="L148" s="929"/>
      <c r="M148" s="388"/>
      <c r="N148" s="929"/>
      <c r="O148" s="388"/>
      <c r="P148" s="388"/>
      <c r="Q148" s="388"/>
      <c r="R148" s="465"/>
      <c r="S148" s="929"/>
      <c r="T148" s="466"/>
      <c r="U148" s="929"/>
      <c r="V148" s="929"/>
      <c r="W148" s="929"/>
      <c r="X148" s="474"/>
      <c r="Y148" s="474"/>
      <c r="Z148" s="474"/>
      <c r="AA148" s="474"/>
      <c r="AB148" s="474"/>
      <c r="AC148" s="388"/>
      <c r="AD148" s="464"/>
      <c r="AE148" s="465"/>
      <c r="AF148" s="388"/>
      <c r="AW148" s="471"/>
      <c r="AX148" s="471"/>
    </row>
    <row r="149" spans="1:50" ht="27" customHeight="1" x14ac:dyDescent="0.25">
      <c r="A149" s="462"/>
      <c r="H149" s="929"/>
      <c r="I149" s="388"/>
      <c r="J149" s="929"/>
      <c r="K149" s="388"/>
      <c r="L149" s="929"/>
      <c r="M149" s="388"/>
      <c r="N149" s="929"/>
      <c r="O149" s="388"/>
      <c r="P149" s="388"/>
      <c r="Q149" s="388"/>
      <c r="R149" s="465"/>
      <c r="S149" s="929"/>
      <c r="T149" s="466"/>
      <c r="U149" s="929"/>
      <c r="V149" s="929"/>
      <c r="W149" s="929"/>
      <c r="X149" s="474"/>
      <c r="Y149" s="474"/>
      <c r="Z149" s="474"/>
      <c r="AA149" s="474"/>
      <c r="AB149" s="474"/>
      <c r="AC149" s="388"/>
      <c r="AD149" s="464"/>
      <c r="AE149" s="465"/>
      <c r="AF149" s="388"/>
      <c r="AW149" s="471"/>
      <c r="AX149" s="471"/>
    </row>
    <row r="150" spans="1:50" ht="27" customHeight="1" x14ac:dyDescent="0.25">
      <c r="A150" s="462"/>
      <c r="H150" s="929"/>
      <c r="I150" s="388"/>
      <c r="J150" s="929"/>
      <c r="K150" s="388"/>
      <c r="L150" s="929"/>
      <c r="M150" s="388"/>
      <c r="N150" s="929"/>
      <c r="O150" s="388"/>
      <c r="P150" s="388"/>
      <c r="Q150" s="388"/>
      <c r="R150" s="465"/>
      <c r="S150" s="929"/>
      <c r="T150" s="466"/>
      <c r="U150" s="929"/>
      <c r="V150" s="929"/>
      <c r="W150" s="929"/>
      <c r="X150" s="474"/>
      <c r="Y150" s="474"/>
      <c r="Z150" s="474"/>
      <c r="AA150" s="474"/>
      <c r="AB150" s="474"/>
      <c r="AC150" s="388"/>
      <c r="AD150" s="464"/>
      <c r="AE150" s="465"/>
      <c r="AF150" s="388"/>
      <c r="AW150" s="471"/>
      <c r="AX150" s="471"/>
    </row>
    <row r="151" spans="1:50" ht="27" customHeight="1" x14ac:dyDescent="0.25">
      <c r="A151" s="462"/>
      <c r="H151" s="929"/>
      <c r="I151" s="388"/>
      <c r="J151" s="929"/>
      <c r="K151" s="388"/>
      <c r="L151" s="929"/>
      <c r="M151" s="388"/>
      <c r="N151" s="929"/>
      <c r="O151" s="388"/>
      <c r="P151" s="388"/>
      <c r="Q151" s="388"/>
      <c r="R151" s="465"/>
      <c r="S151" s="929"/>
      <c r="T151" s="466"/>
      <c r="U151" s="929"/>
      <c r="V151" s="929"/>
      <c r="W151" s="929"/>
      <c r="X151" s="474"/>
      <c r="Y151" s="474"/>
      <c r="Z151" s="474"/>
      <c r="AA151" s="474"/>
      <c r="AB151" s="474"/>
      <c r="AC151" s="388"/>
      <c r="AD151" s="464"/>
      <c r="AE151" s="465"/>
      <c r="AF151" s="388"/>
      <c r="AW151" s="471"/>
      <c r="AX151" s="471"/>
    </row>
    <row r="152" spans="1:50" ht="27" customHeight="1" x14ac:dyDescent="0.25">
      <c r="A152" s="462"/>
      <c r="H152" s="929"/>
      <c r="I152" s="388"/>
      <c r="J152" s="929"/>
      <c r="K152" s="388"/>
      <c r="L152" s="929"/>
      <c r="M152" s="388"/>
      <c r="N152" s="929"/>
      <c r="O152" s="388"/>
      <c r="P152" s="388"/>
      <c r="Q152" s="388"/>
      <c r="R152" s="465"/>
      <c r="S152" s="929"/>
      <c r="T152" s="466"/>
      <c r="U152" s="929"/>
      <c r="V152" s="929"/>
      <c r="W152" s="929"/>
      <c r="X152" s="474"/>
      <c r="Y152" s="474"/>
      <c r="Z152" s="474"/>
      <c r="AA152" s="474"/>
      <c r="AB152" s="474"/>
      <c r="AC152" s="388"/>
      <c r="AD152" s="464"/>
      <c r="AE152" s="465"/>
      <c r="AF152" s="388"/>
      <c r="AW152" s="471"/>
      <c r="AX152" s="471"/>
    </row>
    <row r="153" spans="1:50" ht="27" customHeight="1" x14ac:dyDescent="0.25">
      <c r="A153" s="462"/>
      <c r="H153" s="929"/>
      <c r="I153" s="388"/>
      <c r="J153" s="929"/>
      <c r="K153" s="388"/>
      <c r="L153" s="929"/>
      <c r="M153" s="388"/>
      <c r="N153" s="929"/>
      <c r="O153" s="388"/>
      <c r="P153" s="388"/>
      <c r="Q153" s="388"/>
      <c r="R153" s="465"/>
      <c r="S153" s="929"/>
      <c r="T153" s="466"/>
      <c r="U153" s="929"/>
      <c r="V153" s="929"/>
      <c r="W153" s="929"/>
      <c r="X153" s="474"/>
      <c r="Y153" s="474"/>
      <c r="Z153" s="474"/>
      <c r="AA153" s="474"/>
      <c r="AB153" s="474"/>
      <c r="AC153" s="388"/>
      <c r="AD153" s="464"/>
      <c r="AE153" s="465"/>
      <c r="AF153" s="388"/>
      <c r="AW153" s="471"/>
      <c r="AX153" s="471"/>
    </row>
    <row r="154" spans="1:50" ht="27" customHeight="1" x14ac:dyDescent="0.25">
      <c r="A154" s="462"/>
      <c r="H154" s="929"/>
      <c r="I154" s="388"/>
      <c r="J154" s="929"/>
      <c r="K154" s="388"/>
      <c r="L154" s="929"/>
      <c r="M154" s="388"/>
      <c r="N154" s="929"/>
      <c r="O154" s="388"/>
      <c r="P154" s="388"/>
      <c r="Q154" s="388"/>
      <c r="R154" s="465"/>
      <c r="S154" s="929"/>
      <c r="T154" s="466"/>
      <c r="U154" s="929"/>
      <c r="V154" s="929"/>
      <c r="W154" s="929"/>
      <c r="X154" s="474"/>
      <c r="Y154" s="474"/>
      <c r="Z154" s="474"/>
      <c r="AA154" s="474"/>
      <c r="AB154" s="474"/>
      <c r="AC154" s="388"/>
      <c r="AD154" s="464"/>
      <c r="AE154" s="465"/>
      <c r="AF154" s="388"/>
      <c r="AW154" s="471"/>
      <c r="AX154" s="471"/>
    </row>
    <row r="155" spans="1:50" ht="27" customHeight="1" x14ac:dyDescent="0.25">
      <c r="A155" s="462"/>
      <c r="H155" s="929"/>
      <c r="I155" s="388"/>
      <c r="J155" s="929"/>
      <c r="K155" s="388"/>
      <c r="L155" s="929"/>
      <c r="M155" s="388"/>
      <c r="N155" s="929"/>
      <c r="O155" s="388"/>
      <c r="P155" s="388"/>
      <c r="Q155" s="388"/>
      <c r="R155" s="465"/>
      <c r="S155" s="929"/>
      <c r="T155" s="466"/>
      <c r="U155" s="929"/>
      <c r="V155" s="929"/>
      <c r="W155" s="929"/>
      <c r="X155" s="474"/>
      <c r="Y155" s="474"/>
      <c r="Z155" s="474"/>
      <c r="AA155" s="474"/>
      <c r="AB155" s="474"/>
      <c r="AC155" s="388"/>
      <c r="AD155" s="464"/>
      <c r="AE155" s="465"/>
      <c r="AF155" s="388"/>
      <c r="AW155" s="471"/>
      <c r="AX155" s="471"/>
    </row>
    <row r="156" spans="1:50" ht="27" customHeight="1" x14ac:dyDescent="0.25">
      <c r="A156" s="462"/>
      <c r="H156" s="929"/>
      <c r="I156" s="388"/>
      <c r="J156" s="929"/>
      <c r="K156" s="388"/>
      <c r="L156" s="929"/>
      <c r="M156" s="388"/>
      <c r="N156" s="929"/>
      <c r="O156" s="388"/>
      <c r="P156" s="388"/>
      <c r="Q156" s="388"/>
      <c r="R156" s="465"/>
      <c r="S156" s="929"/>
      <c r="T156" s="466"/>
      <c r="U156" s="929"/>
      <c r="V156" s="929"/>
      <c r="W156" s="929"/>
      <c r="X156" s="474"/>
      <c r="Y156" s="474"/>
      <c r="Z156" s="474"/>
      <c r="AA156" s="474"/>
      <c r="AB156" s="474"/>
      <c r="AC156" s="388"/>
      <c r="AD156" s="464"/>
      <c r="AE156" s="465"/>
      <c r="AF156" s="388"/>
      <c r="AW156" s="471"/>
      <c r="AX156" s="471"/>
    </row>
    <row r="157" spans="1:50" ht="27" customHeight="1" x14ac:dyDescent="0.25">
      <c r="A157" s="462"/>
      <c r="H157" s="929"/>
      <c r="I157" s="388"/>
      <c r="J157" s="929"/>
      <c r="K157" s="388"/>
      <c r="L157" s="929"/>
      <c r="M157" s="388"/>
      <c r="N157" s="929"/>
      <c r="O157" s="388"/>
      <c r="P157" s="388"/>
      <c r="Q157" s="388"/>
      <c r="R157" s="465"/>
      <c r="S157" s="929"/>
      <c r="T157" s="466"/>
      <c r="U157" s="929"/>
      <c r="V157" s="929"/>
      <c r="W157" s="929"/>
      <c r="X157" s="474"/>
      <c r="Y157" s="474"/>
      <c r="Z157" s="474"/>
      <c r="AA157" s="474"/>
      <c r="AB157" s="474"/>
      <c r="AC157" s="388"/>
      <c r="AD157" s="464"/>
      <c r="AE157" s="465"/>
      <c r="AF157" s="388"/>
      <c r="AW157" s="471"/>
      <c r="AX157" s="471"/>
    </row>
    <row r="158" spans="1:50" ht="27" customHeight="1" x14ac:dyDescent="0.25">
      <c r="A158" s="462"/>
      <c r="H158" s="929"/>
      <c r="I158" s="388"/>
      <c r="J158" s="929"/>
      <c r="K158" s="388"/>
      <c r="L158" s="929"/>
      <c r="M158" s="388"/>
      <c r="N158" s="929"/>
      <c r="O158" s="388"/>
      <c r="P158" s="388"/>
      <c r="Q158" s="388"/>
      <c r="R158" s="465"/>
      <c r="S158" s="929"/>
      <c r="T158" s="466"/>
      <c r="U158" s="929"/>
      <c r="V158" s="929"/>
      <c r="W158" s="929"/>
      <c r="X158" s="474"/>
      <c r="Y158" s="474"/>
      <c r="Z158" s="474"/>
      <c r="AA158" s="474"/>
      <c r="AB158" s="474"/>
      <c r="AC158" s="388"/>
      <c r="AD158" s="464"/>
      <c r="AE158" s="465"/>
      <c r="AF158" s="388"/>
      <c r="AW158" s="471"/>
      <c r="AX158" s="471"/>
    </row>
    <row r="159" spans="1:50" ht="27" customHeight="1" x14ac:dyDescent="0.25">
      <c r="A159" s="462"/>
      <c r="H159" s="929"/>
      <c r="I159" s="388"/>
      <c r="J159" s="929"/>
      <c r="K159" s="388"/>
      <c r="L159" s="929"/>
      <c r="M159" s="388"/>
      <c r="N159" s="929"/>
      <c r="O159" s="388"/>
      <c r="P159" s="388"/>
      <c r="Q159" s="388"/>
      <c r="R159" s="465"/>
      <c r="S159" s="929"/>
      <c r="T159" s="466"/>
      <c r="U159" s="929"/>
      <c r="V159" s="929"/>
      <c r="W159" s="929"/>
      <c r="X159" s="474"/>
      <c r="Y159" s="474"/>
      <c r="Z159" s="474"/>
      <c r="AA159" s="474"/>
      <c r="AB159" s="474"/>
      <c r="AC159" s="388"/>
      <c r="AD159" s="464"/>
      <c r="AE159" s="465"/>
      <c r="AF159" s="388"/>
      <c r="AW159" s="471"/>
      <c r="AX159" s="471"/>
    </row>
    <row r="160" spans="1:50" ht="27" customHeight="1" x14ac:dyDescent="0.25">
      <c r="A160" s="462"/>
      <c r="H160" s="929"/>
      <c r="I160" s="388"/>
      <c r="J160" s="929"/>
      <c r="K160" s="388"/>
      <c r="L160" s="929"/>
      <c r="M160" s="388"/>
      <c r="N160" s="929"/>
      <c r="O160" s="388"/>
      <c r="P160" s="388"/>
      <c r="Q160" s="388"/>
      <c r="R160" s="465"/>
      <c r="S160" s="929"/>
      <c r="T160" s="466"/>
      <c r="U160" s="929"/>
      <c r="V160" s="929"/>
      <c r="W160" s="929"/>
      <c r="X160" s="474"/>
      <c r="Y160" s="474"/>
      <c r="Z160" s="474"/>
      <c r="AA160" s="474"/>
      <c r="AB160" s="474"/>
      <c r="AC160" s="388"/>
      <c r="AD160" s="464"/>
      <c r="AE160" s="465"/>
      <c r="AF160" s="388"/>
      <c r="AW160" s="471"/>
      <c r="AX160" s="471"/>
    </row>
    <row r="161" spans="1:50" ht="27" customHeight="1" x14ac:dyDescent="0.25">
      <c r="A161" s="462"/>
      <c r="H161" s="929"/>
      <c r="I161" s="388"/>
      <c r="J161" s="929"/>
      <c r="K161" s="388"/>
      <c r="L161" s="929"/>
      <c r="M161" s="388"/>
      <c r="N161" s="929"/>
      <c r="O161" s="388"/>
      <c r="P161" s="388"/>
      <c r="Q161" s="388"/>
      <c r="R161" s="465"/>
      <c r="S161" s="929"/>
      <c r="T161" s="466"/>
      <c r="U161" s="929"/>
      <c r="V161" s="929"/>
      <c r="W161" s="929"/>
      <c r="X161" s="474"/>
      <c r="Y161" s="474"/>
      <c r="Z161" s="474"/>
      <c r="AA161" s="474"/>
      <c r="AB161" s="474"/>
      <c r="AC161" s="388"/>
      <c r="AD161" s="464"/>
      <c r="AE161" s="465"/>
      <c r="AF161" s="388"/>
      <c r="AW161" s="471"/>
      <c r="AX161" s="471"/>
    </row>
    <row r="162" spans="1:50" ht="27" customHeight="1" x14ac:dyDescent="0.25">
      <c r="A162" s="462"/>
      <c r="H162" s="929"/>
      <c r="I162" s="388"/>
      <c r="J162" s="929"/>
      <c r="K162" s="388"/>
      <c r="L162" s="929"/>
      <c r="M162" s="388"/>
      <c r="N162" s="929"/>
      <c r="O162" s="388"/>
      <c r="P162" s="388"/>
      <c r="Q162" s="388"/>
      <c r="R162" s="465"/>
      <c r="S162" s="929"/>
      <c r="T162" s="466"/>
      <c r="U162" s="929"/>
      <c r="V162" s="929"/>
      <c r="W162" s="929"/>
      <c r="X162" s="474"/>
      <c r="Y162" s="474"/>
      <c r="Z162" s="474"/>
      <c r="AA162" s="474"/>
      <c r="AB162" s="474"/>
      <c r="AC162" s="388"/>
      <c r="AD162" s="464"/>
      <c r="AE162" s="465"/>
      <c r="AF162" s="388"/>
      <c r="AW162" s="471"/>
      <c r="AX162" s="471"/>
    </row>
    <row r="163" spans="1:50" ht="27" customHeight="1" x14ac:dyDescent="0.25">
      <c r="A163" s="462"/>
      <c r="H163" s="929"/>
      <c r="I163" s="388"/>
      <c r="J163" s="929"/>
      <c r="K163" s="388"/>
      <c r="L163" s="929"/>
      <c r="M163" s="388"/>
      <c r="N163" s="929"/>
      <c r="O163" s="388"/>
      <c r="P163" s="388"/>
      <c r="Q163" s="388"/>
      <c r="R163" s="465"/>
      <c r="S163" s="929"/>
      <c r="T163" s="466"/>
      <c r="U163" s="929"/>
      <c r="V163" s="929"/>
      <c r="W163" s="929"/>
      <c r="X163" s="474"/>
      <c r="Y163" s="474"/>
      <c r="Z163" s="474"/>
      <c r="AA163" s="474"/>
      <c r="AB163" s="474"/>
      <c r="AC163" s="388"/>
      <c r="AD163" s="464"/>
      <c r="AE163" s="465"/>
      <c r="AF163" s="388"/>
      <c r="AW163" s="471"/>
      <c r="AX163" s="471"/>
    </row>
    <row r="164" spans="1:50" ht="27" customHeight="1" x14ac:dyDescent="0.25">
      <c r="A164" s="462"/>
      <c r="H164" s="929"/>
      <c r="I164" s="388"/>
      <c r="J164" s="929"/>
      <c r="K164" s="388"/>
      <c r="L164" s="929"/>
      <c r="M164" s="388"/>
      <c r="N164" s="929"/>
      <c r="O164" s="388"/>
      <c r="P164" s="388"/>
      <c r="Q164" s="388"/>
      <c r="R164" s="465"/>
      <c r="S164" s="929"/>
      <c r="T164" s="466"/>
      <c r="U164" s="929"/>
      <c r="V164" s="929"/>
      <c r="W164" s="929"/>
      <c r="X164" s="474"/>
      <c r="Y164" s="474"/>
      <c r="Z164" s="474"/>
      <c r="AA164" s="474"/>
      <c r="AB164" s="474"/>
      <c r="AC164" s="388"/>
      <c r="AD164" s="464"/>
      <c r="AE164" s="465"/>
      <c r="AF164" s="388"/>
      <c r="AW164" s="471"/>
      <c r="AX164" s="471"/>
    </row>
    <row r="165" spans="1:50" ht="27" customHeight="1" x14ac:dyDescent="0.25">
      <c r="A165" s="462"/>
      <c r="H165" s="929"/>
      <c r="I165" s="388"/>
      <c r="J165" s="929"/>
      <c r="K165" s="388"/>
      <c r="L165" s="929"/>
      <c r="M165" s="388"/>
      <c r="N165" s="929"/>
      <c r="O165" s="388"/>
      <c r="P165" s="388"/>
      <c r="Q165" s="388"/>
      <c r="R165" s="465"/>
      <c r="S165" s="929"/>
      <c r="T165" s="466"/>
      <c r="U165" s="929"/>
      <c r="V165" s="929"/>
      <c r="W165" s="929"/>
      <c r="X165" s="474"/>
      <c r="Y165" s="474"/>
      <c r="Z165" s="474"/>
      <c r="AA165" s="474"/>
      <c r="AB165" s="474"/>
      <c r="AC165" s="388"/>
      <c r="AD165" s="464"/>
      <c r="AE165" s="465"/>
      <c r="AF165" s="388"/>
      <c r="AW165" s="471"/>
      <c r="AX165" s="471"/>
    </row>
    <row r="166" spans="1:50" ht="27" customHeight="1" x14ac:dyDescent="0.25">
      <c r="A166" s="462"/>
      <c r="H166" s="929"/>
      <c r="I166" s="388"/>
      <c r="J166" s="929"/>
      <c r="K166" s="388"/>
      <c r="L166" s="929"/>
      <c r="M166" s="388"/>
      <c r="N166" s="929"/>
      <c r="O166" s="388"/>
      <c r="P166" s="388"/>
      <c r="Q166" s="388"/>
      <c r="R166" s="465"/>
      <c r="S166" s="929"/>
      <c r="T166" s="466"/>
      <c r="U166" s="929"/>
      <c r="V166" s="929"/>
      <c r="W166" s="929"/>
      <c r="X166" s="474"/>
      <c r="Y166" s="474"/>
      <c r="Z166" s="474"/>
      <c r="AA166" s="474"/>
      <c r="AB166" s="474"/>
      <c r="AC166" s="388"/>
      <c r="AD166" s="464"/>
      <c r="AE166" s="465"/>
      <c r="AF166" s="388"/>
      <c r="AW166" s="471"/>
      <c r="AX166" s="471"/>
    </row>
    <row r="167" spans="1:50" ht="27" customHeight="1" x14ac:dyDescent="0.25">
      <c r="A167" s="462"/>
      <c r="H167" s="929"/>
      <c r="I167" s="388"/>
      <c r="J167" s="929"/>
      <c r="K167" s="388"/>
      <c r="L167" s="929"/>
      <c r="M167" s="388"/>
      <c r="N167" s="929"/>
      <c r="O167" s="388"/>
      <c r="P167" s="388"/>
      <c r="Q167" s="388"/>
      <c r="R167" s="465"/>
      <c r="S167" s="929"/>
      <c r="T167" s="466"/>
      <c r="U167" s="929"/>
      <c r="V167" s="929"/>
      <c r="W167" s="929"/>
      <c r="X167" s="474"/>
      <c r="Y167" s="474"/>
      <c r="Z167" s="474"/>
      <c r="AA167" s="474"/>
      <c r="AB167" s="474"/>
      <c r="AC167" s="388"/>
      <c r="AD167" s="464"/>
      <c r="AE167" s="465"/>
      <c r="AF167" s="388"/>
      <c r="AW167" s="471"/>
      <c r="AX167" s="471"/>
    </row>
    <row r="168" spans="1:50" ht="27" customHeight="1" x14ac:dyDescent="0.25">
      <c r="A168" s="462"/>
      <c r="H168" s="929"/>
      <c r="I168" s="388"/>
      <c r="J168" s="929"/>
      <c r="K168" s="388"/>
      <c r="L168" s="929"/>
      <c r="M168" s="388"/>
      <c r="N168" s="929"/>
      <c r="O168" s="388"/>
      <c r="P168" s="388"/>
      <c r="Q168" s="388"/>
      <c r="R168" s="465"/>
      <c r="S168" s="929"/>
      <c r="T168" s="466"/>
      <c r="U168" s="929"/>
      <c r="V168" s="929"/>
      <c r="W168" s="929"/>
      <c r="X168" s="474"/>
      <c r="Y168" s="474"/>
      <c r="Z168" s="474"/>
      <c r="AA168" s="474"/>
      <c r="AB168" s="474"/>
      <c r="AC168" s="388"/>
      <c r="AD168" s="464"/>
      <c r="AE168" s="465"/>
      <c r="AF168" s="388"/>
      <c r="AW168" s="471"/>
      <c r="AX168" s="471"/>
    </row>
    <row r="169" spans="1:50" ht="27" customHeight="1" x14ac:dyDescent="0.25">
      <c r="A169" s="462"/>
      <c r="H169" s="929"/>
      <c r="I169" s="388"/>
      <c r="J169" s="929"/>
      <c r="K169" s="388"/>
      <c r="L169" s="929"/>
      <c r="M169" s="388"/>
      <c r="N169" s="929"/>
      <c r="O169" s="388"/>
      <c r="P169" s="388"/>
      <c r="Q169" s="388"/>
      <c r="R169" s="465"/>
      <c r="S169" s="929"/>
      <c r="T169" s="466"/>
      <c r="U169" s="929"/>
      <c r="V169" s="929"/>
      <c r="W169" s="929"/>
      <c r="X169" s="474"/>
      <c r="Y169" s="474"/>
      <c r="Z169" s="474"/>
      <c r="AA169" s="474"/>
      <c r="AB169" s="474"/>
      <c r="AC169" s="388"/>
      <c r="AD169" s="464"/>
      <c r="AE169" s="465"/>
      <c r="AF169" s="388"/>
      <c r="AW169" s="471"/>
      <c r="AX169" s="471"/>
    </row>
    <row r="170" spans="1:50" ht="27" customHeight="1" x14ac:dyDescent="0.25">
      <c r="A170" s="462"/>
      <c r="H170" s="929"/>
      <c r="I170" s="388"/>
      <c r="J170" s="929"/>
      <c r="K170" s="388"/>
      <c r="L170" s="929"/>
      <c r="M170" s="388"/>
      <c r="N170" s="929"/>
      <c r="O170" s="388"/>
      <c r="P170" s="388"/>
      <c r="Q170" s="388"/>
      <c r="R170" s="465"/>
      <c r="S170" s="929"/>
      <c r="T170" s="466"/>
      <c r="U170" s="929"/>
      <c r="V170" s="929"/>
      <c r="W170" s="929"/>
      <c r="X170" s="474"/>
      <c r="Y170" s="474"/>
      <c r="Z170" s="474"/>
      <c r="AA170" s="474"/>
      <c r="AB170" s="474"/>
      <c r="AC170" s="388"/>
      <c r="AD170" s="464"/>
      <c r="AE170" s="465"/>
      <c r="AF170" s="388"/>
      <c r="AW170" s="471"/>
      <c r="AX170" s="471"/>
    </row>
    <row r="171" spans="1:50" ht="27" customHeight="1" x14ac:dyDescent="0.25">
      <c r="A171" s="462"/>
      <c r="H171" s="929"/>
      <c r="I171" s="388"/>
      <c r="J171" s="929"/>
      <c r="K171" s="388"/>
      <c r="L171" s="929"/>
      <c r="M171" s="388"/>
      <c r="N171" s="929"/>
      <c r="O171" s="388"/>
      <c r="P171" s="388"/>
      <c r="Q171" s="388"/>
      <c r="R171" s="465"/>
      <c r="S171" s="929"/>
      <c r="T171" s="466"/>
      <c r="U171" s="929"/>
      <c r="V171" s="929"/>
      <c r="W171" s="929"/>
      <c r="X171" s="474"/>
      <c r="Y171" s="474"/>
      <c r="Z171" s="474"/>
      <c r="AA171" s="474"/>
      <c r="AB171" s="474"/>
      <c r="AC171" s="388"/>
      <c r="AD171" s="464"/>
      <c r="AE171" s="465"/>
      <c r="AF171" s="388"/>
      <c r="AW171" s="471"/>
      <c r="AX171" s="471"/>
    </row>
    <row r="172" spans="1:50" ht="27" customHeight="1" x14ac:dyDescent="0.25">
      <c r="A172" s="462"/>
      <c r="H172" s="929"/>
      <c r="I172" s="388"/>
      <c r="J172" s="929"/>
      <c r="K172" s="388"/>
      <c r="L172" s="929"/>
      <c r="M172" s="388"/>
      <c r="N172" s="929"/>
      <c r="O172" s="388"/>
      <c r="P172" s="388"/>
      <c r="Q172" s="388"/>
      <c r="R172" s="465"/>
      <c r="S172" s="929"/>
      <c r="T172" s="466"/>
      <c r="U172" s="929"/>
      <c r="V172" s="929"/>
      <c r="W172" s="929"/>
      <c r="X172" s="474"/>
      <c r="Y172" s="474"/>
      <c r="Z172" s="474"/>
      <c r="AA172" s="474"/>
      <c r="AB172" s="474"/>
      <c r="AC172" s="388"/>
      <c r="AD172" s="464"/>
      <c r="AE172" s="465"/>
      <c r="AF172" s="388"/>
      <c r="AW172" s="471"/>
      <c r="AX172" s="471"/>
    </row>
    <row r="173" spans="1:50" ht="27" customHeight="1" x14ac:dyDescent="0.25">
      <c r="A173" s="462"/>
      <c r="H173" s="929"/>
      <c r="I173" s="388"/>
      <c r="J173" s="929"/>
      <c r="K173" s="388"/>
      <c r="L173" s="929"/>
      <c r="M173" s="388"/>
      <c r="N173" s="929"/>
      <c r="O173" s="388"/>
      <c r="P173" s="388"/>
      <c r="Q173" s="388"/>
      <c r="R173" s="465"/>
      <c r="S173" s="929"/>
      <c r="T173" s="466"/>
      <c r="U173" s="929"/>
      <c r="V173" s="929"/>
      <c r="W173" s="929"/>
      <c r="X173" s="474"/>
      <c r="Y173" s="474"/>
      <c r="Z173" s="474"/>
      <c r="AA173" s="474"/>
      <c r="AB173" s="474"/>
      <c r="AC173" s="388"/>
      <c r="AD173" s="464"/>
      <c r="AE173" s="465"/>
      <c r="AF173" s="388"/>
      <c r="AW173" s="471"/>
      <c r="AX173" s="471"/>
    </row>
    <row r="174" spans="1:50" ht="27" customHeight="1" x14ac:dyDescent="0.25">
      <c r="A174" s="462"/>
      <c r="H174" s="929"/>
      <c r="I174" s="388"/>
      <c r="J174" s="929"/>
      <c r="K174" s="388"/>
      <c r="L174" s="929"/>
      <c r="M174" s="388"/>
      <c r="N174" s="929"/>
      <c r="O174" s="388"/>
      <c r="P174" s="388"/>
      <c r="Q174" s="388"/>
      <c r="R174" s="465"/>
      <c r="S174" s="929"/>
      <c r="T174" s="466"/>
      <c r="U174" s="929"/>
      <c r="V174" s="929"/>
      <c r="W174" s="929"/>
      <c r="X174" s="474"/>
      <c r="Y174" s="474"/>
      <c r="Z174" s="474"/>
      <c r="AA174" s="474"/>
      <c r="AB174" s="474"/>
      <c r="AC174" s="388"/>
      <c r="AD174" s="464"/>
      <c r="AE174" s="465"/>
      <c r="AF174" s="388"/>
      <c r="AW174" s="471"/>
      <c r="AX174" s="471"/>
    </row>
    <row r="175" spans="1:50" ht="27" customHeight="1" x14ac:dyDescent="0.25">
      <c r="A175" s="462"/>
      <c r="H175" s="929"/>
      <c r="I175" s="388"/>
      <c r="J175" s="929"/>
      <c r="K175" s="388"/>
      <c r="L175" s="929"/>
      <c r="M175" s="388"/>
      <c r="N175" s="929"/>
      <c r="O175" s="388"/>
      <c r="P175" s="388"/>
      <c r="Q175" s="388"/>
      <c r="R175" s="465"/>
      <c r="S175" s="929"/>
      <c r="T175" s="466"/>
      <c r="U175" s="929"/>
      <c r="V175" s="929"/>
      <c r="W175" s="929"/>
      <c r="X175" s="474"/>
      <c r="Y175" s="474"/>
      <c r="Z175" s="474"/>
      <c r="AA175" s="474"/>
      <c r="AB175" s="474"/>
      <c r="AC175" s="388"/>
      <c r="AD175" s="464"/>
      <c r="AE175" s="465"/>
      <c r="AF175" s="388"/>
      <c r="AW175" s="471"/>
      <c r="AX175" s="471"/>
    </row>
    <row r="176" spans="1:50" ht="27" customHeight="1" x14ac:dyDescent="0.25">
      <c r="A176" s="462"/>
      <c r="H176" s="929"/>
      <c r="I176" s="388"/>
      <c r="J176" s="929"/>
      <c r="K176" s="388"/>
      <c r="L176" s="929"/>
      <c r="M176" s="388"/>
      <c r="N176" s="929"/>
      <c r="O176" s="388"/>
      <c r="P176" s="388"/>
      <c r="Q176" s="388"/>
      <c r="R176" s="465"/>
      <c r="S176" s="929"/>
      <c r="T176" s="466"/>
      <c r="U176" s="929"/>
      <c r="V176" s="929"/>
      <c r="W176" s="929"/>
      <c r="X176" s="474"/>
      <c r="Y176" s="474"/>
      <c r="Z176" s="474"/>
      <c r="AA176" s="474"/>
      <c r="AB176" s="474"/>
      <c r="AC176" s="388"/>
      <c r="AD176" s="464"/>
      <c r="AE176" s="465"/>
      <c r="AF176" s="388"/>
      <c r="AW176" s="471"/>
      <c r="AX176" s="471"/>
    </row>
    <row r="177" spans="1:50" ht="27" customHeight="1" x14ac:dyDescent="0.25">
      <c r="A177" s="462"/>
      <c r="H177" s="929"/>
      <c r="I177" s="388"/>
      <c r="J177" s="929"/>
      <c r="K177" s="388"/>
      <c r="L177" s="929"/>
      <c r="M177" s="388"/>
      <c r="N177" s="929"/>
      <c r="O177" s="388"/>
      <c r="P177" s="388"/>
      <c r="Q177" s="388"/>
      <c r="R177" s="465"/>
      <c r="S177" s="929"/>
      <c r="T177" s="466"/>
      <c r="U177" s="929"/>
      <c r="V177" s="929"/>
      <c r="W177" s="929"/>
      <c r="X177" s="474"/>
      <c r="Y177" s="474"/>
      <c r="Z177" s="474"/>
      <c r="AA177" s="474"/>
      <c r="AB177" s="474"/>
      <c r="AC177" s="388"/>
      <c r="AD177" s="464"/>
      <c r="AE177" s="465"/>
      <c r="AF177" s="388"/>
      <c r="AW177" s="471"/>
      <c r="AX177" s="471"/>
    </row>
    <row r="178" spans="1:50" ht="27" customHeight="1" x14ac:dyDescent="0.25">
      <c r="A178" s="462"/>
      <c r="H178" s="929"/>
      <c r="I178" s="388"/>
      <c r="J178" s="929"/>
      <c r="K178" s="388"/>
      <c r="L178" s="929"/>
      <c r="M178" s="388"/>
      <c r="N178" s="929"/>
      <c r="O178" s="388"/>
      <c r="P178" s="388"/>
      <c r="Q178" s="388"/>
      <c r="R178" s="465"/>
      <c r="S178" s="929"/>
      <c r="T178" s="466"/>
      <c r="U178" s="929"/>
      <c r="V178" s="929"/>
      <c r="W178" s="929"/>
      <c r="X178" s="474"/>
      <c r="Y178" s="474"/>
      <c r="Z178" s="474"/>
      <c r="AA178" s="474"/>
      <c r="AB178" s="474"/>
      <c r="AC178" s="388"/>
      <c r="AD178" s="464"/>
      <c r="AE178" s="465"/>
      <c r="AF178" s="388"/>
      <c r="AW178" s="471"/>
      <c r="AX178" s="471"/>
    </row>
    <row r="179" spans="1:50" ht="27" customHeight="1" x14ac:dyDescent="0.25">
      <c r="A179" s="462"/>
      <c r="H179" s="929"/>
      <c r="I179" s="388"/>
      <c r="J179" s="929"/>
      <c r="K179" s="388"/>
      <c r="L179" s="929"/>
      <c r="M179" s="388"/>
      <c r="N179" s="929"/>
      <c r="O179" s="388"/>
      <c r="P179" s="388"/>
      <c r="Q179" s="388"/>
      <c r="R179" s="465"/>
      <c r="S179" s="929"/>
      <c r="T179" s="466"/>
      <c r="U179" s="929"/>
      <c r="V179" s="929"/>
      <c r="W179" s="929"/>
      <c r="X179" s="474"/>
      <c r="Y179" s="474"/>
      <c r="Z179" s="474"/>
      <c r="AA179" s="474"/>
      <c r="AB179" s="474"/>
      <c r="AC179" s="388"/>
      <c r="AD179" s="464"/>
      <c r="AE179" s="465"/>
      <c r="AF179" s="388"/>
      <c r="AW179" s="471"/>
      <c r="AX179" s="471"/>
    </row>
    <row r="180" spans="1:50" ht="27" customHeight="1" x14ac:dyDescent="0.25">
      <c r="A180" s="462"/>
      <c r="H180" s="929"/>
      <c r="I180" s="388"/>
      <c r="J180" s="929"/>
      <c r="K180" s="388"/>
      <c r="L180" s="929"/>
      <c r="M180" s="388"/>
      <c r="N180" s="929"/>
      <c r="O180" s="388"/>
      <c r="P180" s="388"/>
      <c r="Q180" s="388"/>
      <c r="R180" s="465"/>
      <c r="S180" s="929"/>
      <c r="T180" s="466"/>
      <c r="U180" s="929"/>
      <c r="V180" s="929"/>
      <c r="W180" s="929"/>
      <c r="X180" s="474"/>
      <c r="Y180" s="474"/>
      <c r="Z180" s="474"/>
      <c r="AA180" s="474"/>
      <c r="AB180" s="474"/>
      <c r="AC180" s="388"/>
      <c r="AD180" s="464"/>
      <c r="AE180" s="465"/>
      <c r="AF180" s="388"/>
      <c r="AW180" s="471"/>
      <c r="AX180" s="471"/>
    </row>
    <row r="181" spans="1:50" ht="27" customHeight="1" x14ac:dyDescent="0.25">
      <c r="A181" s="462"/>
      <c r="H181" s="929"/>
      <c r="I181" s="388"/>
      <c r="J181" s="929"/>
      <c r="K181" s="388"/>
      <c r="L181" s="929"/>
      <c r="M181" s="388"/>
      <c r="N181" s="929"/>
      <c r="O181" s="388"/>
      <c r="P181" s="388"/>
      <c r="Q181" s="388"/>
      <c r="R181" s="465"/>
      <c r="S181" s="929"/>
      <c r="T181" s="466"/>
      <c r="U181" s="929"/>
      <c r="V181" s="929"/>
      <c r="W181" s="929"/>
      <c r="X181" s="474"/>
      <c r="Y181" s="474"/>
      <c r="Z181" s="474"/>
      <c r="AA181" s="474"/>
      <c r="AB181" s="474"/>
      <c r="AC181" s="388"/>
      <c r="AD181" s="464"/>
      <c r="AE181" s="465"/>
      <c r="AF181" s="388"/>
      <c r="AW181" s="471"/>
      <c r="AX181" s="471"/>
    </row>
    <row r="182" spans="1:50" ht="27" customHeight="1" x14ac:dyDescent="0.25">
      <c r="A182" s="462"/>
      <c r="H182" s="929"/>
      <c r="I182" s="388"/>
      <c r="J182" s="929"/>
      <c r="K182" s="388"/>
      <c r="L182" s="929"/>
      <c r="M182" s="388"/>
      <c r="N182" s="929"/>
      <c r="O182" s="388"/>
      <c r="P182" s="388"/>
      <c r="Q182" s="388"/>
      <c r="R182" s="465"/>
      <c r="S182" s="929"/>
      <c r="T182" s="466"/>
      <c r="U182" s="929"/>
      <c r="V182" s="929"/>
      <c r="W182" s="929"/>
      <c r="X182" s="474"/>
      <c r="Y182" s="474"/>
      <c r="Z182" s="474"/>
      <c r="AA182" s="474"/>
      <c r="AB182" s="474"/>
      <c r="AC182" s="388"/>
      <c r="AD182" s="464"/>
      <c r="AE182" s="465"/>
      <c r="AF182" s="388"/>
      <c r="AW182" s="471"/>
      <c r="AX182" s="471"/>
    </row>
    <row r="183" spans="1:50" ht="27" customHeight="1" x14ac:dyDescent="0.25">
      <c r="A183" s="462"/>
      <c r="H183" s="929"/>
      <c r="I183" s="388"/>
      <c r="J183" s="929"/>
      <c r="K183" s="388"/>
      <c r="L183" s="929"/>
      <c r="M183" s="388"/>
      <c r="N183" s="929"/>
      <c r="O183" s="388"/>
      <c r="P183" s="388"/>
      <c r="Q183" s="388"/>
      <c r="R183" s="465"/>
      <c r="S183" s="929"/>
      <c r="T183" s="466"/>
      <c r="U183" s="929"/>
      <c r="V183" s="929"/>
      <c r="W183" s="929"/>
      <c r="X183" s="474"/>
      <c r="Y183" s="474"/>
      <c r="Z183" s="474"/>
      <c r="AA183" s="474"/>
      <c r="AB183" s="474"/>
      <c r="AC183" s="388"/>
      <c r="AD183" s="464"/>
      <c r="AE183" s="465"/>
      <c r="AF183" s="388"/>
      <c r="AW183" s="471"/>
      <c r="AX183" s="471"/>
    </row>
    <row r="184" spans="1:50" ht="27" customHeight="1" x14ac:dyDescent="0.25">
      <c r="A184" s="462"/>
      <c r="H184" s="929"/>
      <c r="I184" s="388"/>
      <c r="J184" s="929"/>
      <c r="K184" s="388"/>
      <c r="L184" s="929"/>
      <c r="M184" s="388"/>
      <c r="N184" s="929"/>
      <c r="O184" s="388"/>
      <c r="P184" s="388"/>
      <c r="Q184" s="388"/>
      <c r="R184" s="465"/>
      <c r="S184" s="929"/>
      <c r="T184" s="466"/>
      <c r="U184" s="929"/>
      <c r="V184" s="929"/>
      <c r="W184" s="929"/>
      <c r="X184" s="474"/>
      <c r="Y184" s="474"/>
      <c r="Z184" s="474"/>
      <c r="AA184" s="474"/>
      <c r="AB184" s="474"/>
      <c r="AC184" s="388"/>
      <c r="AD184" s="464"/>
      <c r="AE184" s="465"/>
      <c r="AF184" s="388"/>
      <c r="AW184" s="471"/>
      <c r="AX184" s="471"/>
    </row>
    <row r="185" spans="1:50" ht="27" customHeight="1" x14ac:dyDescent="0.25">
      <c r="A185" s="462"/>
      <c r="H185" s="929"/>
      <c r="I185" s="388"/>
      <c r="J185" s="929"/>
      <c r="K185" s="388"/>
      <c r="L185" s="929"/>
      <c r="M185" s="388"/>
      <c r="N185" s="929"/>
      <c r="O185" s="388"/>
      <c r="P185" s="388"/>
      <c r="Q185" s="388"/>
      <c r="R185" s="465"/>
      <c r="S185" s="929"/>
      <c r="T185" s="466"/>
      <c r="U185" s="929"/>
      <c r="V185" s="929"/>
      <c r="W185" s="929"/>
      <c r="X185" s="474"/>
      <c r="Y185" s="474"/>
      <c r="Z185" s="474"/>
      <c r="AA185" s="474"/>
      <c r="AB185" s="474"/>
      <c r="AC185" s="388"/>
      <c r="AD185" s="464"/>
      <c r="AE185" s="465"/>
      <c r="AF185" s="388"/>
      <c r="AW185" s="471"/>
      <c r="AX185" s="471"/>
    </row>
    <row r="186" spans="1:50" ht="27" customHeight="1" x14ac:dyDescent="0.25">
      <c r="A186" s="462"/>
      <c r="H186" s="929"/>
      <c r="I186" s="388"/>
      <c r="J186" s="929"/>
      <c r="K186" s="388"/>
      <c r="L186" s="929"/>
      <c r="M186" s="388"/>
      <c r="N186" s="929"/>
      <c r="O186" s="388"/>
      <c r="P186" s="388"/>
      <c r="Q186" s="388"/>
      <c r="R186" s="465"/>
      <c r="S186" s="929"/>
      <c r="T186" s="466"/>
      <c r="U186" s="929"/>
      <c r="V186" s="929"/>
      <c r="W186" s="929"/>
      <c r="X186" s="474"/>
      <c r="Y186" s="474"/>
      <c r="Z186" s="474"/>
      <c r="AA186" s="474"/>
      <c r="AB186" s="474"/>
      <c r="AC186" s="388"/>
      <c r="AD186" s="464"/>
      <c r="AE186" s="465"/>
      <c r="AF186" s="388"/>
      <c r="AW186" s="471"/>
      <c r="AX186" s="471"/>
    </row>
    <row r="187" spans="1:50" ht="27" customHeight="1" x14ac:dyDescent="0.25">
      <c r="A187" s="462"/>
      <c r="H187" s="929"/>
      <c r="I187" s="388"/>
      <c r="J187" s="929"/>
      <c r="K187" s="388"/>
      <c r="L187" s="929"/>
      <c r="M187" s="388"/>
      <c r="N187" s="929"/>
      <c r="O187" s="388"/>
      <c r="P187" s="388"/>
      <c r="Q187" s="388"/>
      <c r="R187" s="465"/>
      <c r="S187" s="929"/>
      <c r="T187" s="466"/>
      <c r="U187" s="929"/>
      <c r="V187" s="929"/>
      <c r="W187" s="929"/>
      <c r="X187" s="474"/>
      <c r="Y187" s="474"/>
      <c r="Z187" s="474"/>
      <c r="AA187" s="474"/>
      <c r="AB187" s="474"/>
      <c r="AC187" s="388"/>
      <c r="AD187" s="464"/>
      <c r="AE187" s="465"/>
      <c r="AF187" s="388"/>
      <c r="AW187" s="471"/>
      <c r="AX187" s="471"/>
    </row>
    <row r="188" spans="1:50" ht="27" customHeight="1" x14ac:dyDescent="0.25">
      <c r="A188" s="462"/>
      <c r="H188" s="929"/>
      <c r="I188" s="388"/>
      <c r="J188" s="929"/>
      <c r="K188" s="388"/>
      <c r="L188" s="929"/>
      <c r="M188" s="388"/>
      <c r="N188" s="929"/>
      <c r="O188" s="388"/>
      <c r="P188" s="388"/>
      <c r="Q188" s="388"/>
      <c r="R188" s="465"/>
      <c r="S188" s="929"/>
      <c r="T188" s="466"/>
      <c r="U188" s="929"/>
      <c r="V188" s="929"/>
      <c r="W188" s="929"/>
      <c r="X188" s="474"/>
      <c r="Y188" s="474"/>
      <c r="Z188" s="474"/>
      <c r="AA188" s="474"/>
      <c r="AB188" s="474"/>
      <c r="AC188" s="388"/>
      <c r="AD188" s="464"/>
      <c r="AE188" s="465"/>
      <c r="AF188" s="388"/>
      <c r="AW188" s="471"/>
      <c r="AX188" s="471"/>
    </row>
    <row r="189" spans="1:50" ht="27" customHeight="1" x14ac:dyDescent="0.25">
      <c r="A189" s="462"/>
      <c r="H189" s="929"/>
      <c r="I189" s="388"/>
      <c r="J189" s="929"/>
      <c r="K189" s="388"/>
      <c r="L189" s="929"/>
      <c r="M189" s="388"/>
      <c r="N189" s="929"/>
      <c r="O189" s="388"/>
      <c r="P189" s="388"/>
      <c r="Q189" s="388"/>
      <c r="R189" s="465"/>
      <c r="S189" s="929"/>
      <c r="T189" s="466"/>
      <c r="U189" s="929"/>
      <c r="V189" s="929"/>
      <c r="W189" s="929"/>
      <c r="X189" s="474"/>
      <c r="Y189" s="474"/>
      <c r="Z189" s="474"/>
      <c r="AA189" s="474"/>
      <c r="AB189" s="474"/>
      <c r="AC189" s="388"/>
      <c r="AD189" s="464"/>
      <c r="AE189" s="465"/>
      <c r="AF189" s="388"/>
      <c r="AW189" s="471"/>
      <c r="AX189" s="471"/>
    </row>
    <row r="190" spans="1:50" ht="27" customHeight="1" x14ac:dyDescent="0.25">
      <c r="A190" s="462"/>
      <c r="H190" s="929"/>
      <c r="I190" s="388"/>
      <c r="J190" s="929"/>
      <c r="K190" s="388"/>
      <c r="L190" s="929"/>
      <c r="M190" s="388"/>
      <c r="N190" s="929"/>
      <c r="O190" s="388"/>
      <c r="P190" s="388"/>
      <c r="Q190" s="388"/>
      <c r="R190" s="465"/>
      <c r="S190" s="929"/>
      <c r="T190" s="466"/>
      <c r="U190" s="929"/>
      <c r="V190" s="929"/>
      <c r="W190" s="929"/>
      <c r="X190" s="474"/>
      <c r="Y190" s="474"/>
      <c r="Z190" s="474"/>
      <c r="AA190" s="474"/>
      <c r="AB190" s="474"/>
      <c r="AC190" s="388"/>
      <c r="AD190" s="464"/>
      <c r="AE190" s="465"/>
      <c r="AF190" s="388"/>
      <c r="AW190" s="471"/>
      <c r="AX190" s="471"/>
    </row>
    <row r="191" spans="1:50" ht="27" customHeight="1" x14ac:dyDescent="0.25">
      <c r="A191" s="462"/>
      <c r="H191" s="929"/>
      <c r="I191" s="388"/>
      <c r="J191" s="929"/>
      <c r="K191" s="388"/>
      <c r="L191" s="929"/>
      <c r="M191" s="388"/>
      <c r="N191" s="929"/>
      <c r="O191" s="388"/>
      <c r="P191" s="388"/>
      <c r="Q191" s="388"/>
      <c r="R191" s="465"/>
      <c r="S191" s="929"/>
      <c r="T191" s="466"/>
      <c r="U191" s="929"/>
      <c r="V191" s="929"/>
      <c r="W191" s="929"/>
      <c r="X191" s="474"/>
      <c r="Y191" s="474"/>
      <c r="Z191" s="474"/>
      <c r="AA191" s="474"/>
      <c r="AB191" s="474"/>
      <c r="AC191" s="388"/>
      <c r="AD191" s="464"/>
      <c r="AE191" s="465"/>
      <c r="AF191" s="388"/>
      <c r="AW191" s="471"/>
      <c r="AX191" s="471"/>
    </row>
    <row r="192" spans="1:50" ht="27" customHeight="1" x14ac:dyDescent="0.25">
      <c r="A192" s="462"/>
      <c r="H192" s="929"/>
      <c r="I192" s="388"/>
      <c r="J192" s="929"/>
      <c r="K192" s="388"/>
      <c r="L192" s="929"/>
      <c r="M192" s="388"/>
      <c r="N192" s="929"/>
      <c r="O192" s="388"/>
      <c r="P192" s="388"/>
      <c r="Q192" s="388"/>
      <c r="R192" s="465"/>
      <c r="S192" s="929"/>
      <c r="T192" s="466"/>
      <c r="U192" s="929"/>
      <c r="V192" s="929"/>
      <c r="W192" s="929"/>
      <c r="X192" s="474"/>
      <c r="Y192" s="474"/>
      <c r="Z192" s="474"/>
      <c r="AA192" s="474"/>
      <c r="AB192" s="474"/>
      <c r="AC192" s="388"/>
      <c r="AD192" s="464"/>
      <c r="AE192" s="465"/>
      <c r="AF192" s="388"/>
      <c r="AW192" s="471"/>
      <c r="AX192" s="471"/>
    </row>
    <row r="193" spans="1:50" ht="27" customHeight="1" x14ac:dyDescent="0.25">
      <c r="A193" s="462"/>
      <c r="H193" s="929"/>
      <c r="I193" s="388"/>
      <c r="J193" s="929"/>
      <c r="K193" s="388"/>
      <c r="L193" s="929"/>
      <c r="M193" s="388"/>
      <c r="N193" s="929"/>
      <c r="O193" s="388"/>
      <c r="P193" s="388"/>
      <c r="Q193" s="388"/>
      <c r="R193" s="465"/>
      <c r="S193" s="929"/>
      <c r="T193" s="466"/>
      <c r="U193" s="929"/>
      <c r="V193" s="929"/>
      <c r="W193" s="929"/>
      <c r="X193" s="474"/>
      <c r="Y193" s="474"/>
      <c r="Z193" s="474"/>
      <c r="AA193" s="474"/>
      <c r="AB193" s="474"/>
      <c r="AC193" s="388"/>
      <c r="AD193" s="464"/>
      <c r="AE193" s="465"/>
      <c r="AF193" s="388"/>
      <c r="AW193" s="471"/>
      <c r="AX193" s="471"/>
    </row>
    <row r="194" spans="1:50" ht="27" customHeight="1" x14ac:dyDescent="0.25">
      <c r="A194" s="462"/>
      <c r="H194" s="929"/>
      <c r="I194" s="388"/>
      <c r="J194" s="929"/>
      <c r="K194" s="388"/>
      <c r="L194" s="929"/>
      <c r="M194" s="388"/>
      <c r="N194" s="929"/>
      <c r="O194" s="388"/>
      <c r="P194" s="388"/>
      <c r="Q194" s="388"/>
      <c r="R194" s="465"/>
      <c r="S194" s="929"/>
      <c r="T194" s="466"/>
      <c r="U194" s="929"/>
      <c r="V194" s="929"/>
      <c r="W194" s="929"/>
      <c r="X194" s="474"/>
      <c r="Y194" s="474"/>
      <c r="Z194" s="474"/>
      <c r="AA194" s="474"/>
      <c r="AB194" s="474"/>
      <c r="AC194" s="388"/>
      <c r="AD194" s="464"/>
      <c r="AE194" s="465"/>
      <c r="AF194" s="388"/>
      <c r="AW194" s="471"/>
      <c r="AX194" s="471"/>
    </row>
    <row r="195" spans="1:50" ht="27" customHeight="1" x14ac:dyDescent="0.25">
      <c r="A195" s="462"/>
      <c r="H195" s="929"/>
      <c r="I195" s="388"/>
      <c r="J195" s="929"/>
      <c r="K195" s="388"/>
      <c r="L195" s="929"/>
      <c r="M195" s="388"/>
      <c r="N195" s="929"/>
      <c r="O195" s="388"/>
      <c r="P195" s="388"/>
      <c r="Q195" s="388"/>
      <c r="R195" s="465"/>
      <c r="S195" s="929"/>
      <c r="T195" s="466"/>
      <c r="U195" s="929"/>
      <c r="V195" s="929"/>
      <c r="W195" s="929"/>
      <c r="X195" s="474"/>
      <c r="Y195" s="474"/>
      <c r="Z195" s="474"/>
      <c r="AA195" s="474"/>
      <c r="AB195" s="474"/>
      <c r="AC195" s="388"/>
      <c r="AD195" s="464"/>
      <c r="AE195" s="465"/>
      <c r="AF195" s="388"/>
      <c r="AW195" s="471"/>
      <c r="AX195" s="471"/>
    </row>
    <row r="196" spans="1:50" ht="27" customHeight="1" x14ac:dyDescent="0.25">
      <c r="A196" s="462"/>
      <c r="H196" s="929"/>
      <c r="I196" s="388"/>
      <c r="J196" s="929"/>
      <c r="K196" s="388"/>
      <c r="L196" s="929"/>
      <c r="M196" s="388"/>
      <c r="N196" s="929"/>
      <c r="O196" s="388"/>
      <c r="P196" s="388"/>
      <c r="Q196" s="388"/>
      <c r="R196" s="465"/>
      <c r="S196" s="929"/>
      <c r="T196" s="466"/>
      <c r="U196" s="929"/>
      <c r="V196" s="929"/>
      <c r="W196" s="929"/>
      <c r="X196" s="474"/>
      <c r="Y196" s="474"/>
      <c r="Z196" s="474"/>
      <c r="AA196" s="474"/>
      <c r="AB196" s="474"/>
      <c r="AC196" s="388"/>
      <c r="AD196" s="464"/>
      <c r="AE196" s="465"/>
      <c r="AF196" s="388"/>
      <c r="AW196" s="471"/>
      <c r="AX196" s="471"/>
    </row>
    <row r="197" spans="1:50" ht="27" customHeight="1" x14ac:dyDescent="0.25">
      <c r="A197" s="462"/>
      <c r="H197" s="929"/>
      <c r="I197" s="388"/>
      <c r="J197" s="929"/>
      <c r="K197" s="388"/>
      <c r="L197" s="929"/>
      <c r="M197" s="388"/>
      <c r="N197" s="929"/>
      <c r="O197" s="388"/>
      <c r="P197" s="388"/>
      <c r="Q197" s="388"/>
      <c r="R197" s="465"/>
      <c r="S197" s="929"/>
      <c r="T197" s="466"/>
      <c r="U197" s="929"/>
      <c r="V197" s="929"/>
      <c r="W197" s="929"/>
      <c r="X197" s="474"/>
      <c r="Y197" s="474"/>
      <c r="Z197" s="474"/>
      <c r="AA197" s="474"/>
      <c r="AB197" s="474"/>
      <c r="AC197" s="388"/>
      <c r="AD197" s="464"/>
      <c r="AE197" s="465"/>
      <c r="AF197" s="388"/>
      <c r="AW197" s="471"/>
      <c r="AX197" s="471"/>
    </row>
    <row r="198" spans="1:50" ht="27" customHeight="1" x14ac:dyDescent="0.25">
      <c r="A198" s="462"/>
      <c r="H198" s="929"/>
      <c r="I198" s="388"/>
      <c r="J198" s="929"/>
      <c r="K198" s="388"/>
      <c r="L198" s="929"/>
      <c r="M198" s="388"/>
      <c r="N198" s="929"/>
      <c r="O198" s="388"/>
      <c r="P198" s="388"/>
      <c r="Q198" s="388"/>
      <c r="R198" s="465"/>
      <c r="S198" s="929"/>
      <c r="T198" s="466"/>
      <c r="U198" s="929"/>
      <c r="V198" s="929"/>
      <c r="W198" s="929"/>
      <c r="X198" s="474"/>
      <c r="Y198" s="474"/>
      <c r="Z198" s="474"/>
      <c r="AA198" s="474"/>
      <c r="AB198" s="474"/>
      <c r="AC198" s="388"/>
      <c r="AD198" s="464"/>
      <c r="AE198" s="465"/>
      <c r="AF198" s="388"/>
      <c r="AW198" s="471"/>
      <c r="AX198" s="471"/>
    </row>
    <row r="199" spans="1:50" ht="27" customHeight="1" x14ac:dyDescent="0.25">
      <c r="A199" s="462"/>
      <c r="H199" s="929"/>
      <c r="I199" s="388"/>
      <c r="J199" s="929"/>
      <c r="K199" s="388"/>
      <c r="L199" s="929"/>
      <c r="M199" s="388"/>
      <c r="N199" s="929"/>
      <c r="O199" s="388"/>
      <c r="P199" s="388"/>
      <c r="Q199" s="388"/>
      <c r="R199" s="465"/>
      <c r="S199" s="929"/>
      <c r="T199" s="466"/>
      <c r="U199" s="929"/>
      <c r="V199" s="929"/>
      <c r="W199" s="929"/>
      <c r="X199" s="474"/>
      <c r="Y199" s="474"/>
      <c r="Z199" s="474"/>
      <c r="AA199" s="474"/>
      <c r="AB199" s="474"/>
      <c r="AC199" s="388"/>
      <c r="AD199" s="464"/>
      <c r="AE199" s="465"/>
      <c r="AF199" s="388"/>
      <c r="AW199" s="471"/>
      <c r="AX199" s="471"/>
    </row>
    <row r="200" spans="1:50" ht="27" customHeight="1" x14ac:dyDescent="0.25">
      <c r="A200" s="462"/>
      <c r="H200" s="929"/>
      <c r="I200" s="388"/>
      <c r="J200" s="929"/>
      <c r="K200" s="388"/>
      <c r="L200" s="929"/>
      <c r="M200" s="388"/>
      <c r="N200" s="929"/>
      <c r="O200" s="388"/>
      <c r="P200" s="388"/>
      <c r="Q200" s="388"/>
      <c r="R200" s="465"/>
      <c r="S200" s="929"/>
      <c r="T200" s="466"/>
      <c r="U200" s="929"/>
      <c r="V200" s="929"/>
      <c r="W200" s="929"/>
      <c r="X200" s="474"/>
      <c r="Y200" s="474"/>
      <c r="Z200" s="474"/>
      <c r="AA200" s="474"/>
      <c r="AB200" s="474"/>
      <c r="AC200" s="388"/>
      <c r="AD200" s="464"/>
      <c r="AE200" s="465"/>
      <c r="AF200" s="388"/>
      <c r="AW200" s="471"/>
      <c r="AX200" s="471"/>
    </row>
    <row r="201" spans="1:50" ht="27" customHeight="1" x14ac:dyDescent="0.25">
      <c r="A201" s="462"/>
      <c r="H201" s="929"/>
      <c r="I201" s="388"/>
      <c r="J201" s="929"/>
      <c r="K201" s="388"/>
      <c r="L201" s="929"/>
      <c r="M201" s="388"/>
      <c r="N201" s="929"/>
      <c r="O201" s="388"/>
      <c r="P201" s="388"/>
      <c r="Q201" s="388"/>
      <c r="R201" s="465"/>
      <c r="S201" s="929"/>
      <c r="T201" s="466"/>
      <c r="U201" s="929"/>
      <c r="V201" s="929"/>
      <c r="W201" s="929"/>
      <c r="X201" s="474"/>
      <c r="Y201" s="474"/>
      <c r="Z201" s="474"/>
      <c r="AA201" s="474"/>
      <c r="AB201" s="474"/>
      <c r="AC201" s="388"/>
      <c r="AD201" s="464"/>
      <c r="AE201" s="465"/>
      <c r="AF201" s="388"/>
      <c r="AW201" s="471"/>
      <c r="AX201" s="471"/>
    </row>
    <row r="202" spans="1:50" ht="27" customHeight="1" x14ac:dyDescent="0.25">
      <c r="A202" s="462"/>
      <c r="H202" s="929"/>
      <c r="I202" s="388"/>
      <c r="J202" s="929"/>
      <c r="K202" s="388"/>
      <c r="L202" s="929"/>
      <c r="M202" s="388"/>
      <c r="N202" s="929"/>
      <c r="O202" s="388"/>
      <c r="P202" s="388"/>
      <c r="Q202" s="388"/>
      <c r="R202" s="465"/>
      <c r="S202" s="929"/>
      <c r="T202" s="466"/>
      <c r="U202" s="929"/>
      <c r="V202" s="929"/>
      <c r="W202" s="929"/>
      <c r="X202" s="474"/>
      <c r="Y202" s="474"/>
      <c r="Z202" s="474"/>
      <c r="AA202" s="474"/>
      <c r="AB202" s="474"/>
      <c r="AC202" s="388"/>
      <c r="AD202" s="464"/>
      <c r="AE202" s="465"/>
      <c r="AF202" s="388"/>
      <c r="AW202" s="471"/>
      <c r="AX202" s="471"/>
    </row>
    <row r="203" spans="1:50" ht="27" customHeight="1" x14ac:dyDescent="0.25">
      <c r="A203" s="462"/>
      <c r="H203" s="929"/>
      <c r="I203" s="388"/>
      <c r="J203" s="929"/>
      <c r="K203" s="388"/>
      <c r="L203" s="929"/>
      <c r="M203" s="388"/>
      <c r="N203" s="929"/>
      <c r="O203" s="388"/>
      <c r="P203" s="388"/>
      <c r="Q203" s="388"/>
      <c r="R203" s="465"/>
      <c r="S203" s="929"/>
      <c r="T203" s="466"/>
      <c r="U203" s="929"/>
      <c r="V203" s="929"/>
      <c r="W203" s="929"/>
      <c r="X203" s="474"/>
      <c r="Y203" s="474"/>
      <c r="Z203" s="474"/>
      <c r="AA203" s="474"/>
      <c r="AB203" s="474"/>
      <c r="AC203" s="388"/>
      <c r="AD203" s="464"/>
      <c r="AE203" s="465"/>
      <c r="AF203" s="388"/>
      <c r="AW203" s="471"/>
      <c r="AX203" s="471"/>
    </row>
    <row r="204" spans="1:50" ht="27" customHeight="1" x14ac:dyDescent="0.25">
      <c r="A204" s="462"/>
      <c r="H204" s="929"/>
      <c r="I204" s="388"/>
      <c r="J204" s="929"/>
      <c r="K204" s="388"/>
      <c r="L204" s="929"/>
      <c r="M204" s="388"/>
      <c r="N204" s="929"/>
      <c r="O204" s="388"/>
      <c r="P204" s="388"/>
      <c r="Q204" s="388"/>
      <c r="R204" s="465"/>
      <c r="S204" s="929"/>
      <c r="T204" s="466"/>
      <c r="U204" s="929"/>
      <c r="V204" s="929"/>
      <c r="W204" s="929"/>
      <c r="X204" s="474"/>
      <c r="Y204" s="474"/>
      <c r="Z204" s="474"/>
      <c r="AA204" s="474"/>
      <c r="AB204" s="474"/>
      <c r="AC204" s="388"/>
      <c r="AD204" s="464"/>
      <c r="AE204" s="465"/>
      <c r="AF204" s="388"/>
      <c r="AW204" s="471"/>
      <c r="AX204" s="471"/>
    </row>
    <row r="205" spans="1:50" ht="27" customHeight="1" x14ac:dyDescent="0.25">
      <c r="A205" s="462"/>
      <c r="H205" s="929"/>
      <c r="I205" s="388"/>
      <c r="J205" s="929"/>
      <c r="K205" s="388"/>
      <c r="L205" s="929"/>
      <c r="M205" s="388"/>
      <c r="N205" s="929"/>
      <c r="O205" s="388"/>
      <c r="P205" s="388"/>
      <c r="Q205" s="388"/>
      <c r="R205" s="465"/>
      <c r="S205" s="929"/>
      <c r="T205" s="466"/>
      <c r="U205" s="929"/>
      <c r="V205" s="929"/>
      <c r="W205" s="929"/>
      <c r="X205" s="474"/>
      <c r="Y205" s="474"/>
      <c r="Z205" s="474"/>
      <c r="AA205" s="474"/>
      <c r="AB205" s="474"/>
      <c r="AC205" s="388"/>
      <c r="AD205" s="464"/>
      <c r="AE205" s="465"/>
      <c r="AF205" s="388"/>
      <c r="AW205" s="471"/>
      <c r="AX205" s="471"/>
    </row>
    <row r="206" spans="1:50" ht="27" customHeight="1" x14ac:dyDescent="0.25">
      <c r="A206" s="462"/>
      <c r="H206" s="929"/>
      <c r="I206" s="388"/>
      <c r="J206" s="929"/>
      <c r="K206" s="388"/>
      <c r="L206" s="929"/>
      <c r="M206" s="388"/>
      <c r="N206" s="929"/>
      <c r="O206" s="388"/>
      <c r="P206" s="388"/>
      <c r="Q206" s="388"/>
      <c r="R206" s="465"/>
      <c r="S206" s="929"/>
      <c r="T206" s="466"/>
      <c r="U206" s="929"/>
      <c r="V206" s="929"/>
      <c r="W206" s="929"/>
      <c r="X206" s="474"/>
      <c r="Y206" s="474"/>
      <c r="Z206" s="474"/>
      <c r="AA206" s="474"/>
      <c r="AB206" s="474"/>
      <c r="AC206" s="388"/>
      <c r="AD206" s="464"/>
      <c r="AE206" s="465"/>
      <c r="AF206" s="388"/>
      <c r="AW206" s="471"/>
      <c r="AX206" s="471"/>
    </row>
    <row r="207" spans="1:50" ht="27" customHeight="1" x14ac:dyDescent="0.25">
      <c r="A207" s="462"/>
      <c r="H207" s="929"/>
      <c r="I207" s="388"/>
      <c r="J207" s="929"/>
      <c r="K207" s="388"/>
      <c r="L207" s="929"/>
      <c r="M207" s="388"/>
      <c r="N207" s="929"/>
      <c r="O207" s="388"/>
      <c r="P207" s="388"/>
      <c r="Q207" s="388"/>
      <c r="R207" s="465"/>
      <c r="S207" s="929"/>
      <c r="T207" s="466"/>
      <c r="U207" s="929"/>
      <c r="V207" s="929"/>
      <c r="W207" s="929"/>
      <c r="X207" s="474"/>
      <c r="Y207" s="474"/>
      <c r="Z207" s="474"/>
      <c r="AA207" s="474"/>
      <c r="AB207" s="474"/>
      <c r="AC207" s="388"/>
      <c r="AD207" s="464"/>
      <c r="AE207" s="465"/>
      <c r="AF207" s="388"/>
      <c r="AW207" s="471"/>
      <c r="AX207" s="471"/>
    </row>
    <row r="208" spans="1:50" ht="27" customHeight="1" x14ac:dyDescent="0.25">
      <c r="A208" s="462"/>
      <c r="H208" s="929"/>
      <c r="I208" s="388"/>
      <c r="J208" s="929"/>
      <c r="K208" s="388"/>
      <c r="L208" s="929"/>
      <c r="M208" s="388"/>
      <c r="N208" s="929"/>
      <c r="O208" s="388"/>
      <c r="P208" s="388"/>
      <c r="Q208" s="388"/>
      <c r="R208" s="465"/>
      <c r="S208" s="929"/>
      <c r="T208" s="466"/>
      <c r="U208" s="929"/>
      <c r="V208" s="929"/>
      <c r="W208" s="929"/>
      <c r="X208" s="474"/>
      <c r="Y208" s="474"/>
      <c r="Z208" s="474"/>
      <c r="AA208" s="474"/>
      <c r="AB208" s="474"/>
      <c r="AC208" s="388"/>
      <c r="AD208" s="464"/>
      <c r="AE208" s="465"/>
      <c r="AF208" s="388"/>
      <c r="AW208" s="471"/>
      <c r="AX208" s="471"/>
    </row>
    <row r="209" spans="1:50" ht="27" customHeight="1" x14ac:dyDescent="0.25">
      <c r="A209" s="462"/>
      <c r="H209" s="929"/>
      <c r="I209" s="388"/>
      <c r="J209" s="929"/>
      <c r="K209" s="388"/>
      <c r="L209" s="929"/>
      <c r="M209" s="388"/>
      <c r="N209" s="929"/>
      <c r="O209" s="388"/>
      <c r="P209" s="388"/>
      <c r="Q209" s="388"/>
      <c r="R209" s="465"/>
      <c r="S209" s="929"/>
      <c r="T209" s="466"/>
      <c r="U209" s="929"/>
      <c r="V209" s="929"/>
      <c r="W209" s="929"/>
      <c r="X209" s="474"/>
      <c r="Y209" s="474"/>
      <c r="Z209" s="474"/>
      <c r="AA209" s="474"/>
      <c r="AB209" s="474"/>
      <c r="AC209" s="388"/>
      <c r="AD209" s="464"/>
      <c r="AE209" s="465"/>
      <c r="AF209" s="388"/>
      <c r="AW209" s="471"/>
      <c r="AX209" s="471"/>
    </row>
    <row r="210" spans="1:50" ht="27" customHeight="1" x14ac:dyDescent="0.25">
      <c r="A210" s="462"/>
      <c r="H210" s="929"/>
      <c r="I210" s="388"/>
      <c r="J210" s="929"/>
      <c r="K210" s="388"/>
      <c r="L210" s="929"/>
      <c r="M210" s="388"/>
      <c r="N210" s="929"/>
      <c r="O210" s="388"/>
      <c r="P210" s="388"/>
      <c r="Q210" s="388"/>
      <c r="R210" s="465"/>
      <c r="S210" s="929"/>
      <c r="T210" s="466"/>
      <c r="U210" s="929"/>
      <c r="V210" s="929"/>
      <c r="W210" s="929"/>
      <c r="X210" s="474"/>
      <c r="Y210" s="474"/>
      <c r="Z210" s="474"/>
      <c r="AA210" s="474"/>
      <c r="AB210" s="474"/>
      <c r="AC210" s="388"/>
      <c r="AD210" s="464"/>
      <c r="AE210" s="465"/>
      <c r="AF210" s="388"/>
      <c r="AW210" s="471"/>
      <c r="AX210" s="471"/>
    </row>
    <row r="211" spans="1:50" ht="27" customHeight="1" x14ac:dyDescent="0.25">
      <c r="A211" s="462"/>
      <c r="H211" s="929"/>
      <c r="I211" s="388"/>
      <c r="J211" s="929"/>
      <c r="K211" s="388"/>
      <c r="L211" s="929"/>
      <c r="M211" s="388"/>
      <c r="N211" s="929"/>
      <c r="O211" s="388"/>
      <c r="P211" s="388"/>
      <c r="Q211" s="388"/>
      <c r="R211" s="465"/>
      <c r="S211" s="929"/>
      <c r="T211" s="466"/>
      <c r="U211" s="929"/>
      <c r="V211" s="929"/>
      <c r="W211" s="929"/>
      <c r="X211" s="474"/>
      <c r="Y211" s="474"/>
      <c r="Z211" s="474"/>
      <c r="AA211" s="474"/>
      <c r="AB211" s="474"/>
      <c r="AC211" s="388"/>
      <c r="AD211" s="464"/>
      <c r="AE211" s="465"/>
      <c r="AF211" s="388"/>
      <c r="AW211" s="471"/>
      <c r="AX211" s="471"/>
    </row>
    <row r="212" spans="1:50" ht="27" customHeight="1" x14ac:dyDescent="0.25">
      <c r="A212" s="462"/>
      <c r="H212" s="929"/>
      <c r="I212" s="388"/>
      <c r="J212" s="929"/>
      <c r="K212" s="388"/>
      <c r="L212" s="929"/>
      <c r="M212" s="388"/>
      <c r="N212" s="929"/>
      <c r="O212" s="388"/>
      <c r="P212" s="388"/>
      <c r="Q212" s="388"/>
      <c r="R212" s="465"/>
      <c r="S212" s="929"/>
      <c r="T212" s="466"/>
      <c r="U212" s="929"/>
      <c r="V212" s="929"/>
      <c r="W212" s="929"/>
      <c r="X212" s="474"/>
      <c r="Y212" s="474"/>
      <c r="Z212" s="474"/>
      <c r="AA212" s="474"/>
      <c r="AB212" s="474"/>
      <c r="AC212" s="388"/>
      <c r="AD212" s="464"/>
      <c r="AE212" s="465"/>
      <c r="AF212" s="388"/>
      <c r="AW212" s="471"/>
      <c r="AX212" s="471"/>
    </row>
    <row r="213" spans="1:50" ht="27" customHeight="1" x14ac:dyDescent="0.25">
      <c r="A213" s="462"/>
      <c r="H213" s="929"/>
      <c r="I213" s="388"/>
      <c r="J213" s="929"/>
      <c r="K213" s="388"/>
      <c r="L213" s="929"/>
      <c r="M213" s="388"/>
      <c r="N213" s="929"/>
      <c r="O213" s="388"/>
      <c r="P213" s="388"/>
      <c r="Q213" s="388"/>
      <c r="R213" s="465"/>
      <c r="S213" s="929"/>
      <c r="T213" s="466"/>
      <c r="U213" s="929"/>
      <c r="V213" s="929"/>
      <c r="W213" s="929"/>
      <c r="X213" s="474"/>
      <c r="Y213" s="474"/>
      <c r="Z213" s="474"/>
      <c r="AA213" s="474"/>
      <c r="AB213" s="474"/>
      <c r="AC213" s="388"/>
      <c r="AD213" s="464"/>
      <c r="AE213" s="465"/>
      <c r="AF213" s="388"/>
      <c r="AW213" s="471"/>
      <c r="AX213" s="471"/>
    </row>
    <row r="214" spans="1:50" ht="27" customHeight="1" x14ac:dyDescent="0.25">
      <c r="A214" s="462"/>
      <c r="H214" s="929"/>
      <c r="I214" s="388"/>
      <c r="J214" s="929"/>
      <c r="K214" s="388"/>
      <c r="L214" s="929"/>
      <c r="M214" s="388"/>
      <c r="N214" s="929"/>
      <c r="O214" s="388"/>
      <c r="P214" s="388"/>
      <c r="Q214" s="388"/>
      <c r="R214" s="465"/>
      <c r="S214" s="929"/>
      <c r="T214" s="466"/>
      <c r="U214" s="929"/>
      <c r="V214" s="929"/>
      <c r="W214" s="929"/>
      <c r="X214" s="474"/>
      <c r="Y214" s="474"/>
      <c r="Z214" s="474"/>
      <c r="AA214" s="474"/>
      <c r="AB214" s="474"/>
      <c r="AC214" s="388"/>
      <c r="AD214" s="464"/>
      <c r="AE214" s="465"/>
      <c r="AF214" s="388"/>
      <c r="AW214" s="471"/>
      <c r="AX214" s="471"/>
    </row>
    <row r="215" spans="1:50" ht="27" customHeight="1" x14ac:dyDescent="0.25">
      <c r="A215" s="462"/>
      <c r="H215" s="929"/>
      <c r="I215" s="388"/>
      <c r="J215" s="929"/>
      <c r="K215" s="388"/>
      <c r="L215" s="929"/>
      <c r="M215" s="388"/>
      <c r="N215" s="929"/>
      <c r="O215" s="388"/>
      <c r="P215" s="388"/>
      <c r="Q215" s="388"/>
      <c r="R215" s="465"/>
      <c r="S215" s="929"/>
      <c r="T215" s="466"/>
      <c r="U215" s="929"/>
      <c r="V215" s="929"/>
      <c r="W215" s="929"/>
      <c r="X215" s="474"/>
      <c r="Y215" s="474"/>
      <c r="Z215" s="474"/>
      <c r="AA215" s="474"/>
      <c r="AB215" s="474"/>
      <c r="AC215" s="388"/>
      <c r="AD215" s="464"/>
      <c r="AE215" s="465"/>
      <c r="AF215" s="388"/>
      <c r="AW215" s="471"/>
      <c r="AX215" s="471"/>
    </row>
    <row r="216" spans="1:50" ht="27" customHeight="1" x14ac:dyDescent="0.25">
      <c r="A216" s="462"/>
      <c r="H216" s="929"/>
      <c r="I216" s="388"/>
      <c r="J216" s="929"/>
      <c r="K216" s="388"/>
      <c r="L216" s="929"/>
      <c r="M216" s="388"/>
      <c r="N216" s="929"/>
      <c r="O216" s="388"/>
      <c r="P216" s="388"/>
      <c r="Q216" s="388"/>
      <c r="R216" s="465"/>
      <c r="S216" s="929"/>
      <c r="T216" s="466"/>
      <c r="U216" s="929"/>
      <c r="V216" s="929"/>
      <c r="W216" s="929"/>
      <c r="X216" s="474"/>
      <c r="Y216" s="474"/>
      <c r="Z216" s="474"/>
      <c r="AA216" s="474"/>
      <c r="AB216" s="474"/>
      <c r="AC216" s="388"/>
      <c r="AD216" s="464"/>
      <c r="AE216" s="465"/>
      <c r="AF216" s="388"/>
      <c r="AW216" s="471"/>
      <c r="AX216" s="471"/>
    </row>
    <row r="217" spans="1:50" ht="27" customHeight="1" x14ac:dyDescent="0.25">
      <c r="A217" s="462"/>
      <c r="H217" s="929"/>
      <c r="I217" s="388"/>
      <c r="J217" s="929"/>
      <c r="K217" s="388"/>
      <c r="L217" s="929"/>
      <c r="M217" s="388"/>
      <c r="N217" s="929"/>
      <c r="O217" s="388"/>
      <c r="P217" s="388"/>
      <c r="Q217" s="388"/>
      <c r="R217" s="465"/>
      <c r="S217" s="929"/>
      <c r="T217" s="466"/>
      <c r="U217" s="929"/>
      <c r="V217" s="929"/>
      <c r="W217" s="929"/>
      <c r="X217" s="474"/>
      <c r="Y217" s="474"/>
      <c r="Z217" s="474"/>
      <c r="AA217" s="474"/>
      <c r="AB217" s="474"/>
      <c r="AC217" s="388"/>
      <c r="AD217" s="464"/>
      <c r="AE217" s="465"/>
      <c r="AF217" s="388"/>
      <c r="AW217" s="471"/>
      <c r="AX217" s="471"/>
    </row>
    <row r="218" spans="1:50" ht="27" customHeight="1" x14ac:dyDescent="0.25">
      <c r="A218" s="462"/>
      <c r="H218" s="929"/>
      <c r="I218" s="388"/>
      <c r="J218" s="929"/>
      <c r="K218" s="388"/>
      <c r="L218" s="929"/>
      <c r="M218" s="388"/>
      <c r="N218" s="929"/>
      <c r="O218" s="388"/>
      <c r="P218" s="388"/>
      <c r="Q218" s="388"/>
      <c r="R218" s="465"/>
      <c r="S218" s="929"/>
      <c r="T218" s="466"/>
      <c r="U218" s="929"/>
      <c r="V218" s="929"/>
      <c r="W218" s="929"/>
      <c r="X218" s="474"/>
      <c r="Y218" s="474"/>
      <c r="Z218" s="474"/>
      <c r="AA218" s="474"/>
      <c r="AB218" s="474"/>
      <c r="AC218" s="388"/>
      <c r="AD218" s="464"/>
      <c r="AE218" s="465"/>
      <c r="AF218" s="388"/>
      <c r="AW218" s="471"/>
      <c r="AX218" s="471"/>
    </row>
    <row r="219" spans="1:50" ht="27" customHeight="1" x14ac:dyDescent="0.25">
      <c r="A219" s="462"/>
      <c r="H219" s="929"/>
      <c r="I219" s="388"/>
      <c r="J219" s="929"/>
      <c r="K219" s="388"/>
      <c r="L219" s="929"/>
      <c r="M219" s="388"/>
      <c r="N219" s="929"/>
      <c r="O219" s="388"/>
      <c r="P219" s="388"/>
      <c r="Q219" s="388"/>
      <c r="R219" s="465"/>
      <c r="S219" s="929"/>
      <c r="T219" s="466"/>
      <c r="U219" s="929"/>
      <c r="V219" s="929"/>
      <c r="W219" s="929"/>
      <c r="X219" s="474"/>
      <c r="Y219" s="474"/>
      <c r="Z219" s="474"/>
      <c r="AA219" s="474"/>
      <c r="AB219" s="474"/>
      <c r="AC219" s="388"/>
      <c r="AD219" s="464"/>
      <c r="AE219" s="465"/>
      <c r="AF219" s="388"/>
      <c r="AW219" s="471"/>
      <c r="AX219" s="471"/>
    </row>
    <row r="220" spans="1:50" ht="27" customHeight="1" x14ac:dyDescent="0.25">
      <c r="A220" s="462"/>
      <c r="H220" s="929"/>
      <c r="I220" s="388"/>
      <c r="J220" s="929"/>
      <c r="K220" s="388"/>
      <c r="L220" s="929"/>
      <c r="M220" s="388"/>
      <c r="N220" s="929"/>
      <c r="O220" s="388"/>
      <c r="P220" s="388"/>
      <c r="Q220" s="388"/>
      <c r="R220" s="465"/>
      <c r="S220" s="929"/>
      <c r="T220" s="466"/>
      <c r="U220" s="929"/>
      <c r="V220" s="929"/>
      <c r="W220" s="929"/>
      <c r="X220" s="474"/>
      <c r="Y220" s="474"/>
      <c r="Z220" s="474"/>
      <c r="AA220" s="474"/>
      <c r="AB220" s="474"/>
      <c r="AC220" s="388"/>
      <c r="AD220" s="464"/>
      <c r="AE220" s="465"/>
      <c r="AF220" s="388"/>
      <c r="AW220" s="471"/>
      <c r="AX220" s="471"/>
    </row>
    <row r="221" spans="1:50" ht="27" customHeight="1" x14ac:dyDescent="0.25">
      <c r="A221" s="462"/>
      <c r="H221" s="929"/>
      <c r="I221" s="388"/>
      <c r="J221" s="929"/>
      <c r="K221" s="388"/>
      <c r="L221" s="929"/>
      <c r="M221" s="388"/>
      <c r="N221" s="929"/>
      <c r="O221" s="388"/>
      <c r="P221" s="388"/>
      <c r="Q221" s="388"/>
      <c r="R221" s="465"/>
      <c r="S221" s="929"/>
      <c r="T221" s="466"/>
      <c r="U221" s="929"/>
      <c r="V221" s="929"/>
      <c r="W221" s="929"/>
      <c r="X221" s="474"/>
      <c r="Y221" s="474"/>
      <c r="Z221" s="474"/>
      <c r="AA221" s="474"/>
      <c r="AB221" s="474"/>
      <c r="AC221" s="388"/>
      <c r="AD221" s="464"/>
      <c r="AE221" s="465"/>
      <c r="AF221" s="388"/>
      <c r="AW221" s="471"/>
      <c r="AX221" s="471"/>
    </row>
    <row r="222" spans="1:50" ht="27" customHeight="1" x14ac:dyDescent="0.25">
      <c r="A222" s="462"/>
      <c r="H222" s="929"/>
      <c r="I222" s="388"/>
      <c r="J222" s="929"/>
      <c r="K222" s="388"/>
      <c r="L222" s="929"/>
      <c r="M222" s="388"/>
      <c r="N222" s="929"/>
      <c r="O222" s="388"/>
      <c r="P222" s="388"/>
      <c r="Q222" s="388"/>
      <c r="R222" s="465"/>
      <c r="S222" s="929"/>
      <c r="T222" s="466"/>
      <c r="U222" s="929"/>
      <c r="V222" s="929"/>
      <c r="W222" s="929"/>
      <c r="X222" s="474"/>
      <c r="Y222" s="474"/>
      <c r="Z222" s="474"/>
      <c r="AA222" s="474"/>
      <c r="AB222" s="474"/>
      <c r="AC222" s="388"/>
      <c r="AD222" s="464"/>
      <c r="AE222" s="465"/>
      <c r="AF222" s="388"/>
      <c r="AW222" s="471"/>
      <c r="AX222" s="471"/>
    </row>
    <row r="223" spans="1:50" ht="27" customHeight="1" x14ac:dyDescent="0.25">
      <c r="A223" s="462"/>
      <c r="H223" s="929"/>
      <c r="I223" s="388"/>
      <c r="J223" s="929"/>
      <c r="K223" s="388"/>
      <c r="L223" s="929"/>
      <c r="M223" s="388"/>
      <c r="N223" s="929"/>
      <c r="O223" s="388"/>
      <c r="P223" s="388"/>
      <c r="Q223" s="388"/>
      <c r="R223" s="465"/>
      <c r="S223" s="929"/>
      <c r="T223" s="466"/>
      <c r="U223" s="929"/>
      <c r="V223" s="929"/>
      <c r="W223" s="929"/>
      <c r="X223" s="474"/>
      <c r="Y223" s="474"/>
      <c r="Z223" s="474"/>
      <c r="AA223" s="474"/>
      <c r="AB223" s="474"/>
      <c r="AC223" s="388"/>
      <c r="AD223" s="464"/>
      <c r="AE223" s="465"/>
      <c r="AF223" s="388"/>
      <c r="AW223" s="471"/>
      <c r="AX223" s="471"/>
    </row>
    <row r="224" spans="1:50" ht="27" customHeight="1" x14ac:dyDescent="0.25">
      <c r="A224" s="462"/>
      <c r="H224" s="929"/>
      <c r="I224" s="388"/>
      <c r="J224" s="929"/>
      <c r="K224" s="388"/>
      <c r="L224" s="929"/>
      <c r="M224" s="388"/>
      <c r="N224" s="929"/>
      <c r="O224" s="388"/>
      <c r="P224" s="388"/>
      <c r="Q224" s="388"/>
      <c r="R224" s="465"/>
      <c r="S224" s="929"/>
      <c r="T224" s="466"/>
      <c r="U224" s="929"/>
      <c r="V224" s="929"/>
      <c r="W224" s="929"/>
      <c r="X224" s="474"/>
      <c r="Y224" s="474"/>
      <c r="Z224" s="474"/>
      <c r="AA224" s="474"/>
      <c r="AB224" s="474"/>
      <c r="AC224" s="388"/>
      <c r="AD224" s="464"/>
      <c r="AE224" s="465"/>
      <c r="AF224" s="388"/>
      <c r="AW224" s="471"/>
      <c r="AX224" s="471"/>
    </row>
    <row r="225" spans="1:50" ht="27" customHeight="1" x14ac:dyDescent="0.25">
      <c r="A225" s="462"/>
      <c r="H225" s="929"/>
      <c r="I225" s="388"/>
      <c r="J225" s="929"/>
      <c r="K225" s="388"/>
      <c r="L225" s="929"/>
      <c r="M225" s="388"/>
      <c r="N225" s="929"/>
      <c r="O225" s="388"/>
      <c r="P225" s="388"/>
      <c r="Q225" s="388"/>
      <c r="R225" s="465"/>
      <c r="S225" s="929"/>
      <c r="T225" s="466"/>
      <c r="U225" s="929"/>
      <c r="V225" s="929"/>
      <c r="W225" s="929"/>
      <c r="X225" s="474"/>
      <c r="Y225" s="474"/>
      <c r="Z225" s="474"/>
      <c r="AA225" s="474"/>
      <c r="AB225" s="474"/>
      <c r="AC225" s="388"/>
      <c r="AD225" s="464"/>
      <c r="AE225" s="465"/>
      <c r="AF225" s="388"/>
      <c r="AW225" s="471"/>
      <c r="AX225" s="471"/>
    </row>
    <row r="226" spans="1:50" ht="27" customHeight="1" x14ac:dyDescent="0.25">
      <c r="A226" s="462"/>
      <c r="H226" s="929"/>
      <c r="I226" s="388"/>
      <c r="J226" s="929"/>
      <c r="K226" s="388"/>
      <c r="L226" s="929"/>
      <c r="M226" s="388"/>
      <c r="N226" s="929"/>
      <c r="O226" s="388"/>
      <c r="P226" s="388"/>
      <c r="Q226" s="388"/>
      <c r="R226" s="465"/>
      <c r="S226" s="929"/>
      <c r="T226" s="466"/>
      <c r="U226" s="929"/>
      <c r="V226" s="929"/>
      <c r="W226" s="929"/>
      <c r="X226" s="474"/>
      <c r="Y226" s="474"/>
      <c r="Z226" s="474"/>
      <c r="AA226" s="474"/>
      <c r="AB226" s="474"/>
      <c r="AC226" s="388"/>
      <c r="AD226" s="464"/>
      <c r="AE226" s="465"/>
      <c r="AF226" s="388"/>
      <c r="AW226" s="471"/>
      <c r="AX226" s="471"/>
    </row>
    <row r="227" spans="1:50" ht="27" customHeight="1" x14ac:dyDescent="0.25">
      <c r="A227" s="462"/>
      <c r="H227" s="929"/>
      <c r="I227" s="388"/>
      <c r="J227" s="929"/>
      <c r="K227" s="388"/>
      <c r="L227" s="929"/>
      <c r="M227" s="388"/>
      <c r="N227" s="929"/>
      <c r="O227" s="388"/>
      <c r="P227" s="388"/>
      <c r="Q227" s="388"/>
      <c r="R227" s="465"/>
      <c r="S227" s="929"/>
      <c r="T227" s="466"/>
      <c r="U227" s="929"/>
      <c r="V227" s="929"/>
      <c r="W227" s="929"/>
      <c r="X227" s="474"/>
      <c r="Y227" s="474"/>
      <c r="Z227" s="474"/>
      <c r="AA227" s="474"/>
      <c r="AB227" s="474"/>
      <c r="AC227" s="388"/>
      <c r="AD227" s="464"/>
      <c r="AE227" s="465"/>
      <c r="AF227" s="388"/>
      <c r="AW227" s="471"/>
      <c r="AX227" s="471"/>
    </row>
    <row r="228" spans="1:50" ht="27" customHeight="1" x14ac:dyDescent="0.25">
      <c r="A228" s="462"/>
      <c r="H228" s="929"/>
      <c r="I228" s="388"/>
      <c r="J228" s="929"/>
      <c r="K228" s="388"/>
      <c r="L228" s="929"/>
      <c r="M228" s="388"/>
      <c r="N228" s="929"/>
      <c r="O228" s="388"/>
      <c r="P228" s="388"/>
      <c r="Q228" s="388"/>
      <c r="R228" s="465"/>
      <c r="S228" s="929"/>
      <c r="T228" s="466"/>
      <c r="U228" s="929"/>
      <c r="V228" s="929"/>
      <c r="W228" s="929"/>
      <c r="X228" s="474"/>
      <c r="Y228" s="474"/>
      <c r="Z228" s="474"/>
      <c r="AA228" s="474"/>
      <c r="AB228" s="474"/>
      <c r="AC228" s="388"/>
      <c r="AD228" s="464"/>
      <c r="AE228" s="465"/>
      <c r="AF228" s="388"/>
      <c r="AW228" s="471"/>
      <c r="AX228" s="471"/>
    </row>
    <row r="229" spans="1:50" ht="27" customHeight="1" x14ac:dyDescent="0.25">
      <c r="A229" s="462"/>
      <c r="H229" s="929"/>
      <c r="I229" s="388"/>
      <c r="J229" s="929"/>
      <c r="K229" s="388"/>
      <c r="L229" s="929"/>
      <c r="M229" s="388"/>
      <c r="N229" s="929"/>
      <c r="O229" s="388"/>
      <c r="P229" s="388"/>
      <c r="Q229" s="388"/>
      <c r="R229" s="465"/>
      <c r="S229" s="929"/>
      <c r="T229" s="466"/>
      <c r="U229" s="929"/>
      <c r="V229" s="929"/>
      <c r="W229" s="929"/>
      <c r="X229" s="474"/>
      <c r="Y229" s="474"/>
      <c r="Z229" s="474"/>
      <c r="AA229" s="474"/>
      <c r="AB229" s="474"/>
      <c r="AC229" s="388"/>
      <c r="AD229" s="464"/>
      <c r="AE229" s="465"/>
      <c r="AF229" s="388"/>
      <c r="AW229" s="471"/>
      <c r="AX229" s="471"/>
    </row>
    <row r="230" spans="1:50" ht="27" customHeight="1" x14ac:dyDescent="0.25">
      <c r="A230" s="462"/>
      <c r="H230" s="929"/>
      <c r="I230" s="388"/>
      <c r="J230" s="929"/>
      <c r="K230" s="388"/>
      <c r="L230" s="929"/>
      <c r="M230" s="388"/>
      <c r="N230" s="929"/>
      <c r="O230" s="388"/>
      <c r="P230" s="388"/>
      <c r="Q230" s="388"/>
      <c r="R230" s="465"/>
      <c r="S230" s="929"/>
      <c r="T230" s="466"/>
      <c r="U230" s="929"/>
      <c r="V230" s="929"/>
      <c r="W230" s="929"/>
      <c r="X230" s="474"/>
      <c r="Y230" s="474"/>
      <c r="Z230" s="474"/>
      <c r="AA230" s="474"/>
      <c r="AB230" s="474"/>
      <c r="AC230" s="388"/>
      <c r="AD230" s="464"/>
      <c r="AE230" s="465"/>
      <c r="AF230" s="388"/>
      <c r="AW230" s="471"/>
      <c r="AX230" s="471"/>
    </row>
    <row r="231" spans="1:50" ht="27" customHeight="1" x14ac:dyDescent="0.25">
      <c r="A231" s="462"/>
      <c r="H231" s="929"/>
      <c r="I231" s="388"/>
      <c r="J231" s="929"/>
      <c r="K231" s="388"/>
      <c r="L231" s="929"/>
      <c r="M231" s="388"/>
      <c r="N231" s="929"/>
      <c r="O231" s="388"/>
      <c r="P231" s="388"/>
      <c r="Q231" s="388"/>
      <c r="R231" s="465"/>
      <c r="S231" s="929"/>
      <c r="T231" s="466"/>
      <c r="U231" s="929"/>
      <c r="V231" s="929"/>
      <c r="W231" s="929"/>
      <c r="X231" s="474"/>
      <c r="Y231" s="474"/>
      <c r="Z231" s="474"/>
      <c r="AA231" s="474"/>
      <c r="AB231" s="474"/>
      <c r="AC231" s="388"/>
      <c r="AD231" s="464"/>
      <c r="AE231" s="465"/>
      <c r="AF231" s="388"/>
      <c r="AW231" s="471"/>
      <c r="AX231" s="471"/>
    </row>
    <row r="232" spans="1:50" ht="27" customHeight="1" x14ac:dyDescent="0.25">
      <c r="A232" s="462"/>
      <c r="H232" s="929"/>
      <c r="I232" s="388"/>
      <c r="J232" s="929"/>
      <c r="K232" s="388"/>
      <c r="L232" s="929"/>
      <c r="M232" s="388"/>
      <c r="N232" s="929"/>
      <c r="O232" s="388"/>
      <c r="P232" s="388"/>
      <c r="Q232" s="388"/>
      <c r="R232" s="465"/>
      <c r="S232" s="929"/>
      <c r="T232" s="466"/>
      <c r="U232" s="929"/>
      <c r="V232" s="929"/>
      <c r="W232" s="929"/>
      <c r="X232" s="474"/>
      <c r="Y232" s="474"/>
      <c r="Z232" s="474"/>
      <c r="AA232" s="474"/>
      <c r="AB232" s="474"/>
      <c r="AC232" s="388"/>
      <c r="AD232" s="464"/>
      <c r="AE232" s="465"/>
      <c r="AF232" s="388"/>
      <c r="AW232" s="471"/>
      <c r="AX232" s="471"/>
    </row>
    <row r="233" spans="1:50" ht="27" customHeight="1" x14ac:dyDescent="0.25">
      <c r="A233" s="462"/>
      <c r="H233" s="929"/>
      <c r="I233" s="388"/>
      <c r="J233" s="929"/>
      <c r="K233" s="388"/>
      <c r="L233" s="929"/>
      <c r="M233" s="388"/>
      <c r="N233" s="929"/>
      <c r="O233" s="388"/>
      <c r="P233" s="388"/>
      <c r="Q233" s="388"/>
      <c r="R233" s="465"/>
      <c r="S233" s="929"/>
      <c r="T233" s="466"/>
      <c r="U233" s="929"/>
      <c r="V233" s="929"/>
      <c r="W233" s="929"/>
      <c r="X233" s="474"/>
      <c r="Y233" s="474"/>
      <c r="Z233" s="474"/>
      <c r="AA233" s="474"/>
      <c r="AB233" s="474"/>
      <c r="AC233" s="388"/>
      <c r="AD233" s="464"/>
      <c r="AE233" s="465"/>
      <c r="AF233" s="388"/>
      <c r="AW233" s="471"/>
      <c r="AX233" s="471"/>
    </row>
    <row r="234" spans="1:50" ht="27" customHeight="1" x14ac:dyDescent="0.25">
      <c r="A234" s="462"/>
      <c r="H234" s="929"/>
      <c r="I234" s="388"/>
      <c r="J234" s="929"/>
      <c r="K234" s="388"/>
      <c r="L234" s="929"/>
      <c r="M234" s="388"/>
      <c r="N234" s="929"/>
      <c r="O234" s="388"/>
      <c r="P234" s="388"/>
      <c r="Q234" s="388"/>
      <c r="R234" s="465"/>
      <c r="S234" s="929"/>
      <c r="T234" s="466"/>
      <c r="U234" s="929"/>
      <c r="V234" s="929"/>
      <c r="W234" s="929"/>
      <c r="X234" s="474"/>
      <c r="Y234" s="474"/>
      <c r="Z234" s="474"/>
      <c r="AA234" s="474"/>
      <c r="AB234" s="474"/>
      <c r="AC234" s="388"/>
      <c r="AD234" s="464"/>
      <c r="AE234" s="465"/>
      <c r="AF234" s="388"/>
      <c r="AW234" s="471"/>
      <c r="AX234" s="471"/>
    </row>
    <row r="235" spans="1:50" ht="27" customHeight="1" x14ac:dyDescent="0.25">
      <c r="A235" s="462"/>
      <c r="H235" s="929"/>
      <c r="I235" s="388"/>
      <c r="J235" s="929"/>
      <c r="K235" s="388"/>
      <c r="L235" s="929"/>
      <c r="M235" s="388"/>
      <c r="N235" s="929"/>
      <c r="O235" s="388"/>
      <c r="P235" s="388"/>
      <c r="Q235" s="388"/>
      <c r="R235" s="465"/>
      <c r="S235" s="929"/>
      <c r="T235" s="466"/>
      <c r="U235" s="929"/>
      <c r="V235" s="929"/>
      <c r="W235" s="929"/>
      <c r="X235" s="474"/>
      <c r="Y235" s="474"/>
      <c r="Z235" s="474"/>
      <c r="AA235" s="474"/>
      <c r="AB235" s="474"/>
      <c r="AC235" s="388"/>
      <c r="AD235" s="464"/>
      <c r="AE235" s="465"/>
      <c r="AF235" s="388"/>
      <c r="AW235" s="471"/>
      <c r="AX235" s="471"/>
    </row>
    <row r="236" spans="1:50" ht="27" customHeight="1" x14ac:dyDescent="0.25">
      <c r="A236" s="462"/>
      <c r="H236" s="929"/>
      <c r="I236" s="388"/>
      <c r="J236" s="929"/>
      <c r="K236" s="388"/>
      <c r="L236" s="929"/>
      <c r="M236" s="388"/>
      <c r="N236" s="929"/>
      <c r="O236" s="388"/>
      <c r="P236" s="388"/>
      <c r="Q236" s="388"/>
      <c r="R236" s="465"/>
      <c r="S236" s="929"/>
      <c r="T236" s="466"/>
      <c r="U236" s="929"/>
      <c r="V236" s="929"/>
      <c r="W236" s="929"/>
      <c r="X236" s="474"/>
      <c r="Y236" s="474"/>
      <c r="Z236" s="474"/>
      <c r="AA236" s="474"/>
      <c r="AB236" s="474"/>
      <c r="AC236" s="388"/>
      <c r="AD236" s="464"/>
      <c r="AE236" s="465"/>
      <c r="AF236" s="388"/>
      <c r="AW236" s="471"/>
      <c r="AX236" s="471"/>
    </row>
    <row r="237" spans="1:50" ht="27" customHeight="1" x14ac:dyDescent="0.25">
      <c r="A237" s="462"/>
      <c r="H237" s="929"/>
      <c r="I237" s="388"/>
      <c r="J237" s="929"/>
      <c r="K237" s="388"/>
      <c r="L237" s="929"/>
      <c r="M237" s="388"/>
      <c r="N237" s="929"/>
      <c r="O237" s="388"/>
      <c r="P237" s="388"/>
      <c r="Q237" s="388"/>
      <c r="R237" s="465"/>
      <c r="S237" s="929"/>
      <c r="T237" s="466"/>
      <c r="U237" s="929"/>
      <c r="V237" s="929"/>
      <c r="W237" s="929"/>
      <c r="X237" s="474"/>
      <c r="Y237" s="474"/>
      <c r="Z237" s="474"/>
      <c r="AA237" s="474"/>
      <c r="AB237" s="474"/>
      <c r="AC237" s="388"/>
      <c r="AD237" s="464"/>
      <c r="AE237" s="465"/>
      <c r="AF237" s="388"/>
      <c r="AW237" s="471"/>
      <c r="AX237" s="471"/>
    </row>
    <row r="238" spans="1:50" ht="27" customHeight="1" x14ac:dyDescent="0.25">
      <c r="A238" s="462"/>
      <c r="H238" s="929"/>
      <c r="I238" s="388"/>
      <c r="J238" s="929"/>
      <c r="K238" s="388"/>
      <c r="L238" s="929"/>
      <c r="M238" s="388"/>
      <c r="N238" s="929"/>
      <c r="O238" s="388"/>
      <c r="P238" s="388"/>
      <c r="Q238" s="388"/>
      <c r="R238" s="465"/>
      <c r="S238" s="929"/>
      <c r="T238" s="466"/>
      <c r="U238" s="929"/>
      <c r="V238" s="929"/>
      <c r="W238" s="929"/>
      <c r="X238" s="474"/>
      <c r="Y238" s="474"/>
      <c r="Z238" s="474"/>
      <c r="AA238" s="474"/>
      <c r="AB238" s="474"/>
      <c r="AC238" s="388"/>
      <c r="AD238" s="464"/>
      <c r="AE238" s="465"/>
      <c r="AF238" s="388"/>
      <c r="AW238" s="471"/>
      <c r="AX238" s="471"/>
    </row>
    <row r="239" spans="1:50" ht="27" customHeight="1" x14ac:dyDescent="0.25">
      <c r="A239" s="462"/>
      <c r="H239" s="929"/>
      <c r="I239" s="388"/>
      <c r="J239" s="929"/>
      <c r="K239" s="388"/>
      <c r="L239" s="929"/>
      <c r="M239" s="388"/>
      <c r="N239" s="929"/>
      <c r="O239" s="388"/>
      <c r="P239" s="388"/>
      <c r="Q239" s="388"/>
      <c r="R239" s="465"/>
      <c r="S239" s="929"/>
      <c r="T239" s="466"/>
      <c r="U239" s="929"/>
      <c r="V239" s="929"/>
      <c r="W239" s="929"/>
      <c r="X239" s="474"/>
      <c r="Y239" s="474"/>
      <c r="Z239" s="474"/>
      <c r="AA239" s="474"/>
      <c r="AB239" s="474"/>
      <c r="AC239" s="388"/>
      <c r="AD239" s="464"/>
      <c r="AE239" s="465"/>
      <c r="AF239" s="388"/>
      <c r="AW239" s="471"/>
      <c r="AX239" s="471"/>
    </row>
    <row r="240" spans="1:50" ht="27" customHeight="1" x14ac:dyDescent="0.25">
      <c r="A240" s="462"/>
      <c r="H240" s="929"/>
      <c r="I240" s="388"/>
      <c r="J240" s="929"/>
      <c r="K240" s="388"/>
      <c r="L240" s="929"/>
      <c r="M240" s="388"/>
      <c r="N240" s="929"/>
      <c r="O240" s="388"/>
      <c r="P240" s="388"/>
      <c r="Q240" s="388"/>
      <c r="R240" s="465"/>
      <c r="S240" s="929"/>
      <c r="T240" s="466"/>
      <c r="U240" s="929"/>
      <c r="V240" s="929"/>
      <c r="W240" s="929"/>
      <c r="X240" s="474"/>
      <c r="Y240" s="474"/>
      <c r="Z240" s="474"/>
      <c r="AA240" s="474"/>
      <c r="AB240" s="474"/>
      <c r="AC240" s="388"/>
      <c r="AD240" s="464"/>
      <c r="AE240" s="465"/>
      <c r="AF240" s="388"/>
      <c r="AW240" s="471"/>
      <c r="AX240" s="471"/>
    </row>
    <row r="241" spans="1:50" ht="27" customHeight="1" x14ac:dyDescent="0.25">
      <c r="A241" s="462"/>
      <c r="H241" s="929"/>
      <c r="I241" s="388"/>
      <c r="J241" s="929"/>
      <c r="K241" s="388"/>
      <c r="L241" s="929"/>
      <c r="M241" s="388"/>
      <c r="N241" s="929"/>
      <c r="O241" s="388"/>
      <c r="P241" s="388"/>
      <c r="Q241" s="388"/>
      <c r="R241" s="465"/>
      <c r="S241" s="929"/>
      <c r="T241" s="466"/>
      <c r="U241" s="929"/>
      <c r="V241" s="929"/>
      <c r="W241" s="929"/>
      <c r="X241" s="474"/>
      <c r="Y241" s="474"/>
      <c r="Z241" s="474"/>
      <c r="AA241" s="474"/>
      <c r="AB241" s="474"/>
      <c r="AC241" s="388"/>
      <c r="AD241" s="464"/>
      <c r="AE241" s="465"/>
      <c r="AF241" s="388"/>
      <c r="AW241" s="471"/>
      <c r="AX241" s="471"/>
    </row>
    <row r="242" spans="1:50" ht="27" customHeight="1" x14ac:dyDescent="0.25">
      <c r="A242" s="462"/>
      <c r="H242" s="929"/>
      <c r="I242" s="388"/>
      <c r="J242" s="929"/>
      <c r="K242" s="388"/>
      <c r="L242" s="929"/>
      <c r="M242" s="388"/>
      <c r="N242" s="929"/>
      <c r="O242" s="388"/>
      <c r="P242" s="388"/>
      <c r="Q242" s="388"/>
      <c r="R242" s="465"/>
      <c r="S242" s="929"/>
      <c r="T242" s="466"/>
      <c r="U242" s="929"/>
      <c r="V242" s="929"/>
      <c r="W242" s="929"/>
      <c r="X242" s="474"/>
      <c r="Y242" s="474"/>
      <c r="Z242" s="474"/>
      <c r="AA242" s="474"/>
      <c r="AB242" s="474"/>
      <c r="AC242" s="388"/>
      <c r="AD242" s="464"/>
      <c r="AE242" s="465"/>
      <c r="AF242" s="388"/>
      <c r="AW242" s="471"/>
      <c r="AX242" s="471"/>
    </row>
    <row r="243" spans="1:50" ht="27" customHeight="1" x14ac:dyDescent="0.25">
      <c r="A243" s="462"/>
      <c r="H243" s="929"/>
      <c r="I243" s="388"/>
      <c r="J243" s="929"/>
      <c r="K243" s="388"/>
      <c r="L243" s="929"/>
      <c r="M243" s="388"/>
      <c r="N243" s="929"/>
      <c r="O243" s="388"/>
      <c r="P243" s="388"/>
      <c r="Q243" s="388"/>
      <c r="R243" s="465"/>
      <c r="S243" s="929"/>
      <c r="T243" s="466"/>
      <c r="U243" s="929"/>
      <c r="V243" s="929"/>
      <c r="W243" s="929"/>
      <c r="X243" s="474"/>
      <c r="Y243" s="474"/>
      <c r="Z243" s="474"/>
      <c r="AA243" s="474"/>
      <c r="AB243" s="474"/>
      <c r="AC243" s="388"/>
      <c r="AD243" s="464"/>
      <c r="AE243" s="465"/>
      <c r="AF243" s="388"/>
      <c r="AW243" s="471"/>
      <c r="AX243" s="471"/>
    </row>
    <row r="244" spans="1:50" ht="27" customHeight="1" x14ac:dyDescent="0.25">
      <c r="A244" s="462"/>
      <c r="H244" s="929"/>
      <c r="I244" s="388"/>
      <c r="J244" s="929"/>
      <c r="K244" s="388"/>
      <c r="L244" s="929"/>
      <c r="M244" s="388"/>
      <c r="N244" s="929"/>
      <c r="O244" s="388"/>
      <c r="P244" s="388"/>
      <c r="Q244" s="388"/>
      <c r="R244" s="465"/>
      <c r="S244" s="929"/>
      <c r="T244" s="466"/>
      <c r="U244" s="929"/>
      <c r="V244" s="929"/>
      <c r="W244" s="929"/>
      <c r="X244" s="474"/>
      <c r="Y244" s="474"/>
      <c r="Z244" s="474"/>
      <c r="AA244" s="474"/>
      <c r="AB244" s="474"/>
      <c r="AC244" s="388"/>
      <c r="AD244" s="464"/>
      <c r="AE244" s="465"/>
      <c r="AF244" s="388"/>
      <c r="AW244" s="471"/>
      <c r="AX244" s="471"/>
    </row>
    <row r="245" spans="1:50" ht="27" customHeight="1" x14ac:dyDescent="0.25">
      <c r="A245" s="462"/>
      <c r="H245" s="929"/>
      <c r="I245" s="388"/>
      <c r="J245" s="929"/>
      <c r="K245" s="388"/>
      <c r="L245" s="929"/>
      <c r="M245" s="388"/>
      <c r="N245" s="929"/>
      <c r="O245" s="388"/>
      <c r="P245" s="388"/>
      <c r="Q245" s="388"/>
      <c r="R245" s="465"/>
      <c r="S245" s="929"/>
      <c r="T245" s="466"/>
      <c r="U245" s="929"/>
      <c r="V245" s="929"/>
      <c r="W245" s="929"/>
      <c r="X245" s="474"/>
      <c r="Y245" s="474"/>
      <c r="Z245" s="474"/>
      <c r="AA245" s="474"/>
      <c r="AB245" s="474"/>
      <c r="AC245" s="388"/>
      <c r="AD245" s="464"/>
      <c r="AE245" s="465"/>
      <c r="AF245" s="388"/>
      <c r="AW245" s="471"/>
      <c r="AX245" s="471"/>
    </row>
    <row r="246" spans="1:50" ht="27" customHeight="1" x14ac:dyDescent="0.25">
      <c r="A246" s="462"/>
      <c r="H246" s="929"/>
      <c r="I246" s="388"/>
      <c r="J246" s="929"/>
      <c r="K246" s="388"/>
      <c r="L246" s="929"/>
      <c r="M246" s="388"/>
      <c r="N246" s="929"/>
      <c r="O246" s="388"/>
      <c r="P246" s="388"/>
      <c r="Q246" s="388"/>
      <c r="R246" s="465"/>
      <c r="S246" s="929"/>
      <c r="T246" s="466"/>
      <c r="U246" s="929"/>
      <c r="V246" s="929"/>
      <c r="W246" s="929"/>
      <c r="X246" s="474"/>
      <c r="Y246" s="474"/>
      <c r="Z246" s="474"/>
      <c r="AA246" s="474"/>
      <c r="AB246" s="474"/>
      <c r="AC246" s="388"/>
      <c r="AD246" s="464"/>
      <c r="AE246" s="465"/>
      <c r="AF246" s="388"/>
      <c r="AW246" s="471"/>
      <c r="AX246" s="471"/>
    </row>
    <row r="247" spans="1:50" ht="27" customHeight="1" x14ac:dyDescent="0.25">
      <c r="A247" s="462"/>
      <c r="H247" s="929"/>
      <c r="I247" s="388"/>
      <c r="J247" s="929"/>
      <c r="K247" s="388"/>
      <c r="L247" s="929"/>
      <c r="M247" s="388"/>
      <c r="N247" s="929"/>
      <c r="O247" s="388"/>
      <c r="P247" s="388"/>
      <c r="Q247" s="388"/>
      <c r="R247" s="465"/>
      <c r="S247" s="929"/>
      <c r="T247" s="466"/>
      <c r="U247" s="929"/>
      <c r="V247" s="929"/>
      <c r="W247" s="929"/>
      <c r="X247" s="474"/>
      <c r="Y247" s="474"/>
      <c r="Z247" s="474"/>
      <c r="AA247" s="474"/>
      <c r="AB247" s="474"/>
      <c r="AC247" s="388"/>
      <c r="AD247" s="464"/>
      <c r="AE247" s="465"/>
      <c r="AF247" s="388"/>
      <c r="AW247" s="471"/>
      <c r="AX247" s="471"/>
    </row>
    <row r="248" spans="1:50" ht="27" customHeight="1" x14ac:dyDescent="0.25">
      <c r="A248" s="462"/>
      <c r="H248" s="929"/>
      <c r="I248" s="388"/>
      <c r="J248" s="929"/>
      <c r="K248" s="388"/>
      <c r="L248" s="929"/>
      <c r="M248" s="388"/>
      <c r="N248" s="929"/>
      <c r="O248" s="388"/>
      <c r="P248" s="388"/>
      <c r="Q248" s="388"/>
      <c r="R248" s="465"/>
      <c r="S248" s="929"/>
      <c r="T248" s="466"/>
      <c r="U248" s="929"/>
      <c r="V248" s="929"/>
      <c r="W248" s="929"/>
      <c r="X248" s="474"/>
      <c r="Y248" s="474"/>
      <c r="Z248" s="474"/>
      <c r="AA248" s="474"/>
      <c r="AB248" s="474"/>
      <c r="AC248" s="388"/>
      <c r="AD248" s="464"/>
      <c r="AE248" s="465"/>
      <c r="AF248" s="388"/>
      <c r="AW248" s="471"/>
      <c r="AX248" s="471"/>
    </row>
    <row r="249" spans="1:50" ht="27" customHeight="1" x14ac:dyDescent="0.25">
      <c r="A249" s="462"/>
      <c r="H249" s="929"/>
      <c r="I249" s="388"/>
      <c r="J249" s="929"/>
      <c r="K249" s="388"/>
      <c r="L249" s="929"/>
      <c r="M249" s="388"/>
      <c r="N249" s="929"/>
      <c r="O249" s="388"/>
      <c r="P249" s="388"/>
      <c r="Q249" s="388"/>
      <c r="R249" s="465"/>
      <c r="S249" s="929"/>
      <c r="T249" s="466"/>
      <c r="U249" s="929"/>
      <c r="V249" s="929"/>
      <c r="W249" s="929"/>
      <c r="X249" s="474"/>
      <c r="Y249" s="474"/>
      <c r="Z249" s="474"/>
      <c r="AA249" s="474"/>
      <c r="AB249" s="474"/>
      <c r="AC249" s="388"/>
      <c r="AD249" s="464"/>
      <c r="AE249" s="465"/>
      <c r="AF249" s="388"/>
      <c r="AW249" s="471"/>
      <c r="AX249" s="471"/>
    </row>
    <row r="250" spans="1:50" ht="27" customHeight="1" x14ac:dyDescent="0.25">
      <c r="A250" s="462"/>
      <c r="H250" s="929"/>
      <c r="I250" s="388"/>
      <c r="J250" s="929"/>
      <c r="K250" s="388"/>
      <c r="L250" s="929"/>
      <c r="M250" s="388"/>
      <c r="N250" s="929"/>
      <c r="O250" s="388"/>
      <c r="P250" s="388"/>
      <c r="Q250" s="388"/>
      <c r="R250" s="465"/>
      <c r="S250" s="929"/>
      <c r="T250" s="466"/>
      <c r="U250" s="929"/>
      <c r="V250" s="929"/>
      <c r="W250" s="929"/>
      <c r="X250" s="474"/>
      <c r="Y250" s="474"/>
      <c r="Z250" s="474"/>
      <c r="AA250" s="474"/>
      <c r="AB250" s="474"/>
      <c r="AC250" s="388"/>
      <c r="AD250" s="464"/>
      <c r="AE250" s="465"/>
      <c r="AF250" s="388"/>
      <c r="AW250" s="471"/>
      <c r="AX250" s="471"/>
    </row>
    <row r="251" spans="1:50" ht="27" customHeight="1" x14ac:dyDescent="0.25">
      <c r="A251" s="462"/>
      <c r="H251" s="929"/>
      <c r="I251" s="388"/>
      <c r="J251" s="929"/>
      <c r="K251" s="388"/>
      <c r="L251" s="929"/>
      <c r="M251" s="388"/>
      <c r="N251" s="929"/>
      <c r="O251" s="388"/>
      <c r="P251" s="388"/>
      <c r="Q251" s="388"/>
      <c r="R251" s="465"/>
      <c r="S251" s="929"/>
      <c r="T251" s="466"/>
      <c r="U251" s="929"/>
      <c r="V251" s="929"/>
      <c r="W251" s="929"/>
      <c r="X251" s="474"/>
      <c r="Y251" s="474"/>
      <c r="Z251" s="474"/>
      <c r="AA251" s="474"/>
      <c r="AB251" s="474"/>
      <c r="AC251" s="388"/>
      <c r="AD251" s="464"/>
      <c r="AE251" s="465"/>
      <c r="AF251" s="388"/>
      <c r="AW251" s="471"/>
      <c r="AX251" s="471"/>
    </row>
    <row r="252" spans="1:50" ht="27" customHeight="1" x14ac:dyDescent="0.25">
      <c r="A252" s="462"/>
      <c r="H252" s="929"/>
      <c r="I252" s="388"/>
      <c r="J252" s="929"/>
      <c r="K252" s="388"/>
      <c r="L252" s="929"/>
      <c r="M252" s="388"/>
      <c r="N252" s="929"/>
      <c r="O252" s="388"/>
      <c r="P252" s="388"/>
      <c r="Q252" s="388"/>
      <c r="R252" s="465"/>
      <c r="S252" s="929"/>
      <c r="T252" s="466"/>
      <c r="U252" s="929"/>
      <c r="V252" s="929"/>
      <c r="W252" s="929"/>
      <c r="X252" s="474"/>
      <c r="Y252" s="474"/>
      <c r="Z252" s="474"/>
      <c r="AA252" s="474"/>
      <c r="AB252" s="474"/>
      <c r="AC252" s="388"/>
      <c r="AD252" s="464"/>
      <c r="AE252" s="465"/>
      <c r="AF252" s="388"/>
      <c r="AW252" s="471"/>
      <c r="AX252" s="471"/>
    </row>
    <row r="253" spans="1:50" ht="27" customHeight="1" x14ac:dyDescent="0.25">
      <c r="A253" s="462"/>
      <c r="H253" s="929"/>
      <c r="I253" s="388"/>
      <c r="J253" s="929"/>
      <c r="K253" s="388"/>
      <c r="L253" s="929"/>
      <c r="M253" s="388"/>
      <c r="N253" s="929"/>
      <c r="O253" s="388"/>
      <c r="P253" s="388"/>
      <c r="Q253" s="388"/>
      <c r="R253" s="465"/>
      <c r="S253" s="929"/>
      <c r="T253" s="466"/>
      <c r="U253" s="929"/>
      <c r="V253" s="929"/>
      <c r="W253" s="929"/>
      <c r="X253" s="474"/>
      <c r="Y253" s="474"/>
      <c r="Z253" s="474"/>
      <c r="AA253" s="474"/>
      <c r="AB253" s="474"/>
      <c r="AC253" s="388"/>
      <c r="AD253" s="464"/>
      <c r="AE253" s="465"/>
      <c r="AF253" s="388"/>
      <c r="AW253" s="471"/>
      <c r="AX253" s="471"/>
    </row>
    <row r="254" spans="1:50" ht="27" customHeight="1" x14ac:dyDescent="0.25">
      <c r="A254" s="462"/>
      <c r="H254" s="929"/>
      <c r="I254" s="388"/>
      <c r="J254" s="929"/>
      <c r="K254" s="388"/>
      <c r="L254" s="929"/>
      <c r="M254" s="388"/>
      <c r="N254" s="929"/>
      <c r="O254" s="388"/>
      <c r="P254" s="388"/>
      <c r="Q254" s="388"/>
      <c r="R254" s="465"/>
      <c r="S254" s="929"/>
      <c r="T254" s="466"/>
      <c r="U254" s="929"/>
      <c r="V254" s="929"/>
      <c r="W254" s="929"/>
      <c r="X254" s="474"/>
      <c r="Y254" s="474"/>
      <c r="Z254" s="474"/>
      <c r="AA254" s="474"/>
      <c r="AB254" s="474"/>
      <c r="AC254" s="388"/>
      <c r="AD254" s="464"/>
      <c r="AE254" s="465"/>
      <c r="AF254" s="388"/>
      <c r="AW254" s="471"/>
      <c r="AX254" s="471"/>
    </row>
    <row r="255" spans="1:50" ht="27" customHeight="1" x14ac:dyDescent="0.25">
      <c r="A255" s="462"/>
      <c r="H255" s="929"/>
      <c r="I255" s="388"/>
      <c r="J255" s="929"/>
      <c r="K255" s="388"/>
      <c r="L255" s="929"/>
      <c r="M255" s="388"/>
      <c r="N255" s="929"/>
      <c r="O255" s="388"/>
      <c r="P255" s="388"/>
      <c r="Q255" s="388"/>
      <c r="R255" s="465"/>
      <c r="S255" s="929"/>
      <c r="T255" s="466"/>
      <c r="U255" s="929"/>
      <c r="V255" s="929"/>
      <c r="W255" s="929"/>
      <c r="X255" s="474"/>
      <c r="Y255" s="474"/>
      <c r="Z255" s="474"/>
      <c r="AA255" s="474"/>
      <c r="AB255" s="474"/>
      <c r="AC255" s="388"/>
      <c r="AD255" s="464"/>
      <c r="AE255" s="465"/>
      <c r="AF255" s="388"/>
      <c r="AW255" s="471"/>
      <c r="AX255" s="471"/>
    </row>
    <row r="256" spans="1:50" ht="27" customHeight="1" x14ac:dyDescent="0.25">
      <c r="A256" s="462"/>
      <c r="H256" s="929"/>
      <c r="I256" s="388"/>
      <c r="J256" s="929"/>
      <c r="K256" s="388"/>
      <c r="L256" s="929"/>
      <c r="M256" s="388"/>
      <c r="N256" s="929"/>
      <c r="O256" s="388"/>
      <c r="P256" s="388"/>
      <c r="Q256" s="388"/>
      <c r="R256" s="465"/>
      <c r="S256" s="929"/>
      <c r="T256" s="466"/>
      <c r="U256" s="929"/>
      <c r="V256" s="929"/>
      <c r="W256" s="929"/>
      <c r="X256" s="474"/>
      <c r="Y256" s="474"/>
      <c r="Z256" s="474"/>
      <c r="AA256" s="474"/>
      <c r="AB256" s="474"/>
      <c r="AC256" s="388"/>
      <c r="AD256" s="464"/>
      <c r="AE256" s="465"/>
      <c r="AF256" s="388"/>
      <c r="AW256" s="471"/>
      <c r="AX256" s="471"/>
    </row>
    <row r="257" spans="1:50" ht="27" customHeight="1" x14ac:dyDescent="0.25">
      <c r="A257" s="462"/>
      <c r="H257" s="929"/>
      <c r="I257" s="388"/>
      <c r="J257" s="929"/>
      <c r="K257" s="388"/>
      <c r="L257" s="929"/>
      <c r="M257" s="388"/>
      <c r="N257" s="929"/>
      <c r="O257" s="388"/>
      <c r="P257" s="388"/>
      <c r="Q257" s="388"/>
      <c r="R257" s="465"/>
      <c r="S257" s="929"/>
      <c r="T257" s="466"/>
      <c r="U257" s="929"/>
      <c r="V257" s="929"/>
      <c r="W257" s="929"/>
      <c r="X257" s="474"/>
      <c r="Y257" s="474"/>
      <c r="Z257" s="474"/>
      <c r="AA257" s="474"/>
      <c r="AB257" s="474"/>
      <c r="AC257" s="388"/>
      <c r="AD257" s="464"/>
      <c r="AE257" s="465"/>
      <c r="AF257" s="388"/>
      <c r="AW257" s="471"/>
      <c r="AX257" s="471"/>
    </row>
    <row r="258" spans="1:50" ht="27" customHeight="1" x14ac:dyDescent="0.25">
      <c r="A258" s="462"/>
      <c r="H258" s="929"/>
      <c r="I258" s="388"/>
      <c r="J258" s="929"/>
      <c r="K258" s="388"/>
      <c r="L258" s="929"/>
      <c r="M258" s="388"/>
      <c r="N258" s="929"/>
      <c r="O258" s="388"/>
      <c r="P258" s="388"/>
      <c r="Q258" s="388"/>
      <c r="R258" s="465"/>
      <c r="S258" s="929"/>
      <c r="T258" s="466"/>
      <c r="U258" s="929"/>
      <c r="V258" s="929"/>
      <c r="W258" s="929"/>
      <c r="X258" s="474"/>
      <c r="Y258" s="474"/>
      <c r="Z258" s="474"/>
      <c r="AA258" s="474"/>
      <c r="AB258" s="474"/>
      <c r="AC258" s="388"/>
      <c r="AD258" s="464"/>
      <c r="AE258" s="465"/>
      <c r="AF258" s="388"/>
      <c r="AW258" s="471"/>
      <c r="AX258" s="471"/>
    </row>
    <row r="259" spans="1:50" ht="27" customHeight="1" x14ac:dyDescent="0.25">
      <c r="A259" s="462"/>
      <c r="H259" s="929"/>
      <c r="I259" s="388"/>
      <c r="J259" s="929"/>
      <c r="K259" s="388"/>
      <c r="L259" s="929"/>
      <c r="M259" s="388"/>
      <c r="N259" s="929"/>
      <c r="O259" s="388"/>
      <c r="P259" s="388"/>
      <c r="Q259" s="388"/>
      <c r="R259" s="465"/>
      <c r="S259" s="929"/>
      <c r="T259" s="466"/>
      <c r="U259" s="929"/>
      <c r="V259" s="929"/>
      <c r="W259" s="929"/>
      <c r="X259" s="474"/>
      <c r="Y259" s="474"/>
      <c r="Z259" s="474"/>
      <c r="AA259" s="474"/>
      <c r="AB259" s="474"/>
      <c r="AC259" s="388"/>
      <c r="AD259" s="464"/>
      <c r="AE259" s="465"/>
      <c r="AF259" s="388"/>
      <c r="AW259" s="471"/>
      <c r="AX259" s="471"/>
    </row>
    <row r="260" spans="1:50" ht="27" customHeight="1" x14ac:dyDescent="0.25">
      <c r="A260" s="462"/>
      <c r="H260" s="929"/>
      <c r="I260" s="388"/>
      <c r="J260" s="929"/>
      <c r="K260" s="388"/>
      <c r="L260" s="929"/>
      <c r="M260" s="388"/>
      <c r="N260" s="929"/>
      <c r="O260" s="388"/>
      <c r="P260" s="388"/>
      <c r="Q260" s="388"/>
      <c r="R260" s="465"/>
      <c r="S260" s="929"/>
      <c r="T260" s="466"/>
      <c r="U260" s="929"/>
      <c r="V260" s="929"/>
      <c r="W260" s="929"/>
      <c r="X260" s="474"/>
      <c r="Y260" s="474"/>
      <c r="Z260" s="474"/>
      <c r="AA260" s="474"/>
      <c r="AB260" s="474"/>
      <c r="AC260" s="388"/>
      <c r="AD260" s="464"/>
      <c r="AE260" s="465"/>
      <c r="AF260" s="388"/>
      <c r="AW260" s="471"/>
      <c r="AX260" s="471"/>
    </row>
    <row r="261" spans="1:50" ht="27" customHeight="1" x14ac:dyDescent="0.25">
      <c r="A261" s="462"/>
      <c r="H261" s="929"/>
      <c r="I261" s="388"/>
      <c r="J261" s="929"/>
      <c r="K261" s="388"/>
      <c r="L261" s="929"/>
      <c r="M261" s="388"/>
      <c r="N261" s="929"/>
      <c r="O261" s="388"/>
      <c r="P261" s="388"/>
      <c r="Q261" s="388"/>
      <c r="R261" s="465"/>
      <c r="S261" s="929"/>
      <c r="T261" s="466"/>
      <c r="U261" s="929"/>
      <c r="V261" s="929"/>
      <c r="W261" s="929"/>
      <c r="X261" s="474"/>
      <c r="Y261" s="474"/>
      <c r="Z261" s="474"/>
      <c r="AA261" s="474"/>
      <c r="AB261" s="474"/>
      <c r="AC261" s="388"/>
      <c r="AD261" s="464"/>
      <c r="AE261" s="465"/>
      <c r="AF261" s="388"/>
      <c r="AW261" s="471"/>
      <c r="AX261" s="471"/>
    </row>
    <row r="262" spans="1:50" ht="27" customHeight="1" x14ac:dyDescent="0.25">
      <c r="A262" s="462"/>
      <c r="H262" s="929"/>
      <c r="I262" s="388"/>
      <c r="J262" s="929"/>
      <c r="K262" s="388"/>
      <c r="L262" s="929"/>
      <c r="M262" s="388"/>
      <c r="N262" s="929"/>
      <c r="O262" s="388"/>
      <c r="P262" s="388"/>
      <c r="Q262" s="388"/>
      <c r="R262" s="465"/>
      <c r="S262" s="929"/>
      <c r="T262" s="466"/>
      <c r="U262" s="929"/>
      <c r="V262" s="929"/>
      <c r="W262" s="929"/>
      <c r="X262" s="474"/>
      <c r="Y262" s="474"/>
      <c r="Z262" s="474"/>
      <c r="AA262" s="474"/>
      <c r="AB262" s="474"/>
      <c r="AC262" s="388"/>
      <c r="AD262" s="464"/>
      <c r="AE262" s="465"/>
      <c r="AF262" s="388"/>
      <c r="AW262" s="471"/>
      <c r="AX262" s="471"/>
    </row>
    <row r="263" spans="1:50" ht="27" customHeight="1" x14ac:dyDescent="0.25">
      <c r="A263" s="462"/>
      <c r="H263" s="929"/>
      <c r="I263" s="388"/>
      <c r="J263" s="929"/>
      <c r="K263" s="388"/>
      <c r="L263" s="929"/>
      <c r="M263" s="388"/>
      <c r="N263" s="929"/>
      <c r="O263" s="388"/>
      <c r="P263" s="388"/>
      <c r="Q263" s="388"/>
      <c r="R263" s="465"/>
      <c r="S263" s="929"/>
      <c r="T263" s="466"/>
      <c r="U263" s="929"/>
      <c r="V263" s="929"/>
      <c r="W263" s="929"/>
      <c r="X263" s="474"/>
      <c r="Y263" s="474"/>
      <c r="Z263" s="474"/>
      <c r="AA263" s="474"/>
      <c r="AB263" s="474"/>
      <c r="AC263" s="388"/>
      <c r="AD263" s="464"/>
      <c r="AE263" s="465"/>
      <c r="AF263" s="388"/>
      <c r="AW263" s="471"/>
      <c r="AX263" s="471"/>
    </row>
    <row r="264" spans="1:50" ht="27" customHeight="1" x14ac:dyDescent="0.25">
      <c r="A264" s="462"/>
      <c r="H264" s="929"/>
      <c r="I264" s="388"/>
      <c r="J264" s="929"/>
      <c r="K264" s="388"/>
      <c r="L264" s="929"/>
      <c r="M264" s="388"/>
      <c r="N264" s="929"/>
      <c r="O264" s="388"/>
      <c r="P264" s="388"/>
      <c r="Q264" s="388"/>
      <c r="R264" s="465"/>
      <c r="S264" s="929"/>
      <c r="T264" s="466"/>
      <c r="U264" s="929"/>
      <c r="V264" s="929"/>
      <c r="W264" s="929"/>
      <c r="X264" s="474"/>
      <c r="Y264" s="474"/>
      <c r="Z264" s="474"/>
      <c r="AA264" s="474"/>
      <c r="AB264" s="474"/>
      <c r="AC264" s="388"/>
      <c r="AD264" s="464"/>
      <c r="AE264" s="465"/>
      <c r="AF264" s="388"/>
      <c r="AW264" s="471"/>
      <c r="AX264" s="471"/>
    </row>
    <row r="265" spans="1:50" ht="27" customHeight="1" x14ac:dyDescent="0.25">
      <c r="A265" s="462"/>
      <c r="H265" s="929"/>
      <c r="I265" s="388"/>
      <c r="J265" s="929"/>
      <c r="K265" s="388"/>
      <c r="L265" s="929"/>
      <c r="M265" s="388"/>
      <c r="N265" s="929"/>
      <c r="O265" s="388"/>
      <c r="P265" s="388"/>
      <c r="Q265" s="388"/>
      <c r="R265" s="465"/>
      <c r="S265" s="929"/>
      <c r="T265" s="466"/>
      <c r="U265" s="929"/>
      <c r="V265" s="929"/>
      <c r="W265" s="929"/>
      <c r="X265" s="474"/>
      <c r="Y265" s="474"/>
      <c r="Z265" s="474"/>
      <c r="AA265" s="474"/>
      <c r="AB265" s="474"/>
      <c r="AC265" s="388"/>
      <c r="AD265" s="464"/>
      <c r="AE265" s="465"/>
      <c r="AF265" s="388"/>
      <c r="AW265" s="471"/>
      <c r="AX265" s="471"/>
    </row>
    <row r="266" spans="1:50" ht="27" customHeight="1" x14ac:dyDescent="0.25">
      <c r="A266" s="462"/>
      <c r="H266" s="929"/>
      <c r="I266" s="388"/>
      <c r="J266" s="929"/>
      <c r="K266" s="388"/>
      <c r="L266" s="929"/>
      <c r="M266" s="388"/>
      <c r="N266" s="929"/>
      <c r="O266" s="388"/>
      <c r="P266" s="388"/>
      <c r="Q266" s="388"/>
      <c r="R266" s="465"/>
      <c r="S266" s="929"/>
      <c r="T266" s="466"/>
      <c r="U266" s="929"/>
      <c r="V266" s="929"/>
      <c r="W266" s="929"/>
      <c r="X266" s="474"/>
      <c r="Y266" s="474"/>
      <c r="Z266" s="474"/>
      <c r="AA266" s="474"/>
      <c r="AB266" s="474"/>
      <c r="AC266" s="388"/>
      <c r="AD266" s="464"/>
      <c r="AE266" s="465"/>
      <c r="AF266" s="388"/>
      <c r="AW266" s="471"/>
      <c r="AX266" s="471"/>
    </row>
    <row r="267" spans="1:50" ht="27" customHeight="1" x14ac:dyDescent="0.25">
      <c r="A267" s="462"/>
      <c r="H267" s="929"/>
      <c r="I267" s="388"/>
      <c r="J267" s="929"/>
      <c r="K267" s="388"/>
      <c r="L267" s="929"/>
      <c r="M267" s="388"/>
      <c r="N267" s="929"/>
      <c r="O267" s="388"/>
      <c r="P267" s="388"/>
      <c r="Q267" s="388"/>
      <c r="R267" s="465"/>
      <c r="S267" s="929"/>
      <c r="T267" s="466"/>
      <c r="U267" s="929"/>
      <c r="V267" s="929"/>
      <c r="W267" s="929"/>
      <c r="X267" s="474"/>
      <c r="Y267" s="474"/>
      <c r="Z267" s="474"/>
      <c r="AA267" s="474"/>
      <c r="AB267" s="474"/>
      <c r="AC267" s="388"/>
      <c r="AD267" s="464"/>
      <c r="AE267" s="465"/>
      <c r="AF267" s="388"/>
      <c r="AW267" s="471"/>
      <c r="AX267" s="471"/>
    </row>
    <row r="268" spans="1:50" ht="27" customHeight="1" x14ac:dyDescent="0.25">
      <c r="A268" s="462"/>
      <c r="H268" s="929"/>
      <c r="I268" s="388"/>
      <c r="J268" s="929"/>
      <c r="K268" s="388"/>
      <c r="L268" s="929"/>
      <c r="M268" s="388"/>
      <c r="N268" s="929"/>
      <c r="O268" s="388"/>
      <c r="P268" s="388"/>
      <c r="Q268" s="388"/>
      <c r="R268" s="465"/>
      <c r="S268" s="929"/>
      <c r="T268" s="466"/>
      <c r="U268" s="929"/>
      <c r="V268" s="929"/>
      <c r="W268" s="929"/>
      <c r="X268" s="474"/>
      <c r="Y268" s="474"/>
      <c r="Z268" s="474"/>
      <c r="AA268" s="474"/>
      <c r="AB268" s="474"/>
      <c r="AC268" s="388"/>
      <c r="AD268" s="464"/>
      <c r="AE268" s="465"/>
      <c r="AF268" s="388"/>
      <c r="AW268" s="471"/>
      <c r="AX268" s="471"/>
    </row>
    <row r="269" spans="1:50" ht="27" customHeight="1" x14ac:dyDescent="0.25">
      <c r="A269" s="462"/>
      <c r="H269" s="929"/>
      <c r="I269" s="388"/>
      <c r="J269" s="929"/>
      <c r="K269" s="388"/>
      <c r="L269" s="929"/>
      <c r="M269" s="388"/>
      <c r="N269" s="929"/>
      <c r="O269" s="388"/>
      <c r="P269" s="388"/>
      <c r="Q269" s="388"/>
      <c r="R269" s="465"/>
      <c r="S269" s="929"/>
      <c r="T269" s="466"/>
      <c r="U269" s="929"/>
      <c r="V269" s="929"/>
      <c r="W269" s="929"/>
      <c r="X269" s="474"/>
      <c r="Y269" s="474"/>
      <c r="Z269" s="474"/>
      <c r="AA269" s="474"/>
      <c r="AB269" s="474"/>
      <c r="AC269" s="388"/>
      <c r="AD269" s="464"/>
      <c r="AE269" s="465"/>
      <c r="AF269" s="388"/>
      <c r="AW269" s="471"/>
      <c r="AX269" s="471"/>
    </row>
    <row r="270" spans="1:50" ht="27" customHeight="1" x14ac:dyDescent="0.25">
      <c r="A270" s="462"/>
      <c r="H270" s="929"/>
      <c r="I270" s="388"/>
      <c r="J270" s="929"/>
      <c r="K270" s="388"/>
      <c r="L270" s="929"/>
      <c r="M270" s="388"/>
      <c r="N270" s="929"/>
      <c r="O270" s="388"/>
      <c r="P270" s="388"/>
      <c r="Q270" s="388"/>
      <c r="R270" s="465"/>
      <c r="S270" s="929"/>
      <c r="T270" s="466"/>
      <c r="U270" s="929"/>
      <c r="V270" s="929"/>
      <c r="W270" s="929"/>
      <c r="X270" s="474"/>
      <c r="Y270" s="474"/>
      <c r="Z270" s="474"/>
      <c r="AA270" s="474"/>
      <c r="AB270" s="474"/>
      <c r="AC270" s="388"/>
      <c r="AD270" s="464"/>
      <c r="AE270" s="465"/>
      <c r="AF270" s="388"/>
      <c r="AW270" s="471"/>
      <c r="AX270" s="471"/>
    </row>
    <row r="271" spans="1:50" ht="27" customHeight="1" x14ac:dyDescent="0.25">
      <c r="A271" s="462"/>
      <c r="H271" s="929"/>
      <c r="I271" s="388"/>
      <c r="J271" s="929"/>
      <c r="K271" s="388"/>
      <c r="L271" s="929"/>
      <c r="M271" s="388"/>
      <c r="N271" s="929"/>
      <c r="O271" s="388"/>
      <c r="P271" s="388"/>
      <c r="Q271" s="388"/>
      <c r="R271" s="465"/>
      <c r="S271" s="929"/>
      <c r="T271" s="466"/>
      <c r="U271" s="929"/>
      <c r="V271" s="929"/>
      <c r="W271" s="929"/>
      <c r="X271" s="474"/>
      <c r="Y271" s="474"/>
      <c r="Z271" s="474"/>
      <c r="AA271" s="474"/>
      <c r="AB271" s="474"/>
      <c r="AC271" s="388"/>
      <c r="AD271" s="464"/>
      <c r="AE271" s="465"/>
      <c r="AF271" s="388"/>
      <c r="AW271" s="471"/>
      <c r="AX271" s="471"/>
    </row>
    <row r="272" spans="1:50" ht="27" customHeight="1" x14ac:dyDescent="0.25">
      <c r="A272" s="462"/>
      <c r="H272" s="929"/>
      <c r="I272" s="388"/>
      <c r="J272" s="929"/>
      <c r="K272" s="388"/>
      <c r="L272" s="929"/>
      <c r="M272" s="388"/>
      <c r="N272" s="929"/>
      <c r="O272" s="388"/>
      <c r="P272" s="388"/>
      <c r="Q272" s="388"/>
      <c r="R272" s="465"/>
      <c r="S272" s="929"/>
      <c r="T272" s="466"/>
      <c r="U272" s="929"/>
      <c r="V272" s="929"/>
      <c r="W272" s="929"/>
      <c r="X272" s="474"/>
      <c r="Y272" s="474"/>
      <c r="Z272" s="474"/>
      <c r="AA272" s="474"/>
      <c r="AB272" s="474"/>
      <c r="AC272" s="388"/>
      <c r="AD272" s="464"/>
      <c r="AE272" s="465"/>
      <c r="AF272" s="388"/>
      <c r="AW272" s="471"/>
      <c r="AX272" s="471"/>
    </row>
    <row r="273" spans="1:50" ht="27" customHeight="1" x14ac:dyDescent="0.25">
      <c r="A273" s="462"/>
      <c r="H273" s="929"/>
      <c r="I273" s="388"/>
      <c r="J273" s="929"/>
      <c r="K273" s="388"/>
      <c r="L273" s="929"/>
      <c r="M273" s="388"/>
      <c r="N273" s="929"/>
      <c r="O273" s="388"/>
      <c r="P273" s="388"/>
      <c r="Q273" s="388"/>
      <c r="R273" s="465"/>
      <c r="S273" s="929"/>
      <c r="T273" s="466"/>
      <c r="U273" s="929"/>
      <c r="V273" s="929"/>
      <c r="W273" s="929"/>
      <c r="X273" s="474"/>
      <c r="Y273" s="474"/>
      <c r="Z273" s="474"/>
      <c r="AA273" s="474"/>
      <c r="AB273" s="474"/>
      <c r="AC273" s="388"/>
      <c r="AD273" s="464"/>
      <c r="AE273" s="465"/>
      <c r="AF273" s="388"/>
      <c r="AW273" s="471"/>
      <c r="AX273" s="471"/>
    </row>
    <row r="274" spans="1:50" ht="27" customHeight="1" x14ac:dyDescent="0.25">
      <c r="A274" s="462"/>
      <c r="H274" s="929"/>
      <c r="I274" s="388"/>
      <c r="J274" s="929"/>
      <c r="K274" s="388"/>
      <c r="L274" s="929"/>
      <c r="M274" s="388"/>
      <c r="N274" s="929"/>
      <c r="O274" s="388"/>
      <c r="P274" s="388"/>
      <c r="Q274" s="388"/>
      <c r="R274" s="465"/>
      <c r="S274" s="929"/>
      <c r="T274" s="466"/>
      <c r="U274" s="929"/>
      <c r="V274" s="929"/>
      <c r="W274" s="929"/>
      <c r="X274" s="474"/>
      <c r="Y274" s="474"/>
      <c r="Z274" s="474"/>
      <c r="AA274" s="474"/>
      <c r="AB274" s="474"/>
      <c r="AC274" s="388"/>
      <c r="AD274" s="464"/>
      <c r="AE274" s="465"/>
      <c r="AF274" s="388"/>
      <c r="AW274" s="471"/>
      <c r="AX274" s="471"/>
    </row>
    <row r="275" spans="1:50" ht="27" customHeight="1" x14ac:dyDescent="0.25">
      <c r="A275" s="462"/>
      <c r="H275" s="929"/>
      <c r="I275" s="388"/>
      <c r="J275" s="929"/>
      <c r="K275" s="388"/>
      <c r="L275" s="929"/>
      <c r="M275" s="388"/>
      <c r="N275" s="929"/>
      <c r="O275" s="388"/>
      <c r="P275" s="388"/>
      <c r="Q275" s="388"/>
      <c r="R275" s="465"/>
      <c r="S275" s="929"/>
      <c r="T275" s="466"/>
      <c r="U275" s="929"/>
      <c r="V275" s="929"/>
      <c r="W275" s="929"/>
      <c r="X275" s="474"/>
      <c r="Y275" s="474"/>
      <c r="Z275" s="474"/>
      <c r="AA275" s="474"/>
      <c r="AB275" s="474"/>
      <c r="AC275" s="388"/>
      <c r="AD275" s="464"/>
      <c r="AE275" s="465"/>
      <c r="AF275" s="388"/>
      <c r="AW275" s="471"/>
      <c r="AX275" s="471"/>
    </row>
    <row r="276" spans="1:50" ht="27" customHeight="1" x14ac:dyDescent="0.25">
      <c r="A276" s="462"/>
      <c r="H276" s="929"/>
      <c r="I276" s="388"/>
      <c r="J276" s="929"/>
      <c r="K276" s="388"/>
      <c r="L276" s="929"/>
      <c r="M276" s="388"/>
      <c r="N276" s="929"/>
      <c r="O276" s="388"/>
      <c r="P276" s="388"/>
      <c r="Q276" s="388"/>
      <c r="R276" s="465"/>
      <c r="S276" s="929"/>
      <c r="T276" s="466"/>
      <c r="U276" s="929"/>
      <c r="V276" s="929"/>
      <c r="W276" s="929"/>
      <c r="X276" s="474"/>
      <c r="Y276" s="474"/>
      <c r="Z276" s="474"/>
      <c r="AA276" s="474"/>
      <c r="AB276" s="474"/>
      <c r="AC276" s="388"/>
      <c r="AD276" s="464"/>
      <c r="AE276" s="465"/>
      <c r="AF276" s="388"/>
      <c r="AW276" s="471"/>
      <c r="AX276" s="471"/>
    </row>
    <row r="277" spans="1:50" ht="27" customHeight="1" x14ac:dyDescent="0.25">
      <c r="A277" s="462"/>
      <c r="H277" s="929"/>
      <c r="I277" s="388"/>
      <c r="J277" s="929"/>
      <c r="K277" s="388"/>
      <c r="L277" s="929"/>
      <c r="M277" s="388"/>
      <c r="N277" s="929"/>
      <c r="O277" s="388"/>
      <c r="P277" s="388"/>
      <c r="Q277" s="388"/>
      <c r="R277" s="465"/>
      <c r="S277" s="929"/>
      <c r="T277" s="466"/>
      <c r="U277" s="929"/>
      <c r="V277" s="929"/>
      <c r="W277" s="929"/>
      <c r="X277" s="474"/>
      <c r="Y277" s="474"/>
      <c r="Z277" s="474"/>
      <c r="AA277" s="474"/>
      <c r="AB277" s="474"/>
      <c r="AC277" s="388"/>
      <c r="AD277" s="464"/>
      <c r="AE277" s="465"/>
      <c r="AF277" s="388"/>
      <c r="AW277" s="471"/>
      <c r="AX277" s="471"/>
    </row>
    <row r="278" spans="1:50" ht="27" customHeight="1" x14ac:dyDescent="0.25">
      <c r="A278" s="462"/>
      <c r="H278" s="929"/>
      <c r="I278" s="388"/>
      <c r="J278" s="929"/>
      <c r="K278" s="388"/>
      <c r="L278" s="929"/>
      <c r="M278" s="388"/>
      <c r="N278" s="929"/>
      <c r="O278" s="388"/>
      <c r="P278" s="388"/>
      <c r="Q278" s="388"/>
      <c r="R278" s="465"/>
      <c r="S278" s="929"/>
      <c r="T278" s="466"/>
      <c r="U278" s="929"/>
      <c r="V278" s="929"/>
      <c r="W278" s="929"/>
      <c r="X278" s="474"/>
      <c r="Y278" s="474"/>
      <c r="Z278" s="474"/>
      <c r="AA278" s="474"/>
      <c r="AB278" s="474"/>
      <c r="AC278" s="388"/>
      <c r="AD278" s="464"/>
      <c r="AE278" s="465"/>
      <c r="AF278" s="388"/>
      <c r="AW278" s="471"/>
      <c r="AX278" s="471"/>
    </row>
    <row r="279" spans="1:50" ht="27" customHeight="1" x14ac:dyDescent="0.25">
      <c r="A279" s="462"/>
      <c r="H279" s="929"/>
      <c r="I279" s="388"/>
      <c r="J279" s="929"/>
      <c r="K279" s="388"/>
      <c r="L279" s="929"/>
      <c r="M279" s="388"/>
      <c r="N279" s="929"/>
      <c r="O279" s="388"/>
      <c r="P279" s="388"/>
      <c r="Q279" s="388"/>
      <c r="R279" s="465"/>
      <c r="S279" s="929"/>
      <c r="T279" s="466"/>
      <c r="U279" s="929"/>
      <c r="V279" s="929"/>
      <c r="W279" s="929"/>
      <c r="X279" s="474"/>
      <c r="Y279" s="474"/>
      <c r="Z279" s="474"/>
      <c r="AA279" s="474"/>
      <c r="AB279" s="474"/>
      <c r="AC279" s="388"/>
      <c r="AD279" s="464"/>
      <c r="AE279" s="465"/>
      <c r="AF279" s="388"/>
      <c r="AW279" s="471"/>
      <c r="AX279" s="471"/>
    </row>
    <row r="280" spans="1:50" ht="27" customHeight="1" x14ac:dyDescent="0.25">
      <c r="A280" s="462"/>
      <c r="H280" s="929"/>
      <c r="I280" s="388"/>
      <c r="J280" s="929"/>
      <c r="K280" s="388"/>
      <c r="L280" s="929"/>
      <c r="M280" s="388"/>
      <c r="N280" s="929"/>
      <c r="O280" s="388"/>
      <c r="P280" s="388"/>
      <c r="Q280" s="388"/>
      <c r="R280" s="465"/>
      <c r="S280" s="929"/>
      <c r="T280" s="466"/>
      <c r="U280" s="929"/>
      <c r="V280" s="929"/>
      <c r="W280" s="929"/>
      <c r="X280" s="474"/>
      <c r="Y280" s="474"/>
      <c r="Z280" s="474"/>
      <c r="AA280" s="474"/>
      <c r="AB280" s="474"/>
      <c r="AC280" s="388"/>
      <c r="AD280" s="464"/>
      <c r="AE280" s="465"/>
      <c r="AF280" s="388"/>
      <c r="AW280" s="471"/>
      <c r="AX280" s="471"/>
    </row>
    <row r="281" spans="1:50" ht="27" customHeight="1" x14ac:dyDescent="0.25">
      <c r="A281" s="462"/>
      <c r="H281" s="929"/>
      <c r="I281" s="388"/>
      <c r="J281" s="929"/>
      <c r="K281" s="388"/>
      <c r="L281" s="929"/>
      <c r="M281" s="388"/>
      <c r="N281" s="929"/>
      <c r="O281" s="388"/>
      <c r="P281" s="388"/>
      <c r="Q281" s="388"/>
      <c r="R281" s="465"/>
      <c r="S281" s="929"/>
      <c r="T281" s="466"/>
      <c r="U281" s="929"/>
      <c r="V281" s="929"/>
      <c r="W281" s="929"/>
      <c r="X281" s="474"/>
      <c r="Y281" s="474"/>
      <c r="Z281" s="474"/>
      <c r="AA281" s="474"/>
      <c r="AB281" s="474"/>
      <c r="AC281" s="388"/>
      <c r="AD281" s="464"/>
      <c r="AE281" s="465"/>
      <c r="AF281" s="388"/>
      <c r="AW281" s="471"/>
      <c r="AX281" s="471"/>
    </row>
    <row r="282" spans="1:50" ht="27" customHeight="1" x14ac:dyDescent="0.25">
      <c r="A282" s="462"/>
      <c r="H282" s="929"/>
      <c r="I282" s="388"/>
      <c r="J282" s="929"/>
      <c r="K282" s="388"/>
      <c r="L282" s="929"/>
      <c r="M282" s="388"/>
      <c r="N282" s="929"/>
      <c r="O282" s="388"/>
      <c r="P282" s="388"/>
      <c r="Q282" s="388"/>
      <c r="R282" s="465"/>
      <c r="S282" s="929"/>
      <c r="T282" s="466"/>
      <c r="U282" s="929"/>
      <c r="V282" s="929"/>
      <c r="W282" s="929"/>
      <c r="X282" s="474"/>
      <c r="Y282" s="474"/>
      <c r="Z282" s="474"/>
      <c r="AA282" s="474"/>
      <c r="AB282" s="474"/>
      <c r="AC282" s="388"/>
      <c r="AD282" s="464"/>
      <c r="AE282" s="465"/>
      <c r="AF282" s="388"/>
      <c r="AW282" s="471"/>
      <c r="AX282" s="471"/>
    </row>
    <row r="283" spans="1:50" ht="27" customHeight="1" x14ac:dyDescent="0.25">
      <c r="A283" s="462"/>
      <c r="H283" s="929"/>
      <c r="I283" s="388"/>
      <c r="J283" s="929"/>
      <c r="K283" s="388"/>
      <c r="L283" s="929"/>
      <c r="M283" s="388"/>
      <c r="N283" s="929"/>
      <c r="O283" s="388"/>
      <c r="P283" s="388"/>
      <c r="Q283" s="388"/>
      <c r="R283" s="465"/>
      <c r="S283" s="929"/>
      <c r="T283" s="466"/>
      <c r="U283" s="929"/>
      <c r="V283" s="929"/>
      <c r="W283" s="929"/>
      <c r="X283" s="474"/>
      <c r="Y283" s="474"/>
      <c r="Z283" s="474"/>
      <c r="AA283" s="474"/>
      <c r="AB283" s="474"/>
      <c r="AC283" s="388"/>
      <c r="AD283" s="464"/>
      <c r="AE283" s="465"/>
      <c r="AF283" s="388"/>
      <c r="AW283" s="471"/>
      <c r="AX283" s="471"/>
    </row>
    <row r="284" spans="1:50" ht="27" customHeight="1" x14ac:dyDescent="0.25">
      <c r="A284" s="462"/>
      <c r="H284" s="929"/>
      <c r="I284" s="388"/>
      <c r="J284" s="929"/>
      <c r="K284" s="388"/>
      <c r="L284" s="929"/>
      <c r="M284" s="388"/>
      <c r="N284" s="929"/>
      <c r="O284" s="388"/>
      <c r="P284" s="388"/>
      <c r="Q284" s="388"/>
      <c r="R284" s="465"/>
      <c r="S284" s="929"/>
      <c r="T284" s="466"/>
      <c r="U284" s="929"/>
      <c r="V284" s="929"/>
      <c r="W284" s="929"/>
      <c r="X284" s="474"/>
      <c r="Y284" s="474"/>
      <c r="Z284" s="474"/>
      <c r="AA284" s="474"/>
      <c r="AB284" s="474"/>
      <c r="AC284" s="388"/>
      <c r="AD284" s="464"/>
      <c r="AE284" s="465"/>
      <c r="AF284" s="388"/>
      <c r="AW284" s="471"/>
      <c r="AX284" s="471"/>
    </row>
    <row r="285" spans="1:50" ht="27" customHeight="1" x14ac:dyDescent="0.25">
      <c r="A285" s="462"/>
      <c r="H285" s="929"/>
      <c r="I285" s="388"/>
      <c r="J285" s="929"/>
      <c r="K285" s="388"/>
      <c r="L285" s="929"/>
      <c r="M285" s="388"/>
      <c r="N285" s="929"/>
      <c r="O285" s="388"/>
      <c r="P285" s="388"/>
      <c r="Q285" s="388"/>
      <c r="R285" s="465"/>
      <c r="S285" s="929"/>
      <c r="T285" s="466"/>
      <c r="U285" s="929"/>
      <c r="V285" s="929"/>
      <c r="W285" s="929"/>
      <c r="X285" s="474"/>
      <c r="Y285" s="474"/>
      <c r="Z285" s="474"/>
      <c r="AA285" s="474"/>
      <c r="AB285" s="474"/>
      <c r="AC285" s="388"/>
      <c r="AD285" s="464"/>
      <c r="AE285" s="465"/>
      <c r="AF285" s="388"/>
      <c r="AW285" s="471"/>
      <c r="AX285" s="471"/>
    </row>
    <row r="286" spans="1:50" ht="27" customHeight="1" x14ac:dyDescent="0.25">
      <c r="A286" s="462"/>
      <c r="H286" s="929"/>
      <c r="I286" s="388"/>
      <c r="J286" s="929"/>
      <c r="K286" s="388"/>
      <c r="L286" s="929"/>
      <c r="M286" s="388"/>
      <c r="N286" s="929"/>
      <c r="O286" s="388"/>
      <c r="P286" s="388"/>
      <c r="Q286" s="388"/>
      <c r="R286" s="465"/>
      <c r="S286" s="929"/>
      <c r="T286" s="466"/>
      <c r="U286" s="929"/>
      <c r="V286" s="929"/>
      <c r="W286" s="929"/>
      <c r="X286" s="474"/>
      <c r="Y286" s="474"/>
      <c r="Z286" s="474"/>
      <c r="AA286" s="474"/>
      <c r="AB286" s="474"/>
      <c r="AC286" s="388"/>
      <c r="AD286" s="464"/>
      <c r="AE286" s="465"/>
      <c r="AF286" s="388"/>
      <c r="AW286" s="471"/>
      <c r="AX286" s="471"/>
    </row>
    <row r="287" spans="1:50" ht="27" customHeight="1" x14ac:dyDescent="0.25">
      <c r="A287" s="462"/>
      <c r="H287" s="929"/>
      <c r="I287" s="388"/>
      <c r="J287" s="929"/>
      <c r="K287" s="388"/>
      <c r="L287" s="929"/>
      <c r="M287" s="388"/>
      <c r="N287" s="929"/>
      <c r="O287" s="388"/>
      <c r="P287" s="388"/>
      <c r="Q287" s="388"/>
      <c r="R287" s="465"/>
      <c r="S287" s="929"/>
      <c r="T287" s="466"/>
      <c r="U287" s="929"/>
      <c r="V287" s="929"/>
      <c r="W287" s="929"/>
      <c r="X287" s="474"/>
      <c r="Y287" s="474"/>
      <c r="Z287" s="474"/>
      <c r="AA287" s="474"/>
      <c r="AB287" s="474"/>
      <c r="AC287" s="388"/>
      <c r="AD287" s="464"/>
      <c r="AE287" s="465"/>
      <c r="AF287" s="388"/>
      <c r="AW287" s="471"/>
      <c r="AX287" s="471"/>
    </row>
    <row r="288" spans="1:50" ht="27" customHeight="1" x14ac:dyDescent="0.25">
      <c r="A288" s="462"/>
      <c r="H288" s="929"/>
      <c r="I288" s="388"/>
      <c r="J288" s="929"/>
      <c r="K288" s="388"/>
      <c r="L288" s="929"/>
      <c r="M288" s="388"/>
      <c r="N288" s="929"/>
      <c r="O288" s="388"/>
      <c r="P288" s="388"/>
      <c r="Q288" s="388"/>
      <c r="R288" s="465"/>
      <c r="S288" s="929"/>
      <c r="T288" s="466"/>
      <c r="U288" s="929"/>
      <c r="V288" s="929"/>
      <c r="W288" s="929"/>
      <c r="X288" s="474"/>
      <c r="Y288" s="474"/>
      <c r="Z288" s="474"/>
      <c r="AA288" s="474"/>
      <c r="AB288" s="474"/>
      <c r="AC288" s="388"/>
      <c r="AD288" s="464"/>
      <c r="AE288" s="465"/>
      <c r="AF288" s="388"/>
      <c r="AW288" s="471"/>
      <c r="AX288" s="471"/>
    </row>
    <row r="289" spans="1:50" ht="27" customHeight="1" x14ac:dyDescent="0.25">
      <c r="A289" s="462"/>
      <c r="H289" s="929"/>
      <c r="I289" s="388"/>
      <c r="J289" s="929"/>
      <c r="K289" s="388"/>
      <c r="L289" s="929"/>
      <c r="M289" s="388"/>
      <c r="N289" s="929"/>
      <c r="O289" s="388"/>
      <c r="P289" s="388"/>
      <c r="Q289" s="388"/>
      <c r="R289" s="465"/>
      <c r="S289" s="929"/>
      <c r="T289" s="466"/>
      <c r="U289" s="929"/>
      <c r="V289" s="929"/>
      <c r="W289" s="929"/>
      <c r="X289" s="474"/>
      <c r="Y289" s="474"/>
      <c r="Z289" s="474"/>
      <c r="AA289" s="474"/>
      <c r="AB289" s="474"/>
      <c r="AC289" s="388"/>
      <c r="AD289" s="464"/>
      <c r="AE289" s="465"/>
      <c r="AF289" s="388"/>
      <c r="AW289" s="471"/>
      <c r="AX289" s="471"/>
    </row>
    <row r="290" spans="1:50" ht="27" customHeight="1" x14ac:dyDescent="0.25">
      <c r="A290" s="462"/>
      <c r="H290" s="929"/>
      <c r="I290" s="388"/>
      <c r="J290" s="929"/>
      <c r="K290" s="388"/>
      <c r="L290" s="929"/>
      <c r="M290" s="388"/>
      <c r="N290" s="929"/>
      <c r="O290" s="388"/>
      <c r="P290" s="388"/>
      <c r="Q290" s="388"/>
      <c r="R290" s="465"/>
      <c r="S290" s="929"/>
      <c r="T290" s="466"/>
      <c r="U290" s="929"/>
      <c r="V290" s="929"/>
      <c r="W290" s="929"/>
      <c r="X290" s="474"/>
      <c r="Y290" s="474"/>
      <c r="Z290" s="474"/>
      <c r="AA290" s="474"/>
      <c r="AB290" s="474"/>
      <c r="AC290" s="388"/>
      <c r="AD290" s="464"/>
      <c r="AE290" s="465"/>
      <c r="AF290" s="388"/>
      <c r="AW290" s="471"/>
      <c r="AX290" s="471"/>
    </row>
    <row r="291" spans="1:50" ht="27" customHeight="1" x14ac:dyDescent="0.25">
      <c r="A291" s="462"/>
      <c r="H291" s="929"/>
      <c r="I291" s="388"/>
      <c r="J291" s="929"/>
      <c r="K291" s="388"/>
      <c r="L291" s="929"/>
      <c r="M291" s="388"/>
      <c r="N291" s="929"/>
      <c r="O291" s="388"/>
      <c r="P291" s="388"/>
      <c r="Q291" s="388"/>
      <c r="R291" s="465"/>
      <c r="S291" s="929"/>
      <c r="T291" s="466"/>
      <c r="U291" s="929"/>
      <c r="V291" s="929"/>
      <c r="W291" s="929"/>
      <c r="X291" s="474"/>
      <c r="Y291" s="474"/>
      <c r="Z291" s="474"/>
      <c r="AA291" s="474"/>
      <c r="AB291" s="474"/>
      <c r="AC291" s="388"/>
      <c r="AD291" s="464"/>
      <c r="AE291" s="465"/>
      <c r="AF291" s="388"/>
      <c r="AW291" s="471"/>
      <c r="AX291" s="471"/>
    </row>
    <row r="292" spans="1:50" ht="27" customHeight="1" x14ac:dyDescent="0.25">
      <c r="A292" s="462"/>
      <c r="H292" s="929"/>
      <c r="I292" s="388"/>
      <c r="J292" s="929"/>
      <c r="K292" s="388"/>
      <c r="L292" s="929"/>
      <c r="M292" s="388"/>
      <c r="N292" s="929"/>
      <c r="O292" s="388"/>
      <c r="P292" s="388"/>
      <c r="Q292" s="388"/>
      <c r="R292" s="465"/>
      <c r="S292" s="929"/>
      <c r="T292" s="466"/>
      <c r="U292" s="929"/>
      <c r="V292" s="929"/>
      <c r="W292" s="929"/>
      <c r="X292" s="474"/>
      <c r="Y292" s="474"/>
      <c r="Z292" s="474"/>
      <c r="AA292" s="474"/>
      <c r="AB292" s="474"/>
      <c r="AC292" s="388"/>
      <c r="AD292" s="464"/>
      <c r="AE292" s="465"/>
      <c r="AF292" s="388"/>
      <c r="AW292" s="471"/>
      <c r="AX292" s="471"/>
    </row>
    <row r="293" spans="1:50" ht="27" customHeight="1" x14ac:dyDescent="0.25">
      <c r="A293" s="462"/>
      <c r="H293" s="929"/>
      <c r="I293" s="388"/>
      <c r="J293" s="929"/>
      <c r="K293" s="388"/>
      <c r="L293" s="929"/>
      <c r="M293" s="388"/>
      <c r="N293" s="929"/>
      <c r="O293" s="388"/>
      <c r="P293" s="388"/>
      <c r="Q293" s="388"/>
      <c r="R293" s="465"/>
      <c r="S293" s="929"/>
      <c r="T293" s="466"/>
      <c r="U293" s="929"/>
      <c r="V293" s="929"/>
      <c r="W293" s="929"/>
      <c r="X293" s="474"/>
      <c r="Y293" s="474"/>
      <c r="Z293" s="474"/>
      <c r="AA293" s="474"/>
      <c r="AB293" s="474"/>
      <c r="AC293" s="388"/>
      <c r="AD293" s="464"/>
      <c r="AE293" s="465"/>
      <c r="AF293" s="388"/>
      <c r="AW293" s="471"/>
      <c r="AX293" s="471"/>
    </row>
    <row r="294" spans="1:50" ht="27" customHeight="1" x14ac:dyDescent="0.25">
      <c r="A294" s="462"/>
      <c r="H294" s="929"/>
      <c r="I294" s="388"/>
      <c r="J294" s="929"/>
      <c r="K294" s="388"/>
      <c r="L294" s="929"/>
      <c r="M294" s="388"/>
      <c r="N294" s="929"/>
      <c r="O294" s="388"/>
      <c r="P294" s="388"/>
      <c r="Q294" s="388"/>
      <c r="R294" s="465"/>
      <c r="S294" s="929"/>
      <c r="T294" s="466"/>
      <c r="U294" s="929"/>
      <c r="V294" s="929"/>
      <c r="W294" s="929"/>
      <c r="X294" s="474"/>
      <c r="Y294" s="474"/>
      <c r="Z294" s="474"/>
      <c r="AA294" s="474"/>
      <c r="AB294" s="474"/>
      <c r="AC294" s="388"/>
      <c r="AD294" s="464"/>
      <c r="AE294" s="465"/>
      <c r="AF294" s="388"/>
      <c r="AW294" s="471"/>
      <c r="AX294" s="471"/>
    </row>
    <row r="295" spans="1:50" ht="27" customHeight="1" x14ac:dyDescent="0.25">
      <c r="A295" s="462"/>
      <c r="H295" s="929"/>
      <c r="I295" s="388"/>
      <c r="J295" s="929"/>
      <c r="K295" s="388"/>
      <c r="L295" s="929"/>
      <c r="M295" s="388"/>
      <c r="N295" s="929"/>
      <c r="O295" s="388"/>
      <c r="P295" s="388"/>
      <c r="Q295" s="388"/>
      <c r="R295" s="465"/>
      <c r="S295" s="929"/>
      <c r="T295" s="466"/>
      <c r="U295" s="929"/>
      <c r="V295" s="929"/>
      <c r="W295" s="929"/>
      <c r="X295" s="474"/>
      <c r="Y295" s="474"/>
      <c r="Z295" s="474"/>
      <c r="AA295" s="474"/>
      <c r="AB295" s="474"/>
      <c r="AC295" s="388"/>
      <c r="AD295" s="464"/>
      <c r="AE295" s="465"/>
      <c r="AF295" s="388"/>
      <c r="AW295" s="471"/>
      <c r="AX295" s="471"/>
    </row>
    <row r="296" spans="1:50" ht="27" customHeight="1" x14ac:dyDescent="0.25">
      <c r="A296" s="462"/>
      <c r="H296" s="929"/>
      <c r="I296" s="388"/>
      <c r="J296" s="929"/>
      <c r="K296" s="388"/>
      <c r="L296" s="929"/>
      <c r="M296" s="388"/>
      <c r="N296" s="929"/>
      <c r="O296" s="388"/>
      <c r="P296" s="388"/>
      <c r="Q296" s="388"/>
      <c r="R296" s="465"/>
      <c r="S296" s="929"/>
      <c r="T296" s="466"/>
      <c r="U296" s="929"/>
      <c r="V296" s="929"/>
      <c r="W296" s="929"/>
      <c r="X296" s="474"/>
      <c r="Y296" s="474"/>
      <c r="Z296" s="474"/>
      <c r="AA296" s="474"/>
      <c r="AB296" s="474"/>
      <c r="AC296" s="388"/>
      <c r="AD296" s="464"/>
      <c r="AE296" s="465"/>
      <c r="AF296" s="388"/>
      <c r="AW296" s="471"/>
      <c r="AX296" s="471"/>
    </row>
    <row r="297" spans="1:50" ht="27" customHeight="1" x14ac:dyDescent="0.25">
      <c r="A297" s="462"/>
      <c r="H297" s="929"/>
      <c r="I297" s="388"/>
      <c r="J297" s="929"/>
      <c r="K297" s="388"/>
      <c r="L297" s="929"/>
      <c r="M297" s="388"/>
      <c r="N297" s="929"/>
      <c r="O297" s="388"/>
      <c r="P297" s="388"/>
      <c r="Q297" s="388"/>
      <c r="R297" s="465"/>
      <c r="S297" s="929"/>
      <c r="T297" s="466"/>
      <c r="U297" s="929"/>
      <c r="V297" s="929"/>
      <c r="W297" s="929"/>
      <c r="X297" s="474"/>
      <c r="Y297" s="474"/>
      <c r="Z297" s="474"/>
      <c r="AA297" s="474"/>
      <c r="AB297" s="474"/>
      <c r="AC297" s="388"/>
      <c r="AD297" s="464"/>
      <c r="AE297" s="465"/>
      <c r="AF297" s="388"/>
      <c r="AW297" s="471"/>
      <c r="AX297" s="471"/>
    </row>
    <row r="298" spans="1:50" ht="27" customHeight="1" x14ac:dyDescent="0.25">
      <c r="A298" s="462"/>
      <c r="H298" s="929"/>
      <c r="I298" s="388"/>
      <c r="J298" s="929"/>
      <c r="K298" s="388"/>
      <c r="L298" s="929"/>
      <c r="M298" s="388"/>
      <c r="N298" s="929"/>
      <c r="O298" s="388"/>
      <c r="P298" s="388"/>
      <c r="Q298" s="388"/>
      <c r="R298" s="465"/>
      <c r="S298" s="929"/>
      <c r="T298" s="466"/>
      <c r="U298" s="929"/>
      <c r="V298" s="929"/>
      <c r="W298" s="929"/>
      <c r="X298" s="474"/>
      <c r="Y298" s="474"/>
      <c r="Z298" s="474"/>
      <c r="AA298" s="474"/>
      <c r="AB298" s="474"/>
      <c r="AC298" s="388"/>
      <c r="AD298" s="464"/>
      <c r="AE298" s="465"/>
      <c r="AF298" s="388"/>
      <c r="AW298" s="471"/>
      <c r="AX298" s="471"/>
    </row>
    <row r="299" spans="1:50" ht="27" customHeight="1" x14ac:dyDescent="0.25">
      <c r="A299" s="462"/>
      <c r="H299" s="929"/>
      <c r="I299" s="388"/>
      <c r="J299" s="929"/>
      <c r="K299" s="388"/>
      <c r="L299" s="929"/>
      <c r="M299" s="388"/>
      <c r="N299" s="929"/>
      <c r="O299" s="388"/>
      <c r="P299" s="388"/>
      <c r="Q299" s="388"/>
      <c r="R299" s="465"/>
      <c r="S299" s="929"/>
      <c r="T299" s="466"/>
      <c r="U299" s="929"/>
      <c r="V299" s="929"/>
      <c r="W299" s="929"/>
      <c r="X299" s="474"/>
      <c r="Y299" s="474"/>
      <c r="Z299" s="474"/>
      <c r="AA299" s="474"/>
      <c r="AB299" s="474"/>
      <c r="AC299" s="388"/>
      <c r="AD299" s="464"/>
      <c r="AE299" s="465"/>
      <c r="AF299" s="388"/>
      <c r="AW299" s="471"/>
      <c r="AX299" s="471"/>
    </row>
    <row r="300" spans="1:50" ht="27" customHeight="1" x14ac:dyDescent="0.25">
      <c r="A300" s="462"/>
      <c r="H300" s="929"/>
      <c r="I300" s="388"/>
      <c r="J300" s="929"/>
      <c r="K300" s="388"/>
      <c r="L300" s="929"/>
      <c r="M300" s="388"/>
      <c r="N300" s="929"/>
      <c r="O300" s="388"/>
      <c r="P300" s="388"/>
      <c r="Q300" s="388"/>
      <c r="R300" s="465"/>
      <c r="S300" s="929"/>
      <c r="T300" s="466"/>
      <c r="U300" s="929"/>
      <c r="V300" s="929"/>
      <c r="W300" s="929"/>
      <c r="X300" s="474"/>
      <c r="Y300" s="474"/>
      <c r="Z300" s="474"/>
      <c r="AA300" s="474"/>
      <c r="AB300" s="474"/>
      <c r="AC300" s="388"/>
      <c r="AD300" s="464"/>
      <c r="AE300" s="465"/>
      <c r="AF300" s="388"/>
      <c r="AW300" s="471"/>
      <c r="AX300" s="471"/>
    </row>
    <row r="301" spans="1:50" ht="27" customHeight="1" x14ac:dyDescent="0.25">
      <c r="A301" s="462"/>
      <c r="H301" s="929"/>
      <c r="I301" s="388"/>
      <c r="J301" s="929"/>
      <c r="K301" s="388"/>
      <c r="L301" s="929"/>
      <c r="M301" s="388"/>
      <c r="N301" s="929"/>
      <c r="O301" s="388"/>
      <c r="P301" s="388"/>
      <c r="Q301" s="388"/>
      <c r="R301" s="465"/>
      <c r="S301" s="929"/>
      <c r="T301" s="466"/>
      <c r="U301" s="929"/>
      <c r="V301" s="929"/>
      <c r="W301" s="929"/>
      <c r="X301" s="474"/>
      <c r="Y301" s="474"/>
      <c r="Z301" s="474"/>
      <c r="AA301" s="474"/>
      <c r="AB301" s="474"/>
      <c r="AC301" s="388"/>
      <c r="AD301" s="464"/>
      <c r="AE301" s="465"/>
      <c r="AF301" s="388"/>
      <c r="AW301" s="471"/>
      <c r="AX301" s="471"/>
    </row>
    <row r="302" spans="1:50" ht="27" customHeight="1" x14ac:dyDescent="0.25">
      <c r="A302" s="462"/>
      <c r="H302" s="929"/>
      <c r="I302" s="388"/>
      <c r="J302" s="929"/>
      <c r="K302" s="388"/>
      <c r="L302" s="929"/>
      <c r="M302" s="388"/>
      <c r="N302" s="929"/>
      <c r="O302" s="388"/>
      <c r="P302" s="388"/>
      <c r="Q302" s="388"/>
      <c r="R302" s="465"/>
      <c r="S302" s="929"/>
      <c r="T302" s="466"/>
      <c r="U302" s="929"/>
      <c r="V302" s="929"/>
      <c r="W302" s="929"/>
      <c r="X302" s="474"/>
      <c r="Y302" s="474"/>
      <c r="Z302" s="474"/>
      <c r="AA302" s="474"/>
      <c r="AB302" s="474"/>
      <c r="AC302" s="388"/>
      <c r="AD302" s="464"/>
      <c r="AE302" s="465"/>
      <c r="AF302" s="388"/>
      <c r="AW302" s="471"/>
      <c r="AX302" s="471"/>
    </row>
    <row r="303" spans="1:50" ht="27" customHeight="1" x14ac:dyDescent="0.25">
      <c r="A303" s="462"/>
      <c r="H303" s="929"/>
      <c r="I303" s="388"/>
      <c r="J303" s="929"/>
      <c r="K303" s="388"/>
      <c r="L303" s="929"/>
      <c r="M303" s="388"/>
      <c r="N303" s="929"/>
      <c r="O303" s="388"/>
      <c r="P303" s="388"/>
      <c r="Q303" s="388"/>
      <c r="R303" s="465"/>
      <c r="S303" s="929"/>
      <c r="T303" s="466"/>
      <c r="U303" s="929"/>
      <c r="V303" s="929"/>
      <c r="W303" s="929"/>
      <c r="X303" s="474"/>
      <c r="Y303" s="474"/>
      <c r="Z303" s="474"/>
      <c r="AA303" s="474"/>
      <c r="AB303" s="474"/>
      <c r="AC303" s="388"/>
      <c r="AD303" s="464"/>
      <c r="AE303" s="465"/>
      <c r="AF303" s="388"/>
      <c r="AW303" s="471"/>
      <c r="AX303" s="471"/>
    </row>
    <row r="304" spans="1:50" ht="27" customHeight="1" x14ac:dyDescent="0.25">
      <c r="A304" s="462"/>
      <c r="H304" s="929"/>
      <c r="I304" s="388"/>
      <c r="J304" s="929"/>
      <c r="K304" s="388"/>
      <c r="L304" s="929"/>
      <c r="M304" s="388"/>
      <c r="N304" s="929"/>
      <c r="O304" s="388"/>
      <c r="P304" s="388"/>
      <c r="Q304" s="388"/>
      <c r="R304" s="465"/>
      <c r="S304" s="929"/>
      <c r="T304" s="466"/>
      <c r="U304" s="929"/>
      <c r="V304" s="929"/>
      <c r="W304" s="929"/>
      <c r="X304" s="474"/>
      <c r="Y304" s="474"/>
      <c r="Z304" s="474"/>
      <c r="AA304" s="474"/>
      <c r="AB304" s="474"/>
      <c r="AC304" s="388"/>
      <c r="AD304" s="464"/>
      <c r="AE304" s="465"/>
      <c r="AF304" s="388"/>
      <c r="AW304" s="471"/>
      <c r="AX304" s="471"/>
    </row>
    <row r="305" spans="1:50" ht="27" customHeight="1" x14ac:dyDescent="0.25">
      <c r="A305" s="462"/>
      <c r="H305" s="929"/>
      <c r="I305" s="388"/>
      <c r="J305" s="929"/>
      <c r="K305" s="388"/>
      <c r="L305" s="929"/>
      <c r="M305" s="388"/>
      <c r="N305" s="929"/>
      <c r="O305" s="388"/>
      <c r="P305" s="388"/>
      <c r="Q305" s="388"/>
      <c r="R305" s="465"/>
      <c r="S305" s="929"/>
      <c r="T305" s="466"/>
      <c r="U305" s="929"/>
      <c r="V305" s="929"/>
      <c r="W305" s="929"/>
      <c r="X305" s="474"/>
      <c r="Y305" s="474"/>
      <c r="Z305" s="474"/>
      <c r="AA305" s="474"/>
      <c r="AB305" s="474"/>
      <c r="AC305" s="388"/>
      <c r="AD305" s="464"/>
      <c r="AE305" s="465"/>
      <c r="AF305" s="388"/>
      <c r="AW305" s="471"/>
      <c r="AX305" s="471"/>
    </row>
    <row r="306" spans="1:50" ht="27" customHeight="1" x14ac:dyDescent="0.25">
      <c r="A306" s="462"/>
      <c r="H306" s="929"/>
      <c r="I306" s="388"/>
      <c r="J306" s="929"/>
      <c r="K306" s="388"/>
      <c r="L306" s="929"/>
      <c r="M306" s="388"/>
      <c r="N306" s="929"/>
      <c r="O306" s="388"/>
      <c r="P306" s="388"/>
      <c r="Q306" s="388"/>
      <c r="R306" s="465"/>
      <c r="S306" s="929"/>
      <c r="T306" s="466"/>
      <c r="U306" s="929"/>
      <c r="V306" s="929"/>
      <c r="W306" s="929"/>
      <c r="X306" s="474"/>
      <c r="Y306" s="474"/>
      <c r="Z306" s="474"/>
      <c r="AA306" s="474"/>
      <c r="AB306" s="474"/>
      <c r="AC306" s="388"/>
      <c r="AD306" s="464"/>
      <c r="AE306" s="465"/>
      <c r="AF306" s="388"/>
      <c r="AW306" s="471"/>
      <c r="AX306" s="471"/>
    </row>
    <row r="307" spans="1:50" ht="27" customHeight="1" x14ac:dyDescent="0.25">
      <c r="A307" s="462"/>
      <c r="H307" s="929"/>
      <c r="I307" s="388"/>
      <c r="J307" s="929"/>
      <c r="K307" s="388"/>
      <c r="L307" s="929"/>
      <c r="M307" s="388"/>
      <c r="N307" s="929"/>
      <c r="O307" s="388"/>
      <c r="P307" s="388"/>
      <c r="Q307" s="388"/>
      <c r="R307" s="465"/>
      <c r="S307" s="929"/>
      <c r="T307" s="466"/>
      <c r="U307" s="929"/>
      <c r="V307" s="929"/>
      <c r="W307" s="929"/>
      <c r="X307" s="474"/>
      <c r="Y307" s="474"/>
      <c r="Z307" s="474"/>
      <c r="AA307" s="474"/>
      <c r="AB307" s="474"/>
      <c r="AC307" s="388"/>
      <c r="AD307" s="464"/>
      <c r="AE307" s="465"/>
      <c r="AF307" s="388"/>
      <c r="AW307" s="471"/>
      <c r="AX307" s="471"/>
    </row>
    <row r="308" spans="1:50" ht="27" customHeight="1" x14ac:dyDescent="0.25">
      <c r="A308" s="462"/>
      <c r="H308" s="929"/>
      <c r="I308" s="388"/>
      <c r="J308" s="929"/>
      <c r="K308" s="388"/>
      <c r="L308" s="929"/>
      <c r="M308" s="388"/>
      <c r="N308" s="929"/>
      <c r="O308" s="388"/>
      <c r="P308" s="388"/>
      <c r="Q308" s="388"/>
      <c r="R308" s="465"/>
      <c r="S308" s="929"/>
      <c r="T308" s="466"/>
      <c r="U308" s="929"/>
      <c r="V308" s="929"/>
      <c r="W308" s="929"/>
      <c r="X308" s="474"/>
      <c r="Y308" s="474"/>
      <c r="Z308" s="474"/>
      <c r="AA308" s="474"/>
      <c r="AB308" s="474"/>
      <c r="AC308" s="388"/>
      <c r="AD308" s="464"/>
      <c r="AE308" s="465"/>
      <c r="AF308" s="388"/>
      <c r="AW308" s="471"/>
      <c r="AX308" s="471"/>
    </row>
    <row r="309" spans="1:50" ht="27" customHeight="1" x14ac:dyDescent="0.25">
      <c r="A309" s="462"/>
      <c r="H309" s="929"/>
      <c r="I309" s="388"/>
      <c r="J309" s="929"/>
      <c r="K309" s="388"/>
      <c r="L309" s="929"/>
      <c r="M309" s="388"/>
      <c r="N309" s="929"/>
      <c r="O309" s="388"/>
      <c r="P309" s="388"/>
      <c r="Q309" s="388"/>
      <c r="R309" s="465"/>
      <c r="S309" s="929"/>
      <c r="T309" s="466"/>
      <c r="U309" s="929"/>
      <c r="V309" s="929"/>
      <c r="W309" s="929"/>
      <c r="X309" s="474"/>
      <c r="Y309" s="474"/>
      <c r="Z309" s="474"/>
      <c r="AA309" s="474"/>
      <c r="AB309" s="474"/>
      <c r="AC309" s="388"/>
      <c r="AD309" s="464"/>
      <c r="AE309" s="465"/>
      <c r="AF309" s="388"/>
      <c r="AW309" s="471"/>
      <c r="AX309" s="471"/>
    </row>
    <row r="310" spans="1:50" ht="27" customHeight="1" x14ac:dyDescent="0.25">
      <c r="A310" s="462"/>
      <c r="H310" s="929"/>
      <c r="I310" s="388"/>
      <c r="J310" s="929"/>
      <c r="K310" s="388"/>
      <c r="L310" s="929"/>
      <c r="M310" s="388"/>
      <c r="N310" s="929"/>
      <c r="O310" s="388"/>
      <c r="P310" s="388"/>
      <c r="Q310" s="388"/>
      <c r="R310" s="465"/>
      <c r="S310" s="929"/>
      <c r="T310" s="466"/>
      <c r="U310" s="929"/>
      <c r="V310" s="929"/>
      <c r="W310" s="929"/>
      <c r="X310" s="474"/>
      <c r="Y310" s="474"/>
      <c r="Z310" s="474"/>
      <c r="AA310" s="474"/>
      <c r="AB310" s="474"/>
      <c r="AC310" s="388"/>
      <c r="AD310" s="464"/>
      <c r="AE310" s="465"/>
      <c r="AF310" s="388"/>
      <c r="AW310" s="471"/>
      <c r="AX310" s="471"/>
    </row>
    <row r="311" spans="1:50" ht="27" customHeight="1" x14ac:dyDescent="0.25">
      <c r="A311" s="462"/>
      <c r="H311" s="929"/>
      <c r="I311" s="388"/>
      <c r="J311" s="929"/>
      <c r="K311" s="388"/>
      <c r="L311" s="929"/>
      <c r="M311" s="388"/>
      <c r="N311" s="929"/>
      <c r="O311" s="388"/>
      <c r="P311" s="388"/>
      <c r="Q311" s="388"/>
      <c r="R311" s="465"/>
      <c r="S311" s="929"/>
      <c r="T311" s="466"/>
      <c r="U311" s="929"/>
      <c r="V311" s="929"/>
      <c r="W311" s="929"/>
      <c r="X311" s="474"/>
      <c r="Y311" s="474"/>
      <c r="Z311" s="474"/>
      <c r="AA311" s="474"/>
      <c r="AB311" s="474"/>
      <c r="AC311" s="388"/>
      <c r="AD311" s="464"/>
      <c r="AE311" s="465"/>
      <c r="AF311" s="388"/>
      <c r="AW311" s="471"/>
      <c r="AX311" s="471"/>
    </row>
    <row r="312" spans="1:50" ht="27" customHeight="1" x14ac:dyDescent="0.25">
      <c r="A312" s="462"/>
      <c r="H312" s="929"/>
      <c r="I312" s="388"/>
      <c r="J312" s="929"/>
      <c r="K312" s="388"/>
      <c r="L312" s="929"/>
      <c r="M312" s="388"/>
      <c r="N312" s="929"/>
      <c r="O312" s="388"/>
      <c r="P312" s="388"/>
      <c r="Q312" s="388"/>
      <c r="R312" s="465"/>
      <c r="S312" s="929"/>
      <c r="T312" s="466"/>
      <c r="U312" s="929"/>
      <c r="V312" s="929"/>
      <c r="W312" s="929"/>
      <c r="X312" s="474"/>
      <c r="Y312" s="474"/>
      <c r="Z312" s="474"/>
      <c r="AA312" s="474"/>
      <c r="AB312" s="474"/>
      <c r="AC312" s="388"/>
      <c r="AD312" s="464"/>
      <c r="AE312" s="465"/>
      <c r="AF312" s="388"/>
      <c r="AW312" s="471"/>
      <c r="AX312" s="471"/>
    </row>
    <row r="313" spans="1:50" ht="27" customHeight="1" x14ac:dyDescent="0.25">
      <c r="A313" s="462"/>
      <c r="H313" s="929"/>
      <c r="I313" s="388"/>
      <c r="J313" s="929"/>
      <c r="K313" s="388"/>
      <c r="L313" s="929"/>
      <c r="M313" s="388"/>
      <c r="N313" s="929"/>
      <c r="O313" s="388"/>
      <c r="P313" s="388"/>
      <c r="Q313" s="388"/>
      <c r="R313" s="465"/>
      <c r="S313" s="929"/>
      <c r="T313" s="466"/>
      <c r="U313" s="929"/>
      <c r="V313" s="929"/>
      <c r="W313" s="929"/>
      <c r="X313" s="474"/>
      <c r="Y313" s="474"/>
      <c r="Z313" s="474"/>
      <c r="AA313" s="474"/>
      <c r="AB313" s="474"/>
      <c r="AC313" s="388"/>
      <c r="AD313" s="464"/>
      <c r="AE313" s="465"/>
      <c r="AF313" s="388"/>
      <c r="AW313" s="471"/>
      <c r="AX313" s="471"/>
    </row>
    <row r="314" spans="1:50" ht="27" customHeight="1" x14ac:dyDescent="0.25">
      <c r="A314" s="462"/>
      <c r="H314" s="929"/>
      <c r="I314" s="388"/>
      <c r="J314" s="929"/>
      <c r="K314" s="388"/>
      <c r="L314" s="929"/>
      <c r="M314" s="388"/>
      <c r="N314" s="929"/>
      <c r="O314" s="388"/>
      <c r="P314" s="388"/>
      <c r="Q314" s="388"/>
      <c r="R314" s="465"/>
      <c r="S314" s="929"/>
      <c r="T314" s="466"/>
      <c r="U314" s="929"/>
      <c r="V314" s="929"/>
      <c r="W314" s="929"/>
      <c r="X314" s="474"/>
      <c r="Y314" s="474"/>
      <c r="Z314" s="474"/>
      <c r="AA314" s="474"/>
      <c r="AB314" s="474"/>
      <c r="AC314" s="388"/>
      <c r="AD314" s="464"/>
      <c r="AE314" s="465"/>
      <c r="AF314" s="388"/>
      <c r="AW314" s="471"/>
      <c r="AX314" s="471"/>
    </row>
    <row r="315" spans="1:50" ht="27" customHeight="1" x14ac:dyDescent="0.25">
      <c r="A315" s="462"/>
      <c r="H315" s="929"/>
      <c r="I315" s="388"/>
      <c r="J315" s="929"/>
      <c r="K315" s="388"/>
      <c r="L315" s="929"/>
      <c r="M315" s="388"/>
      <c r="N315" s="929"/>
      <c r="O315" s="388"/>
      <c r="P315" s="388"/>
      <c r="Q315" s="388"/>
      <c r="R315" s="465"/>
      <c r="S315" s="929"/>
      <c r="T315" s="466"/>
      <c r="U315" s="929"/>
      <c r="V315" s="929"/>
      <c r="W315" s="929"/>
      <c r="X315" s="474"/>
      <c r="Y315" s="474"/>
      <c r="Z315" s="474"/>
      <c r="AA315" s="474"/>
      <c r="AB315" s="474"/>
      <c r="AC315" s="388"/>
      <c r="AD315" s="464"/>
      <c r="AE315" s="465"/>
      <c r="AF315" s="388"/>
      <c r="AW315" s="471"/>
      <c r="AX315" s="471"/>
    </row>
    <row r="316" spans="1:50" ht="27" customHeight="1" x14ac:dyDescent="0.25">
      <c r="A316" s="462"/>
      <c r="H316" s="929"/>
      <c r="I316" s="388"/>
      <c r="J316" s="929"/>
      <c r="K316" s="388"/>
      <c r="L316" s="929"/>
      <c r="M316" s="388"/>
      <c r="N316" s="929"/>
      <c r="O316" s="388"/>
      <c r="P316" s="388"/>
      <c r="Q316" s="388"/>
      <c r="R316" s="465"/>
      <c r="S316" s="929"/>
      <c r="T316" s="466"/>
      <c r="U316" s="929"/>
      <c r="V316" s="929"/>
      <c r="W316" s="929"/>
      <c r="X316" s="474"/>
      <c r="Y316" s="474"/>
      <c r="Z316" s="474"/>
      <c r="AA316" s="474"/>
      <c r="AB316" s="474"/>
      <c r="AC316" s="388"/>
      <c r="AD316" s="464"/>
      <c r="AE316" s="465"/>
      <c r="AF316" s="388"/>
      <c r="AW316" s="471"/>
      <c r="AX316" s="471"/>
    </row>
    <row r="317" spans="1:50" ht="27" customHeight="1" x14ac:dyDescent="0.25">
      <c r="A317" s="462"/>
      <c r="H317" s="929"/>
      <c r="I317" s="388"/>
      <c r="J317" s="929"/>
      <c r="K317" s="388"/>
      <c r="L317" s="929"/>
      <c r="M317" s="388"/>
      <c r="N317" s="929"/>
      <c r="O317" s="388"/>
      <c r="P317" s="388"/>
      <c r="Q317" s="388"/>
      <c r="R317" s="465"/>
      <c r="S317" s="929"/>
      <c r="T317" s="466"/>
      <c r="U317" s="929"/>
      <c r="V317" s="929"/>
      <c r="W317" s="929"/>
      <c r="X317" s="474"/>
      <c r="Y317" s="474"/>
      <c r="Z317" s="474"/>
      <c r="AA317" s="474"/>
      <c r="AB317" s="474"/>
      <c r="AC317" s="388"/>
      <c r="AD317" s="464"/>
      <c r="AE317" s="465"/>
      <c r="AF317" s="388"/>
      <c r="AW317" s="471"/>
      <c r="AX317" s="471"/>
    </row>
    <row r="318" spans="1:50" ht="27" customHeight="1" x14ac:dyDescent="0.25">
      <c r="A318" s="462"/>
      <c r="H318" s="929"/>
      <c r="I318" s="388"/>
      <c r="J318" s="929"/>
      <c r="K318" s="388"/>
      <c r="L318" s="929"/>
      <c r="M318" s="388"/>
      <c r="N318" s="929"/>
      <c r="O318" s="388"/>
      <c r="P318" s="388"/>
      <c r="Q318" s="388"/>
      <c r="R318" s="465"/>
      <c r="S318" s="929"/>
      <c r="T318" s="466"/>
      <c r="U318" s="929"/>
      <c r="V318" s="929"/>
      <c r="W318" s="929"/>
      <c r="X318" s="474"/>
      <c r="Y318" s="474"/>
      <c r="Z318" s="474"/>
      <c r="AA318" s="474"/>
      <c r="AB318" s="474"/>
      <c r="AC318" s="388"/>
      <c r="AD318" s="464"/>
      <c r="AE318" s="465"/>
      <c r="AF318" s="388"/>
      <c r="AW318" s="471"/>
      <c r="AX318" s="471"/>
    </row>
    <row r="319" spans="1:50" ht="27" customHeight="1" x14ac:dyDescent="0.25">
      <c r="A319" s="462"/>
      <c r="H319" s="929"/>
      <c r="I319" s="388"/>
      <c r="J319" s="929"/>
      <c r="K319" s="388"/>
      <c r="L319" s="929"/>
      <c r="M319" s="388"/>
      <c r="N319" s="929"/>
      <c r="O319" s="388"/>
      <c r="P319" s="388"/>
      <c r="Q319" s="388"/>
      <c r="R319" s="465"/>
      <c r="S319" s="929"/>
      <c r="T319" s="466"/>
      <c r="U319" s="929"/>
      <c r="V319" s="929"/>
      <c r="W319" s="929"/>
      <c r="X319" s="474"/>
      <c r="Y319" s="474"/>
      <c r="Z319" s="474"/>
      <c r="AA319" s="474"/>
      <c r="AB319" s="474"/>
      <c r="AC319" s="388"/>
      <c r="AD319" s="464"/>
      <c r="AE319" s="465"/>
      <c r="AF319" s="388"/>
      <c r="AW319" s="471"/>
      <c r="AX319" s="471"/>
    </row>
    <row r="320" spans="1:50" ht="27" customHeight="1" x14ac:dyDescent="0.25">
      <c r="A320" s="462"/>
      <c r="H320" s="929"/>
      <c r="I320" s="388"/>
      <c r="J320" s="929"/>
      <c r="K320" s="388"/>
      <c r="L320" s="929"/>
      <c r="M320" s="388"/>
      <c r="N320" s="929"/>
      <c r="O320" s="388"/>
      <c r="P320" s="388"/>
      <c r="Q320" s="388"/>
      <c r="R320" s="465"/>
      <c r="S320" s="929"/>
      <c r="T320" s="466"/>
      <c r="U320" s="929"/>
      <c r="V320" s="929"/>
      <c r="W320" s="929"/>
      <c r="X320" s="474"/>
      <c r="Y320" s="474"/>
      <c r="Z320" s="474"/>
      <c r="AA320" s="474"/>
      <c r="AB320" s="474"/>
      <c r="AC320" s="388"/>
      <c r="AD320" s="464"/>
      <c r="AE320" s="465"/>
      <c r="AF320" s="388"/>
      <c r="AW320" s="471"/>
      <c r="AX320" s="471"/>
    </row>
    <row r="321" spans="1:50" ht="27" customHeight="1" x14ac:dyDescent="0.25">
      <c r="A321" s="462"/>
      <c r="H321" s="929"/>
      <c r="I321" s="388"/>
      <c r="J321" s="929"/>
      <c r="K321" s="388"/>
      <c r="L321" s="929"/>
      <c r="M321" s="388"/>
      <c r="N321" s="929"/>
      <c r="O321" s="388"/>
      <c r="P321" s="388"/>
      <c r="Q321" s="388"/>
      <c r="R321" s="465"/>
      <c r="S321" s="929"/>
      <c r="T321" s="466"/>
      <c r="U321" s="929"/>
      <c r="V321" s="929"/>
      <c r="W321" s="929"/>
      <c r="X321" s="474"/>
      <c r="Y321" s="474"/>
      <c r="Z321" s="474"/>
      <c r="AA321" s="474"/>
      <c r="AB321" s="474"/>
      <c r="AC321" s="388"/>
      <c r="AD321" s="464"/>
      <c r="AE321" s="465"/>
      <c r="AF321" s="388"/>
      <c r="AW321" s="471"/>
      <c r="AX321" s="471"/>
    </row>
    <row r="322" spans="1:50" ht="27" customHeight="1" x14ac:dyDescent="0.25">
      <c r="A322" s="462"/>
      <c r="H322" s="929"/>
      <c r="I322" s="388"/>
      <c r="J322" s="929"/>
      <c r="K322" s="388"/>
      <c r="L322" s="929"/>
      <c r="M322" s="388"/>
      <c r="N322" s="929"/>
      <c r="O322" s="388"/>
      <c r="P322" s="388"/>
      <c r="Q322" s="388"/>
      <c r="R322" s="465"/>
      <c r="S322" s="929"/>
      <c r="T322" s="466"/>
      <c r="U322" s="929"/>
      <c r="V322" s="929"/>
      <c r="W322" s="929"/>
      <c r="X322" s="474"/>
      <c r="Y322" s="474"/>
      <c r="Z322" s="474"/>
      <c r="AA322" s="474"/>
      <c r="AB322" s="474"/>
      <c r="AC322" s="388"/>
      <c r="AD322" s="464"/>
      <c r="AE322" s="465"/>
      <c r="AF322" s="388"/>
      <c r="AW322" s="471"/>
      <c r="AX322" s="471"/>
    </row>
    <row r="323" spans="1:50" ht="27" customHeight="1" x14ac:dyDescent="0.25">
      <c r="A323" s="462"/>
      <c r="H323" s="929"/>
      <c r="I323" s="388"/>
      <c r="J323" s="929"/>
      <c r="K323" s="388"/>
      <c r="L323" s="929"/>
      <c r="M323" s="388"/>
      <c r="N323" s="929"/>
      <c r="O323" s="388"/>
      <c r="P323" s="388"/>
      <c r="Q323" s="388"/>
      <c r="R323" s="465"/>
      <c r="S323" s="929"/>
      <c r="T323" s="466"/>
      <c r="U323" s="929"/>
      <c r="V323" s="929"/>
      <c r="W323" s="929"/>
      <c r="X323" s="474"/>
      <c r="Y323" s="474"/>
      <c r="Z323" s="474"/>
      <c r="AA323" s="474"/>
      <c r="AB323" s="474"/>
      <c r="AC323" s="388"/>
      <c r="AD323" s="464"/>
      <c r="AE323" s="465"/>
      <c r="AF323" s="388"/>
      <c r="AW323" s="471"/>
      <c r="AX323" s="471"/>
    </row>
    <row r="324" spans="1:50" ht="27" customHeight="1" x14ac:dyDescent="0.25">
      <c r="A324" s="462"/>
      <c r="H324" s="929"/>
      <c r="I324" s="388"/>
      <c r="J324" s="929"/>
      <c r="K324" s="388"/>
      <c r="L324" s="929"/>
      <c r="M324" s="388"/>
      <c r="N324" s="929"/>
      <c r="O324" s="388"/>
      <c r="P324" s="388"/>
      <c r="Q324" s="388"/>
      <c r="R324" s="465"/>
      <c r="S324" s="929"/>
      <c r="T324" s="466"/>
      <c r="U324" s="929"/>
      <c r="V324" s="929"/>
      <c r="W324" s="929"/>
      <c r="X324" s="474"/>
      <c r="Y324" s="474"/>
      <c r="Z324" s="474"/>
      <c r="AA324" s="474"/>
      <c r="AB324" s="474"/>
      <c r="AC324" s="388"/>
      <c r="AD324" s="464"/>
      <c r="AE324" s="465"/>
      <c r="AF324" s="388"/>
      <c r="AW324" s="471"/>
      <c r="AX324" s="471"/>
    </row>
    <row r="325" spans="1:50" ht="27" customHeight="1" x14ac:dyDescent="0.25">
      <c r="A325" s="462"/>
      <c r="H325" s="929"/>
      <c r="I325" s="388"/>
      <c r="J325" s="929"/>
      <c r="K325" s="388"/>
      <c r="L325" s="929"/>
      <c r="M325" s="388"/>
      <c r="N325" s="929"/>
      <c r="O325" s="388"/>
      <c r="P325" s="388"/>
      <c r="Q325" s="388"/>
      <c r="R325" s="465"/>
      <c r="S325" s="929"/>
      <c r="T325" s="466"/>
      <c r="U325" s="929"/>
      <c r="V325" s="929"/>
      <c r="W325" s="929"/>
      <c r="X325" s="474"/>
      <c r="Y325" s="474"/>
      <c r="Z325" s="474"/>
      <c r="AA325" s="474"/>
      <c r="AB325" s="474"/>
      <c r="AC325" s="388"/>
      <c r="AD325" s="464"/>
      <c r="AE325" s="465"/>
      <c r="AF325" s="388"/>
      <c r="AW325" s="471"/>
      <c r="AX325" s="471"/>
    </row>
    <row r="326" spans="1:50" ht="27" customHeight="1" x14ac:dyDescent="0.25">
      <c r="A326" s="462"/>
      <c r="H326" s="929"/>
      <c r="I326" s="388"/>
      <c r="J326" s="929"/>
      <c r="K326" s="388"/>
      <c r="L326" s="929"/>
      <c r="M326" s="388"/>
      <c r="N326" s="929"/>
      <c r="O326" s="388"/>
      <c r="P326" s="388"/>
      <c r="Q326" s="388"/>
      <c r="R326" s="465"/>
      <c r="S326" s="929"/>
      <c r="T326" s="466"/>
      <c r="U326" s="929"/>
      <c r="V326" s="929"/>
      <c r="W326" s="929"/>
      <c r="X326" s="474"/>
      <c r="Y326" s="474"/>
      <c r="Z326" s="474"/>
      <c r="AA326" s="474"/>
      <c r="AB326" s="474"/>
      <c r="AC326" s="388"/>
      <c r="AD326" s="464"/>
      <c r="AE326" s="465"/>
      <c r="AF326" s="388"/>
      <c r="AW326" s="471"/>
      <c r="AX326" s="471"/>
    </row>
    <row r="327" spans="1:50" ht="27" customHeight="1" x14ac:dyDescent="0.25">
      <c r="A327" s="462"/>
      <c r="H327" s="929"/>
      <c r="I327" s="388"/>
      <c r="J327" s="929"/>
      <c r="K327" s="388"/>
      <c r="L327" s="929"/>
      <c r="M327" s="388"/>
      <c r="N327" s="929"/>
      <c r="O327" s="388"/>
      <c r="P327" s="388"/>
      <c r="Q327" s="388"/>
      <c r="R327" s="465"/>
      <c r="S327" s="929"/>
      <c r="T327" s="466"/>
      <c r="U327" s="929"/>
      <c r="V327" s="929"/>
      <c r="W327" s="929"/>
      <c r="X327" s="474"/>
      <c r="Y327" s="474"/>
      <c r="Z327" s="474"/>
      <c r="AA327" s="474"/>
      <c r="AB327" s="474"/>
      <c r="AC327" s="388"/>
      <c r="AD327" s="464"/>
      <c r="AE327" s="465"/>
      <c r="AF327" s="388"/>
      <c r="AW327" s="471"/>
      <c r="AX327" s="471"/>
    </row>
    <row r="328" spans="1:50" ht="27" customHeight="1" x14ac:dyDescent="0.25">
      <c r="A328" s="462"/>
      <c r="H328" s="929"/>
      <c r="I328" s="388"/>
      <c r="J328" s="929"/>
      <c r="K328" s="388"/>
      <c r="L328" s="929"/>
      <c r="M328" s="388"/>
      <c r="N328" s="929"/>
      <c r="O328" s="388"/>
      <c r="P328" s="388"/>
      <c r="Q328" s="388"/>
      <c r="R328" s="465"/>
      <c r="S328" s="929"/>
      <c r="T328" s="466"/>
      <c r="U328" s="929"/>
      <c r="V328" s="929"/>
      <c r="W328" s="929"/>
      <c r="X328" s="474"/>
      <c r="Y328" s="474"/>
      <c r="Z328" s="474"/>
      <c r="AA328" s="474"/>
      <c r="AB328" s="474"/>
      <c r="AC328" s="388"/>
      <c r="AD328" s="464"/>
      <c r="AE328" s="465"/>
      <c r="AF328" s="388"/>
      <c r="AW328" s="471"/>
      <c r="AX328" s="471"/>
    </row>
    <row r="329" spans="1:50" ht="27" customHeight="1" x14ac:dyDescent="0.25">
      <c r="A329" s="462"/>
      <c r="H329" s="929"/>
      <c r="I329" s="388"/>
      <c r="J329" s="929"/>
      <c r="K329" s="388"/>
      <c r="L329" s="929"/>
      <c r="M329" s="388"/>
      <c r="N329" s="929"/>
      <c r="O329" s="388"/>
      <c r="P329" s="388"/>
      <c r="Q329" s="388"/>
      <c r="R329" s="465"/>
      <c r="S329" s="929"/>
      <c r="T329" s="466"/>
      <c r="U329" s="929"/>
      <c r="V329" s="929"/>
      <c r="W329" s="929"/>
      <c r="X329" s="474"/>
      <c r="Y329" s="474"/>
      <c r="Z329" s="474"/>
      <c r="AA329" s="474"/>
      <c r="AB329" s="474"/>
      <c r="AC329" s="388"/>
      <c r="AD329" s="464"/>
      <c r="AE329" s="465"/>
      <c r="AF329" s="388"/>
      <c r="AW329" s="471"/>
      <c r="AX329" s="471"/>
    </row>
    <row r="330" spans="1:50" ht="27" customHeight="1" x14ac:dyDescent="0.25">
      <c r="A330" s="462"/>
      <c r="H330" s="929"/>
      <c r="I330" s="388"/>
      <c r="J330" s="929"/>
      <c r="K330" s="388"/>
      <c r="L330" s="929"/>
      <c r="M330" s="388"/>
      <c r="N330" s="929"/>
      <c r="O330" s="388"/>
      <c r="P330" s="388"/>
      <c r="Q330" s="388"/>
      <c r="R330" s="465"/>
      <c r="S330" s="929"/>
      <c r="T330" s="466"/>
      <c r="U330" s="929"/>
      <c r="V330" s="929"/>
      <c r="W330" s="929"/>
      <c r="X330" s="474"/>
      <c r="Y330" s="474"/>
      <c r="Z330" s="474"/>
      <c r="AA330" s="474"/>
      <c r="AB330" s="474"/>
      <c r="AC330" s="388"/>
      <c r="AD330" s="464"/>
      <c r="AE330" s="465"/>
      <c r="AF330" s="388"/>
      <c r="AW330" s="471"/>
      <c r="AX330" s="471"/>
    </row>
    <row r="331" spans="1:50" ht="27" customHeight="1" x14ac:dyDescent="0.25">
      <c r="A331" s="462"/>
      <c r="H331" s="929"/>
      <c r="I331" s="388"/>
      <c r="J331" s="929"/>
      <c r="K331" s="388"/>
      <c r="L331" s="929"/>
      <c r="M331" s="388"/>
      <c r="N331" s="929"/>
      <c r="O331" s="388"/>
      <c r="P331" s="388"/>
      <c r="Q331" s="388"/>
      <c r="R331" s="465"/>
      <c r="S331" s="929"/>
      <c r="T331" s="466"/>
      <c r="U331" s="929"/>
      <c r="V331" s="929"/>
      <c r="W331" s="929"/>
      <c r="X331" s="474"/>
      <c r="Y331" s="474"/>
      <c r="Z331" s="474"/>
      <c r="AA331" s="474"/>
      <c r="AB331" s="474"/>
      <c r="AC331" s="388"/>
      <c r="AD331" s="464"/>
      <c r="AE331" s="465"/>
      <c r="AF331" s="388"/>
      <c r="AW331" s="471"/>
      <c r="AX331" s="471"/>
    </row>
    <row r="332" spans="1:50" ht="27" customHeight="1" x14ac:dyDescent="0.25">
      <c r="A332" s="462"/>
      <c r="H332" s="929"/>
      <c r="I332" s="388"/>
      <c r="J332" s="929"/>
      <c r="K332" s="388"/>
      <c r="L332" s="929"/>
      <c r="M332" s="388"/>
      <c r="N332" s="929"/>
      <c r="O332" s="388"/>
      <c r="P332" s="388"/>
      <c r="Q332" s="388"/>
      <c r="R332" s="465"/>
      <c r="S332" s="929"/>
      <c r="T332" s="466"/>
      <c r="U332" s="929"/>
      <c r="V332" s="929"/>
      <c r="W332" s="929"/>
      <c r="X332" s="474"/>
      <c r="Y332" s="474"/>
      <c r="Z332" s="474"/>
      <c r="AA332" s="474"/>
      <c r="AB332" s="474"/>
      <c r="AC332" s="388"/>
      <c r="AD332" s="464"/>
      <c r="AE332" s="465"/>
      <c r="AF332" s="388"/>
      <c r="AW332" s="471"/>
      <c r="AX332" s="471"/>
    </row>
    <row r="333" spans="1:50" ht="27" customHeight="1" x14ac:dyDescent="0.25">
      <c r="A333" s="462"/>
      <c r="H333" s="929"/>
      <c r="I333" s="388"/>
      <c r="J333" s="929"/>
      <c r="K333" s="388"/>
      <c r="L333" s="929"/>
      <c r="M333" s="388"/>
      <c r="N333" s="929"/>
      <c r="O333" s="388"/>
      <c r="P333" s="388"/>
      <c r="Q333" s="388"/>
      <c r="R333" s="465"/>
      <c r="S333" s="929"/>
      <c r="T333" s="466"/>
      <c r="U333" s="929"/>
      <c r="V333" s="929"/>
      <c r="W333" s="929"/>
      <c r="X333" s="474"/>
      <c r="Y333" s="474"/>
      <c r="Z333" s="474"/>
      <c r="AA333" s="474"/>
      <c r="AB333" s="474"/>
      <c r="AC333" s="388"/>
      <c r="AD333" s="464"/>
      <c r="AE333" s="465"/>
      <c r="AF333" s="388"/>
      <c r="AW333" s="471"/>
      <c r="AX333" s="471"/>
    </row>
    <row r="334" spans="1:50" ht="27" customHeight="1" x14ac:dyDescent="0.25">
      <c r="A334" s="462"/>
      <c r="H334" s="929"/>
      <c r="I334" s="388"/>
      <c r="J334" s="929"/>
      <c r="K334" s="388"/>
      <c r="L334" s="929"/>
      <c r="M334" s="388"/>
      <c r="N334" s="929"/>
      <c r="O334" s="388"/>
      <c r="P334" s="388"/>
      <c r="Q334" s="388"/>
      <c r="R334" s="465"/>
      <c r="S334" s="929"/>
      <c r="T334" s="466"/>
      <c r="U334" s="929"/>
      <c r="V334" s="929"/>
      <c r="W334" s="929"/>
      <c r="X334" s="474"/>
      <c r="Y334" s="474"/>
      <c r="Z334" s="474"/>
      <c r="AA334" s="474"/>
      <c r="AB334" s="474"/>
      <c r="AC334" s="388"/>
      <c r="AD334" s="464"/>
      <c r="AE334" s="465"/>
      <c r="AF334" s="388"/>
      <c r="AW334" s="471"/>
      <c r="AX334" s="471"/>
    </row>
    <row r="335" spans="1:50" ht="27" customHeight="1" x14ac:dyDescent="0.25">
      <c r="A335" s="462"/>
      <c r="H335" s="929"/>
      <c r="I335" s="388"/>
      <c r="J335" s="929"/>
      <c r="K335" s="388"/>
      <c r="L335" s="929"/>
      <c r="M335" s="388"/>
      <c r="N335" s="929"/>
      <c r="O335" s="388"/>
      <c r="P335" s="388"/>
      <c r="Q335" s="388"/>
      <c r="R335" s="465"/>
      <c r="S335" s="929"/>
      <c r="T335" s="466"/>
      <c r="U335" s="929"/>
      <c r="V335" s="929"/>
      <c r="W335" s="929"/>
      <c r="X335" s="474"/>
      <c r="Y335" s="474"/>
      <c r="Z335" s="474"/>
      <c r="AA335" s="474"/>
      <c r="AB335" s="474"/>
      <c r="AC335" s="388"/>
      <c r="AD335" s="464"/>
      <c r="AE335" s="465"/>
      <c r="AF335" s="388"/>
      <c r="AW335" s="471"/>
      <c r="AX335" s="471"/>
    </row>
    <row r="336" spans="1:50" ht="27" customHeight="1" x14ac:dyDescent="0.25">
      <c r="A336" s="462"/>
      <c r="H336" s="929"/>
      <c r="I336" s="388"/>
      <c r="J336" s="929"/>
      <c r="K336" s="388"/>
      <c r="L336" s="929"/>
      <c r="M336" s="388"/>
      <c r="N336" s="929"/>
      <c r="O336" s="388"/>
      <c r="P336" s="388"/>
      <c r="Q336" s="388"/>
      <c r="R336" s="465"/>
      <c r="S336" s="929"/>
      <c r="T336" s="466"/>
      <c r="U336" s="929"/>
      <c r="V336" s="929"/>
      <c r="W336" s="929"/>
      <c r="X336" s="474"/>
      <c r="Y336" s="474"/>
      <c r="Z336" s="474"/>
      <c r="AA336" s="474"/>
      <c r="AB336" s="474"/>
      <c r="AC336" s="388"/>
      <c r="AD336" s="464"/>
      <c r="AE336" s="465"/>
      <c r="AF336" s="388"/>
      <c r="AW336" s="471"/>
      <c r="AX336" s="471"/>
    </row>
    <row r="337" spans="1:50" ht="27" customHeight="1" x14ac:dyDescent="0.25">
      <c r="A337" s="462"/>
      <c r="H337" s="929"/>
      <c r="I337" s="388"/>
      <c r="J337" s="929"/>
      <c r="K337" s="388"/>
      <c r="L337" s="929"/>
      <c r="M337" s="388"/>
      <c r="N337" s="929"/>
      <c r="O337" s="388"/>
      <c r="P337" s="388"/>
      <c r="Q337" s="388"/>
      <c r="R337" s="465"/>
      <c r="S337" s="929"/>
      <c r="T337" s="466"/>
      <c r="U337" s="929"/>
      <c r="V337" s="929"/>
      <c r="W337" s="929"/>
      <c r="X337" s="474"/>
      <c r="Y337" s="474"/>
      <c r="Z337" s="474"/>
      <c r="AA337" s="474"/>
      <c r="AB337" s="474"/>
      <c r="AC337" s="388"/>
      <c r="AD337" s="464"/>
      <c r="AE337" s="465"/>
      <c r="AF337" s="388"/>
      <c r="AW337" s="471"/>
      <c r="AX337" s="471"/>
    </row>
    <row r="338" spans="1:50" ht="27" customHeight="1" x14ac:dyDescent="0.25">
      <c r="A338" s="462"/>
      <c r="H338" s="929"/>
      <c r="I338" s="388"/>
      <c r="J338" s="929"/>
      <c r="K338" s="388"/>
      <c r="L338" s="929"/>
      <c r="M338" s="388"/>
      <c r="N338" s="929"/>
      <c r="O338" s="388"/>
      <c r="P338" s="388"/>
      <c r="Q338" s="388"/>
      <c r="R338" s="465"/>
      <c r="S338" s="929"/>
      <c r="T338" s="466"/>
      <c r="U338" s="929"/>
      <c r="V338" s="929"/>
      <c r="W338" s="929"/>
      <c r="X338" s="474"/>
      <c r="Y338" s="474"/>
      <c r="Z338" s="474"/>
      <c r="AA338" s="474"/>
      <c r="AB338" s="474"/>
      <c r="AC338" s="388"/>
      <c r="AD338" s="464"/>
      <c r="AE338" s="465"/>
      <c r="AF338" s="388"/>
      <c r="AW338" s="471"/>
      <c r="AX338" s="471"/>
    </row>
    <row r="339" spans="1:50" ht="27" customHeight="1" x14ac:dyDescent="0.25">
      <c r="A339" s="462"/>
      <c r="H339" s="929"/>
      <c r="I339" s="388"/>
      <c r="J339" s="929"/>
      <c r="K339" s="388"/>
      <c r="L339" s="929"/>
      <c r="M339" s="388"/>
      <c r="N339" s="929"/>
      <c r="O339" s="388"/>
      <c r="P339" s="388"/>
      <c r="Q339" s="388"/>
      <c r="R339" s="465"/>
      <c r="S339" s="929"/>
      <c r="T339" s="466"/>
      <c r="U339" s="929"/>
      <c r="V339" s="929"/>
      <c r="W339" s="929"/>
      <c r="X339" s="474"/>
      <c r="Y339" s="474"/>
      <c r="Z339" s="474"/>
      <c r="AA339" s="474"/>
      <c r="AB339" s="474"/>
      <c r="AC339" s="388"/>
      <c r="AD339" s="464"/>
      <c r="AE339" s="465"/>
      <c r="AF339" s="388"/>
      <c r="AW339" s="471"/>
      <c r="AX339" s="471"/>
    </row>
    <row r="340" spans="1:50" ht="27" customHeight="1" x14ac:dyDescent="0.25">
      <c r="A340" s="462"/>
      <c r="H340" s="929"/>
      <c r="I340" s="388"/>
      <c r="J340" s="929"/>
      <c r="K340" s="388"/>
      <c r="L340" s="929"/>
      <c r="M340" s="388"/>
      <c r="N340" s="929"/>
      <c r="O340" s="388"/>
      <c r="P340" s="388"/>
      <c r="Q340" s="388"/>
      <c r="R340" s="465"/>
      <c r="S340" s="929"/>
      <c r="T340" s="466"/>
      <c r="U340" s="929"/>
      <c r="V340" s="929"/>
      <c r="W340" s="929"/>
      <c r="X340" s="474"/>
      <c r="Y340" s="474"/>
      <c r="Z340" s="474"/>
      <c r="AA340" s="474"/>
      <c r="AB340" s="474"/>
      <c r="AC340" s="388"/>
      <c r="AD340" s="464"/>
      <c r="AE340" s="465"/>
      <c r="AF340" s="388"/>
      <c r="AW340" s="471"/>
      <c r="AX340" s="471"/>
    </row>
    <row r="341" spans="1:50" ht="27" customHeight="1" x14ac:dyDescent="0.25">
      <c r="A341" s="462"/>
      <c r="H341" s="929"/>
      <c r="I341" s="388"/>
      <c r="J341" s="929"/>
      <c r="K341" s="388"/>
      <c r="L341" s="929"/>
      <c r="M341" s="388"/>
      <c r="N341" s="929"/>
      <c r="O341" s="388"/>
      <c r="P341" s="388"/>
      <c r="Q341" s="388"/>
      <c r="R341" s="465"/>
      <c r="S341" s="929"/>
      <c r="T341" s="466"/>
      <c r="U341" s="929"/>
      <c r="V341" s="929"/>
      <c r="W341" s="929"/>
      <c r="X341" s="474"/>
      <c r="Y341" s="474"/>
      <c r="Z341" s="474"/>
      <c r="AA341" s="474"/>
      <c r="AB341" s="474"/>
      <c r="AC341" s="388"/>
      <c r="AD341" s="464"/>
      <c r="AE341" s="465"/>
      <c r="AF341" s="388"/>
      <c r="AW341" s="471"/>
      <c r="AX341" s="471"/>
    </row>
    <row r="342" spans="1:50" ht="27" customHeight="1" x14ac:dyDescent="0.25">
      <c r="A342" s="462"/>
      <c r="H342" s="929"/>
      <c r="I342" s="388"/>
      <c r="J342" s="929"/>
      <c r="K342" s="388"/>
      <c r="L342" s="929"/>
      <c r="M342" s="388"/>
      <c r="N342" s="929"/>
      <c r="O342" s="388"/>
      <c r="P342" s="388"/>
      <c r="Q342" s="388"/>
      <c r="R342" s="465"/>
      <c r="S342" s="929"/>
      <c r="T342" s="466"/>
      <c r="U342" s="929"/>
      <c r="V342" s="929"/>
      <c r="W342" s="929"/>
      <c r="X342" s="474"/>
      <c r="Y342" s="474"/>
      <c r="Z342" s="474"/>
      <c r="AA342" s="474"/>
      <c r="AB342" s="474"/>
      <c r="AC342" s="388"/>
      <c r="AD342" s="464"/>
      <c r="AE342" s="465"/>
      <c r="AF342" s="388"/>
      <c r="AW342" s="471"/>
      <c r="AX342" s="471"/>
    </row>
    <row r="343" spans="1:50" ht="27" customHeight="1" x14ac:dyDescent="0.25">
      <c r="A343" s="462"/>
      <c r="H343" s="929"/>
      <c r="I343" s="388"/>
      <c r="J343" s="929"/>
      <c r="K343" s="388"/>
      <c r="L343" s="929"/>
      <c r="M343" s="388"/>
      <c r="N343" s="929"/>
      <c r="O343" s="388"/>
      <c r="P343" s="388"/>
      <c r="Q343" s="388"/>
      <c r="R343" s="465"/>
      <c r="S343" s="929"/>
      <c r="T343" s="466"/>
      <c r="U343" s="929"/>
      <c r="V343" s="929"/>
      <c r="W343" s="929"/>
      <c r="X343" s="474"/>
      <c r="Y343" s="474"/>
      <c r="Z343" s="474"/>
      <c r="AA343" s="474"/>
      <c r="AB343" s="474"/>
      <c r="AC343" s="388"/>
      <c r="AD343" s="464"/>
      <c r="AE343" s="465"/>
      <c r="AF343" s="388"/>
      <c r="AW343" s="471"/>
      <c r="AX343" s="471"/>
    </row>
    <row r="344" spans="1:50" ht="27" customHeight="1" x14ac:dyDescent="0.25">
      <c r="A344" s="462"/>
      <c r="H344" s="929"/>
      <c r="I344" s="388"/>
      <c r="J344" s="929"/>
      <c r="K344" s="388"/>
      <c r="L344" s="929"/>
      <c r="M344" s="388"/>
      <c r="N344" s="929"/>
      <c r="O344" s="388"/>
      <c r="P344" s="388"/>
      <c r="Q344" s="388"/>
      <c r="R344" s="465"/>
      <c r="S344" s="929"/>
      <c r="T344" s="466"/>
      <c r="U344" s="929"/>
      <c r="V344" s="929"/>
      <c r="W344" s="929"/>
      <c r="X344" s="474"/>
      <c r="Y344" s="474"/>
      <c r="Z344" s="474"/>
      <c r="AA344" s="474"/>
      <c r="AB344" s="474"/>
      <c r="AC344" s="388"/>
      <c r="AD344" s="464"/>
      <c r="AE344" s="465"/>
      <c r="AF344" s="388"/>
      <c r="AW344" s="471"/>
      <c r="AX344" s="471"/>
    </row>
    <row r="345" spans="1:50" ht="27" customHeight="1" x14ac:dyDescent="0.25">
      <c r="A345" s="462"/>
      <c r="H345" s="929"/>
      <c r="I345" s="388"/>
      <c r="J345" s="929"/>
      <c r="K345" s="388"/>
      <c r="L345" s="929"/>
      <c r="M345" s="388"/>
      <c r="N345" s="929"/>
      <c r="O345" s="388"/>
      <c r="P345" s="388"/>
      <c r="Q345" s="388"/>
      <c r="R345" s="465"/>
      <c r="S345" s="929"/>
      <c r="T345" s="466"/>
      <c r="U345" s="929"/>
      <c r="V345" s="929"/>
      <c r="W345" s="929"/>
      <c r="X345" s="474"/>
      <c r="Y345" s="474"/>
      <c r="Z345" s="474"/>
      <c r="AA345" s="474"/>
      <c r="AB345" s="474"/>
      <c r="AC345" s="388"/>
      <c r="AD345" s="464"/>
      <c r="AE345" s="465"/>
      <c r="AF345" s="388"/>
      <c r="AW345" s="471"/>
      <c r="AX345" s="471"/>
    </row>
    <row r="346" spans="1:50" ht="27" customHeight="1" x14ac:dyDescent="0.25">
      <c r="A346" s="462"/>
      <c r="H346" s="929"/>
      <c r="I346" s="388"/>
      <c r="J346" s="929"/>
      <c r="K346" s="388"/>
      <c r="L346" s="929"/>
      <c r="M346" s="388"/>
      <c r="N346" s="929"/>
      <c r="O346" s="388"/>
      <c r="P346" s="388"/>
      <c r="Q346" s="388"/>
      <c r="R346" s="465"/>
      <c r="S346" s="929"/>
      <c r="T346" s="466"/>
      <c r="U346" s="929"/>
      <c r="V346" s="929"/>
      <c r="W346" s="929"/>
      <c r="X346" s="474"/>
      <c r="Y346" s="474"/>
      <c r="Z346" s="474"/>
      <c r="AA346" s="474"/>
      <c r="AB346" s="474"/>
      <c r="AC346" s="388"/>
      <c r="AD346" s="464"/>
      <c r="AE346" s="465"/>
      <c r="AF346" s="388"/>
      <c r="AW346" s="471"/>
      <c r="AX346" s="471"/>
    </row>
    <row r="347" spans="1:50" ht="27" customHeight="1" x14ac:dyDescent="0.25">
      <c r="A347" s="462"/>
      <c r="H347" s="929"/>
      <c r="I347" s="388"/>
      <c r="J347" s="929"/>
      <c r="K347" s="388"/>
      <c r="L347" s="929"/>
      <c r="M347" s="388"/>
      <c r="N347" s="929"/>
      <c r="O347" s="388"/>
      <c r="P347" s="388"/>
      <c r="Q347" s="388"/>
      <c r="R347" s="465"/>
      <c r="S347" s="929"/>
      <c r="T347" s="466"/>
      <c r="U347" s="929"/>
      <c r="V347" s="929"/>
      <c r="W347" s="929"/>
      <c r="X347" s="474"/>
      <c r="Y347" s="474"/>
      <c r="Z347" s="474"/>
      <c r="AA347" s="474"/>
      <c r="AB347" s="474"/>
      <c r="AC347" s="388"/>
      <c r="AD347" s="464"/>
      <c r="AE347" s="465"/>
      <c r="AF347" s="388"/>
      <c r="AW347" s="471"/>
      <c r="AX347" s="471"/>
    </row>
    <row r="348" spans="1:50" ht="27" customHeight="1" x14ac:dyDescent="0.25">
      <c r="A348" s="462"/>
      <c r="H348" s="929"/>
      <c r="I348" s="388"/>
      <c r="J348" s="929"/>
      <c r="K348" s="388"/>
      <c r="L348" s="929"/>
      <c r="M348" s="388"/>
      <c r="N348" s="929"/>
      <c r="O348" s="388"/>
      <c r="P348" s="388"/>
      <c r="Q348" s="388"/>
      <c r="R348" s="465"/>
      <c r="S348" s="929"/>
      <c r="T348" s="466"/>
      <c r="U348" s="929"/>
      <c r="V348" s="929"/>
      <c r="W348" s="929"/>
      <c r="X348" s="474"/>
      <c r="Y348" s="474"/>
      <c r="Z348" s="474"/>
      <c r="AA348" s="474"/>
      <c r="AB348" s="474"/>
      <c r="AC348" s="388"/>
      <c r="AD348" s="464"/>
      <c r="AE348" s="465"/>
      <c r="AF348" s="388"/>
      <c r="AW348" s="471"/>
      <c r="AX348" s="471"/>
    </row>
    <row r="349" spans="1:50" ht="27" customHeight="1" x14ac:dyDescent="0.25">
      <c r="A349" s="462"/>
      <c r="H349" s="929"/>
      <c r="I349" s="388"/>
      <c r="J349" s="929"/>
      <c r="K349" s="388"/>
      <c r="L349" s="929"/>
      <c r="M349" s="388"/>
      <c r="N349" s="929"/>
      <c r="O349" s="388"/>
      <c r="P349" s="388"/>
      <c r="Q349" s="388"/>
      <c r="R349" s="465"/>
      <c r="S349" s="929"/>
      <c r="T349" s="466"/>
      <c r="U349" s="929"/>
      <c r="V349" s="929"/>
      <c r="W349" s="929"/>
      <c r="X349" s="474"/>
      <c r="Y349" s="474"/>
      <c r="Z349" s="474"/>
      <c r="AA349" s="474"/>
      <c r="AB349" s="474"/>
      <c r="AC349" s="388"/>
      <c r="AD349" s="464"/>
      <c r="AE349" s="465"/>
      <c r="AF349" s="388"/>
      <c r="AW349" s="471"/>
      <c r="AX349" s="471"/>
    </row>
    <row r="350" spans="1:50" ht="27" customHeight="1" x14ac:dyDescent="0.25">
      <c r="A350" s="462"/>
      <c r="H350" s="929"/>
      <c r="I350" s="388"/>
      <c r="J350" s="929"/>
      <c r="K350" s="388"/>
      <c r="L350" s="929"/>
      <c r="M350" s="388"/>
      <c r="N350" s="929"/>
      <c r="O350" s="388"/>
      <c r="P350" s="388"/>
      <c r="Q350" s="388"/>
      <c r="R350" s="465"/>
      <c r="S350" s="929"/>
      <c r="T350" s="466"/>
      <c r="U350" s="929"/>
      <c r="V350" s="929"/>
      <c r="W350" s="929"/>
      <c r="X350" s="474"/>
      <c r="Y350" s="474"/>
      <c r="Z350" s="474"/>
      <c r="AA350" s="474"/>
      <c r="AB350" s="474"/>
      <c r="AC350" s="388"/>
      <c r="AD350" s="464"/>
      <c r="AE350" s="465"/>
      <c r="AF350" s="388"/>
      <c r="AW350" s="471"/>
      <c r="AX350" s="471"/>
    </row>
    <row r="351" spans="1:50" ht="27" customHeight="1" x14ac:dyDescent="0.25">
      <c r="A351" s="462"/>
      <c r="H351" s="929"/>
      <c r="I351" s="388"/>
      <c r="J351" s="929"/>
      <c r="K351" s="388"/>
      <c r="L351" s="929"/>
      <c r="M351" s="388"/>
      <c r="N351" s="929"/>
      <c r="O351" s="388"/>
      <c r="P351" s="388"/>
      <c r="Q351" s="388"/>
      <c r="R351" s="465"/>
      <c r="S351" s="929"/>
      <c r="T351" s="466"/>
      <c r="U351" s="929"/>
      <c r="V351" s="929"/>
      <c r="W351" s="929"/>
      <c r="X351" s="474"/>
      <c r="Y351" s="474"/>
      <c r="Z351" s="474"/>
      <c r="AA351" s="474"/>
      <c r="AB351" s="474"/>
      <c r="AC351" s="388"/>
      <c r="AD351" s="464"/>
      <c r="AE351" s="465"/>
      <c r="AF351" s="388"/>
      <c r="AW351" s="471"/>
      <c r="AX351" s="471"/>
    </row>
    <row r="352" spans="1:50" ht="27" customHeight="1" x14ac:dyDescent="0.25">
      <c r="A352" s="462"/>
      <c r="H352" s="929"/>
      <c r="I352" s="388"/>
      <c r="J352" s="929"/>
      <c r="K352" s="388"/>
      <c r="L352" s="929"/>
      <c r="M352" s="388"/>
      <c r="N352" s="929"/>
      <c r="O352" s="388"/>
      <c r="P352" s="388"/>
      <c r="Q352" s="388"/>
      <c r="R352" s="465"/>
      <c r="S352" s="929"/>
      <c r="T352" s="466"/>
      <c r="U352" s="929"/>
      <c r="V352" s="929"/>
      <c r="W352" s="929"/>
      <c r="X352" s="474"/>
      <c r="Y352" s="474"/>
      <c r="Z352" s="474"/>
      <c r="AA352" s="474"/>
      <c r="AB352" s="474"/>
      <c r="AC352" s="388"/>
      <c r="AD352" s="464"/>
      <c r="AE352" s="465"/>
      <c r="AF352" s="388"/>
      <c r="AW352" s="471"/>
      <c r="AX352" s="471"/>
    </row>
    <row r="353" spans="1:50" ht="27" customHeight="1" x14ac:dyDescent="0.25">
      <c r="A353" s="462"/>
      <c r="H353" s="929"/>
      <c r="I353" s="388"/>
      <c r="J353" s="929"/>
      <c r="K353" s="388"/>
      <c r="L353" s="929"/>
      <c r="M353" s="388"/>
      <c r="N353" s="929"/>
      <c r="O353" s="388"/>
      <c r="P353" s="388"/>
      <c r="Q353" s="388"/>
      <c r="R353" s="465"/>
      <c r="S353" s="929"/>
      <c r="T353" s="466"/>
      <c r="U353" s="929"/>
      <c r="V353" s="929"/>
      <c r="W353" s="929"/>
      <c r="X353" s="474"/>
      <c r="Y353" s="474"/>
      <c r="Z353" s="474"/>
      <c r="AA353" s="474"/>
      <c r="AB353" s="474"/>
      <c r="AC353" s="388"/>
      <c r="AD353" s="464"/>
      <c r="AE353" s="465"/>
      <c r="AF353" s="388"/>
      <c r="AW353" s="471"/>
      <c r="AX353" s="471"/>
    </row>
    <row r="354" spans="1:50" ht="27" customHeight="1" x14ac:dyDescent="0.25">
      <c r="A354" s="462"/>
      <c r="H354" s="929"/>
      <c r="I354" s="388"/>
      <c r="J354" s="929"/>
      <c r="K354" s="388"/>
      <c r="L354" s="929"/>
      <c r="M354" s="388"/>
      <c r="N354" s="929"/>
      <c r="O354" s="388"/>
      <c r="P354" s="388"/>
      <c r="Q354" s="388"/>
      <c r="R354" s="465"/>
      <c r="S354" s="929"/>
      <c r="T354" s="466"/>
      <c r="U354" s="929"/>
      <c r="V354" s="929"/>
      <c r="W354" s="929"/>
      <c r="X354" s="474"/>
      <c r="Y354" s="474"/>
      <c r="Z354" s="474"/>
      <c r="AA354" s="474"/>
      <c r="AB354" s="474"/>
      <c r="AC354" s="388"/>
      <c r="AD354" s="464"/>
      <c r="AE354" s="465"/>
      <c r="AF354" s="388"/>
      <c r="AW354" s="471"/>
      <c r="AX354" s="471"/>
    </row>
    <row r="355" spans="1:50" ht="27" customHeight="1" x14ac:dyDescent="0.25">
      <c r="A355" s="462"/>
      <c r="H355" s="929"/>
      <c r="I355" s="388"/>
      <c r="J355" s="929"/>
      <c r="K355" s="388"/>
      <c r="L355" s="929"/>
      <c r="M355" s="388"/>
      <c r="N355" s="929"/>
      <c r="O355" s="388"/>
      <c r="P355" s="388"/>
      <c r="Q355" s="388"/>
      <c r="R355" s="465"/>
      <c r="S355" s="929"/>
      <c r="T355" s="466"/>
      <c r="U355" s="929"/>
      <c r="V355" s="929"/>
      <c r="W355" s="929"/>
      <c r="X355" s="474"/>
      <c r="Y355" s="474"/>
      <c r="Z355" s="474"/>
      <c r="AA355" s="474"/>
      <c r="AB355" s="474"/>
      <c r="AC355" s="388"/>
      <c r="AD355" s="464"/>
      <c r="AE355" s="465"/>
      <c r="AF355" s="388"/>
      <c r="AW355" s="471"/>
      <c r="AX355" s="471"/>
    </row>
    <row r="356" spans="1:50" ht="27" customHeight="1" x14ac:dyDescent="0.25">
      <c r="A356" s="462"/>
      <c r="H356" s="929"/>
      <c r="I356" s="388"/>
      <c r="J356" s="929"/>
      <c r="K356" s="388"/>
      <c r="L356" s="929"/>
      <c r="M356" s="388"/>
      <c r="N356" s="929"/>
      <c r="O356" s="388"/>
      <c r="P356" s="388"/>
      <c r="Q356" s="388"/>
      <c r="R356" s="465"/>
      <c r="S356" s="929"/>
      <c r="T356" s="466"/>
      <c r="U356" s="929"/>
      <c r="V356" s="929"/>
      <c r="W356" s="929"/>
      <c r="X356" s="474"/>
      <c r="Y356" s="474"/>
      <c r="Z356" s="474"/>
      <c r="AA356" s="474"/>
      <c r="AB356" s="474"/>
      <c r="AC356" s="388"/>
      <c r="AD356" s="464"/>
      <c r="AE356" s="465"/>
      <c r="AF356" s="388"/>
      <c r="AW356" s="471"/>
      <c r="AX356" s="471"/>
    </row>
    <row r="357" spans="1:50" ht="27" customHeight="1" x14ac:dyDescent="0.25">
      <c r="A357" s="462"/>
      <c r="H357" s="929"/>
      <c r="I357" s="388"/>
      <c r="J357" s="929"/>
      <c r="K357" s="388"/>
      <c r="L357" s="929"/>
      <c r="M357" s="388"/>
      <c r="N357" s="929"/>
      <c r="O357" s="388"/>
      <c r="P357" s="388"/>
      <c r="Q357" s="388"/>
      <c r="R357" s="465"/>
      <c r="S357" s="929"/>
      <c r="T357" s="466"/>
      <c r="U357" s="929"/>
      <c r="V357" s="929"/>
      <c r="W357" s="929"/>
      <c r="X357" s="474"/>
      <c r="Y357" s="474"/>
      <c r="Z357" s="474"/>
      <c r="AA357" s="474"/>
      <c r="AB357" s="474"/>
      <c r="AC357" s="388"/>
      <c r="AD357" s="464"/>
      <c r="AE357" s="465"/>
      <c r="AF357" s="388"/>
      <c r="AW357" s="471"/>
      <c r="AX357" s="471"/>
    </row>
    <row r="358" spans="1:50" ht="27" customHeight="1" x14ac:dyDescent="0.25">
      <c r="A358" s="462"/>
      <c r="H358" s="929"/>
      <c r="I358" s="388"/>
      <c r="J358" s="929"/>
      <c r="K358" s="388"/>
      <c r="L358" s="929"/>
      <c r="M358" s="388"/>
      <c r="N358" s="929"/>
      <c r="O358" s="388"/>
      <c r="P358" s="388"/>
      <c r="Q358" s="388"/>
      <c r="R358" s="465"/>
      <c r="S358" s="929"/>
      <c r="T358" s="466"/>
      <c r="U358" s="929"/>
      <c r="V358" s="929"/>
      <c r="W358" s="929"/>
      <c r="X358" s="474"/>
      <c r="Y358" s="474"/>
      <c r="Z358" s="474"/>
      <c r="AA358" s="474"/>
      <c r="AB358" s="474"/>
      <c r="AC358" s="388"/>
      <c r="AD358" s="464"/>
      <c r="AE358" s="465"/>
      <c r="AF358" s="388"/>
      <c r="AW358" s="471"/>
      <c r="AX358" s="471"/>
    </row>
    <row r="359" spans="1:50" ht="27" customHeight="1" x14ac:dyDescent="0.25">
      <c r="A359" s="462"/>
      <c r="H359" s="929"/>
      <c r="I359" s="388"/>
      <c r="J359" s="929"/>
      <c r="K359" s="388"/>
      <c r="L359" s="929"/>
      <c r="M359" s="388"/>
      <c r="N359" s="929"/>
      <c r="O359" s="388"/>
      <c r="P359" s="388"/>
      <c r="Q359" s="388"/>
      <c r="R359" s="465"/>
      <c r="S359" s="929"/>
      <c r="T359" s="466"/>
      <c r="U359" s="929"/>
      <c r="V359" s="929"/>
      <c r="W359" s="929"/>
      <c r="X359" s="474"/>
      <c r="Y359" s="474"/>
      <c r="Z359" s="474"/>
      <c r="AA359" s="474"/>
      <c r="AB359" s="474"/>
      <c r="AC359" s="388"/>
      <c r="AD359" s="464"/>
      <c r="AE359" s="465"/>
      <c r="AF359" s="388"/>
      <c r="AW359" s="471"/>
      <c r="AX359" s="471"/>
    </row>
    <row r="360" spans="1:50" ht="27" customHeight="1" x14ac:dyDescent="0.25">
      <c r="A360" s="462"/>
      <c r="H360" s="929"/>
      <c r="I360" s="388"/>
      <c r="J360" s="929"/>
      <c r="K360" s="388"/>
      <c r="L360" s="929"/>
      <c r="M360" s="388"/>
      <c r="N360" s="929"/>
      <c r="O360" s="388"/>
      <c r="P360" s="388"/>
      <c r="Q360" s="388"/>
      <c r="R360" s="465"/>
      <c r="S360" s="929"/>
      <c r="T360" s="466"/>
      <c r="U360" s="929"/>
      <c r="V360" s="929"/>
      <c r="W360" s="929"/>
      <c r="X360" s="474"/>
      <c r="Y360" s="474"/>
      <c r="Z360" s="474"/>
      <c r="AA360" s="474"/>
      <c r="AB360" s="474"/>
      <c r="AC360" s="388"/>
      <c r="AD360" s="464"/>
      <c r="AE360" s="465"/>
      <c r="AF360" s="388"/>
      <c r="AW360" s="471"/>
      <c r="AX360" s="471"/>
    </row>
    <row r="361" spans="1:50" ht="27" customHeight="1" x14ac:dyDescent="0.25">
      <c r="A361" s="462"/>
      <c r="H361" s="929"/>
      <c r="I361" s="388"/>
      <c r="J361" s="929"/>
      <c r="K361" s="388"/>
      <c r="L361" s="929"/>
      <c r="M361" s="388"/>
      <c r="N361" s="929"/>
      <c r="O361" s="388"/>
      <c r="P361" s="388"/>
      <c r="Q361" s="388"/>
      <c r="R361" s="465"/>
      <c r="S361" s="929"/>
      <c r="T361" s="466"/>
      <c r="U361" s="929"/>
      <c r="V361" s="929"/>
      <c r="W361" s="929"/>
      <c r="X361" s="474"/>
      <c r="Y361" s="474"/>
      <c r="Z361" s="474"/>
      <c r="AA361" s="474"/>
      <c r="AB361" s="474"/>
      <c r="AC361" s="388"/>
      <c r="AD361" s="464"/>
      <c r="AE361" s="465"/>
      <c r="AF361" s="388"/>
      <c r="AW361" s="471"/>
      <c r="AX361" s="471"/>
    </row>
    <row r="362" spans="1:50" ht="27" customHeight="1" x14ac:dyDescent="0.25">
      <c r="A362" s="462"/>
      <c r="H362" s="929"/>
      <c r="I362" s="388"/>
      <c r="J362" s="929"/>
      <c r="K362" s="388"/>
      <c r="L362" s="929"/>
      <c r="M362" s="388"/>
      <c r="N362" s="929"/>
      <c r="O362" s="388"/>
      <c r="P362" s="388"/>
      <c r="Q362" s="388"/>
      <c r="R362" s="465"/>
      <c r="S362" s="929"/>
      <c r="T362" s="466"/>
      <c r="U362" s="929"/>
      <c r="V362" s="929"/>
      <c r="W362" s="929"/>
      <c r="X362" s="474"/>
      <c r="Y362" s="474"/>
      <c r="Z362" s="474"/>
      <c r="AA362" s="474"/>
      <c r="AB362" s="474"/>
      <c r="AC362" s="388"/>
      <c r="AD362" s="464"/>
      <c r="AE362" s="465"/>
      <c r="AF362" s="388"/>
      <c r="AW362" s="471"/>
      <c r="AX362" s="471"/>
    </row>
    <row r="363" spans="1:50" ht="27" customHeight="1" x14ac:dyDescent="0.25">
      <c r="A363" s="462"/>
      <c r="H363" s="929"/>
      <c r="I363" s="388"/>
      <c r="J363" s="929"/>
      <c r="K363" s="388"/>
      <c r="L363" s="929"/>
      <c r="M363" s="388"/>
      <c r="N363" s="929"/>
      <c r="O363" s="388"/>
      <c r="P363" s="388"/>
      <c r="Q363" s="388"/>
      <c r="R363" s="465"/>
      <c r="S363" s="929"/>
      <c r="T363" s="466"/>
      <c r="U363" s="929"/>
      <c r="V363" s="929"/>
      <c r="W363" s="929"/>
      <c r="X363" s="474"/>
      <c r="Y363" s="474"/>
      <c r="Z363" s="474"/>
      <c r="AA363" s="474"/>
      <c r="AB363" s="474"/>
      <c r="AC363" s="388"/>
      <c r="AD363" s="464"/>
      <c r="AE363" s="465"/>
      <c r="AF363" s="388"/>
      <c r="AW363" s="471"/>
      <c r="AX363" s="471"/>
    </row>
    <row r="364" spans="1:50" ht="27" customHeight="1" x14ac:dyDescent="0.25">
      <c r="A364" s="462"/>
      <c r="H364" s="929"/>
      <c r="I364" s="388"/>
      <c r="J364" s="929"/>
      <c r="K364" s="388"/>
      <c r="L364" s="929"/>
      <c r="M364" s="388"/>
      <c r="N364" s="929"/>
      <c r="O364" s="388"/>
      <c r="P364" s="388"/>
      <c r="Q364" s="388"/>
      <c r="R364" s="465"/>
      <c r="S364" s="929"/>
      <c r="T364" s="466"/>
      <c r="U364" s="929"/>
      <c r="V364" s="929"/>
      <c r="W364" s="929"/>
      <c r="X364" s="474"/>
      <c r="Y364" s="474"/>
      <c r="Z364" s="474"/>
      <c r="AA364" s="474"/>
      <c r="AB364" s="474"/>
      <c r="AC364" s="388"/>
      <c r="AD364" s="464"/>
      <c r="AE364" s="465"/>
      <c r="AF364" s="388"/>
      <c r="AW364" s="471"/>
      <c r="AX364" s="471"/>
    </row>
    <row r="365" spans="1:50" ht="27" customHeight="1" x14ac:dyDescent="0.25">
      <c r="A365" s="462"/>
      <c r="H365" s="929"/>
      <c r="I365" s="388"/>
      <c r="J365" s="929"/>
      <c r="K365" s="388"/>
      <c r="L365" s="929"/>
      <c r="M365" s="388"/>
      <c r="N365" s="929"/>
      <c r="O365" s="388"/>
      <c r="P365" s="388"/>
      <c r="Q365" s="388"/>
      <c r="R365" s="465"/>
      <c r="S365" s="929"/>
      <c r="T365" s="466"/>
      <c r="U365" s="929"/>
      <c r="V365" s="929"/>
      <c r="W365" s="929"/>
      <c r="X365" s="474"/>
      <c r="Y365" s="474"/>
      <c r="Z365" s="474"/>
      <c r="AA365" s="474"/>
      <c r="AB365" s="474"/>
      <c r="AC365" s="388"/>
      <c r="AD365" s="464"/>
      <c r="AE365" s="465"/>
      <c r="AF365" s="388"/>
      <c r="AW365" s="471"/>
      <c r="AX365" s="471"/>
    </row>
    <row r="366" spans="1:50" ht="27" customHeight="1" x14ac:dyDescent="0.25">
      <c r="A366" s="462"/>
      <c r="H366" s="929"/>
      <c r="I366" s="388"/>
      <c r="J366" s="929"/>
      <c r="K366" s="388"/>
      <c r="L366" s="929"/>
      <c r="M366" s="388"/>
      <c r="N366" s="929"/>
      <c r="O366" s="388"/>
      <c r="P366" s="388"/>
      <c r="Q366" s="388"/>
      <c r="R366" s="465"/>
      <c r="S366" s="929"/>
      <c r="T366" s="466"/>
      <c r="U366" s="929"/>
      <c r="V366" s="929"/>
      <c r="W366" s="929"/>
      <c r="X366" s="474"/>
      <c r="Y366" s="474"/>
      <c r="Z366" s="474"/>
      <c r="AA366" s="474"/>
      <c r="AB366" s="474"/>
      <c r="AC366" s="388"/>
      <c r="AD366" s="464"/>
      <c r="AE366" s="465"/>
      <c r="AF366" s="388"/>
      <c r="AW366" s="471"/>
      <c r="AX366" s="471"/>
    </row>
    <row r="367" spans="1:50" ht="27" customHeight="1" x14ac:dyDescent="0.25">
      <c r="A367" s="462"/>
      <c r="H367" s="929"/>
      <c r="I367" s="388"/>
      <c r="J367" s="929"/>
      <c r="K367" s="388"/>
      <c r="L367" s="929"/>
      <c r="M367" s="388"/>
      <c r="N367" s="929"/>
      <c r="O367" s="388"/>
      <c r="P367" s="388"/>
      <c r="Q367" s="388"/>
      <c r="R367" s="465"/>
      <c r="S367" s="929"/>
      <c r="T367" s="466"/>
      <c r="U367" s="929"/>
      <c r="V367" s="929"/>
      <c r="W367" s="929"/>
      <c r="X367" s="474"/>
      <c r="Y367" s="474"/>
      <c r="Z367" s="474"/>
      <c r="AA367" s="474"/>
      <c r="AB367" s="474"/>
      <c r="AC367" s="388"/>
      <c r="AD367" s="464"/>
      <c r="AE367" s="465"/>
      <c r="AF367" s="388"/>
      <c r="AW367" s="471"/>
      <c r="AX367" s="471"/>
    </row>
    <row r="368" spans="1:50" ht="27" customHeight="1" x14ac:dyDescent="0.25">
      <c r="A368" s="462"/>
      <c r="H368" s="929"/>
      <c r="I368" s="388"/>
      <c r="J368" s="929"/>
      <c r="K368" s="388"/>
      <c r="L368" s="929"/>
      <c r="M368" s="388"/>
      <c r="N368" s="929"/>
      <c r="O368" s="388"/>
      <c r="P368" s="388"/>
      <c r="Q368" s="388"/>
      <c r="R368" s="465"/>
      <c r="S368" s="929"/>
      <c r="T368" s="466"/>
      <c r="U368" s="929"/>
      <c r="V368" s="929"/>
      <c r="W368" s="929"/>
      <c r="X368" s="474"/>
      <c r="Y368" s="474"/>
      <c r="Z368" s="474"/>
      <c r="AA368" s="474"/>
      <c r="AB368" s="474"/>
      <c r="AC368" s="388"/>
      <c r="AD368" s="464"/>
      <c r="AE368" s="465"/>
      <c r="AF368" s="388"/>
      <c r="AW368" s="471"/>
      <c r="AX368" s="471"/>
    </row>
    <row r="369" spans="1:50" ht="27" customHeight="1" x14ac:dyDescent="0.25">
      <c r="A369" s="462"/>
      <c r="H369" s="929"/>
      <c r="I369" s="388"/>
      <c r="J369" s="929"/>
      <c r="K369" s="388"/>
      <c r="L369" s="929"/>
      <c r="M369" s="388"/>
      <c r="N369" s="929"/>
      <c r="O369" s="388"/>
      <c r="P369" s="388"/>
      <c r="Q369" s="388"/>
      <c r="R369" s="465"/>
      <c r="S369" s="929"/>
      <c r="T369" s="466"/>
      <c r="U369" s="929"/>
      <c r="V369" s="929"/>
      <c r="W369" s="929"/>
      <c r="X369" s="474"/>
      <c r="Y369" s="474"/>
      <c r="Z369" s="474"/>
      <c r="AA369" s="474"/>
      <c r="AB369" s="474"/>
      <c r="AC369" s="388"/>
      <c r="AD369" s="464"/>
      <c r="AE369" s="465"/>
      <c r="AF369" s="388"/>
      <c r="AW369" s="471"/>
      <c r="AX369" s="471"/>
    </row>
    <row r="370" spans="1:50" ht="27" customHeight="1" x14ac:dyDescent="0.25">
      <c r="A370" s="462"/>
      <c r="H370" s="929"/>
      <c r="I370" s="388"/>
      <c r="J370" s="929"/>
      <c r="K370" s="388"/>
      <c r="L370" s="929"/>
      <c r="M370" s="388"/>
      <c r="N370" s="929"/>
      <c r="O370" s="388"/>
      <c r="P370" s="388"/>
      <c r="Q370" s="388"/>
      <c r="R370" s="465"/>
      <c r="S370" s="929"/>
      <c r="T370" s="466"/>
      <c r="U370" s="929"/>
      <c r="V370" s="929"/>
      <c r="W370" s="929"/>
      <c r="X370" s="474"/>
      <c r="Y370" s="474"/>
      <c r="Z370" s="474"/>
      <c r="AA370" s="474"/>
      <c r="AB370" s="474"/>
      <c r="AC370" s="388"/>
      <c r="AD370" s="464"/>
      <c r="AE370" s="465"/>
      <c r="AF370" s="388"/>
      <c r="AW370" s="471"/>
      <c r="AX370" s="471"/>
    </row>
    <row r="371" spans="1:50" ht="27" customHeight="1" x14ac:dyDescent="0.25">
      <c r="A371" s="462"/>
      <c r="H371" s="929"/>
      <c r="I371" s="388"/>
      <c r="J371" s="929"/>
      <c r="K371" s="388"/>
      <c r="L371" s="929"/>
      <c r="M371" s="388"/>
      <c r="N371" s="929"/>
      <c r="O371" s="388"/>
      <c r="P371" s="388"/>
      <c r="Q371" s="388"/>
      <c r="R371" s="465"/>
      <c r="S371" s="929"/>
      <c r="T371" s="466"/>
      <c r="U371" s="929"/>
      <c r="V371" s="929"/>
      <c r="W371" s="929"/>
      <c r="X371" s="474"/>
      <c r="Y371" s="474"/>
      <c r="Z371" s="474"/>
      <c r="AA371" s="474"/>
      <c r="AB371" s="474"/>
      <c r="AC371" s="388"/>
      <c r="AD371" s="464"/>
      <c r="AE371" s="465"/>
      <c r="AF371" s="388"/>
      <c r="AW371" s="471"/>
      <c r="AX371" s="471"/>
    </row>
    <row r="372" spans="1:50" ht="27" customHeight="1" x14ac:dyDescent="0.25">
      <c r="A372" s="462"/>
      <c r="H372" s="929"/>
      <c r="I372" s="388"/>
      <c r="J372" s="929"/>
      <c r="K372" s="388"/>
      <c r="L372" s="929"/>
      <c r="M372" s="388"/>
      <c r="N372" s="929"/>
      <c r="O372" s="388"/>
      <c r="P372" s="388"/>
      <c r="Q372" s="388"/>
      <c r="R372" s="465"/>
      <c r="S372" s="929"/>
      <c r="T372" s="466"/>
      <c r="U372" s="929"/>
      <c r="V372" s="929"/>
      <c r="W372" s="929"/>
      <c r="X372" s="474"/>
      <c r="Y372" s="474"/>
      <c r="Z372" s="474"/>
      <c r="AA372" s="474"/>
      <c r="AB372" s="474"/>
      <c r="AC372" s="388"/>
      <c r="AD372" s="464"/>
      <c r="AE372" s="465"/>
      <c r="AF372" s="388"/>
      <c r="AW372" s="471"/>
      <c r="AX372" s="471"/>
    </row>
    <row r="373" spans="1:50" ht="27" customHeight="1" x14ac:dyDescent="0.25">
      <c r="A373" s="462"/>
      <c r="H373" s="929"/>
      <c r="I373" s="388"/>
      <c r="J373" s="929"/>
      <c r="K373" s="388"/>
      <c r="L373" s="929"/>
      <c r="M373" s="388"/>
      <c r="N373" s="929"/>
      <c r="O373" s="388"/>
      <c r="P373" s="388"/>
      <c r="Q373" s="388"/>
      <c r="R373" s="465"/>
      <c r="S373" s="929"/>
      <c r="T373" s="466"/>
      <c r="U373" s="929"/>
      <c r="V373" s="929"/>
      <c r="W373" s="929"/>
      <c r="X373" s="474"/>
      <c r="Y373" s="474"/>
      <c r="Z373" s="474"/>
      <c r="AA373" s="474"/>
      <c r="AB373" s="474"/>
      <c r="AC373" s="388"/>
      <c r="AD373" s="464"/>
      <c r="AE373" s="465"/>
      <c r="AF373" s="388"/>
      <c r="AW373" s="471"/>
      <c r="AX373" s="471"/>
    </row>
    <row r="374" spans="1:50" ht="27" customHeight="1" x14ac:dyDescent="0.25">
      <c r="A374" s="462"/>
      <c r="H374" s="929"/>
      <c r="I374" s="388"/>
      <c r="J374" s="929"/>
      <c r="K374" s="388"/>
      <c r="L374" s="929"/>
      <c r="M374" s="388"/>
      <c r="N374" s="929"/>
      <c r="O374" s="388"/>
      <c r="P374" s="388"/>
      <c r="Q374" s="388"/>
      <c r="R374" s="465"/>
      <c r="S374" s="929"/>
      <c r="T374" s="466"/>
      <c r="U374" s="929"/>
      <c r="V374" s="929"/>
      <c r="W374" s="929"/>
      <c r="X374" s="474"/>
      <c r="Y374" s="474"/>
      <c r="Z374" s="474"/>
      <c r="AA374" s="474"/>
      <c r="AB374" s="474"/>
      <c r="AC374" s="388"/>
      <c r="AD374" s="464"/>
      <c r="AE374" s="465"/>
      <c r="AF374" s="388"/>
      <c r="AW374" s="471"/>
      <c r="AX374" s="471"/>
    </row>
    <row r="375" spans="1:50" ht="27" customHeight="1" x14ac:dyDescent="0.25">
      <c r="A375" s="462"/>
      <c r="H375" s="929"/>
      <c r="I375" s="388"/>
      <c r="J375" s="929"/>
      <c r="K375" s="388"/>
      <c r="L375" s="929"/>
      <c r="M375" s="388"/>
      <c r="N375" s="929"/>
      <c r="O375" s="388"/>
      <c r="P375" s="388"/>
      <c r="Q375" s="388"/>
      <c r="R375" s="465"/>
      <c r="S375" s="929"/>
      <c r="T375" s="466"/>
      <c r="U375" s="929"/>
      <c r="V375" s="929"/>
      <c r="W375" s="929"/>
      <c r="X375" s="474"/>
      <c r="Y375" s="474"/>
      <c r="Z375" s="474"/>
      <c r="AA375" s="474"/>
      <c r="AB375" s="474"/>
      <c r="AC375" s="388"/>
      <c r="AD375" s="464"/>
      <c r="AE375" s="465"/>
      <c r="AF375" s="388"/>
      <c r="AW375" s="471"/>
      <c r="AX375" s="471"/>
    </row>
    <row r="376" spans="1:50" ht="27" customHeight="1" x14ac:dyDescent="0.25">
      <c r="A376" s="462"/>
      <c r="H376" s="929"/>
      <c r="I376" s="388"/>
      <c r="J376" s="929"/>
      <c r="K376" s="388"/>
      <c r="L376" s="929"/>
      <c r="M376" s="388"/>
      <c r="N376" s="929"/>
      <c r="O376" s="388"/>
      <c r="P376" s="388"/>
      <c r="Q376" s="388"/>
      <c r="R376" s="465"/>
      <c r="S376" s="929"/>
      <c r="T376" s="466"/>
      <c r="U376" s="929"/>
      <c r="V376" s="929"/>
      <c r="W376" s="929"/>
      <c r="X376" s="474"/>
      <c r="Y376" s="474"/>
      <c r="Z376" s="474"/>
      <c r="AA376" s="474"/>
      <c r="AB376" s="474"/>
      <c r="AC376" s="388"/>
      <c r="AD376" s="464"/>
      <c r="AE376" s="465"/>
      <c r="AF376" s="388"/>
      <c r="AW376" s="471"/>
      <c r="AX376" s="471"/>
    </row>
    <row r="377" spans="1:50" ht="27" customHeight="1" x14ac:dyDescent="0.25">
      <c r="A377" s="462"/>
      <c r="H377" s="929"/>
      <c r="I377" s="388"/>
      <c r="J377" s="929"/>
      <c r="K377" s="388"/>
      <c r="L377" s="929"/>
      <c r="M377" s="388"/>
      <c r="N377" s="929"/>
      <c r="O377" s="388"/>
      <c r="P377" s="388"/>
      <c r="Q377" s="388"/>
      <c r="R377" s="465"/>
      <c r="S377" s="929"/>
      <c r="T377" s="466"/>
      <c r="U377" s="929"/>
      <c r="V377" s="929"/>
      <c r="W377" s="929"/>
      <c r="X377" s="474"/>
      <c r="Y377" s="474"/>
      <c r="Z377" s="474"/>
      <c r="AA377" s="474"/>
      <c r="AB377" s="474"/>
      <c r="AC377" s="388"/>
      <c r="AD377" s="464"/>
      <c r="AE377" s="465"/>
      <c r="AF377" s="388"/>
      <c r="AW377" s="471"/>
      <c r="AX377" s="471"/>
    </row>
    <row r="378" spans="1:50" ht="27" customHeight="1" x14ac:dyDescent="0.25">
      <c r="A378" s="462"/>
      <c r="H378" s="929"/>
      <c r="I378" s="388"/>
      <c r="J378" s="929"/>
      <c r="K378" s="388"/>
      <c r="L378" s="929"/>
      <c r="M378" s="388"/>
      <c r="N378" s="929"/>
      <c r="O378" s="388"/>
      <c r="P378" s="388"/>
      <c r="Q378" s="388"/>
      <c r="R378" s="465"/>
      <c r="S378" s="929"/>
      <c r="T378" s="466"/>
      <c r="U378" s="929"/>
      <c r="V378" s="929"/>
      <c r="W378" s="929"/>
      <c r="X378" s="474"/>
      <c r="Y378" s="474"/>
      <c r="Z378" s="474"/>
      <c r="AA378" s="474"/>
      <c r="AB378" s="474"/>
      <c r="AC378" s="388"/>
      <c r="AD378" s="464"/>
      <c r="AE378" s="465"/>
      <c r="AF378" s="388"/>
      <c r="AW378" s="471"/>
      <c r="AX378" s="471"/>
    </row>
    <row r="379" spans="1:50" ht="27" customHeight="1" x14ac:dyDescent="0.25">
      <c r="A379" s="462"/>
      <c r="H379" s="929"/>
      <c r="I379" s="388"/>
      <c r="J379" s="929"/>
      <c r="K379" s="388"/>
      <c r="L379" s="929"/>
      <c r="M379" s="388"/>
      <c r="N379" s="929"/>
      <c r="O379" s="388"/>
      <c r="P379" s="388"/>
      <c r="Q379" s="388"/>
      <c r="R379" s="465"/>
      <c r="S379" s="929"/>
      <c r="T379" s="466"/>
      <c r="U379" s="929"/>
      <c r="V379" s="929"/>
      <c r="W379" s="929"/>
      <c r="X379" s="474"/>
      <c r="Y379" s="474"/>
      <c r="Z379" s="474"/>
      <c r="AA379" s="474"/>
      <c r="AB379" s="474"/>
      <c r="AC379" s="388"/>
      <c r="AD379" s="464"/>
      <c r="AE379" s="465"/>
      <c r="AF379" s="388"/>
      <c r="AW379" s="471"/>
      <c r="AX379" s="471"/>
    </row>
    <row r="380" spans="1:50" ht="27" customHeight="1" x14ac:dyDescent="0.25">
      <c r="A380" s="462"/>
      <c r="H380" s="929"/>
      <c r="I380" s="388"/>
      <c r="J380" s="929"/>
      <c r="K380" s="388"/>
      <c r="L380" s="929"/>
      <c r="M380" s="388"/>
      <c r="N380" s="929"/>
      <c r="O380" s="388"/>
      <c r="P380" s="388"/>
      <c r="Q380" s="388"/>
      <c r="R380" s="465"/>
      <c r="S380" s="929"/>
      <c r="T380" s="466"/>
      <c r="U380" s="929"/>
      <c r="V380" s="929"/>
      <c r="W380" s="929"/>
      <c r="X380" s="474"/>
      <c r="Y380" s="474"/>
      <c r="Z380" s="474"/>
      <c r="AA380" s="474"/>
      <c r="AB380" s="474"/>
      <c r="AC380" s="388"/>
      <c r="AD380" s="464"/>
      <c r="AE380" s="465"/>
      <c r="AF380" s="388"/>
      <c r="AW380" s="471"/>
      <c r="AX380" s="471"/>
    </row>
    <row r="381" spans="1:50" ht="27" customHeight="1" x14ac:dyDescent="0.25">
      <c r="A381" s="462"/>
      <c r="H381" s="929"/>
      <c r="I381" s="388"/>
      <c r="J381" s="929"/>
      <c r="K381" s="388"/>
      <c r="L381" s="929"/>
      <c r="M381" s="388"/>
      <c r="N381" s="929"/>
      <c r="O381" s="388"/>
      <c r="P381" s="388"/>
      <c r="Q381" s="388"/>
      <c r="R381" s="465"/>
      <c r="S381" s="929"/>
      <c r="T381" s="466"/>
      <c r="U381" s="929"/>
      <c r="V381" s="929"/>
      <c r="W381" s="929"/>
      <c r="X381" s="474"/>
      <c r="Y381" s="474"/>
      <c r="Z381" s="474"/>
      <c r="AA381" s="474"/>
      <c r="AB381" s="474"/>
      <c r="AC381" s="388"/>
      <c r="AD381" s="464"/>
      <c r="AE381" s="465"/>
      <c r="AF381" s="388"/>
      <c r="AW381" s="471"/>
      <c r="AX381" s="471"/>
    </row>
    <row r="382" spans="1:50" ht="27" customHeight="1" x14ac:dyDescent="0.25">
      <c r="A382" s="462"/>
      <c r="H382" s="929"/>
      <c r="I382" s="388"/>
      <c r="J382" s="929"/>
      <c r="K382" s="388"/>
      <c r="L382" s="929"/>
      <c r="M382" s="388"/>
      <c r="N382" s="929"/>
      <c r="O382" s="388"/>
      <c r="P382" s="388"/>
      <c r="Q382" s="388"/>
      <c r="R382" s="465"/>
      <c r="S382" s="929"/>
      <c r="T382" s="466"/>
      <c r="U382" s="929"/>
      <c r="V382" s="929"/>
      <c r="W382" s="929"/>
      <c r="X382" s="474"/>
      <c r="Y382" s="474"/>
      <c r="Z382" s="474"/>
      <c r="AA382" s="474"/>
      <c r="AB382" s="474"/>
      <c r="AC382" s="388"/>
      <c r="AD382" s="464"/>
      <c r="AE382" s="465"/>
      <c r="AF382" s="388"/>
      <c r="AW382" s="471"/>
      <c r="AX382" s="471"/>
    </row>
    <row r="383" spans="1:50" ht="27" customHeight="1" x14ac:dyDescent="0.25">
      <c r="A383" s="462"/>
      <c r="H383" s="929"/>
      <c r="I383" s="388"/>
      <c r="J383" s="929"/>
      <c r="K383" s="388"/>
      <c r="L383" s="929"/>
      <c r="M383" s="388"/>
      <c r="N383" s="929"/>
      <c r="O383" s="388"/>
      <c r="P383" s="388"/>
      <c r="Q383" s="388"/>
      <c r="R383" s="465"/>
      <c r="S383" s="929"/>
      <c r="T383" s="466"/>
      <c r="U383" s="929"/>
      <c r="V383" s="929"/>
      <c r="W383" s="929"/>
      <c r="X383" s="474"/>
      <c r="Y383" s="474"/>
      <c r="Z383" s="474"/>
      <c r="AA383" s="474"/>
      <c r="AB383" s="474"/>
      <c r="AC383" s="388"/>
      <c r="AD383" s="464"/>
      <c r="AE383" s="465"/>
      <c r="AF383" s="388"/>
      <c r="AW383" s="471"/>
      <c r="AX383" s="471"/>
    </row>
    <row r="384" spans="1:50" ht="27" customHeight="1" x14ac:dyDescent="0.25">
      <c r="A384" s="462"/>
      <c r="H384" s="929"/>
      <c r="I384" s="388"/>
      <c r="J384" s="929"/>
      <c r="K384" s="388"/>
      <c r="L384" s="929"/>
      <c r="M384" s="388"/>
      <c r="N384" s="929"/>
      <c r="O384" s="388"/>
      <c r="P384" s="388"/>
      <c r="Q384" s="388"/>
      <c r="R384" s="465"/>
      <c r="S384" s="929"/>
      <c r="T384" s="466"/>
      <c r="U384" s="929"/>
      <c r="V384" s="929"/>
      <c r="W384" s="929"/>
      <c r="X384" s="474"/>
      <c r="Y384" s="474"/>
      <c r="Z384" s="474"/>
      <c r="AA384" s="474"/>
      <c r="AB384" s="474"/>
      <c r="AC384" s="388"/>
      <c r="AD384" s="464"/>
      <c r="AE384" s="465"/>
      <c r="AF384" s="388"/>
      <c r="AW384" s="471"/>
      <c r="AX384" s="471"/>
    </row>
    <row r="385" spans="1:50" ht="27" customHeight="1" x14ac:dyDescent="0.25">
      <c r="A385" s="462"/>
      <c r="H385" s="929"/>
      <c r="I385" s="388"/>
      <c r="J385" s="929"/>
      <c r="K385" s="388"/>
      <c r="L385" s="929"/>
      <c r="M385" s="388"/>
      <c r="N385" s="929"/>
      <c r="O385" s="388"/>
      <c r="P385" s="388"/>
      <c r="Q385" s="388"/>
      <c r="R385" s="465"/>
      <c r="S385" s="929"/>
      <c r="T385" s="466"/>
      <c r="U385" s="929"/>
      <c r="V385" s="929"/>
      <c r="W385" s="929"/>
      <c r="X385" s="474"/>
      <c r="Y385" s="474"/>
      <c r="Z385" s="474"/>
      <c r="AA385" s="474"/>
      <c r="AB385" s="474"/>
      <c r="AC385" s="388"/>
      <c r="AD385" s="464"/>
      <c r="AE385" s="465"/>
      <c r="AF385" s="388"/>
      <c r="AW385" s="471"/>
      <c r="AX385" s="471"/>
    </row>
    <row r="386" spans="1:50" ht="27" customHeight="1" x14ac:dyDescent="0.25">
      <c r="A386" s="462"/>
      <c r="H386" s="929"/>
      <c r="I386" s="388"/>
      <c r="J386" s="929"/>
      <c r="K386" s="388"/>
      <c r="L386" s="929"/>
      <c r="M386" s="388"/>
      <c r="N386" s="929"/>
      <c r="O386" s="388"/>
      <c r="P386" s="388"/>
      <c r="Q386" s="388"/>
      <c r="R386" s="465"/>
      <c r="S386" s="929"/>
      <c r="T386" s="466"/>
      <c r="U386" s="929"/>
      <c r="V386" s="929"/>
      <c r="W386" s="929"/>
      <c r="X386" s="474"/>
      <c r="Y386" s="474"/>
      <c r="Z386" s="474"/>
      <c r="AA386" s="474"/>
      <c r="AB386" s="474"/>
      <c r="AC386" s="388"/>
      <c r="AD386" s="464"/>
      <c r="AE386" s="465"/>
      <c r="AF386" s="388"/>
      <c r="AW386" s="471"/>
      <c r="AX386" s="471"/>
    </row>
    <row r="387" spans="1:50" ht="27" customHeight="1" x14ac:dyDescent="0.25">
      <c r="A387" s="462"/>
      <c r="H387" s="929"/>
      <c r="I387" s="388"/>
      <c r="J387" s="929"/>
      <c r="K387" s="388"/>
      <c r="L387" s="929"/>
      <c r="M387" s="388"/>
      <c r="N387" s="929"/>
      <c r="O387" s="388"/>
      <c r="P387" s="388"/>
      <c r="Q387" s="388"/>
      <c r="R387" s="465"/>
      <c r="S387" s="929"/>
      <c r="T387" s="466"/>
      <c r="U387" s="929"/>
      <c r="V387" s="929"/>
      <c r="W387" s="929"/>
      <c r="X387" s="474"/>
      <c r="Y387" s="474"/>
      <c r="Z387" s="474"/>
      <c r="AA387" s="474"/>
      <c r="AB387" s="474"/>
      <c r="AC387" s="388"/>
      <c r="AD387" s="464"/>
      <c r="AE387" s="465"/>
      <c r="AF387" s="388"/>
      <c r="AW387" s="471"/>
      <c r="AX387" s="471"/>
    </row>
    <row r="388" spans="1:50" ht="27" customHeight="1" x14ac:dyDescent="0.25">
      <c r="A388" s="462"/>
      <c r="H388" s="929"/>
      <c r="I388" s="388"/>
      <c r="J388" s="929"/>
      <c r="K388" s="388"/>
      <c r="L388" s="929"/>
      <c r="M388" s="388"/>
      <c r="N388" s="929"/>
      <c r="O388" s="388"/>
      <c r="P388" s="388"/>
      <c r="Q388" s="388"/>
      <c r="R388" s="465"/>
      <c r="S388" s="929"/>
      <c r="T388" s="466"/>
      <c r="U388" s="929"/>
      <c r="V388" s="929"/>
      <c r="W388" s="929"/>
      <c r="X388" s="474"/>
      <c r="Y388" s="474"/>
      <c r="Z388" s="474"/>
      <c r="AA388" s="474"/>
      <c r="AB388" s="474"/>
      <c r="AC388" s="388"/>
      <c r="AD388" s="464"/>
      <c r="AE388" s="465"/>
      <c r="AF388" s="388"/>
      <c r="AW388" s="471"/>
      <c r="AX388" s="471"/>
    </row>
    <row r="389" spans="1:50" ht="27" customHeight="1" x14ac:dyDescent="0.25">
      <c r="A389" s="462"/>
      <c r="H389" s="929"/>
      <c r="I389" s="388"/>
      <c r="J389" s="929"/>
      <c r="K389" s="388"/>
      <c r="L389" s="929"/>
      <c r="M389" s="388"/>
      <c r="N389" s="929"/>
      <c r="O389" s="388"/>
      <c r="P389" s="388"/>
      <c r="Q389" s="388"/>
      <c r="R389" s="465"/>
      <c r="S389" s="929"/>
      <c r="T389" s="466"/>
      <c r="U389" s="929"/>
      <c r="V389" s="929"/>
      <c r="W389" s="929"/>
      <c r="X389" s="474"/>
      <c r="Y389" s="474"/>
      <c r="Z389" s="474"/>
      <c r="AA389" s="474"/>
      <c r="AB389" s="474"/>
      <c r="AC389" s="388"/>
      <c r="AD389" s="464"/>
      <c r="AE389" s="465"/>
      <c r="AF389" s="388"/>
      <c r="AW389" s="471"/>
      <c r="AX389" s="471"/>
    </row>
    <row r="390" spans="1:50" ht="27" customHeight="1" x14ac:dyDescent="0.25">
      <c r="A390" s="462"/>
      <c r="H390" s="929"/>
      <c r="I390" s="388"/>
      <c r="J390" s="929"/>
      <c r="K390" s="388"/>
      <c r="L390" s="929"/>
      <c r="M390" s="388"/>
      <c r="N390" s="929"/>
      <c r="O390" s="388"/>
      <c r="P390" s="388"/>
      <c r="Q390" s="388"/>
      <c r="R390" s="465"/>
      <c r="S390" s="929"/>
      <c r="T390" s="466"/>
      <c r="U390" s="929"/>
      <c r="V390" s="929"/>
      <c r="W390" s="929"/>
      <c r="X390" s="474"/>
      <c r="Y390" s="474"/>
      <c r="Z390" s="474"/>
      <c r="AA390" s="474"/>
      <c r="AB390" s="474"/>
      <c r="AC390" s="388"/>
      <c r="AD390" s="464"/>
      <c r="AE390" s="465"/>
      <c r="AF390" s="388"/>
      <c r="AW390" s="471"/>
      <c r="AX390" s="471"/>
    </row>
    <row r="391" spans="1:50" ht="27" customHeight="1" x14ac:dyDescent="0.25">
      <c r="A391" s="462"/>
      <c r="H391" s="929"/>
      <c r="I391" s="388"/>
      <c r="J391" s="929"/>
      <c r="K391" s="388"/>
      <c r="L391" s="929"/>
      <c r="M391" s="388"/>
      <c r="N391" s="929"/>
      <c r="O391" s="388"/>
      <c r="P391" s="388"/>
      <c r="Q391" s="388"/>
      <c r="R391" s="465"/>
      <c r="S391" s="929"/>
      <c r="T391" s="466"/>
      <c r="U391" s="929"/>
      <c r="V391" s="929"/>
      <c r="W391" s="929"/>
      <c r="X391" s="474"/>
      <c r="Y391" s="474"/>
      <c r="Z391" s="474"/>
      <c r="AA391" s="474"/>
      <c r="AB391" s="474"/>
      <c r="AC391" s="388"/>
      <c r="AD391" s="464"/>
      <c r="AE391" s="465"/>
      <c r="AF391" s="388"/>
      <c r="AW391" s="471"/>
      <c r="AX391" s="471"/>
    </row>
    <row r="392" spans="1:50" ht="27" customHeight="1" x14ac:dyDescent="0.25">
      <c r="A392" s="462"/>
      <c r="H392" s="929"/>
      <c r="I392" s="388"/>
      <c r="J392" s="929"/>
      <c r="K392" s="388"/>
      <c r="L392" s="929"/>
      <c r="M392" s="388"/>
      <c r="N392" s="929"/>
      <c r="O392" s="388"/>
      <c r="P392" s="388"/>
      <c r="Q392" s="388"/>
      <c r="R392" s="465"/>
      <c r="S392" s="929"/>
      <c r="T392" s="466"/>
      <c r="U392" s="929"/>
      <c r="V392" s="929"/>
      <c r="W392" s="929"/>
      <c r="X392" s="474"/>
      <c r="Y392" s="474"/>
      <c r="Z392" s="474"/>
      <c r="AA392" s="474"/>
      <c r="AB392" s="474"/>
      <c r="AC392" s="388"/>
      <c r="AD392" s="464"/>
      <c r="AE392" s="465"/>
      <c r="AF392" s="388"/>
      <c r="AW392" s="471"/>
      <c r="AX392" s="471"/>
    </row>
    <row r="393" spans="1:50" ht="27" customHeight="1" x14ac:dyDescent="0.25">
      <c r="A393" s="462"/>
      <c r="H393" s="929"/>
      <c r="I393" s="388"/>
      <c r="J393" s="929"/>
      <c r="K393" s="388"/>
      <c r="L393" s="929"/>
      <c r="M393" s="388"/>
      <c r="N393" s="929"/>
      <c r="O393" s="388"/>
      <c r="P393" s="388"/>
      <c r="Q393" s="388"/>
      <c r="R393" s="465"/>
      <c r="S393" s="929"/>
      <c r="T393" s="466"/>
      <c r="U393" s="929"/>
      <c r="V393" s="929"/>
      <c r="W393" s="929"/>
      <c r="X393" s="474"/>
      <c r="Y393" s="474"/>
      <c r="Z393" s="474"/>
      <c r="AA393" s="474"/>
      <c r="AB393" s="474"/>
      <c r="AC393" s="388"/>
      <c r="AD393" s="464"/>
      <c r="AE393" s="465"/>
      <c r="AF393" s="388"/>
      <c r="AW393" s="471"/>
      <c r="AX393" s="471"/>
    </row>
    <row r="394" spans="1:50" ht="27" customHeight="1" x14ac:dyDescent="0.25">
      <c r="A394" s="462"/>
      <c r="H394" s="929"/>
      <c r="I394" s="388"/>
      <c r="J394" s="929"/>
      <c r="K394" s="388"/>
      <c r="L394" s="929"/>
      <c r="M394" s="388"/>
      <c r="N394" s="929"/>
      <c r="O394" s="388"/>
      <c r="P394" s="388"/>
      <c r="Q394" s="388"/>
      <c r="R394" s="465"/>
      <c r="S394" s="929"/>
      <c r="T394" s="466"/>
      <c r="U394" s="929"/>
      <c r="V394" s="929"/>
      <c r="W394" s="929"/>
      <c r="X394" s="474"/>
      <c r="Y394" s="474"/>
      <c r="Z394" s="474"/>
      <c r="AA394" s="474"/>
      <c r="AB394" s="474"/>
      <c r="AC394" s="388"/>
      <c r="AD394" s="464"/>
      <c r="AE394" s="465"/>
      <c r="AF394" s="388"/>
      <c r="AW394" s="471"/>
      <c r="AX394" s="471"/>
    </row>
    <row r="395" spans="1:50" ht="27" customHeight="1" x14ac:dyDescent="0.25">
      <c r="A395" s="462"/>
      <c r="H395" s="929"/>
      <c r="I395" s="388"/>
      <c r="J395" s="929"/>
      <c r="K395" s="388"/>
      <c r="L395" s="929"/>
      <c r="M395" s="388"/>
      <c r="N395" s="929"/>
      <c r="O395" s="388"/>
      <c r="P395" s="388"/>
      <c r="Q395" s="388"/>
      <c r="R395" s="465"/>
      <c r="S395" s="929"/>
      <c r="T395" s="466"/>
      <c r="U395" s="929"/>
      <c r="V395" s="929"/>
      <c r="W395" s="929"/>
      <c r="X395" s="474"/>
      <c r="Y395" s="474"/>
      <c r="Z395" s="474"/>
      <c r="AA395" s="474"/>
      <c r="AB395" s="474"/>
      <c r="AC395" s="388"/>
      <c r="AD395" s="464"/>
      <c r="AE395" s="465"/>
      <c r="AF395" s="388"/>
      <c r="AW395" s="471"/>
      <c r="AX395" s="471"/>
    </row>
    <row r="396" spans="1:50" ht="27" customHeight="1" x14ac:dyDescent="0.25">
      <c r="A396" s="462"/>
      <c r="H396" s="929"/>
      <c r="I396" s="388"/>
      <c r="J396" s="929"/>
      <c r="K396" s="388"/>
      <c r="L396" s="929"/>
      <c r="M396" s="388"/>
      <c r="N396" s="929"/>
      <c r="O396" s="388"/>
      <c r="P396" s="388"/>
      <c r="Q396" s="388"/>
      <c r="R396" s="465"/>
      <c r="S396" s="929"/>
      <c r="T396" s="466"/>
      <c r="U396" s="929"/>
      <c r="V396" s="929"/>
      <c r="W396" s="929"/>
      <c r="X396" s="474"/>
      <c r="Y396" s="474"/>
      <c r="Z396" s="474"/>
      <c r="AA396" s="474"/>
      <c r="AB396" s="474"/>
      <c r="AC396" s="388"/>
      <c r="AD396" s="464"/>
      <c r="AE396" s="465"/>
      <c r="AF396" s="388"/>
      <c r="AW396" s="471"/>
      <c r="AX396" s="471"/>
    </row>
    <row r="397" spans="1:50" ht="27" customHeight="1" x14ac:dyDescent="0.25">
      <c r="A397" s="462"/>
      <c r="H397" s="929"/>
      <c r="I397" s="388"/>
      <c r="J397" s="929"/>
      <c r="K397" s="388"/>
      <c r="L397" s="929"/>
      <c r="M397" s="388"/>
      <c r="N397" s="929"/>
      <c r="O397" s="388"/>
      <c r="P397" s="388"/>
      <c r="Q397" s="388"/>
      <c r="R397" s="465"/>
      <c r="S397" s="929"/>
      <c r="T397" s="466"/>
      <c r="U397" s="929"/>
      <c r="V397" s="929"/>
      <c r="W397" s="929"/>
      <c r="X397" s="474"/>
      <c r="Y397" s="474"/>
      <c r="Z397" s="474"/>
      <c r="AA397" s="474"/>
      <c r="AB397" s="474"/>
      <c r="AC397" s="388"/>
      <c r="AD397" s="464"/>
      <c r="AE397" s="465"/>
      <c r="AF397" s="388"/>
      <c r="AW397" s="471"/>
      <c r="AX397" s="471"/>
    </row>
    <row r="398" spans="1:50" ht="27" customHeight="1" x14ac:dyDescent="0.25">
      <c r="A398" s="462"/>
      <c r="H398" s="929"/>
      <c r="I398" s="388"/>
      <c r="J398" s="929"/>
      <c r="K398" s="388"/>
      <c r="L398" s="929"/>
      <c r="M398" s="388"/>
      <c r="N398" s="929"/>
      <c r="O398" s="388"/>
      <c r="P398" s="388"/>
      <c r="Q398" s="388"/>
      <c r="R398" s="465"/>
      <c r="S398" s="929"/>
      <c r="T398" s="466"/>
      <c r="U398" s="929"/>
      <c r="V398" s="929"/>
      <c r="W398" s="929"/>
      <c r="X398" s="474"/>
      <c r="Y398" s="474"/>
      <c r="Z398" s="474"/>
      <c r="AA398" s="474"/>
      <c r="AB398" s="474"/>
      <c r="AC398" s="388"/>
      <c r="AD398" s="464"/>
      <c r="AE398" s="465"/>
      <c r="AF398" s="388"/>
      <c r="AW398" s="471"/>
      <c r="AX398" s="471"/>
    </row>
    <row r="399" spans="1:50" ht="27" customHeight="1" x14ac:dyDescent="0.25">
      <c r="A399" s="462"/>
      <c r="H399" s="929"/>
      <c r="I399" s="388"/>
      <c r="J399" s="929"/>
      <c r="K399" s="388"/>
      <c r="L399" s="929"/>
      <c r="M399" s="388"/>
      <c r="N399" s="929"/>
      <c r="O399" s="388"/>
      <c r="P399" s="388"/>
      <c r="Q399" s="388"/>
      <c r="R399" s="465"/>
      <c r="S399" s="929"/>
      <c r="T399" s="466"/>
      <c r="U399" s="929"/>
      <c r="V399" s="929"/>
      <c r="W399" s="929"/>
      <c r="X399" s="474"/>
      <c r="Y399" s="474"/>
      <c r="Z399" s="474"/>
      <c r="AA399" s="474"/>
      <c r="AB399" s="474"/>
      <c r="AC399" s="388"/>
      <c r="AD399" s="464"/>
      <c r="AE399" s="465"/>
      <c r="AF399" s="388"/>
      <c r="AW399" s="471"/>
      <c r="AX399" s="471"/>
    </row>
    <row r="400" spans="1:50" ht="27" customHeight="1" x14ac:dyDescent="0.25">
      <c r="A400" s="462"/>
      <c r="H400" s="929"/>
      <c r="I400" s="388"/>
      <c r="J400" s="929"/>
      <c r="K400" s="388"/>
      <c r="L400" s="929"/>
      <c r="M400" s="388"/>
      <c r="N400" s="929"/>
      <c r="O400" s="388"/>
      <c r="P400" s="388"/>
      <c r="Q400" s="388"/>
      <c r="R400" s="465"/>
      <c r="S400" s="929"/>
      <c r="T400" s="466"/>
      <c r="U400" s="929"/>
      <c r="V400" s="929"/>
      <c r="W400" s="929"/>
      <c r="X400" s="474"/>
      <c r="Y400" s="474"/>
      <c r="Z400" s="474"/>
      <c r="AA400" s="474"/>
      <c r="AB400" s="474"/>
      <c r="AC400" s="388"/>
      <c r="AD400" s="464"/>
      <c r="AE400" s="465"/>
      <c r="AF400" s="388"/>
      <c r="AW400" s="471"/>
      <c r="AX400" s="471"/>
    </row>
    <row r="401" spans="1:50" ht="27" customHeight="1" x14ac:dyDescent="0.25">
      <c r="A401" s="462"/>
      <c r="H401" s="929"/>
      <c r="I401" s="388"/>
      <c r="J401" s="929"/>
      <c r="K401" s="388"/>
      <c r="L401" s="929"/>
      <c r="M401" s="388"/>
      <c r="N401" s="929"/>
      <c r="O401" s="388"/>
      <c r="P401" s="388"/>
      <c r="Q401" s="388"/>
      <c r="R401" s="465"/>
      <c r="S401" s="929"/>
      <c r="T401" s="466"/>
      <c r="U401" s="929"/>
      <c r="V401" s="929"/>
      <c r="W401" s="929"/>
      <c r="X401" s="474"/>
      <c r="Y401" s="474"/>
      <c r="Z401" s="474"/>
      <c r="AA401" s="474"/>
      <c r="AB401" s="474"/>
      <c r="AC401" s="388"/>
      <c r="AD401" s="464"/>
      <c r="AE401" s="465"/>
      <c r="AF401" s="388"/>
      <c r="AW401" s="471"/>
      <c r="AX401" s="471"/>
    </row>
    <row r="402" spans="1:50" ht="27" customHeight="1" x14ac:dyDescent="0.25">
      <c r="A402" s="462"/>
      <c r="H402" s="929"/>
      <c r="I402" s="388"/>
      <c r="J402" s="929"/>
      <c r="K402" s="388"/>
      <c r="L402" s="929"/>
      <c r="M402" s="388"/>
      <c r="N402" s="929"/>
      <c r="O402" s="388"/>
      <c r="P402" s="388"/>
      <c r="Q402" s="388"/>
      <c r="R402" s="465"/>
      <c r="S402" s="929"/>
      <c r="T402" s="466"/>
      <c r="U402" s="929"/>
      <c r="V402" s="929"/>
      <c r="W402" s="929"/>
      <c r="X402" s="474"/>
      <c r="Y402" s="474"/>
      <c r="Z402" s="474"/>
      <c r="AA402" s="474"/>
      <c r="AB402" s="474"/>
      <c r="AC402" s="388"/>
      <c r="AD402" s="464"/>
      <c r="AE402" s="465"/>
      <c r="AF402" s="388"/>
      <c r="AW402" s="471"/>
      <c r="AX402" s="471"/>
    </row>
    <row r="403" spans="1:50" ht="27" customHeight="1" x14ac:dyDescent="0.25">
      <c r="A403" s="462"/>
      <c r="H403" s="929"/>
      <c r="I403" s="388"/>
      <c r="J403" s="929"/>
      <c r="K403" s="388"/>
      <c r="L403" s="929"/>
      <c r="M403" s="388"/>
      <c r="N403" s="929"/>
      <c r="O403" s="388"/>
      <c r="P403" s="388"/>
      <c r="Q403" s="388"/>
      <c r="R403" s="465"/>
      <c r="S403" s="929"/>
      <c r="T403" s="466"/>
      <c r="U403" s="929"/>
      <c r="V403" s="929"/>
      <c r="W403" s="929"/>
      <c r="X403" s="474"/>
      <c r="Y403" s="474"/>
      <c r="Z403" s="474"/>
      <c r="AA403" s="474"/>
      <c r="AB403" s="474"/>
      <c r="AC403" s="388"/>
      <c r="AD403" s="464"/>
      <c r="AE403" s="465"/>
      <c r="AF403" s="388"/>
      <c r="AW403" s="471"/>
      <c r="AX403" s="471"/>
    </row>
    <row r="404" spans="1:50" ht="27" customHeight="1" x14ac:dyDescent="0.25">
      <c r="A404" s="462"/>
      <c r="H404" s="929"/>
      <c r="I404" s="388"/>
      <c r="J404" s="929"/>
      <c r="K404" s="388"/>
      <c r="L404" s="929"/>
      <c r="M404" s="388"/>
      <c r="N404" s="929"/>
      <c r="O404" s="388"/>
      <c r="P404" s="388"/>
      <c r="Q404" s="388"/>
      <c r="R404" s="465"/>
      <c r="S404" s="929"/>
      <c r="T404" s="466"/>
      <c r="U404" s="929"/>
      <c r="V404" s="929"/>
      <c r="W404" s="929"/>
      <c r="X404" s="474"/>
      <c r="Y404" s="474"/>
      <c r="Z404" s="474"/>
      <c r="AA404" s="474"/>
      <c r="AB404" s="474"/>
      <c r="AC404" s="388"/>
      <c r="AD404" s="464"/>
      <c r="AE404" s="465"/>
      <c r="AF404" s="388"/>
      <c r="AW404" s="471"/>
      <c r="AX404" s="471"/>
    </row>
    <row r="405" spans="1:50" ht="27" customHeight="1" x14ac:dyDescent="0.25">
      <c r="A405" s="462"/>
      <c r="H405" s="929"/>
      <c r="I405" s="388"/>
      <c r="J405" s="929"/>
      <c r="K405" s="388"/>
      <c r="L405" s="929"/>
      <c r="M405" s="388"/>
      <c r="N405" s="929"/>
      <c r="O405" s="388"/>
      <c r="P405" s="388"/>
      <c r="Q405" s="388"/>
      <c r="R405" s="465"/>
      <c r="S405" s="929"/>
      <c r="T405" s="466"/>
      <c r="U405" s="929"/>
      <c r="V405" s="929"/>
      <c r="W405" s="929"/>
      <c r="X405" s="474"/>
      <c r="Y405" s="474"/>
      <c r="Z405" s="474"/>
      <c r="AA405" s="474"/>
      <c r="AB405" s="474"/>
      <c r="AC405" s="388"/>
      <c r="AD405" s="464"/>
      <c r="AE405" s="465"/>
      <c r="AF405" s="388"/>
      <c r="AW405" s="471"/>
      <c r="AX405" s="471"/>
    </row>
    <row r="406" spans="1:50" ht="27" customHeight="1" x14ac:dyDescent="0.25">
      <c r="A406" s="462"/>
      <c r="H406" s="929"/>
      <c r="I406" s="388"/>
      <c r="J406" s="929"/>
      <c r="K406" s="388"/>
      <c r="L406" s="929"/>
      <c r="M406" s="388"/>
      <c r="N406" s="929"/>
      <c r="O406" s="388"/>
      <c r="P406" s="388"/>
      <c r="Q406" s="388"/>
      <c r="R406" s="465"/>
      <c r="S406" s="929"/>
      <c r="T406" s="466"/>
      <c r="U406" s="929"/>
      <c r="V406" s="929"/>
      <c r="W406" s="929"/>
      <c r="X406" s="474"/>
      <c r="Y406" s="474"/>
      <c r="Z406" s="474"/>
      <c r="AA406" s="474"/>
      <c r="AB406" s="474"/>
      <c r="AC406" s="388"/>
      <c r="AD406" s="464"/>
      <c r="AE406" s="465"/>
      <c r="AF406" s="388"/>
      <c r="AW406" s="471"/>
      <c r="AX406" s="471"/>
    </row>
    <row r="407" spans="1:50" ht="27" customHeight="1" x14ac:dyDescent="0.25">
      <c r="A407" s="462"/>
      <c r="H407" s="929"/>
      <c r="I407" s="388"/>
      <c r="J407" s="929"/>
      <c r="K407" s="388"/>
      <c r="L407" s="929"/>
      <c r="M407" s="388"/>
      <c r="N407" s="929"/>
      <c r="O407" s="388"/>
      <c r="P407" s="388"/>
      <c r="Q407" s="388"/>
      <c r="R407" s="465"/>
      <c r="S407" s="929"/>
      <c r="T407" s="466"/>
      <c r="U407" s="929"/>
      <c r="V407" s="929"/>
      <c r="W407" s="929"/>
      <c r="X407" s="474"/>
      <c r="Y407" s="474"/>
      <c r="Z407" s="474"/>
      <c r="AA407" s="474"/>
      <c r="AB407" s="474"/>
      <c r="AC407" s="388"/>
      <c r="AD407" s="464"/>
      <c r="AE407" s="465"/>
      <c r="AF407" s="388"/>
      <c r="AW407" s="471"/>
      <c r="AX407" s="471"/>
    </row>
    <row r="408" spans="1:50" ht="27" customHeight="1" x14ac:dyDescent="0.25">
      <c r="A408" s="462"/>
      <c r="H408" s="929"/>
      <c r="I408" s="388"/>
      <c r="J408" s="929"/>
      <c r="K408" s="388"/>
      <c r="L408" s="929"/>
      <c r="M408" s="388"/>
      <c r="N408" s="929"/>
      <c r="O408" s="388"/>
      <c r="P408" s="388"/>
      <c r="Q408" s="388"/>
      <c r="R408" s="465"/>
      <c r="S408" s="929"/>
      <c r="T408" s="466"/>
      <c r="U408" s="929"/>
      <c r="V408" s="929"/>
      <c r="W408" s="929"/>
      <c r="X408" s="474"/>
      <c r="Y408" s="474"/>
      <c r="Z408" s="474"/>
      <c r="AA408" s="474"/>
      <c r="AB408" s="474"/>
      <c r="AC408" s="388"/>
      <c r="AD408" s="464"/>
      <c r="AE408" s="465"/>
      <c r="AF408" s="388"/>
      <c r="AW408" s="471"/>
      <c r="AX408" s="471"/>
    </row>
    <row r="409" spans="1:50" ht="27" customHeight="1" x14ac:dyDescent="0.25">
      <c r="A409" s="462"/>
      <c r="H409" s="929"/>
      <c r="I409" s="388"/>
      <c r="J409" s="929"/>
      <c r="K409" s="388"/>
      <c r="L409" s="929"/>
      <c r="M409" s="388"/>
      <c r="N409" s="929"/>
      <c r="O409" s="388"/>
      <c r="P409" s="388"/>
      <c r="Q409" s="388"/>
      <c r="R409" s="465"/>
      <c r="S409" s="929"/>
      <c r="T409" s="466"/>
      <c r="U409" s="929"/>
      <c r="V409" s="929"/>
      <c r="W409" s="929"/>
      <c r="X409" s="474"/>
      <c r="Y409" s="474"/>
      <c r="Z409" s="474"/>
      <c r="AA409" s="474"/>
      <c r="AB409" s="474"/>
      <c r="AC409" s="388"/>
      <c r="AD409" s="464"/>
      <c r="AE409" s="465"/>
      <c r="AF409" s="388"/>
      <c r="AW409" s="471"/>
      <c r="AX409" s="471"/>
    </row>
    <row r="410" spans="1:50" ht="27" customHeight="1" x14ac:dyDescent="0.25">
      <c r="A410" s="462"/>
      <c r="H410" s="929"/>
      <c r="I410" s="388"/>
      <c r="J410" s="929"/>
      <c r="K410" s="388"/>
      <c r="L410" s="929"/>
      <c r="M410" s="388"/>
      <c r="N410" s="929"/>
      <c r="O410" s="388"/>
      <c r="P410" s="388"/>
      <c r="Q410" s="388"/>
      <c r="R410" s="465"/>
      <c r="S410" s="929"/>
      <c r="T410" s="466"/>
      <c r="U410" s="929"/>
      <c r="V410" s="929"/>
      <c r="W410" s="929"/>
      <c r="X410" s="474"/>
      <c r="Y410" s="474"/>
      <c r="Z410" s="474"/>
      <c r="AA410" s="474"/>
      <c r="AB410" s="474"/>
      <c r="AC410" s="388"/>
      <c r="AD410" s="464"/>
      <c r="AE410" s="465"/>
      <c r="AF410" s="388"/>
      <c r="AW410" s="471"/>
      <c r="AX410" s="471"/>
    </row>
    <row r="411" spans="1:50" ht="27" customHeight="1" x14ac:dyDescent="0.25">
      <c r="A411" s="462"/>
      <c r="H411" s="929"/>
      <c r="I411" s="388"/>
      <c r="J411" s="929"/>
      <c r="K411" s="388"/>
      <c r="L411" s="929"/>
      <c r="M411" s="388"/>
      <c r="N411" s="929"/>
      <c r="O411" s="388"/>
      <c r="P411" s="388"/>
      <c r="Q411" s="388"/>
      <c r="R411" s="465"/>
      <c r="S411" s="929"/>
      <c r="T411" s="466"/>
      <c r="U411" s="929"/>
      <c r="V411" s="929"/>
      <c r="W411" s="929"/>
      <c r="X411" s="474"/>
      <c r="Y411" s="474"/>
      <c r="Z411" s="474"/>
      <c r="AA411" s="474"/>
      <c r="AB411" s="474"/>
      <c r="AC411" s="388"/>
      <c r="AD411" s="464"/>
      <c r="AE411" s="465"/>
      <c r="AF411" s="388"/>
      <c r="AW411" s="471"/>
      <c r="AX411" s="471"/>
    </row>
    <row r="412" spans="1:50" ht="27" customHeight="1" x14ac:dyDescent="0.25">
      <c r="A412" s="462"/>
      <c r="H412" s="929"/>
      <c r="I412" s="388"/>
      <c r="J412" s="929"/>
      <c r="K412" s="388"/>
      <c r="L412" s="929"/>
      <c r="M412" s="388"/>
      <c r="N412" s="929"/>
      <c r="O412" s="388"/>
      <c r="P412" s="388"/>
      <c r="Q412" s="388"/>
      <c r="R412" s="465"/>
      <c r="S412" s="929"/>
      <c r="T412" s="466"/>
      <c r="U412" s="929"/>
      <c r="V412" s="929"/>
      <c r="W412" s="929"/>
      <c r="X412" s="474"/>
      <c r="Y412" s="474"/>
      <c r="Z412" s="474"/>
      <c r="AA412" s="474"/>
      <c r="AB412" s="474"/>
      <c r="AC412" s="388"/>
      <c r="AD412" s="464"/>
      <c r="AE412" s="465"/>
      <c r="AF412" s="388"/>
      <c r="AW412" s="471"/>
      <c r="AX412" s="471"/>
    </row>
    <row r="413" spans="1:50" ht="27" customHeight="1" x14ac:dyDescent="0.25">
      <c r="A413" s="462"/>
      <c r="H413" s="929"/>
      <c r="I413" s="388"/>
      <c r="J413" s="929"/>
      <c r="K413" s="388"/>
      <c r="L413" s="929"/>
      <c r="M413" s="388"/>
      <c r="N413" s="929"/>
      <c r="O413" s="388"/>
      <c r="P413" s="388"/>
      <c r="Q413" s="388"/>
      <c r="R413" s="465"/>
      <c r="S413" s="929"/>
      <c r="T413" s="466"/>
      <c r="U413" s="929"/>
      <c r="V413" s="929"/>
      <c r="W413" s="929"/>
      <c r="X413" s="474"/>
      <c r="Y413" s="474"/>
      <c r="Z413" s="474"/>
      <c r="AA413" s="474"/>
      <c r="AB413" s="474"/>
      <c r="AC413" s="388"/>
      <c r="AD413" s="464"/>
      <c r="AE413" s="465"/>
      <c r="AF413" s="388"/>
      <c r="AW413" s="471"/>
      <c r="AX413" s="471"/>
    </row>
    <row r="414" spans="1:50" ht="27" customHeight="1" x14ac:dyDescent="0.25">
      <c r="A414" s="462"/>
      <c r="H414" s="929"/>
      <c r="I414" s="388"/>
      <c r="J414" s="929"/>
      <c r="K414" s="388"/>
      <c r="L414" s="929"/>
      <c r="M414" s="388"/>
      <c r="N414" s="929"/>
      <c r="O414" s="388"/>
      <c r="P414" s="388"/>
      <c r="Q414" s="388"/>
      <c r="R414" s="465"/>
      <c r="S414" s="929"/>
      <c r="T414" s="466"/>
      <c r="U414" s="929"/>
      <c r="V414" s="929"/>
      <c r="W414" s="929"/>
      <c r="X414" s="474"/>
      <c r="Y414" s="474"/>
      <c r="Z414" s="474"/>
      <c r="AA414" s="474"/>
      <c r="AB414" s="474"/>
      <c r="AC414" s="388"/>
      <c r="AD414" s="464"/>
      <c r="AE414" s="465"/>
      <c r="AF414" s="388"/>
      <c r="AW414" s="471"/>
      <c r="AX414" s="471"/>
    </row>
    <row r="415" spans="1:50" ht="27" customHeight="1" x14ac:dyDescent="0.25">
      <c r="A415" s="462"/>
      <c r="H415" s="929"/>
      <c r="I415" s="388"/>
      <c r="J415" s="929"/>
      <c r="K415" s="388"/>
      <c r="L415" s="929"/>
      <c r="M415" s="388"/>
      <c r="N415" s="929"/>
      <c r="O415" s="388"/>
      <c r="P415" s="388"/>
      <c r="Q415" s="388"/>
      <c r="R415" s="465"/>
      <c r="S415" s="929"/>
      <c r="T415" s="466"/>
      <c r="U415" s="929"/>
      <c r="V415" s="929"/>
      <c r="W415" s="929"/>
      <c r="X415" s="474"/>
      <c r="Y415" s="474"/>
      <c r="Z415" s="474"/>
      <c r="AA415" s="474"/>
      <c r="AB415" s="474"/>
      <c r="AC415" s="388"/>
      <c r="AD415" s="464"/>
      <c r="AE415" s="465"/>
      <c r="AF415" s="388"/>
      <c r="AW415" s="471"/>
      <c r="AX415" s="471"/>
    </row>
    <row r="416" spans="1:50" ht="27" customHeight="1" x14ac:dyDescent="0.25">
      <c r="A416" s="462"/>
      <c r="H416" s="929"/>
      <c r="I416" s="388"/>
      <c r="J416" s="929"/>
      <c r="K416" s="388"/>
      <c r="L416" s="929"/>
      <c r="M416" s="388"/>
      <c r="N416" s="929"/>
      <c r="O416" s="388"/>
      <c r="P416" s="388"/>
      <c r="Q416" s="388"/>
      <c r="R416" s="465"/>
      <c r="S416" s="929"/>
      <c r="T416" s="466"/>
      <c r="U416" s="929"/>
      <c r="V416" s="929"/>
      <c r="W416" s="929"/>
      <c r="X416" s="474"/>
      <c r="Y416" s="474"/>
      <c r="Z416" s="474"/>
      <c r="AA416" s="474"/>
      <c r="AB416" s="474"/>
      <c r="AC416" s="388"/>
      <c r="AD416" s="464"/>
      <c r="AE416" s="465"/>
      <c r="AF416" s="388"/>
      <c r="AW416" s="471"/>
      <c r="AX416" s="471"/>
    </row>
    <row r="417" spans="1:50" ht="27" customHeight="1" x14ac:dyDescent="0.25">
      <c r="A417" s="462"/>
      <c r="H417" s="929"/>
      <c r="I417" s="388"/>
      <c r="J417" s="929"/>
      <c r="K417" s="388"/>
      <c r="L417" s="929"/>
      <c r="M417" s="388"/>
      <c r="N417" s="929"/>
      <c r="O417" s="388"/>
      <c r="P417" s="388"/>
      <c r="Q417" s="388"/>
      <c r="R417" s="465"/>
      <c r="S417" s="929"/>
      <c r="T417" s="466"/>
      <c r="U417" s="929"/>
      <c r="V417" s="929"/>
      <c r="W417" s="929"/>
      <c r="X417" s="474"/>
      <c r="Y417" s="474"/>
      <c r="Z417" s="474"/>
      <c r="AA417" s="474"/>
      <c r="AB417" s="474"/>
      <c r="AC417" s="388"/>
      <c r="AD417" s="464"/>
      <c r="AE417" s="465"/>
      <c r="AF417" s="388"/>
      <c r="AW417" s="471"/>
      <c r="AX417" s="471"/>
    </row>
    <row r="418" spans="1:50" ht="27" customHeight="1" x14ac:dyDescent="0.25">
      <c r="A418" s="462"/>
      <c r="H418" s="929"/>
      <c r="I418" s="388"/>
      <c r="J418" s="929"/>
      <c r="K418" s="388"/>
      <c r="L418" s="929"/>
      <c r="M418" s="388"/>
      <c r="N418" s="929"/>
      <c r="O418" s="388"/>
      <c r="P418" s="388"/>
      <c r="Q418" s="388"/>
      <c r="R418" s="465"/>
      <c r="S418" s="929"/>
      <c r="T418" s="466"/>
      <c r="U418" s="929"/>
      <c r="V418" s="929"/>
      <c r="W418" s="929"/>
      <c r="X418" s="474"/>
      <c r="Y418" s="474"/>
      <c r="Z418" s="474"/>
      <c r="AA418" s="474"/>
      <c r="AB418" s="474"/>
      <c r="AC418" s="388"/>
      <c r="AD418" s="464"/>
      <c r="AE418" s="465"/>
      <c r="AF418" s="388"/>
      <c r="AW418" s="471"/>
      <c r="AX418" s="471"/>
    </row>
    <row r="419" spans="1:50" ht="27" customHeight="1" x14ac:dyDescent="0.25">
      <c r="A419" s="462"/>
      <c r="H419" s="929"/>
      <c r="I419" s="388"/>
      <c r="J419" s="929"/>
      <c r="K419" s="388"/>
      <c r="L419" s="929"/>
      <c r="M419" s="388"/>
      <c r="N419" s="929"/>
      <c r="O419" s="388"/>
      <c r="P419" s="388"/>
      <c r="Q419" s="388"/>
      <c r="R419" s="465"/>
      <c r="S419" s="929"/>
      <c r="T419" s="466"/>
      <c r="U419" s="929"/>
      <c r="V419" s="929"/>
      <c r="W419" s="929"/>
      <c r="X419" s="474"/>
      <c r="Y419" s="474"/>
      <c r="Z419" s="474"/>
      <c r="AA419" s="474"/>
      <c r="AB419" s="474"/>
      <c r="AC419" s="388"/>
      <c r="AD419" s="464"/>
      <c r="AE419" s="465"/>
      <c r="AF419" s="388"/>
      <c r="AW419" s="471"/>
      <c r="AX419" s="471"/>
    </row>
    <row r="420" spans="1:50" ht="27" customHeight="1" x14ac:dyDescent="0.25">
      <c r="A420" s="462"/>
      <c r="H420" s="929"/>
      <c r="I420" s="388"/>
      <c r="J420" s="929"/>
      <c r="K420" s="388"/>
      <c r="L420" s="929"/>
      <c r="M420" s="388"/>
      <c r="N420" s="929"/>
      <c r="O420" s="388"/>
      <c r="P420" s="388"/>
      <c r="Q420" s="388"/>
      <c r="R420" s="465"/>
      <c r="S420" s="929"/>
      <c r="T420" s="466"/>
      <c r="U420" s="929"/>
      <c r="V420" s="929"/>
      <c r="W420" s="929"/>
      <c r="X420" s="474"/>
      <c r="Y420" s="474"/>
      <c r="Z420" s="474"/>
      <c r="AA420" s="474"/>
      <c r="AB420" s="474"/>
      <c r="AC420" s="388"/>
      <c r="AD420" s="464"/>
      <c r="AE420" s="465"/>
      <c r="AF420" s="388"/>
      <c r="AW420" s="471"/>
      <c r="AX420" s="471"/>
    </row>
    <row r="421" spans="1:50" ht="27" customHeight="1" x14ac:dyDescent="0.25">
      <c r="A421" s="462"/>
      <c r="H421" s="929"/>
      <c r="I421" s="388"/>
      <c r="J421" s="929"/>
      <c r="K421" s="388"/>
      <c r="L421" s="929"/>
      <c r="M421" s="388"/>
      <c r="N421" s="929"/>
      <c r="O421" s="388"/>
      <c r="P421" s="388"/>
      <c r="Q421" s="388"/>
      <c r="R421" s="465"/>
      <c r="S421" s="929"/>
      <c r="T421" s="466"/>
      <c r="U421" s="929"/>
      <c r="V421" s="929"/>
      <c r="W421" s="929"/>
      <c r="X421" s="474"/>
      <c r="Y421" s="474"/>
      <c r="Z421" s="474"/>
      <c r="AA421" s="474"/>
      <c r="AB421" s="474"/>
      <c r="AC421" s="388"/>
      <c r="AD421" s="464"/>
      <c r="AE421" s="465"/>
      <c r="AF421" s="388"/>
      <c r="AW421" s="471"/>
      <c r="AX421" s="471"/>
    </row>
    <row r="422" spans="1:50" ht="27" customHeight="1" x14ac:dyDescent="0.25">
      <c r="A422" s="462"/>
      <c r="H422" s="929"/>
      <c r="I422" s="388"/>
      <c r="J422" s="929"/>
      <c r="K422" s="388"/>
      <c r="L422" s="929"/>
      <c r="M422" s="388"/>
      <c r="N422" s="929"/>
      <c r="O422" s="388"/>
      <c r="P422" s="388"/>
      <c r="Q422" s="388"/>
      <c r="R422" s="465"/>
      <c r="S422" s="929"/>
      <c r="T422" s="466"/>
      <c r="U422" s="929"/>
      <c r="V422" s="929"/>
      <c r="W422" s="929"/>
      <c r="X422" s="474"/>
      <c r="Y422" s="474"/>
      <c r="Z422" s="474"/>
      <c r="AA422" s="474"/>
      <c r="AB422" s="474"/>
      <c r="AC422" s="388"/>
      <c r="AD422" s="464"/>
      <c r="AE422" s="465"/>
      <c r="AF422" s="388"/>
      <c r="AW422" s="471"/>
      <c r="AX422" s="471"/>
    </row>
    <row r="423" spans="1:50" ht="27" customHeight="1" x14ac:dyDescent="0.25">
      <c r="A423" s="462"/>
      <c r="H423" s="929"/>
      <c r="I423" s="388"/>
      <c r="J423" s="929"/>
      <c r="K423" s="388"/>
      <c r="L423" s="929"/>
      <c r="M423" s="388"/>
      <c r="N423" s="929"/>
      <c r="O423" s="388"/>
      <c r="P423" s="388"/>
      <c r="Q423" s="388"/>
      <c r="R423" s="465"/>
      <c r="S423" s="929"/>
      <c r="T423" s="466"/>
      <c r="U423" s="929"/>
      <c r="V423" s="929"/>
      <c r="W423" s="929"/>
      <c r="X423" s="474"/>
      <c r="Y423" s="474"/>
      <c r="Z423" s="474"/>
      <c r="AA423" s="474"/>
      <c r="AB423" s="474"/>
      <c r="AC423" s="388"/>
      <c r="AD423" s="464"/>
      <c r="AE423" s="465"/>
      <c r="AF423" s="388"/>
      <c r="AW423" s="471"/>
      <c r="AX423" s="471"/>
    </row>
    <row r="424" spans="1:50" ht="27" customHeight="1" x14ac:dyDescent="0.25">
      <c r="A424" s="462"/>
      <c r="H424" s="929"/>
      <c r="I424" s="388"/>
      <c r="J424" s="929"/>
      <c r="K424" s="388"/>
      <c r="L424" s="929"/>
      <c r="M424" s="388"/>
      <c r="N424" s="929"/>
      <c r="O424" s="388"/>
      <c r="P424" s="388"/>
      <c r="Q424" s="388"/>
      <c r="R424" s="465"/>
      <c r="S424" s="929"/>
      <c r="T424" s="466"/>
      <c r="U424" s="929"/>
      <c r="V424" s="929"/>
      <c r="W424" s="929"/>
      <c r="X424" s="474"/>
      <c r="Y424" s="474"/>
      <c r="Z424" s="474"/>
      <c r="AA424" s="474"/>
      <c r="AB424" s="474"/>
      <c r="AC424" s="388"/>
      <c r="AD424" s="464"/>
      <c r="AE424" s="465"/>
      <c r="AF424" s="388"/>
      <c r="AW424" s="471"/>
      <c r="AX424" s="471"/>
    </row>
    <row r="425" spans="1:50" ht="27" customHeight="1" x14ac:dyDescent="0.25">
      <c r="A425" s="462"/>
      <c r="H425" s="929"/>
      <c r="I425" s="388"/>
      <c r="J425" s="929"/>
      <c r="K425" s="388"/>
      <c r="L425" s="929"/>
      <c r="M425" s="388"/>
      <c r="N425" s="929"/>
      <c r="O425" s="388"/>
      <c r="P425" s="388"/>
      <c r="Q425" s="388"/>
      <c r="R425" s="465"/>
      <c r="S425" s="929"/>
      <c r="T425" s="466"/>
      <c r="U425" s="929"/>
      <c r="V425" s="929"/>
      <c r="W425" s="929"/>
      <c r="X425" s="474"/>
      <c r="Y425" s="474"/>
      <c r="Z425" s="474"/>
      <c r="AA425" s="474"/>
      <c r="AB425" s="474"/>
      <c r="AC425" s="388"/>
      <c r="AD425" s="464"/>
      <c r="AE425" s="465"/>
      <c r="AF425" s="388"/>
      <c r="AW425" s="471"/>
      <c r="AX425" s="471"/>
    </row>
    <row r="426" spans="1:50" ht="27" customHeight="1" x14ac:dyDescent="0.25">
      <c r="A426" s="462"/>
      <c r="H426" s="929"/>
      <c r="I426" s="388"/>
      <c r="J426" s="929"/>
      <c r="K426" s="388"/>
      <c r="L426" s="929"/>
      <c r="M426" s="388"/>
      <c r="N426" s="929"/>
      <c r="O426" s="388"/>
      <c r="P426" s="388"/>
      <c r="Q426" s="388"/>
      <c r="R426" s="465"/>
      <c r="S426" s="929"/>
      <c r="T426" s="466"/>
      <c r="U426" s="929"/>
      <c r="V426" s="929"/>
      <c r="W426" s="929"/>
      <c r="X426" s="474"/>
      <c r="Y426" s="474"/>
      <c r="Z426" s="474"/>
      <c r="AA426" s="474"/>
      <c r="AB426" s="474"/>
      <c r="AC426" s="388"/>
      <c r="AD426" s="464"/>
      <c r="AE426" s="465"/>
      <c r="AF426" s="388"/>
      <c r="AW426" s="471"/>
      <c r="AX426" s="471"/>
    </row>
    <row r="427" spans="1:50" ht="27" customHeight="1" x14ac:dyDescent="0.25">
      <c r="A427" s="462"/>
      <c r="H427" s="929"/>
      <c r="I427" s="388"/>
      <c r="J427" s="929"/>
      <c r="K427" s="388"/>
      <c r="L427" s="929"/>
      <c r="M427" s="388"/>
      <c r="N427" s="929"/>
      <c r="O427" s="388"/>
      <c r="P427" s="388"/>
      <c r="Q427" s="388"/>
      <c r="R427" s="465"/>
      <c r="S427" s="929"/>
      <c r="T427" s="466"/>
      <c r="U427" s="929"/>
      <c r="V427" s="929"/>
      <c r="W427" s="929"/>
      <c r="X427" s="474"/>
      <c r="Y427" s="474"/>
      <c r="Z427" s="474"/>
      <c r="AA427" s="474"/>
      <c r="AB427" s="474"/>
      <c r="AC427" s="388"/>
      <c r="AD427" s="464"/>
      <c r="AE427" s="465"/>
      <c r="AF427" s="388"/>
      <c r="AW427" s="471"/>
      <c r="AX427" s="471"/>
    </row>
    <row r="428" spans="1:50" ht="27" customHeight="1" x14ac:dyDescent="0.25">
      <c r="A428" s="462"/>
      <c r="H428" s="929"/>
      <c r="I428" s="388"/>
      <c r="J428" s="929"/>
      <c r="K428" s="388"/>
      <c r="L428" s="929"/>
      <c r="M428" s="388"/>
      <c r="N428" s="929"/>
      <c r="O428" s="388"/>
      <c r="P428" s="388"/>
      <c r="Q428" s="388"/>
      <c r="R428" s="465"/>
      <c r="S428" s="929"/>
      <c r="T428" s="466"/>
      <c r="U428" s="929"/>
      <c r="V428" s="929"/>
      <c r="W428" s="929"/>
      <c r="X428" s="474"/>
      <c r="Y428" s="474"/>
      <c r="Z428" s="474"/>
      <c r="AA428" s="474"/>
      <c r="AB428" s="474"/>
      <c r="AC428" s="388"/>
      <c r="AD428" s="464"/>
      <c r="AE428" s="465"/>
      <c r="AF428" s="388"/>
      <c r="AW428" s="471"/>
      <c r="AX428" s="471"/>
    </row>
    <row r="429" spans="1:50" ht="27" customHeight="1" x14ac:dyDescent="0.25">
      <c r="A429" s="462"/>
      <c r="H429" s="929"/>
      <c r="I429" s="388"/>
      <c r="J429" s="929"/>
      <c r="K429" s="388"/>
      <c r="L429" s="929"/>
      <c r="M429" s="388"/>
      <c r="N429" s="929"/>
      <c r="O429" s="388"/>
      <c r="P429" s="388"/>
      <c r="Q429" s="388"/>
      <c r="R429" s="465"/>
      <c r="S429" s="929"/>
      <c r="T429" s="466"/>
      <c r="U429" s="929"/>
      <c r="V429" s="929"/>
      <c r="W429" s="929"/>
      <c r="X429" s="474"/>
      <c r="Y429" s="474"/>
      <c r="Z429" s="474"/>
      <c r="AA429" s="474"/>
      <c r="AB429" s="474"/>
      <c r="AC429" s="388"/>
      <c r="AD429" s="464"/>
      <c r="AE429" s="465"/>
      <c r="AF429" s="388"/>
      <c r="AW429" s="471"/>
      <c r="AX429" s="471"/>
    </row>
    <row r="430" spans="1:50" ht="27" customHeight="1" x14ac:dyDescent="0.25">
      <c r="A430" s="462"/>
      <c r="H430" s="929"/>
      <c r="I430" s="388"/>
      <c r="J430" s="929"/>
      <c r="K430" s="388"/>
      <c r="L430" s="929"/>
      <c r="M430" s="388"/>
      <c r="N430" s="929"/>
      <c r="O430" s="388"/>
      <c r="P430" s="388"/>
      <c r="Q430" s="388"/>
      <c r="R430" s="465"/>
      <c r="S430" s="929"/>
      <c r="T430" s="466"/>
      <c r="U430" s="929"/>
      <c r="V430" s="929"/>
      <c r="W430" s="929"/>
      <c r="X430" s="474"/>
      <c r="Y430" s="474"/>
      <c r="Z430" s="474"/>
      <c r="AA430" s="474"/>
      <c r="AB430" s="474"/>
      <c r="AC430" s="388"/>
      <c r="AD430" s="464"/>
      <c r="AE430" s="465"/>
      <c r="AF430" s="388"/>
      <c r="AW430" s="471"/>
      <c r="AX430" s="471"/>
    </row>
    <row r="431" spans="1:50" ht="27" customHeight="1" x14ac:dyDescent="0.25">
      <c r="A431" s="462"/>
      <c r="H431" s="929"/>
      <c r="I431" s="388"/>
      <c r="J431" s="929"/>
      <c r="K431" s="388"/>
      <c r="L431" s="929"/>
      <c r="M431" s="388"/>
      <c r="N431" s="929"/>
      <c r="O431" s="388"/>
      <c r="P431" s="388"/>
      <c r="Q431" s="388"/>
      <c r="R431" s="465"/>
      <c r="S431" s="929"/>
      <c r="T431" s="466"/>
      <c r="U431" s="929"/>
      <c r="V431" s="929"/>
      <c r="W431" s="929"/>
      <c r="X431" s="474"/>
      <c r="Y431" s="474"/>
      <c r="Z431" s="474"/>
      <c r="AA431" s="474"/>
      <c r="AB431" s="474"/>
      <c r="AC431" s="388"/>
      <c r="AD431" s="464"/>
      <c r="AE431" s="465"/>
      <c r="AF431" s="388"/>
      <c r="AW431" s="471"/>
      <c r="AX431" s="471"/>
    </row>
    <row r="432" spans="1:50" ht="27" customHeight="1" x14ac:dyDescent="0.25">
      <c r="A432" s="462"/>
      <c r="H432" s="929"/>
      <c r="I432" s="388"/>
      <c r="J432" s="929"/>
      <c r="K432" s="388"/>
      <c r="L432" s="929"/>
      <c r="M432" s="388"/>
      <c r="N432" s="929"/>
      <c r="O432" s="388"/>
      <c r="P432" s="388"/>
      <c r="Q432" s="388"/>
      <c r="R432" s="465"/>
      <c r="S432" s="929"/>
      <c r="T432" s="466"/>
      <c r="U432" s="929"/>
      <c r="V432" s="929"/>
      <c r="W432" s="929"/>
      <c r="X432" s="474"/>
      <c r="Y432" s="474"/>
      <c r="Z432" s="474"/>
      <c r="AA432" s="474"/>
      <c r="AB432" s="474"/>
      <c r="AC432" s="388"/>
      <c r="AD432" s="464"/>
      <c r="AE432" s="465"/>
      <c r="AF432" s="388"/>
      <c r="AW432" s="471"/>
      <c r="AX432" s="471"/>
    </row>
    <row r="433" spans="1:50" ht="27" customHeight="1" x14ac:dyDescent="0.25">
      <c r="A433" s="462"/>
      <c r="H433" s="929"/>
      <c r="I433" s="388"/>
      <c r="J433" s="929"/>
      <c r="K433" s="388"/>
      <c r="L433" s="929"/>
      <c r="M433" s="388"/>
      <c r="N433" s="929"/>
      <c r="O433" s="388"/>
      <c r="P433" s="388"/>
      <c r="Q433" s="388"/>
      <c r="R433" s="465"/>
      <c r="S433" s="929"/>
      <c r="T433" s="466"/>
      <c r="U433" s="929"/>
      <c r="V433" s="929"/>
      <c r="W433" s="929"/>
      <c r="X433" s="474"/>
      <c r="Y433" s="474"/>
      <c r="Z433" s="474"/>
      <c r="AA433" s="474"/>
      <c r="AB433" s="474"/>
      <c r="AC433" s="388"/>
      <c r="AD433" s="464"/>
      <c r="AE433" s="465"/>
      <c r="AF433" s="388"/>
      <c r="AW433" s="471"/>
      <c r="AX433" s="471"/>
    </row>
    <row r="434" spans="1:50" ht="27" customHeight="1" x14ac:dyDescent="0.25">
      <c r="A434" s="462"/>
      <c r="H434" s="929"/>
      <c r="I434" s="388"/>
      <c r="J434" s="929"/>
      <c r="K434" s="388"/>
      <c r="L434" s="929"/>
      <c r="M434" s="388"/>
      <c r="N434" s="929"/>
      <c r="O434" s="388"/>
      <c r="P434" s="388"/>
      <c r="Q434" s="388"/>
      <c r="R434" s="465"/>
      <c r="S434" s="929"/>
      <c r="T434" s="466"/>
      <c r="U434" s="929"/>
      <c r="V434" s="929"/>
      <c r="W434" s="929"/>
      <c r="X434" s="474"/>
      <c r="Y434" s="474"/>
      <c r="Z434" s="474"/>
      <c r="AA434" s="474"/>
      <c r="AB434" s="474"/>
      <c r="AC434" s="388"/>
      <c r="AD434" s="464"/>
      <c r="AE434" s="465"/>
      <c r="AF434" s="388"/>
      <c r="AW434" s="471"/>
      <c r="AX434" s="471"/>
    </row>
    <row r="435" spans="1:50" ht="27" customHeight="1" x14ac:dyDescent="0.25">
      <c r="A435" s="462"/>
      <c r="H435" s="929"/>
      <c r="I435" s="388"/>
      <c r="J435" s="929"/>
      <c r="K435" s="388"/>
      <c r="L435" s="929"/>
      <c r="M435" s="388"/>
      <c r="N435" s="929"/>
      <c r="O435" s="388"/>
      <c r="P435" s="388"/>
      <c r="Q435" s="388"/>
      <c r="R435" s="465"/>
      <c r="S435" s="929"/>
      <c r="T435" s="466"/>
      <c r="U435" s="929"/>
      <c r="V435" s="929"/>
      <c r="W435" s="929"/>
      <c r="X435" s="474"/>
      <c r="Y435" s="474"/>
      <c r="Z435" s="474"/>
      <c r="AA435" s="474"/>
      <c r="AB435" s="474"/>
      <c r="AC435" s="388"/>
      <c r="AD435" s="464"/>
      <c r="AE435" s="465"/>
      <c r="AF435" s="388"/>
      <c r="AW435" s="471"/>
      <c r="AX435" s="471"/>
    </row>
    <row r="436" spans="1:50" ht="27" customHeight="1" x14ac:dyDescent="0.25">
      <c r="A436" s="462"/>
      <c r="H436" s="929"/>
      <c r="I436" s="388"/>
      <c r="J436" s="929"/>
      <c r="K436" s="388"/>
      <c r="L436" s="929"/>
      <c r="M436" s="388"/>
      <c r="N436" s="929"/>
      <c r="O436" s="388"/>
      <c r="P436" s="388"/>
      <c r="Q436" s="388"/>
      <c r="R436" s="465"/>
      <c r="S436" s="929"/>
      <c r="T436" s="466"/>
      <c r="U436" s="929"/>
      <c r="V436" s="929"/>
      <c r="W436" s="929"/>
      <c r="X436" s="474"/>
      <c r="Y436" s="474"/>
      <c r="Z436" s="474"/>
      <c r="AA436" s="474"/>
      <c r="AB436" s="474"/>
      <c r="AC436" s="388"/>
      <c r="AD436" s="464"/>
      <c r="AE436" s="465"/>
      <c r="AF436" s="388"/>
      <c r="AW436" s="471"/>
      <c r="AX436" s="471"/>
    </row>
    <row r="437" spans="1:50" ht="27" customHeight="1" x14ac:dyDescent="0.25">
      <c r="A437" s="462"/>
      <c r="H437" s="929"/>
      <c r="I437" s="388"/>
      <c r="J437" s="929"/>
      <c r="K437" s="388"/>
      <c r="L437" s="929"/>
      <c r="M437" s="388"/>
      <c r="N437" s="929"/>
      <c r="O437" s="388"/>
      <c r="P437" s="388"/>
      <c r="Q437" s="388"/>
      <c r="R437" s="465"/>
      <c r="S437" s="929"/>
      <c r="T437" s="466"/>
      <c r="U437" s="929"/>
      <c r="V437" s="929"/>
      <c r="W437" s="929"/>
      <c r="X437" s="474"/>
      <c r="Y437" s="474"/>
      <c r="Z437" s="474"/>
      <c r="AA437" s="474"/>
      <c r="AB437" s="474"/>
      <c r="AC437" s="388"/>
      <c r="AD437" s="464"/>
      <c r="AE437" s="465"/>
      <c r="AF437" s="388"/>
      <c r="AW437" s="471"/>
      <c r="AX437" s="471"/>
    </row>
    <row r="438" spans="1:50" ht="27" customHeight="1" x14ac:dyDescent="0.25">
      <c r="A438" s="462"/>
      <c r="H438" s="929"/>
      <c r="I438" s="388"/>
      <c r="J438" s="929"/>
      <c r="K438" s="388"/>
      <c r="L438" s="929"/>
      <c r="M438" s="388"/>
      <c r="N438" s="929"/>
      <c r="O438" s="388"/>
      <c r="P438" s="388"/>
      <c r="Q438" s="388"/>
      <c r="R438" s="465"/>
      <c r="S438" s="929"/>
      <c r="T438" s="466"/>
      <c r="U438" s="929"/>
      <c r="V438" s="929"/>
      <c r="W438" s="929"/>
      <c r="X438" s="474"/>
      <c r="Y438" s="474"/>
      <c r="Z438" s="474"/>
      <c r="AA438" s="474"/>
      <c r="AB438" s="474"/>
      <c r="AC438" s="388"/>
      <c r="AD438" s="464"/>
      <c r="AE438" s="465"/>
      <c r="AF438" s="388"/>
      <c r="AW438" s="471"/>
      <c r="AX438" s="471"/>
    </row>
    <row r="439" spans="1:50" ht="27" customHeight="1" x14ac:dyDescent="0.25">
      <c r="A439" s="462"/>
      <c r="H439" s="929"/>
      <c r="I439" s="388"/>
      <c r="J439" s="929"/>
      <c r="K439" s="388"/>
      <c r="L439" s="929"/>
      <c r="M439" s="388"/>
      <c r="N439" s="929"/>
      <c r="O439" s="388"/>
      <c r="P439" s="388"/>
      <c r="Q439" s="388"/>
      <c r="R439" s="465"/>
      <c r="S439" s="929"/>
      <c r="T439" s="466"/>
      <c r="U439" s="929"/>
      <c r="V439" s="929"/>
      <c r="W439" s="929"/>
      <c r="X439" s="474"/>
      <c r="Y439" s="474"/>
      <c r="Z439" s="474"/>
      <c r="AA439" s="474"/>
      <c r="AB439" s="474"/>
      <c r="AC439" s="388"/>
      <c r="AD439" s="464"/>
      <c r="AE439" s="465"/>
      <c r="AF439" s="388"/>
      <c r="AW439" s="471"/>
      <c r="AX439" s="471"/>
    </row>
    <row r="440" spans="1:50" ht="27" customHeight="1" x14ac:dyDescent="0.25">
      <c r="A440" s="462"/>
      <c r="H440" s="929"/>
      <c r="I440" s="388"/>
      <c r="J440" s="929"/>
      <c r="K440" s="388"/>
      <c r="L440" s="929"/>
      <c r="M440" s="388"/>
      <c r="N440" s="929"/>
      <c r="O440" s="388"/>
      <c r="P440" s="388"/>
      <c r="Q440" s="388"/>
      <c r="R440" s="465"/>
      <c r="S440" s="929"/>
      <c r="T440" s="466"/>
      <c r="U440" s="929"/>
      <c r="V440" s="929"/>
      <c r="W440" s="929"/>
      <c r="X440" s="474"/>
      <c r="Y440" s="474"/>
      <c r="Z440" s="474"/>
      <c r="AA440" s="474"/>
      <c r="AB440" s="474"/>
      <c r="AC440" s="388"/>
      <c r="AD440" s="464"/>
      <c r="AE440" s="465"/>
      <c r="AF440" s="388"/>
      <c r="AW440" s="471"/>
      <c r="AX440" s="471"/>
    </row>
    <row r="441" spans="1:50" ht="27" customHeight="1" x14ac:dyDescent="0.25">
      <c r="A441" s="462"/>
      <c r="H441" s="929"/>
      <c r="I441" s="388"/>
      <c r="J441" s="929"/>
      <c r="K441" s="388"/>
      <c r="L441" s="929"/>
      <c r="M441" s="388"/>
      <c r="N441" s="929"/>
      <c r="O441" s="388"/>
      <c r="P441" s="388"/>
      <c r="Q441" s="388"/>
      <c r="R441" s="465"/>
      <c r="S441" s="929"/>
      <c r="T441" s="466"/>
      <c r="U441" s="929"/>
      <c r="V441" s="929"/>
      <c r="W441" s="929"/>
      <c r="X441" s="474"/>
      <c r="Y441" s="474"/>
      <c r="Z441" s="474"/>
      <c r="AA441" s="474"/>
      <c r="AB441" s="474"/>
      <c r="AC441" s="388"/>
      <c r="AD441" s="464"/>
      <c r="AE441" s="465"/>
      <c r="AF441" s="388"/>
      <c r="AW441" s="471"/>
      <c r="AX441" s="471"/>
    </row>
    <row r="442" spans="1:50" ht="27" customHeight="1" x14ac:dyDescent="0.25">
      <c r="A442" s="462"/>
      <c r="H442" s="929"/>
      <c r="I442" s="388"/>
      <c r="J442" s="929"/>
      <c r="K442" s="388"/>
      <c r="L442" s="929"/>
      <c r="M442" s="388"/>
      <c r="N442" s="929"/>
      <c r="O442" s="388"/>
      <c r="P442" s="388"/>
      <c r="Q442" s="388"/>
      <c r="R442" s="465"/>
      <c r="S442" s="929"/>
      <c r="T442" s="466"/>
      <c r="U442" s="929"/>
      <c r="V442" s="929"/>
      <c r="W442" s="929"/>
      <c r="X442" s="474"/>
      <c r="Y442" s="474"/>
      <c r="Z442" s="474"/>
      <c r="AA442" s="474"/>
      <c r="AB442" s="474"/>
      <c r="AC442" s="388"/>
      <c r="AD442" s="464"/>
      <c r="AE442" s="465"/>
      <c r="AF442" s="388"/>
      <c r="AW442" s="471"/>
      <c r="AX442" s="471"/>
    </row>
    <row r="443" spans="1:50" ht="27" customHeight="1" x14ac:dyDescent="0.25">
      <c r="A443" s="462"/>
      <c r="H443" s="929"/>
      <c r="I443" s="388"/>
      <c r="J443" s="929"/>
      <c r="K443" s="388"/>
      <c r="L443" s="929"/>
      <c r="M443" s="388"/>
      <c r="N443" s="929"/>
      <c r="O443" s="388"/>
      <c r="P443" s="388"/>
      <c r="Q443" s="388"/>
      <c r="R443" s="465"/>
      <c r="S443" s="929"/>
      <c r="T443" s="466"/>
      <c r="U443" s="929"/>
      <c r="V443" s="929"/>
      <c r="W443" s="929"/>
      <c r="X443" s="474"/>
      <c r="Y443" s="474"/>
      <c r="Z443" s="474"/>
      <c r="AA443" s="474"/>
      <c r="AB443" s="474"/>
      <c r="AC443" s="388"/>
      <c r="AD443" s="464"/>
      <c r="AE443" s="465"/>
      <c r="AF443" s="388"/>
      <c r="AW443" s="471"/>
      <c r="AX443" s="471"/>
    </row>
    <row r="444" spans="1:50" ht="27" customHeight="1" x14ac:dyDescent="0.25">
      <c r="A444" s="462"/>
      <c r="H444" s="929"/>
      <c r="I444" s="388"/>
      <c r="J444" s="929"/>
      <c r="K444" s="388"/>
      <c r="L444" s="929"/>
      <c r="M444" s="388"/>
      <c r="N444" s="929"/>
      <c r="O444" s="388"/>
      <c r="P444" s="388"/>
      <c r="Q444" s="388"/>
      <c r="R444" s="465"/>
      <c r="S444" s="929"/>
      <c r="T444" s="466"/>
      <c r="U444" s="929"/>
      <c r="V444" s="929"/>
      <c r="W444" s="929"/>
      <c r="X444" s="474"/>
      <c r="Y444" s="474"/>
      <c r="Z444" s="474"/>
      <c r="AA444" s="474"/>
      <c r="AB444" s="474"/>
      <c r="AC444" s="388"/>
      <c r="AD444" s="464"/>
      <c r="AE444" s="465"/>
      <c r="AF444" s="388"/>
      <c r="AW444" s="471"/>
      <c r="AX444" s="471"/>
    </row>
    <row r="445" spans="1:50" ht="27" customHeight="1" x14ac:dyDescent="0.25">
      <c r="A445" s="462"/>
      <c r="H445" s="929"/>
      <c r="I445" s="388"/>
      <c r="J445" s="929"/>
      <c r="K445" s="388"/>
      <c r="L445" s="929"/>
      <c r="M445" s="388"/>
      <c r="N445" s="929"/>
      <c r="O445" s="388"/>
      <c r="P445" s="388"/>
      <c r="Q445" s="388"/>
      <c r="R445" s="465"/>
      <c r="S445" s="929"/>
      <c r="T445" s="466"/>
      <c r="U445" s="929"/>
      <c r="V445" s="929"/>
      <c r="W445" s="929"/>
      <c r="X445" s="474"/>
      <c r="Y445" s="474"/>
      <c r="Z445" s="474"/>
      <c r="AA445" s="474"/>
      <c r="AB445" s="474"/>
      <c r="AC445" s="388"/>
      <c r="AD445" s="464"/>
      <c r="AE445" s="465"/>
      <c r="AF445" s="388"/>
      <c r="AW445" s="471"/>
      <c r="AX445" s="471"/>
    </row>
    <row r="446" spans="1:50" ht="27" customHeight="1" x14ac:dyDescent="0.25">
      <c r="A446" s="462"/>
      <c r="H446" s="929"/>
      <c r="I446" s="388"/>
      <c r="J446" s="929"/>
      <c r="K446" s="388"/>
      <c r="L446" s="929"/>
      <c r="M446" s="388"/>
      <c r="N446" s="929"/>
      <c r="O446" s="388"/>
      <c r="P446" s="388"/>
      <c r="Q446" s="388"/>
      <c r="R446" s="465"/>
      <c r="S446" s="929"/>
      <c r="T446" s="466"/>
      <c r="U446" s="929"/>
      <c r="V446" s="929"/>
      <c r="W446" s="929"/>
      <c r="X446" s="474"/>
      <c r="Y446" s="474"/>
      <c r="Z446" s="474"/>
      <c r="AA446" s="474"/>
      <c r="AB446" s="474"/>
      <c r="AC446" s="388"/>
      <c r="AD446" s="464"/>
      <c r="AE446" s="465"/>
      <c r="AF446" s="388"/>
      <c r="AW446" s="471"/>
      <c r="AX446" s="471"/>
    </row>
    <row r="447" spans="1:50" ht="27" customHeight="1" x14ac:dyDescent="0.25">
      <c r="A447" s="462"/>
      <c r="H447" s="929"/>
      <c r="I447" s="388"/>
      <c r="J447" s="929"/>
      <c r="K447" s="388"/>
      <c r="L447" s="929"/>
      <c r="M447" s="388"/>
      <c r="N447" s="929"/>
      <c r="O447" s="388"/>
      <c r="P447" s="388"/>
      <c r="Q447" s="388"/>
      <c r="R447" s="465"/>
      <c r="S447" s="929"/>
      <c r="T447" s="466"/>
      <c r="U447" s="929"/>
      <c r="V447" s="929"/>
      <c r="W447" s="929"/>
      <c r="X447" s="474"/>
      <c r="Y447" s="474"/>
      <c r="Z447" s="474"/>
      <c r="AA447" s="474"/>
      <c r="AB447" s="474"/>
      <c r="AC447" s="388"/>
      <c r="AD447" s="464"/>
      <c r="AE447" s="465"/>
      <c r="AF447" s="388"/>
      <c r="AW447" s="471"/>
      <c r="AX447" s="471"/>
    </row>
    <row r="448" spans="1:50" ht="27" customHeight="1" x14ac:dyDescent="0.25">
      <c r="A448" s="462"/>
      <c r="H448" s="929"/>
      <c r="I448" s="388"/>
      <c r="J448" s="929"/>
      <c r="K448" s="388"/>
      <c r="L448" s="929"/>
      <c r="M448" s="388"/>
      <c r="N448" s="929"/>
      <c r="O448" s="388"/>
      <c r="P448" s="388"/>
      <c r="Q448" s="388"/>
      <c r="R448" s="465"/>
      <c r="S448" s="929"/>
      <c r="T448" s="466"/>
      <c r="U448" s="929"/>
      <c r="V448" s="929"/>
      <c r="W448" s="929"/>
      <c r="X448" s="474"/>
      <c r="Y448" s="474"/>
      <c r="Z448" s="474"/>
      <c r="AA448" s="474"/>
      <c r="AB448" s="474"/>
      <c r="AC448" s="388"/>
      <c r="AD448" s="464"/>
      <c r="AE448" s="465"/>
      <c r="AF448" s="388"/>
      <c r="AW448" s="471"/>
      <c r="AX448" s="471"/>
    </row>
    <row r="449" spans="1:50" ht="27" customHeight="1" x14ac:dyDescent="0.25">
      <c r="A449" s="462"/>
      <c r="H449" s="929"/>
      <c r="I449" s="388"/>
      <c r="J449" s="929"/>
      <c r="K449" s="388"/>
      <c r="L449" s="929"/>
      <c r="M449" s="388"/>
      <c r="N449" s="929"/>
      <c r="O449" s="388"/>
      <c r="P449" s="388"/>
      <c r="Q449" s="388"/>
      <c r="R449" s="465"/>
      <c r="S449" s="929"/>
      <c r="T449" s="466"/>
      <c r="U449" s="929"/>
      <c r="V449" s="929"/>
      <c r="W449" s="929"/>
      <c r="X449" s="474"/>
      <c r="Y449" s="474"/>
      <c r="Z449" s="474"/>
      <c r="AA449" s="474"/>
      <c r="AB449" s="474"/>
      <c r="AC449" s="388"/>
      <c r="AD449" s="464"/>
      <c r="AE449" s="465"/>
      <c r="AF449" s="388"/>
      <c r="AW449" s="471"/>
      <c r="AX449" s="471"/>
    </row>
    <row r="450" spans="1:50" ht="27" customHeight="1" x14ac:dyDescent="0.25">
      <c r="A450" s="462"/>
      <c r="H450" s="929"/>
      <c r="I450" s="388"/>
      <c r="J450" s="929"/>
      <c r="K450" s="388"/>
      <c r="L450" s="929"/>
      <c r="M450" s="388"/>
      <c r="N450" s="929"/>
      <c r="O450" s="388"/>
      <c r="P450" s="388"/>
      <c r="Q450" s="388"/>
      <c r="R450" s="465"/>
      <c r="S450" s="929"/>
      <c r="T450" s="466"/>
      <c r="U450" s="929"/>
      <c r="V450" s="929"/>
      <c r="W450" s="929"/>
      <c r="X450" s="474"/>
      <c r="Y450" s="474"/>
      <c r="Z450" s="474"/>
      <c r="AA450" s="474"/>
      <c r="AB450" s="474"/>
      <c r="AC450" s="388"/>
      <c r="AD450" s="464"/>
      <c r="AE450" s="465"/>
      <c r="AF450" s="388"/>
      <c r="AW450" s="471"/>
      <c r="AX450" s="471"/>
    </row>
    <row r="451" spans="1:50" ht="27" customHeight="1" x14ac:dyDescent="0.25">
      <c r="A451" s="462"/>
      <c r="H451" s="929"/>
      <c r="I451" s="388"/>
      <c r="J451" s="929"/>
      <c r="K451" s="388"/>
      <c r="L451" s="929"/>
      <c r="M451" s="388"/>
      <c r="N451" s="929"/>
      <c r="O451" s="388"/>
      <c r="P451" s="388"/>
      <c r="Q451" s="388"/>
      <c r="R451" s="465"/>
      <c r="S451" s="929"/>
      <c r="T451" s="466"/>
      <c r="U451" s="929"/>
      <c r="V451" s="929"/>
      <c r="W451" s="929"/>
      <c r="X451" s="474"/>
      <c r="Y451" s="474"/>
      <c r="Z451" s="474"/>
      <c r="AA451" s="474"/>
      <c r="AB451" s="474"/>
      <c r="AC451" s="388"/>
      <c r="AD451" s="464"/>
      <c r="AE451" s="465"/>
      <c r="AF451" s="388"/>
      <c r="AW451" s="471"/>
      <c r="AX451" s="471"/>
    </row>
    <row r="452" spans="1:50" ht="27" customHeight="1" x14ac:dyDescent="0.25">
      <c r="A452" s="462"/>
      <c r="H452" s="929"/>
      <c r="I452" s="388"/>
      <c r="J452" s="929"/>
      <c r="K452" s="388"/>
      <c r="L452" s="929"/>
      <c r="M452" s="388"/>
      <c r="N452" s="929"/>
      <c r="O452" s="388"/>
      <c r="P452" s="388"/>
      <c r="Q452" s="388"/>
      <c r="R452" s="465"/>
      <c r="S452" s="929"/>
      <c r="T452" s="466"/>
      <c r="U452" s="929"/>
      <c r="V452" s="929"/>
      <c r="W452" s="929"/>
      <c r="X452" s="474"/>
      <c r="Y452" s="474"/>
      <c r="Z452" s="474"/>
      <c r="AA452" s="474"/>
      <c r="AB452" s="474"/>
      <c r="AC452" s="388"/>
      <c r="AD452" s="464"/>
      <c r="AE452" s="465"/>
      <c r="AF452" s="388"/>
      <c r="AW452" s="471"/>
      <c r="AX452" s="471"/>
    </row>
    <row r="453" spans="1:50" ht="27" customHeight="1" x14ac:dyDescent="0.25">
      <c r="A453" s="462"/>
      <c r="H453" s="929"/>
      <c r="I453" s="388"/>
      <c r="J453" s="929"/>
      <c r="K453" s="388"/>
      <c r="L453" s="929"/>
      <c r="M453" s="388"/>
      <c r="N453" s="929"/>
      <c r="O453" s="388"/>
      <c r="P453" s="388"/>
      <c r="Q453" s="388"/>
      <c r="R453" s="465"/>
      <c r="S453" s="929"/>
      <c r="T453" s="466"/>
      <c r="U453" s="929"/>
      <c r="V453" s="929"/>
      <c r="W453" s="929"/>
      <c r="X453" s="474"/>
      <c r="Y453" s="474"/>
      <c r="Z453" s="474"/>
      <c r="AA453" s="474"/>
      <c r="AB453" s="474"/>
      <c r="AC453" s="388"/>
      <c r="AD453" s="464"/>
      <c r="AE453" s="465"/>
      <c r="AF453" s="388"/>
      <c r="AW453" s="471"/>
      <c r="AX453" s="471"/>
    </row>
    <row r="454" spans="1:50" ht="27" customHeight="1" x14ac:dyDescent="0.25">
      <c r="A454" s="462"/>
      <c r="H454" s="929"/>
      <c r="I454" s="388"/>
      <c r="J454" s="929"/>
      <c r="K454" s="388"/>
      <c r="L454" s="929"/>
      <c r="M454" s="388"/>
      <c r="N454" s="929"/>
      <c r="O454" s="388"/>
      <c r="P454" s="388"/>
      <c r="Q454" s="388"/>
      <c r="R454" s="465"/>
      <c r="S454" s="929"/>
      <c r="T454" s="466"/>
      <c r="U454" s="929"/>
      <c r="V454" s="929"/>
      <c r="W454" s="929"/>
      <c r="X454" s="474"/>
      <c r="Y454" s="474"/>
      <c r="Z454" s="474"/>
      <c r="AA454" s="474"/>
      <c r="AB454" s="474"/>
      <c r="AC454" s="388"/>
      <c r="AD454" s="464"/>
      <c r="AE454" s="465"/>
      <c r="AF454" s="388"/>
      <c r="AW454" s="471"/>
      <c r="AX454" s="471"/>
    </row>
    <row r="455" spans="1:50" ht="27" customHeight="1" x14ac:dyDescent="0.25">
      <c r="A455" s="462"/>
      <c r="H455" s="929"/>
      <c r="I455" s="388"/>
      <c r="J455" s="929"/>
      <c r="K455" s="388"/>
      <c r="L455" s="929"/>
      <c r="M455" s="388"/>
      <c r="N455" s="929"/>
      <c r="O455" s="388"/>
      <c r="P455" s="388"/>
      <c r="Q455" s="388"/>
      <c r="R455" s="465"/>
      <c r="S455" s="929"/>
      <c r="T455" s="466"/>
      <c r="U455" s="929"/>
      <c r="V455" s="929"/>
      <c r="W455" s="929"/>
      <c r="X455" s="474"/>
      <c r="Y455" s="474"/>
      <c r="Z455" s="474"/>
      <c r="AA455" s="474"/>
      <c r="AB455" s="474"/>
      <c r="AC455" s="388"/>
      <c r="AD455" s="464"/>
      <c r="AE455" s="465"/>
      <c r="AF455" s="388"/>
      <c r="AW455" s="471"/>
      <c r="AX455" s="471"/>
    </row>
    <row r="456" spans="1:50" ht="27" customHeight="1" x14ac:dyDescent="0.25">
      <c r="A456" s="462"/>
      <c r="H456" s="929"/>
      <c r="I456" s="388"/>
      <c r="J456" s="929"/>
      <c r="K456" s="388"/>
      <c r="L456" s="929"/>
      <c r="M456" s="388"/>
      <c r="N456" s="929"/>
      <c r="O456" s="388"/>
      <c r="P456" s="388"/>
      <c r="Q456" s="388"/>
      <c r="R456" s="465"/>
      <c r="S456" s="929"/>
      <c r="T456" s="466"/>
      <c r="U456" s="929"/>
      <c r="V456" s="929"/>
      <c r="W456" s="929"/>
      <c r="X456" s="474"/>
      <c r="Y456" s="474"/>
      <c r="Z456" s="474"/>
      <c r="AA456" s="474"/>
      <c r="AB456" s="474"/>
      <c r="AC456" s="388"/>
      <c r="AD456" s="464"/>
      <c r="AE456" s="465"/>
      <c r="AF456" s="388"/>
      <c r="AW456" s="471"/>
      <c r="AX456" s="471"/>
    </row>
    <row r="457" spans="1:50" ht="27" customHeight="1" x14ac:dyDescent="0.25">
      <c r="A457" s="462"/>
      <c r="H457" s="929"/>
      <c r="I457" s="388"/>
      <c r="J457" s="929"/>
      <c r="K457" s="388"/>
      <c r="L457" s="929"/>
      <c r="M457" s="388"/>
      <c r="N457" s="929"/>
      <c r="O457" s="388"/>
      <c r="P457" s="388"/>
      <c r="Q457" s="388"/>
      <c r="R457" s="465"/>
      <c r="S457" s="929"/>
      <c r="T457" s="466"/>
      <c r="U457" s="929"/>
      <c r="V457" s="929"/>
      <c r="W457" s="929"/>
      <c r="X457" s="474"/>
      <c r="Y457" s="474"/>
      <c r="Z457" s="474"/>
      <c r="AA457" s="474"/>
      <c r="AB457" s="474"/>
      <c r="AC457" s="388"/>
      <c r="AD457" s="464"/>
      <c r="AE457" s="465"/>
      <c r="AF457" s="388"/>
      <c r="AW457" s="471"/>
      <c r="AX457" s="471"/>
    </row>
    <row r="458" spans="1:50" ht="27" customHeight="1" x14ac:dyDescent="0.25">
      <c r="A458" s="462"/>
      <c r="H458" s="929"/>
      <c r="I458" s="388"/>
      <c r="J458" s="929"/>
      <c r="K458" s="388"/>
      <c r="L458" s="929"/>
      <c r="M458" s="388"/>
      <c r="N458" s="929"/>
      <c r="O458" s="388"/>
      <c r="P458" s="388"/>
      <c r="Q458" s="388"/>
      <c r="R458" s="465"/>
      <c r="S458" s="929"/>
      <c r="T458" s="466"/>
      <c r="U458" s="929"/>
      <c r="V458" s="929"/>
      <c r="W458" s="929"/>
      <c r="X458" s="474"/>
      <c r="Y458" s="474"/>
      <c r="Z458" s="474"/>
      <c r="AA458" s="474"/>
      <c r="AB458" s="474"/>
      <c r="AC458" s="388"/>
      <c r="AD458" s="464"/>
      <c r="AE458" s="465"/>
      <c r="AF458" s="388"/>
      <c r="AW458" s="471"/>
      <c r="AX458" s="471"/>
    </row>
    <row r="459" spans="1:50" ht="27" customHeight="1" x14ac:dyDescent="0.25">
      <c r="A459" s="462"/>
      <c r="H459" s="929"/>
      <c r="I459" s="388"/>
      <c r="J459" s="929"/>
      <c r="K459" s="388"/>
      <c r="L459" s="929"/>
      <c r="M459" s="388"/>
      <c r="N459" s="929"/>
      <c r="O459" s="388"/>
      <c r="P459" s="388"/>
      <c r="Q459" s="388"/>
      <c r="R459" s="465"/>
      <c r="S459" s="929"/>
      <c r="T459" s="466"/>
      <c r="U459" s="929"/>
      <c r="V459" s="929"/>
      <c r="W459" s="929"/>
      <c r="X459" s="474"/>
      <c r="Y459" s="474"/>
      <c r="Z459" s="474"/>
      <c r="AA459" s="474"/>
      <c r="AB459" s="474"/>
      <c r="AC459" s="388"/>
      <c r="AD459" s="464"/>
      <c r="AE459" s="465"/>
      <c r="AF459" s="388"/>
      <c r="AW459" s="471"/>
      <c r="AX459" s="471"/>
    </row>
    <row r="460" spans="1:50" ht="27" customHeight="1" x14ac:dyDescent="0.25">
      <c r="A460" s="462"/>
      <c r="H460" s="929"/>
      <c r="I460" s="388"/>
      <c r="J460" s="929"/>
      <c r="K460" s="388"/>
      <c r="L460" s="929"/>
      <c r="M460" s="388"/>
      <c r="N460" s="929"/>
      <c r="O460" s="388"/>
      <c r="P460" s="388"/>
      <c r="Q460" s="388"/>
      <c r="R460" s="465"/>
      <c r="S460" s="929"/>
      <c r="T460" s="466"/>
      <c r="U460" s="929"/>
      <c r="V460" s="929"/>
      <c r="W460" s="929"/>
      <c r="X460" s="474"/>
      <c r="Y460" s="474"/>
      <c r="Z460" s="474"/>
      <c r="AA460" s="474"/>
      <c r="AB460" s="474"/>
      <c r="AC460" s="388"/>
      <c r="AD460" s="464"/>
      <c r="AE460" s="465"/>
      <c r="AF460" s="388"/>
      <c r="AW460" s="471"/>
      <c r="AX460" s="471"/>
    </row>
    <row r="461" spans="1:50" ht="27" customHeight="1" x14ac:dyDescent="0.25">
      <c r="A461" s="462"/>
      <c r="H461" s="929"/>
      <c r="I461" s="388"/>
      <c r="J461" s="929"/>
      <c r="K461" s="388"/>
      <c r="L461" s="929"/>
      <c r="M461" s="388"/>
      <c r="N461" s="929"/>
      <c r="O461" s="388"/>
      <c r="P461" s="388"/>
      <c r="Q461" s="388"/>
      <c r="R461" s="465"/>
      <c r="S461" s="929"/>
      <c r="T461" s="466"/>
      <c r="U461" s="929"/>
      <c r="V461" s="929"/>
      <c r="W461" s="929"/>
      <c r="X461" s="474"/>
      <c r="Y461" s="474"/>
      <c r="Z461" s="474"/>
      <c r="AA461" s="474"/>
      <c r="AB461" s="474"/>
      <c r="AC461" s="388"/>
      <c r="AD461" s="464"/>
      <c r="AE461" s="465"/>
      <c r="AF461" s="388"/>
      <c r="AW461" s="471"/>
      <c r="AX461" s="471"/>
    </row>
    <row r="462" spans="1:50" ht="27" customHeight="1" x14ac:dyDescent="0.25">
      <c r="A462" s="462"/>
      <c r="H462" s="929"/>
      <c r="I462" s="388"/>
      <c r="J462" s="929"/>
      <c r="K462" s="388"/>
      <c r="L462" s="929"/>
      <c r="M462" s="388"/>
      <c r="N462" s="929"/>
      <c r="O462" s="388"/>
      <c r="P462" s="388"/>
      <c r="Q462" s="388"/>
      <c r="R462" s="465"/>
      <c r="S462" s="929"/>
      <c r="T462" s="466"/>
      <c r="U462" s="929"/>
      <c r="V462" s="929"/>
      <c r="W462" s="929"/>
      <c r="X462" s="474"/>
      <c r="Y462" s="474"/>
      <c r="Z462" s="474"/>
      <c r="AA462" s="474"/>
      <c r="AB462" s="474"/>
      <c r="AC462" s="388"/>
      <c r="AD462" s="464"/>
      <c r="AE462" s="465"/>
      <c r="AF462" s="388"/>
      <c r="AW462" s="471"/>
      <c r="AX462" s="471"/>
    </row>
    <row r="463" spans="1:50" ht="27" customHeight="1" x14ac:dyDescent="0.25">
      <c r="A463" s="462"/>
      <c r="H463" s="929"/>
      <c r="I463" s="388"/>
      <c r="J463" s="929"/>
      <c r="K463" s="388"/>
      <c r="L463" s="929"/>
      <c r="M463" s="388"/>
      <c r="N463" s="929"/>
      <c r="O463" s="388"/>
      <c r="P463" s="388"/>
      <c r="Q463" s="388"/>
      <c r="R463" s="465"/>
      <c r="S463" s="929"/>
      <c r="T463" s="466"/>
      <c r="U463" s="929"/>
      <c r="V463" s="929"/>
      <c r="W463" s="929"/>
      <c r="X463" s="474"/>
      <c r="Y463" s="474"/>
      <c r="Z463" s="474"/>
      <c r="AA463" s="474"/>
      <c r="AB463" s="474"/>
      <c r="AC463" s="388"/>
      <c r="AD463" s="464"/>
      <c r="AE463" s="465"/>
      <c r="AF463" s="388"/>
      <c r="AW463" s="471"/>
      <c r="AX463" s="471"/>
    </row>
    <row r="464" spans="1:50" ht="27" customHeight="1" x14ac:dyDescent="0.25">
      <c r="A464" s="462"/>
      <c r="H464" s="929"/>
      <c r="I464" s="388"/>
      <c r="J464" s="929"/>
      <c r="K464" s="388"/>
      <c r="L464" s="929"/>
      <c r="M464" s="388"/>
      <c r="N464" s="929"/>
      <c r="O464" s="388"/>
      <c r="P464" s="388"/>
      <c r="Q464" s="388"/>
      <c r="R464" s="465"/>
      <c r="S464" s="929"/>
      <c r="T464" s="466"/>
      <c r="U464" s="929"/>
      <c r="V464" s="929"/>
      <c r="W464" s="929"/>
      <c r="X464" s="474"/>
      <c r="Y464" s="474"/>
      <c r="Z464" s="474"/>
      <c r="AA464" s="474"/>
      <c r="AB464" s="474"/>
      <c r="AC464" s="388"/>
      <c r="AD464" s="464"/>
      <c r="AE464" s="465"/>
      <c r="AF464" s="388"/>
      <c r="AW464" s="471"/>
      <c r="AX464" s="471"/>
    </row>
    <row r="465" spans="1:50" ht="27" customHeight="1" x14ac:dyDescent="0.25">
      <c r="A465" s="462"/>
      <c r="H465" s="929"/>
      <c r="I465" s="388"/>
      <c r="J465" s="929"/>
      <c r="K465" s="388"/>
      <c r="L465" s="929"/>
      <c r="M465" s="388"/>
      <c r="N465" s="929"/>
      <c r="O465" s="388"/>
      <c r="P465" s="388"/>
      <c r="Q465" s="388"/>
      <c r="R465" s="465"/>
      <c r="S465" s="929"/>
      <c r="T465" s="466"/>
      <c r="U465" s="929"/>
      <c r="V465" s="929"/>
      <c r="W465" s="929"/>
      <c r="X465" s="474"/>
      <c r="Y465" s="474"/>
      <c r="Z465" s="474"/>
      <c r="AA465" s="474"/>
      <c r="AB465" s="474"/>
      <c r="AC465" s="388"/>
      <c r="AD465" s="464"/>
      <c r="AE465" s="465"/>
      <c r="AF465" s="388"/>
      <c r="AW465" s="471"/>
      <c r="AX465" s="471"/>
    </row>
    <row r="466" spans="1:50" ht="27" customHeight="1" x14ac:dyDescent="0.25">
      <c r="A466" s="462"/>
      <c r="H466" s="929"/>
      <c r="I466" s="388"/>
      <c r="J466" s="929"/>
      <c r="K466" s="388"/>
      <c r="L466" s="929"/>
      <c r="M466" s="388"/>
      <c r="N466" s="929"/>
      <c r="O466" s="388"/>
      <c r="P466" s="388"/>
      <c r="Q466" s="388"/>
      <c r="R466" s="465"/>
      <c r="S466" s="929"/>
      <c r="T466" s="466"/>
      <c r="U466" s="929"/>
      <c r="V466" s="929"/>
      <c r="W466" s="929"/>
      <c r="X466" s="474"/>
      <c r="Y466" s="474"/>
      <c r="Z466" s="474"/>
      <c r="AA466" s="474"/>
      <c r="AB466" s="474"/>
      <c r="AC466" s="388"/>
      <c r="AD466" s="464"/>
      <c r="AE466" s="465"/>
      <c r="AF466" s="388"/>
      <c r="AW466" s="471"/>
      <c r="AX466" s="471"/>
    </row>
    <row r="467" spans="1:50" ht="27" customHeight="1" x14ac:dyDescent="0.25">
      <c r="A467" s="462"/>
      <c r="H467" s="929"/>
      <c r="I467" s="388"/>
      <c r="J467" s="929"/>
      <c r="K467" s="388"/>
      <c r="L467" s="929"/>
      <c r="M467" s="388"/>
      <c r="N467" s="929"/>
      <c r="O467" s="388"/>
      <c r="P467" s="388"/>
      <c r="Q467" s="388"/>
      <c r="R467" s="465"/>
      <c r="S467" s="929"/>
      <c r="T467" s="466"/>
      <c r="U467" s="929"/>
      <c r="V467" s="929"/>
      <c r="W467" s="929"/>
      <c r="X467" s="474"/>
      <c r="Y467" s="474"/>
      <c r="Z467" s="474"/>
      <c r="AA467" s="474"/>
      <c r="AB467" s="474"/>
      <c r="AC467" s="388"/>
      <c r="AD467" s="464"/>
      <c r="AE467" s="465"/>
      <c r="AF467" s="388"/>
      <c r="AW467" s="471"/>
      <c r="AX467" s="471"/>
    </row>
    <row r="468" spans="1:50" ht="27" customHeight="1" x14ac:dyDescent="0.25">
      <c r="A468" s="462"/>
      <c r="H468" s="929"/>
      <c r="I468" s="388"/>
      <c r="J468" s="929"/>
      <c r="K468" s="388"/>
      <c r="L468" s="929"/>
      <c r="M468" s="388"/>
      <c r="N468" s="929"/>
      <c r="O468" s="388"/>
      <c r="P468" s="388"/>
      <c r="Q468" s="388"/>
      <c r="R468" s="465"/>
      <c r="S468" s="929"/>
      <c r="T468" s="466"/>
      <c r="U468" s="929"/>
      <c r="V468" s="929"/>
      <c r="W468" s="929"/>
      <c r="X468" s="474"/>
      <c r="Y468" s="474"/>
      <c r="Z468" s="474"/>
      <c r="AA468" s="474"/>
      <c r="AB468" s="474"/>
      <c r="AC468" s="388"/>
      <c r="AD468" s="464"/>
      <c r="AE468" s="465"/>
      <c r="AF468" s="388"/>
      <c r="AW468" s="471"/>
      <c r="AX468" s="471"/>
    </row>
    <row r="469" spans="1:50" ht="27" customHeight="1" x14ac:dyDescent="0.25">
      <c r="A469" s="462"/>
      <c r="H469" s="929"/>
      <c r="I469" s="388"/>
      <c r="J469" s="929"/>
      <c r="K469" s="388"/>
      <c r="L469" s="929"/>
      <c r="M469" s="388"/>
      <c r="N469" s="929"/>
      <c r="O469" s="388"/>
      <c r="P469" s="388"/>
      <c r="Q469" s="388"/>
      <c r="R469" s="465"/>
      <c r="S469" s="929"/>
      <c r="T469" s="466"/>
      <c r="U469" s="929"/>
      <c r="V469" s="929"/>
      <c r="W469" s="929"/>
      <c r="X469" s="474"/>
      <c r="Y469" s="474"/>
      <c r="Z469" s="474"/>
      <c r="AA469" s="474"/>
      <c r="AB469" s="474"/>
      <c r="AC469" s="388"/>
      <c r="AD469" s="464"/>
      <c r="AE469" s="465"/>
      <c r="AF469" s="388"/>
      <c r="AW469" s="471"/>
      <c r="AX469" s="471"/>
    </row>
    <row r="470" spans="1:50" ht="27" customHeight="1" x14ac:dyDescent="0.25">
      <c r="A470" s="462"/>
      <c r="H470" s="929"/>
      <c r="I470" s="388"/>
      <c r="J470" s="929"/>
      <c r="K470" s="388"/>
      <c r="L470" s="929"/>
      <c r="M470" s="388"/>
      <c r="N470" s="929"/>
      <c r="O470" s="388"/>
      <c r="P470" s="388"/>
      <c r="Q470" s="388"/>
      <c r="R470" s="465"/>
      <c r="S470" s="929"/>
      <c r="T470" s="466"/>
      <c r="U470" s="929"/>
      <c r="V470" s="929"/>
      <c r="W470" s="929"/>
      <c r="X470" s="474"/>
      <c r="Y470" s="474"/>
      <c r="Z470" s="474"/>
      <c r="AA470" s="474"/>
      <c r="AB470" s="474"/>
      <c r="AC470" s="388"/>
      <c r="AD470" s="464"/>
      <c r="AE470" s="465"/>
      <c r="AF470" s="388"/>
      <c r="AW470" s="471"/>
      <c r="AX470" s="471"/>
    </row>
    <row r="471" spans="1:50" ht="27" customHeight="1" x14ac:dyDescent="0.25">
      <c r="A471" s="462"/>
      <c r="H471" s="929"/>
      <c r="I471" s="388"/>
      <c r="J471" s="929"/>
      <c r="K471" s="388"/>
      <c r="L471" s="929"/>
      <c r="M471" s="388"/>
      <c r="N471" s="929"/>
      <c r="O471" s="388"/>
      <c r="P471" s="388"/>
      <c r="Q471" s="388"/>
      <c r="R471" s="465"/>
      <c r="S471" s="929"/>
      <c r="T471" s="466"/>
      <c r="U471" s="929"/>
      <c r="V471" s="929"/>
      <c r="W471" s="929"/>
      <c r="X471" s="474"/>
      <c r="Y471" s="474"/>
      <c r="Z471" s="474"/>
      <c r="AA471" s="474"/>
      <c r="AB471" s="474"/>
      <c r="AC471" s="388"/>
      <c r="AD471" s="464"/>
      <c r="AE471" s="465"/>
      <c r="AF471" s="388"/>
      <c r="AW471" s="471"/>
      <c r="AX471" s="471"/>
    </row>
    <row r="472" spans="1:50" ht="27" customHeight="1" x14ac:dyDescent="0.25">
      <c r="A472" s="462"/>
      <c r="H472" s="929"/>
      <c r="I472" s="388"/>
      <c r="J472" s="929"/>
      <c r="K472" s="388"/>
      <c r="L472" s="929"/>
      <c r="M472" s="388"/>
      <c r="N472" s="929"/>
      <c r="O472" s="388"/>
      <c r="P472" s="388"/>
      <c r="Q472" s="388"/>
      <c r="R472" s="465"/>
      <c r="S472" s="929"/>
      <c r="T472" s="466"/>
      <c r="U472" s="929"/>
      <c r="V472" s="929"/>
      <c r="W472" s="929"/>
      <c r="X472" s="474"/>
      <c r="Y472" s="474"/>
      <c r="Z472" s="474"/>
      <c r="AA472" s="474"/>
      <c r="AB472" s="474"/>
      <c r="AC472" s="388"/>
      <c r="AD472" s="464"/>
      <c r="AE472" s="465"/>
      <c r="AF472" s="388"/>
      <c r="AW472" s="471"/>
      <c r="AX472" s="471"/>
    </row>
    <row r="473" spans="1:50" ht="27" customHeight="1" x14ac:dyDescent="0.25">
      <c r="A473" s="462"/>
      <c r="H473" s="929"/>
      <c r="I473" s="388"/>
      <c r="J473" s="929"/>
      <c r="K473" s="388"/>
      <c r="L473" s="929"/>
      <c r="M473" s="388"/>
      <c r="N473" s="929"/>
      <c r="O473" s="388"/>
      <c r="P473" s="388"/>
      <c r="Q473" s="388"/>
      <c r="R473" s="465"/>
      <c r="S473" s="929"/>
      <c r="T473" s="466"/>
      <c r="U473" s="929"/>
      <c r="V473" s="929"/>
      <c r="W473" s="929"/>
      <c r="X473" s="474"/>
      <c r="Y473" s="474"/>
      <c r="Z473" s="474"/>
      <c r="AA473" s="474"/>
      <c r="AB473" s="474"/>
      <c r="AC473" s="388"/>
      <c r="AD473" s="464"/>
      <c r="AE473" s="465"/>
      <c r="AF473" s="388"/>
      <c r="AW473" s="471"/>
      <c r="AX473" s="471"/>
    </row>
    <row r="474" spans="1:50" ht="27" customHeight="1" x14ac:dyDescent="0.25">
      <c r="A474" s="462"/>
      <c r="H474" s="929"/>
      <c r="I474" s="388"/>
      <c r="J474" s="929"/>
      <c r="K474" s="388"/>
      <c r="L474" s="929"/>
      <c r="M474" s="388"/>
      <c r="N474" s="929"/>
      <c r="O474" s="388"/>
      <c r="P474" s="388"/>
      <c r="Q474" s="388"/>
      <c r="R474" s="465"/>
      <c r="S474" s="929"/>
      <c r="T474" s="466"/>
      <c r="U474" s="929"/>
      <c r="V474" s="929"/>
      <c r="W474" s="929"/>
      <c r="X474" s="474"/>
      <c r="Y474" s="474"/>
      <c r="Z474" s="474"/>
      <c r="AA474" s="474"/>
      <c r="AB474" s="474"/>
      <c r="AC474" s="388"/>
      <c r="AD474" s="464"/>
      <c r="AE474" s="465"/>
      <c r="AF474" s="388"/>
      <c r="AW474" s="471"/>
      <c r="AX474" s="471"/>
    </row>
    <row r="475" spans="1:50" ht="27" customHeight="1" x14ac:dyDescent="0.25">
      <c r="A475" s="462"/>
      <c r="H475" s="929"/>
      <c r="I475" s="388"/>
      <c r="J475" s="929"/>
      <c r="K475" s="388"/>
      <c r="L475" s="929"/>
      <c r="M475" s="388"/>
      <c r="N475" s="929"/>
      <c r="O475" s="388"/>
      <c r="P475" s="388"/>
      <c r="Q475" s="388"/>
      <c r="R475" s="465"/>
      <c r="S475" s="929"/>
      <c r="T475" s="466"/>
      <c r="U475" s="929"/>
      <c r="V475" s="929"/>
      <c r="W475" s="929"/>
      <c r="X475" s="474"/>
      <c r="Y475" s="474"/>
      <c r="Z475" s="474"/>
      <c r="AA475" s="474"/>
      <c r="AB475" s="474"/>
      <c r="AC475" s="388"/>
      <c r="AD475" s="464"/>
      <c r="AE475" s="465"/>
      <c r="AF475" s="388"/>
      <c r="AW475" s="471"/>
      <c r="AX475" s="471"/>
    </row>
    <row r="476" spans="1:50" ht="27" customHeight="1" x14ac:dyDescent="0.25">
      <c r="A476" s="462"/>
      <c r="H476" s="929"/>
      <c r="I476" s="388"/>
      <c r="J476" s="929"/>
      <c r="K476" s="388"/>
      <c r="L476" s="929"/>
      <c r="M476" s="388"/>
      <c r="N476" s="929"/>
      <c r="O476" s="388"/>
      <c r="P476" s="388"/>
      <c r="Q476" s="388"/>
      <c r="R476" s="465"/>
      <c r="S476" s="929"/>
      <c r="T476" s="466"/>
      <c r="U476" s="929"/>
      <c r="V476" s="929"/>
      <c r="W476" s="929"/>
      <c r="X476" s="474"/>
      <c r="Y476" s="474"/>
      <c r="Z476" s="474"/>
      <c r="AA476" s="474"/>
      <c r="AB476" s="474"/>
      <c r="AC476" s="388"/>
      <c r="AD476" s="464"/>
      <c r="AE476" s="465"/>
      <c r="AF476" s="388"/>
      <c r="AW476" s="471"/>
      <c r="AX476" s="471"/>
    </row>
    <row r="477" spans="1:50" ht="27" customHeight="1" x14ac:dyDescent="0.25">
      <c r="A477" s="462"/>
      <c r="H477" s="929"/>
      <c r="I477" s="388"/>
      <c r="J477" s="929"/>
      <c r="K477" s="388"/>
      <c r="L477" s="929"/>
      <c r="M477" s="388"/>
      <c r="N477" s="929"/>
      <c r="O477" s="388"/>
      <c r="P477" s="388"/>
      <c r="Q477" s="388"/>
      <c r="R477" s="465"/>
      <c r="S477" s="929"/>
      <c r="T477" s="466"/>
      <c r="U477" s="929"/>
      <c r="V477" s="929"/>
      <c r="W477" s="929"/>
      <c r="X477" s="474"/>
      <c r="Y477" s="474"/>
      <c r="Z477" s="474"/>
      <c r="AA477" s="474"/>
      <c r="AB477" s="474"/>
      <c r="AC477" s="388"/>
      <c r="AD477" s="464"/>
      <c r="AE477" s="465"/>
      <c r="AF477" s="388"/>
      <c r="AW477" s="471"/>
      <c r="AX477" s="471"/>
    </row>
    <row r="478" spans="1:50" ht="27" customHeight="1" x14ac:dyDescent="0.25">
      <c r="A478" s="462"/>
      <c r="H478" s="929"/>
      <c r="I478" s="388"/>
      <c r="J478" s="929"/>
      <c r="K478" s="388"/>
      <c r="L478" s="929"/>
      <c r="M478" s="388"/>
      <c r="N478" s="929"/>
      <c r="O478" s="388"/>
      <c r="P478" s="388"/>
      <c r="Q478" s="388"/>
      <c r="R478" s="465"/>
      <c r="S478" s="929"/>
      <c r="T478" s="466"/>
      <c r="U478" s="929"/>
      <c r="V478" s="929"/>
      <c r="W478" s="929"/>
      <c r="X478" s="474"/>
      <c r="Y478" s="474"/>
      <c r="Z478" s="474"/>
      <c r="AA478" s="474"/>
      <c r="AB478" s="474"/>
      <c r="AC478" s="388"/>
      <c r="AD478" s="464"/>
      <c r="AE478" s="465"/>
      <c r="AF478" s="388"/>
      <c r="AW478" s="471"/>
      <c r="AX478" s="471"/>
    </row>
    <row r="479" spans="1:50" ht="27" customHeight="1" x14ac:dyDescent="0.25">
      <c r="A479" s="462"/>
      <c r="H479" s="929"/>
      <c r="I479" s="388"/>
      <c r="J479" s="929"/>
      <c r="K479" s="388"/>
      <c r="L479" s="929"/>
      <c r="M479" s="388"/>
      <c r="N479" s="929"/>
      <c r="O479" s="388"/>
      <c r="P479" s="388"/>
      <c r="Q479" s="388"/>
      <c r="R479" s="465"/>
      <c r="S479" s="929"/>
      <c r="T479" s="466"/>
      <c r="U479" s="929"/>
      <c r="V479" s="929"/>
      <c r="W479" s="929"/>
      <c r="X479" s="474"/>
      <c r="Y479" s="474"/>
      <c r="Z479" s="474"/>
      <c r="AA479" s="474"/>
      <c r="AB479" s="474"/>
      <c r="AC479" s="388"/>
      <c r="AD479" s="464"/>
      <c r="AE479" s="465"/>
      <c r="AF479" s="388"/>
      <c r="AW479" s="471"/>
      <c r="AX479" s="471"/>
    </row>
    <row r="480" spans="1:50" ht="27" customHeight="1" x14ac:dyDescent="0.25">
      <c r="A480" s="462"/>
      <c r="H480" s="929"/>
      <c r="I480" s="388"/>
      <c r="J480" s="929"/>
      <c r="K480" s="388"/>
      <c r="L480" s="929"/>
      <c r="M480" s="388"/>
      <c r="N480" s="929"/>
      <c r="O480" s="388"/>
      <c r="P480" s="388"/>
      <c r="Q480" s="388"/>
      <c r="R480" s="465"/>
      <c r="S480" s="929"/>
      <c r="T480" s="466"/>
      <c r="U480" s="929"/>
      <c r="V480" s="929"/>
      <c r="W480" s="929"/>
      <c r="X480" s="474"/>
      <c r="Y480" s="474"/>
      <c r="Z480" s="474"/>
      <c r="AA480" s="474"/>
      <c r="AB480" s="474"/>
      <c r="AC480" s="388"/>
      <c r="AD480" s="464"/>
      <c r="AE480" s="465"/>
      <c r="AF480" s="388"/>
      <c r="AW480" s="471"/>
      <c r="AX480" s="471"/>
    </row>
    <row r="481" spans="1:50" ht="27" customHeight="1" x14ac:dyDescent="0.25">
      <c r="A481" s="462"/>
      <c r="H481" s="929"/>
      <c r="I481" s="388"/>
      <c r="J481" s="929"/>
      <c r="K481" s="388"/>
      <c r="L481" s="929"/>
      <c r="M481" s="388"/>
      <c r="N481" s="929"/>
      <c r="O481" s="388"/>
      <c r="P481" s="388"/>
      <c r="Q481" s="388"/>
      <c r="R481" s="465"/>
      <c r="S481" s="929"/>
      <c r="T481" s="466"/>
      <c r="U481" s="929"/>
      <c r="V481" s="929"/>
      <c r="W481" s="929"/>
      <c r="X481" s="474"/>
      <c r="Y481" s="474"/>
      <c r="Z481" s="474"/>
      <c r="AA481" s="474"/>
      <c r="AB481" s="474"/>
      <c r="AC481" s="388"/>
      <c r="AD481" s="464"/>
      <c r="AE481" s="465"/>
      <c r="AF481" s="388"/>
      <c r="AW481" s="471"/>
      <c r="AX481" s="471"/>
    </row>
    <row r="482" spans="1:50" ht="27" customHeight="1" x14ac:dyDescent="0.25">
      <c r="A482" s="462"/>
      <c r="H482" s="929"/>
      <c r="I482" s="388"/>
      <c r="J482" s="929"/>
      <c r="K482" s="388"/>
      <c r="L482" s="929"/>
      <c r="M482" s="388"/>
      <c r="N482" s="929"/>
      <c r="O482" s="388"/>
      <c r="P482" s="388"/>
      <c r="Q482" s="388"/>
      <c r="R482" s="465"/>
      <c r="S482" s="929"/>
      <c r="T482" s="466"/>
      <c r="U482" s="929"/>
      <c r="V482" s="929"/>
      <c r="W482" s="929"/>
      <c r="X482" s="474"/>
      <c r="Y482" s="474"/>
      <c r="Z482" s="474"/>
      <c r="AA482" s="474"/>
      <c r="AB482" s="474"/>
      <c r="AC482" s="388"/>
      <c r="AD482" s="464"/>
      <c r="AE482" s="465"/>
      <c r="AF482" s="388"/>
      <c r="AW482" s="471"/>
      <c r="AX482" s="471"/>
    </row>
    <row r="483" spans="1:50" ht="27" customHeight="1" x14ac:dyDescent="0.25">
      <c r="A483" s="462"/>
      <c r="H483" s="929"/>
      <c r="I483" s="388"/>
      <c r="J483" s="929"/>
      <c r="K483" s="388"/>
      <c r="L483" s="929"/>
      <c r="M483" s="388"/>
      <c r="N483" s="929"/>
      <c r="O483" s="388"/>
      <c r="P483" s="388"/>
      <c r="Q483" s="388"/>
      <c r="R483" s="465"/>
      <c r="S483" s="929"/>
      <c r="T483" s="466"/>
      <c r="U483" s="929"/>
      <c r="V483" s="929"/>
      <c r="W483" s="929"/>
      <c r="X483" s="474"/>
      <c r="Y483" s="474"/>
      <c r="Z483" s="474"/>
      <c r="AA483" s="474"/>
      <c r="AB483" s="474"/>
      <c r="AC483" s="388"/>
      <c r="AD483" s="464"/>
      <c r="AE483" s="465"/>
      <c r="AF483" s="388"/>
      <c r="AW483" s="471"/>
      <c r="AX483" s="471"/>
    </row>
    <row r="484" spans="1:50" ht="27" customHeight="1" x14ac:dyDescent="0.25">
      <c r="A484" s="462"/>
      <c r="H484" s="929"/>
      <c r="I484" s="388"/>
      <c r="J484" s="929"/>
      <c r="K484" s="388"/>
      <c r="L484" s="929"/>
      <c r="M484" s="388"/>
      <c r="N484" s="929"/>
      <c r="O484" s="388"/>
      <c r="P484" s="388"/>
      <c r="Q484" s="388"/>
      <c r="R484" s="465"/>
      <c r="S484" s="929"/>
      <c r="T484" s="466"/>
      <c r="U484" s="929"/>
      <c r="V484" s="929"/>
      <c r="W484" s="929"/>
      <c r="X484" s="474"/>
      <c r="Y484" s="474"/>
      <c r="Z484" s="474"/>
      <c r="AA484" s="474"/>
      <c r="AB484" s="474"/>
      <c r="AC484" s="388"/>
      <c r="AD484" s="464"/>
      <c r="AE484" s="465"/>
      <c r="AF484" s="388"/>
      <c r="AW484" s="471"/>
      <c r="AX484" s="471"/>
    </row>
    <row r="485" spans="1:50" ht="27" customHeight="1" x14ac:dyDescent="0.25">
      <c r="A485" s="462"/>
      <c r="H485" s="929"/>
      <c r="I485" s="388"/>
      <c r="J485" s="929"/>
      <c r="K485" s="388"/>
      <c r="L485" s="929"/>
      <c r="M485" s="388"/>
      <c r="N485" s="929"/>
      <c r="O485" s="388"/>
      <c r="P485" s="388"/>
      <c r="Q485" s="388"/>
      <c r="R485" s="465"/>
      <c r="S485" s="929"/>
      <c r="T485" s="466"/>
      <c r="U485" s="929"/>
      <c r="V485" s="929"/>
      <c r="W485" s="929"/>
      <c r="X485" s="474"/>
      <c r="Y485" s="474"/>
      <c r="Z485" s="474"/>
      <c r="AA485" s="474"/>
      <c r="AB485" s="474"/>
      <c r="AC485" s="388"/>
      <c r="AD485" s="464"/>
      <c r="AE485" s="465"/>
      <c r="AF485" s="388"/>
      <c r="AW485" s="471"/>
      <c r="AX485" s="471"/>
    </row>
    <row r="486" spans="1:50" ht="27" customHeight="1" x14ac:dyDescent="0.25">
      <c r="A486" s="462"/>
      <c r="H486" s="929"/>
      <c r="I486" s="388"/>
      <c r="J486" s="929"/>
      <c r="K486" s="388"/>
      <c r="L486" s="929"/>
      <c r="M486" s="388"/>
      <c r="N486" s="929"/>
      <c r="O486" s="388"/>
      <c r="P486" s="388"/>
      <c r="Q486" s="388"/>
      <c r="R486" s="465"/>
      <c r="S486" s="929"/>
      <c r="T486" s="466"/>
      <c r="U486" s="929"/>
      <c r="V486" s="929"/>
      <c r="W486" s="929"/>
      <c r="X486" s="474"/>
      <c r="Y486" s="474"/>
      <c r="Z486" s="474"/>
      <c r="AA486" s="474"/>
      <c r="AB486" s="474"/>
      <c r="AC486" s="388"/>
      <c r="AD486" s="464"/>
      <c r="AE486" s="465"/>
      <c r="AF486" s="388"/>
      <c r="AW486" s="471"/>
      <c r="AX486" s="471"/>
    </row>
    <row r="487" spans="1:50" ht="27" customHeight="1" x14ac:dyDescent="0.25">
      <c r="A487" s="462"/>
      <c r="H487" s="929"/>
      <c r="I487" s="388"/>
      <c r="J487" s="929"/>
      <c r="K487" s="388"/>
      <c r="L487" s="929"/>
      <c r="M487" s="388"/>
      <c r="N487" s="929"/>
      <c r="O487" s="388"/>
      <c r="P487" s="388"/>
      <c r="Q487" s="388"/>
      <c r="R487" s="465"/>
      <c r="S487" s="929"/>
      <c r="T487" s="466"/>
      <c r="U487" s="929"/>
      <c r="V487" s="929"/>
      <c r="W487" s="929"/>
      <c r="X487" s="474"/>
      <c r="Y487" s="474"/>
      <c r="Z487" s="474"/>
      <c r="AA487" s="474"/>
      <c r="AB487" s="474"/>
      <c r="AC487" s="388"/>
      <c r="AD487" s="464"/>
      <c r="AE487" s="465"/>
      <c r="AF487" s="388"/>
      <c r="AW487" s="471"/>
      <c r="AX487" s="471"/>
    </row>
    <row r="488" spans="1:50" ht="27" customHeight="1" x14ac:dyDescent="0.25">
      <c r="A488" s="462"/>
      <c r="H488" s="929"/>
      <c r="I488" s="388"/>
      <c r="J488" s="929"/>
      <c r="K488" s="388"/>
      <c r="L488" s="929"/>
      <c r="M488" s="388"/>
      <c r="N488" s="929"/>
      <c r="O488" s="388"/>
      <c r="P488" s="388"/>
      <c r="Q488" s="388"/>
      <c r="R488" s="465"/>
      <c r="S488" s="929"/>
      <c r="T488" s="466"/>
      <c r="U488" s="929"/>
      <c r="V488" s="929"/>
      <c r="W488" s="929"/>
      <c r="X488" s="474"/>
      <c r="Y488" s="474"/>
      <c r="Z488" s="474"/>
      <c r="AA488" s="474"/>
      <c r="AB488" s="474"/>
      <c r="AC488" s="388"/>
      <c r="AD488" s="464"/>
      <c r="AE488" s="465"/>
      <c r="AF488" s="388"/>
      <c r="AW488" s="471"/>
      <c r="AX488" s="471"/>
    </row>
    <row r="489" spans="1:50" ht="27" customHeight="1" x14ac:dyDescent="0.25">
      <c r="A489" s="462"/>
      <c r="H489" s="929"/>
      <c r="I489" s="388"/>
      <c r="J489" s="929"/>
      <c r="K489" s="388"/>
      <c r="L489" s="929"/>
      <c r="M489" s="388"/>
      <c r="N489" s="929"/>
      <c r="O489" s="388"/>
      <c r="P489" s="388"/>
      <c r="Q489" s="388"/>
      <c r="R489" s="465"/>
      <c r="S489" s="929"/>
      <c r="T489" s="466"/>
      <c r="U489" s="929"/>
      <c r="V489" s="929"/>
      <c r="W489" s="929"/>
      <c r="X489" s="474"/>
      <c r="Y489" s="474"/>
      <c r="Z489" s="474"/>
      <c r="AA489" s="474"/>
      <c r="AB489" s="474"/>
      <c r="AC489" s="388"/>
      <c r="AD489" s="464"/>
      <c r="AE489" s="465"/>
      <c r="AF489" s="388"/>
      <c r="AW489" s="471"/>
      <c r="AX489" s="471"/>
    </row>
    <row r="490" spans="1:50" ht="27" customHeight="1" x14ac:dyDescent="0.25">
      <c r="A490" s="462"/>
      <c r="H490" s="929"/>
      <c r="I490" s="388"/>
      <c r="J490" s="929"/>
      <c r="K490" s="388"/>
      <c r="L490" s="929"/>
      <c r="M490" s="388"/>
      <c r="N490" s="929"/>
      <c r="O490" s="388"/>
      <c r="P490" s="388"/>
      <c r="Q490" s="388"/>
      <c r="R490" s="465"/>
      <c r="S490" s="929"/>
      <c r="T490" s="466"/>
      <c r="U490" s="929"/>
      <c r="V490" s="929"/>
      <c r="W490" s="929"/>
      <c r="X490" s="474"/>
      <c r="Y490" s="474"/>
      <c r="Z490" s="474"/>
      <c r="AA490" s="474"/>
      <c r="AB490" s="474"/>
      <c r="AC490" s="388"/>
      <c r="AD490" s="464"/>
      <c r="AE490" s="465"/>
      <c r="AF490" s="388"/>
      <c r="AW490" s="471"/>
      <c r="AX490" s="471"/>
    </row>
    <row r="491" spans="1:50" ht="27" customHeight="1" x14ac:dyDescent="0.25">
      <c r="A491" s="462"/>
      <c r="H491" s="929"/>
      <c r="I491" s="388"/>
      <c r="J491" s="929"/>
      <c r="K491" s="388"/>
      <c r="L491" s="929"/>
      <c r="M491" s="388"/>
      <c r="N491" s="929"/>
      <c r="O491" s="388"/>
      <c r="P491" s="388"/>
      <c r="Q491" s="388"/>
      <c r="R491" s="465"/>
      <c r="S491" s="929"/>
      <c r="T491" s="466"/>
      <c r="U491" s="929"/>
      <c r="V491" s="929"/>
      <c r="W491" s="929"/>
      <c r="X491" s="474"/>
      <c r="Y491" s="474"/>
      <c r="Z491" s="474"/>
      <c r="AA491" s="474"/>
      <c r="AB491" s="474"/>
      <c r="AC491" s="388"/>
      <c r="AD491" s="464"/>
      <c r="AE491" s="465"/>
      <c r="AF491" s="388"/>
      <c r="AW491" s="471"/>
      <c r="AX491" s="471"/>
    </row>
    <row r="492" spans="1:50" ht="27" customHeight="1" x14ac:dyDescent="0.25">
      <c r="A492" s="462"/>
      <c r="H492" s="929"/>
      <c r="I492" s="388"/>
      <c r="J492" s="929"/>
      <c r="K492" s="388"/>
      <c r="L492" s="929"/>
      <c r="M492" s="388"/>
      <c r="N492" s="929"/>
      <c r="O492" s="388"/>
      <c r="P492" s="388"/>
      <c r="Q492" s="388"/>
      <c r="R492" s="465"/>
      <c r="S492" s="929"/>
      <c r="T492" s="466"/>
      <c r="U492" s="929"/>
      <c r="V492" s="929"/>
      <c r="W492" s="929"/>
      <c r="X492" s="474"/>
      <c r="Y492" s="474"/>
      <c r="Z492" s="474"/>
      <c r="AA492" s="474"/>
      <c r="AB492" s="474"/>
      <c r="AC492" s="388"/>
      <c r="AD492" s="464"/>
      <c r="AE492" s="465"/>
      <c r="AF492" s="388"/>
      <c r="AW492" s="471"/>
      <c r="AX492" s="471"/>
    </row>
    <row r="493" spans="1:50" ht="27" customHeight="1" x14ac:dyDescent="0.25">
      <c r="A493" s="462"/>
      <c r="H493" s="929"/>
      <c r="I493" s="388"/>
      <c r="J493" s="929"/>
      <c r="K493" s="388"/>
      <c r="L493" s="929"/>
      <c r="M493" s="388"/>
      <c r="N493" s="929"/>
      <c r="O493" s="388"/>
      <c r="P493" s="388"/>
      <c r="Q493" s="388"/>
      <c r="R493" s="465"/>
      <c r="S493" s="929"/>
      <c r="T493" s="466"/>
      <c r="U493" s="929"/>
      <c r="V493" s="929"/>
      <c r="W493" s="929"/>
      <c r="X493" s="474"/>
      <c r="Y493" s="474"/>
      <c r="Z493" s="474"/>
      <c r="AA493" s="474"/>
      <c r="AB493" s="474"/>
      <c r="AC493" s="388"/>
      <c r="AD493" s="464"/>
      <c r="AE493" s="465"/>
      <c r="AF493" s="388"/>
      <c r="AW493" s="471"/>
      <c r="AX493" s="471"/>
    </row>
    <row r="494" spans="1:50" ht="27" customHeight="1" x14ac:dyDescent="0.25">
      <c r="A494" s="462"/>
      <c r="H494" s="929"/>
      <c r="I494" s="388"/>
      <c r="J494" s="929"/>
      <c r="K494" s="388"/>
      <c r="L494" s="929"/>
      <c r="M494" s="388"/>
      <c r="N494" s="929"/>
      <c r="O494" s="388"/>
      <c r="P494" s="388"/>
      <c r="Q494" s="388"/>
      <c r="R494" s="465"/>
      <c r="S494" s="929"/>
      <c r="T494" s="466"/>
      <c r="U494" s="929"/>
      <c r="V494" s="929"/>
      <c r="W494" s="929"/>
      <c r="X494" s="474"/>
      <c r="Y494" s="474"/>
      <c r="Z494" s="474"/>
      <c r="AA494" s="474"/>
      <c r="AB494" s="474"/>
      <c r="AC494" s="388"/>
      <c r="AD494" s="464"/>
      <c r="AE494" s="465"/>
      <c r="AF494" s="388"/>
      <c r="AW494" s="471"/>
      <c r="AX494" s="471"/>
    </row>
    <row r="495" spans="1:50" ht="27" customHeight="1" x14ac:dyDescent="0.25">
      <c r="A495" s="462"/>
      <c r="H495" s="929"/>
      <c r="I495" s="388"/>
      <c r="J495" s="929"/>
      <c r="K495" s="388"/>
      <c r="L495" s="929"/>
      <c r="M495" s="388"/>
      <c r="N495" s="929"/>
      <c r="O495" s="388"/>
      <c r="P495" s="388"/>
      <c r="Q495" s="388"/>
      <c r="R495" s="465"/>
      <c r="S495" s="929"/>
      <c r="T495" s="466"/>
      <c r="U495" s="929"/>
      <c r="V495" s="929"/>
      <c r="W495" s="929"/>
      <c r="X495" s="474"/>
      <c r="Y495" s="474"/>
      <c r="Z495" s="474"/>
      <c r="AA495" s="474"/>
      <c r="AB495" s="474"/>
      <c r="AC495" s="388"/>
      <c r="AD495" s="464"/>
      <c r="AE495" s="465"/>
      <c r="AF495" s="388"/>
      <c r="AW495" s="471"/>
      <c r="AX495" s="471"/>
    </row>
    <row r="496" spans="1:50" ht="27" customHeight="1" x14ac:dyDescent="0.25">
      <c r="A496" s="462"/>
      <c r="H496" s="929"/>
      <c r="I496" s="388"/>
      <c r="J496" s="929"/>
      <c r="K496" s="388"/>
      <c r="L496" s="929"/>
      <c r="M496" s="388"/>
      <c r="N496" s="929"/>
      <c r="O496" s="388"/>
      <c r="P496" s="388"/>
      <c r="Q496" s="388"/>
      <c r="R496" s="465"/>
      <c r="S496" s="929"/>
      <c r="T496" s="466"/>
      <c r="U496" s="929"/>
      <c r="V496" s="929"/>
      <c r="W496" s="929"/>
      <c r="X496" s="474"/>
      <c r="Y496" s="474"/>
      <c r="Z496" s="474"/>
      <c r="AA496" s="474"/>
      <c r="AB496" s="474"/>
      <c r="AC496" s="388"/>
      <c r="AD496" s="464"/>
      <c r="AE496" s="465"/>
      <c r="AF496" s="388"/>
      <c r="AW496" s="471"/>
      <c r="AX496" s="471"/>
    </row>
    <row r="497" spans="1:50" ht="27" customHeight="1" x14ac:dyDescent="0.25">
      <c r="A497" s="462"/>
      <c r="H497" s="929"/>
      <c r="I497" s="388"/>
      <c r="J497" s="929"/>
      <c r="K497" s="388"/>
      <c r="L497" s="929"/>
      <c r="M497" s="388"/>
      <c r="N497" s="929"/>
      <c r="O497" s="388"/>
      <c r="P497" s="388"/>
      <c r="Q497" s="388"/>
      <c r="R497" s="465"/>
      <c r="S497" s="929"/>
      <c r="T497" s="466"/>
      <c r="U497" s="929"/>
      <c r="V497" s="929"/>
      <c r="W497" s="929"/>
      <c r="X497" s="474"/>
      <c r="Y497" s="474"/>
      <c r="Z497" s="474"/>
      <c r="AA497" s="474"/>
      <c r="AB497" s="474"/>
      <c r="AC497" s="388"/>
      <c r="AD497" s="464"/>
      <c r="AE497" s="465"/>
      <c r="AF497" s="388"/>
      <c r="AW497" s="471"/>
      <c r="AX497" s="471"/>
    </row>
    <row r="498" spans="1:50" ht="27" customHeight="1" x14ac:dyDescent="0.25">
      <c r="A498" s="462"/>
      <c r="H498" s="929"/>
      <c r="I498" s="388"/>
      <c r="J498" s="929"/>
      <c r="K498" s="388"/>
      <c r="L498" s="929"/>
      <c r="M498" s="388"/>
      <c r="N498" s="929"/>
      <c r="O498" s="388"/>
      <c r="P498" s="388"/>
      <c r="Q498" s="388"/>
      <c r="R498" s="465"/>
      <c r="S498" s="929"/>
      <c r="T498" s="466"/>
      <c r="U498" s="929"/>
      <c r="V498" s="929"/>
      <c r="W498" s="929"/>
      <c r="X498" s="474"/>
      <c r="Y498" s="474"/>
      <c r="Z498" s="474"/>
      <c r="AA498" s="474"/>
      <c r="AB498" s="474"/>
      <c r="AC498" s="388"/>
      <c r="AD498" s="464"/>
      <c r="AE498" s="465"/>
      <c r="AF498" s="388"/>
      <c r="AW498" s="471"/>
      <c r="AX498" s="471"/>
    </row>
    <row r="499" spans="1:50" ht="27" customHeight="1" x14ac:dyDescent="0.25">
      <c r="A499" s="462"/>
      <c r="H499" s="929"/>
      <c r="I499" s="388"/>
      <c r="J499" s="929"/>
      <c r="K499" s="388"/>
      <c r="L499" s="929"/>
      <c r="M499" s="388"/>
      <c r="N499" s="929"/>
      <c r="O499" s="388"/>
      <c r="P499" s="388"/>
      <c r="Q499" s="388"/>
      <c r="R499" s="465"/>
      <c r="S499" s="929"/>
      <c r="T499" s="466"/>
      <c r="U499" s="929"/>
      <c r="V499" s="929"/>
      <c r="W499" s="929"/>
      <c r="X499" s="474"/>
      <c r="Y499" s="474"/>
      <c r="Z499" s="474"/>
      <c r="AA499" s="474"/>
      <c r="AB499" s="474"/>
      <c r="AC499" s="388"/>
      <c r="AD499" s="464"/>
      <c r="AE499" s="465"/>
      <c r="AF499" s="388"/>
      <c r="AW499" s="471"/>
      <c r="AX499" s="471"/>
    </row>
    <row r="500" spans="1:50" ht="27" customHeight="1" x14ac:dyDescent="0.25">
      <c r="A500" s="462"/>
      <c r="H500" s="929"/>
      <c r="I500" s="388"/>
      <c r="J500" s="929"/>
      <c r="K500" s="388"/>
      <c r="L500" s="929"/>
      <c r="M500" s="388"/>
      <c r="N500" s="929"/>
      <c r="O500" s="388"/>
      <c r="P500" s="388"/>
      <c r="Q500" s="388"/>
      <c r="R500" s="465"/>
      <c r="S500" s="929"/>
      <c r="T500" s="466"/>
      <c r="U500" s="929"/>
      <c r="V500" s="929"/>
      <c r="W500" s="929"/>
      <c r="X500" s="474"/>
      <c r="Y500" s="474"/>
      <c r="Z500" s="474"/>
      <c r="AA500" s="474"/>
      <c r="AB500" s="474"/>
      <c r="AC500" s="388"/>
      <c r="AD500" s="464"/>
      <c r="AE500" s="465"/>
      <c r="AF500" s="388"/>
      <c r="AW500" s="471"/>
      <c r="AX500" s="471"/>
    </row>
    <row r="501" spans="1:50" ht="27" customHeight="1" x14ac:dyDescent="0.25">
      <c r="A501" s="462"/>
      <c r="H501" s="929"/>
      <c r="I501" s="388"/>
      <c r="J501" s="929"/>
      <c r="K501" s="388"/>
      <c r="L501" s="929"/>
      <c r="M501" s="388"/>
      <c r="N501" s="929"/>
      <c r="O501" s="388"/>
      <c r="P501" s="388"/>
      <c r="Q501" s="388"/>
      <c r="R501" s="465"/>
      <c r="S501" s="929"/>
      <c r="T501" s="466"/>
      <c r="U501" s="929"/>
      <c r="V501" s="929"/>
      <c r="W501" s="929"/>
      <c r="X501" s="474"/>
      <c r="Y501" s="474"/>
      <c r="Z501" s="474"/>
      <c r="AA501" s="474"/>
      <c r="AB501" s="474"/>
      <c r="AC501" s="388"/>
      <c r="AD501" s="464"/>
      <c r="AE501" s="465"/>
      <c r="AF501" s="388"/>
      <c r="AW501" s="471"/>
      <c r="AX501" s="471"/>
    </row>
    <row r="502" spans="1:50" ht="27" customHeight="1" x14ac:dyDescent="0.25">
      <c r="A502" s="462"/>
      <c r="H502" s="929"/>
      <c r="I502" s="388"/>
      <c r="J502" s="929"/>
      <c r="K502" s="388"/>
      <c r="L502" s="929"/>
      <c r="M502" s="388"/>
      <c r="N502" s="929"/>
      <c r="O502" s="388"/>
      <c r="P502" s="388"/>
      <c r="Q502" s="388"/>
      <c r="R502" s="465"/>
      <c r="S502" s="929"/>
      <c r="T502" s="466"/>
      <c r="U502" s="929"/>
      <c r="V502" s="929"/>
      <c r="W502" s="929"/>
      <c r="X502" s="474"/>
      <c r="Y502" s="474"/>
      <c r="Z502" s="474"/>
      <c r="AA502" s="474"/>
      <c r="AB502" s="474"/>
      <c r="AC502" s="388"/>
      <c r="AD502" s="464"/>
      <c r="AE502" s="465"/>
      <c r="AF502" s="388"/>
      <c r="AW502" s="471"/>
      <c r="AX502" s="471"/>
    </row>
    <row r="503" spans="1:50" ht="27" customHeight="1" x14ac:dyDescent="0.25">
      <c r="A503" s="462"/>
      <c r="H503" s="929"/>
      <c r="I503" s="388"/>
      <c r="J503" s="929"/>
      <c r="K503" s="388"/>
      <c r="L503" s="929"/>
      <c r="M503" s="388"/>
      <c r="N503" s="929"/>
      <c r="O503" s="388"/>
      <c r="P503" s="388"/>
      <c r="Q503" s="388"/>
      <c r="R503" s="465"/>
      <c r="S503" s="929"/>
      <c r="T503" s="466"/>
      <c r="U503" s="929"/>
      <c r="V503" s="929"/>
      <c r="W503" s="929"/>
      <c r="X503" s="474"/>
      <c r="Y503" s="474"/>
      <c r="Z503" s="474"/>
      <c r="AA503" s="474"/>
      <c r="AB503" s="474"/>
      <c r="AC503" s="388"/>
      <c r="AD503" s="464"/>
      <c r="AE503" s="465"/>
      <c r="AF503" s="388"/>
      <c r="AW503" s="471"/>
      <c r="AX503" s="471"/>
    </row>
    <row r="504" spans="1:50" ht="27" customHeight="1" x14ac:dyDescent="0.25">
      <c r="A504" s="462"/>
      <c r="H504" s="929"/>
      <c r="I504" s="388"/>
      <c r="J504" s="929"/>
      <c r="K504" s="388"/>
      <c r="L504" s="929"/>
      <c r="M504" s="388"/>
      <c r="N504" s="929"/>
      <c r="O504" s="388"/>
      <c r="P504" s="388"/>
      <c r="Q504" s="388"/>
      <c r="R504" s="465"/>
      <c r="S504" s="929"/>
      <c r="T504" s="466"/>
      <c r="U504" s="929"/>
      <c r="V504" s="929"/>
      <c r="W504" s="929"/>
      <c r="X504" s="474"/>
      <c r="Y504" s="474"/>
      <c r="Z504" s="474"/>
      <c r="AA504" s="474"/>
      <c r="AB504" s="474"/>
      <c r="AC504" s="388"/>
      <c r="AD504" s="464"/>
      <c r="AE504" s="465"/>
      <c r="AF504" s="388"/>
      <c r="AW504" s="471"/>
      <c r="AX504" s="471"/>
    </row>
    <row r="505" spans="1:50" ht="27" customHeight="1" x14ac:dyDescent="0.25">
      <c r="A505" s="462"/>
      <c r="H505" s="929"/>
      <c r="I505" s="388"/>
      <c r="J505" s="929"/>
      <c r="K505" s="388"/>
      <c r="L505" s="929"/>
      <c r="M505" s="388"/>
      <c r="N505" s="929"/>
      <c r="O505" s="388"/>
      <c r="P505" s="388"/>
      <c r="Q505" s="388"/>
      <c r="R505" s="465"/>
      <c r="S505" s="929"/>
      <c r="T505" s="466"/>
      <c r="U505" s="929"/>
      <c r="V505" s="929"/>
      <c r="W505" s="929"/>
      <c r="X505" s="474"/>
      <c r="Y505" s="474"/>
      <c r="Z505" s="474"/>
      <c r="AA505" s="474"/>
      <c r="AB505" s="474"/>
      <c r="AC505" s="388"/>
      <c r="AD505" s="464"/>
      <c r="AE505" s="465"/>
      <c r="AF505" s="388"/>
      <c r="AW505" s="471"/>
      <c r="AX505" s="471"/>
    </row>
    <row r="506" spans="1:50" ht="27" customHeight="1" x14ac:dyDescent="0.25">
      <c r="A506" s="462"/>
      <c r="H506" s="929"/>
      <c r="I506" s="388"/>
      <c r="J506" s="929"/>
      <c r="K506" s="388"/>
      <c r="L506" s="929"/>
      <c r="M506" s="388"/>
      <c r="N506" s="929"/>
      <c r="O506" s="388"/>
      <c r="P506" s="388"/>
      <c r="Q506" s="388"/>
      <c r="R506" s="465"/>
      <c r="S506" s="929"/>
      <c r="T506" s="466"/>
      <c r="U506" s="929"/>
      <c r="V506" s="929"/>
      <c r="W506" s="929"/>
      <c r="X506" s="474"/>
      <c r="Y506" s="474"/>
      <c r="Z506" s="474"/>
      <c r="AA506" s="474"/>
      <c r="AB506" s="474"/>
      <c r="AC506" s="388"/>
      <c r="AD506" s="464"/>
      <c r="AE506" s="465"/>
      <c r="AF506" s="388"/>
      <c r="AW506" s="471"/>
      <c r="AX506" s="471"/>
    </row>
    <row r="507" spans="1:50" ht="27" customHeight="1" x14ac:dyDescent="0.25">
      <c r="A507" s="462"/>
      <c r="H507" s="929"/>
      <c r="I507" s="388"/>
      <c r="J507" s="929"/>
      <c r="K507" s="388"/>
      <c r="L507" s="929"/>
      <c r="M507" s="388"/>
      <c r="N507" s="929"/>
      <c r="O507" s="388"/>
      <c r="P507" s="388"/>
      <c r="Q507" s="388"/>
      <c r="R507" s="465"/>
      <c r="S507" s="929"/>
      <c r="T507" s="466"/>
      <c r="U507" s="929"/>
      <c r="V507" s="929"/>
      <c r="W507" s="929"/>
      <c r="X507" s="474"/>
      <c r="Y507" s="474"/>
      <c r="Z507" s="474"/>
      <c r="AA507" s="474"/>
      <c r="AB507" s="474"/>
      <c r="AC507" s="388"/>
      <c r="AD507" s="464"/>
      <c r="AE507" s="465"/>
      <c r="AF507" s="388"/>
      <c r="AW507" s="471"/>
      <c r="AX507" s="471"/>
    </row>
    <row r="508" spans="1:50" ht="27" customHeight="1" x14ac:dyDescent="0.25">
      <c r="A508" s="462"/>
      <c r="H508" s="929"/>
      <c r="I508" s="388"/>
      <c r="J508" s="929"/>
      <c r="K508" s="388"/>
      <c r="L508" s="929"/>
      <c r="M508" s="388"/>
      <c r="N508" s="929"/>
      <c r="O508" s="388"/>
      <c r="P508" s="388"/>
      <c r="Q508" s="388"/>
      <c r="R508" s="465"/>
      <c r="S508" s="929"/>
      <c r="T508" s="466"/>
      <c r="U508" s="929"/>
      <c r="V508" s="929"/>
      <c r="W508" s="929"/>
      <c r="X508" s="474"/>
      <c r="Y508" s="474"/>
      <c r="Z508" s="474"/>
      <c r="AA508" s="474"/>
      <c r="AB508" s="474"/>
      <c r="AC508" s="388"/>
      <c r="AD508" s="464"/>
      <c r="AE508" s="465"/>
      <c r="AF508" s="388"/>
      <c r="AW508" s="471"/>
      <c r="AX508" s="471"/>
    </row>
    <row r="509" spans="1:50" ht="27" customHeight="1" x14ac:dyDescent="0.25">
      <c r="A509" s="462"/>
      <c r="H509" s="929"/>
      <c r="I509" s="388"/>
      <c r="J509" s="929"/>
      <c r="K509" s="388"/>
      <c r="L509" s="929"/>
      <c r="M509" s="388"/>
      <c r="N509" s="929"/>
      <c r="O509" s="388"/>
      <c r="P509" s="388"/>
      <c r="Q509" s="388"/>
      <c r="R509" s="465"/>
      <c r="S509" s="929"/>
      <c r="T509" s="466"/>
      <c r="U509" s="929"/>
      <c r="V509" s="929"/>
      <c r="W509" s="929"/>
      <c r="X509" s="474"/>
      <c r="Y509" s="474"/>
      <c r="Z509" s="474"/>
      <c r="AA509" s="474"/>
      <c r="AB509" s="474"/>
      <c r="AC509" s="388"/>
      <c r="AD509" s="464"/>
      <c r="AE509" s="465"/>
      <c r="AF509" s="388"/>
      <c r="AW509" s="471"/>
      <c r="AX509" s="471"/>
    </row>
    <row r="510" spans="1:50" ht="27" customHeight="1" x14ac:dyDescent="0.25">
      <c r="A510" s="462"/>
      <c r="H510" s="929"/>
      <c r="I510" s="388"/>
      <c r="J510" s="929"/>
      <c r="K510" s="388"/>
      <c r="L510" s="929"/>
      <c r="M510" s="388"/>
      <c r="N510" s="929"/>
      <c r="O510" s="388"/>
      <c r="P510" s="388"/>
      <c r="Q510" s="388"/>
      <c r="R510" s="465"/>
      <c r="S510" s="929"/>
      <c r="T510" s="466"/>
      <c r="U510" s="929"/>
      <c r="V510" s="929"/>
      <c r="W510" s="929"/>
      <c r="X510" s="474"/>
      <c r="Y510" s="474"/>
      <c r="Z510" s="474"/>
      <c r="AA510" s="474"/>
      <c r="AB510" s="474"/>
      <c r="AC510" s="388"/>
      <c r="AD510" s="464"/>
      <c r="AE510" s="465"/>
      <c r="AF510" s="388"/>
      <c r="AW510" s="471"/>
      <c r="AX510" s="471"/>
    </row>
    <row r="511" spans="1:50" ht="27" customHeight="1" x14ac:dyDescent="0.25">
      <c r="A511" s="462"/>
      <c r="H511" s="929"/>
      <c r="I511" s="388"/>
      <c r="J511" s="929"/>
      <c r="K511" s="388"/>
      <c r="L511" s="929"/>
      <c r="M511" s="388"/>
      <c r="N511" s="929"/>
      <c r="O511" s="388"/>
      <c r="P511" s="388"/>
      <c r="Q511" s="388"/>
      <c r="R511" s="465"/>
      <c r="S511" s="929"/>
      <c r="T511" s="466"/>
      <c r="U511" s="929"/>
      <c r="V511" s="929"/>
      <c r="W511" s="929"/>
      <c r="X511" s="474"/>
      <c r="Y511" s="474"/>
      <c r="Z511" s="474"/>
      <c r="AA511" s="474"/>
      <c r="AB511" s="474"/>
      <c r="AC511" s="388"/>
      <c r="AD511" s="464"/>
      <c r="AE511" s="465"/>
      <c r="AF511" s="388"/>
      <c r="AW511" s="471"/>
      <c r="AX511" s="471"/>
    </row>
    <row r="512" spans="1:50" ht="27" customHeight="1" x14ac:dyDescent="0.25">
      <c r="A512" s="462"/>
      <c r="H512" s="929"/>
      <c r="I512" s="388"/>
      <c r="J512" s="929"/>
      <c r="K512" s="388"/>
      <c r="L512" s="929"/>
      <c r="M512" s="388"/>
      <c r="N512" s="929"/>
      <c r="O512" s="388"/>
      <c r="P512" s="388"/>
      <c r="Q512" s="388"/>
      <c r="R512" s="465"/>
      <c r="S512" s="929"/>
      <c r="T512" s="466"/>
      <c r="U512" s="929"/>
      <c r="V512" s="929"/>
      <c r="W512" s="929"/>
      <c r="X512" s="474"/>
      <c r="Y512" s="474"/>
      <c r="Z512" s="474"/>
      <c r="AA512" s="474"/>
      <c r="AB512" s="474"/>
      <c r="AC512" s="388"/>
      <c r="AD512" s="464"/>
      <c r="AE512" s="465"/>
      <c r="AF512" s="388"/>
      <c r="AW512" s="471"/>
      <c r="AX512" s="471"/>
    </row>
    <row r="513" spans="1:50" ht="27" customHeight="1" x14ac:dyDescent="0.25">
      <c r="A513" s="462"/>
      <c r="H513" s="929"/>
      <c r="I513" s="388"/>
      <c r="J513" s="929"/>
      <c r="K513" s="388"/>
      <c r="L513" s="929"/>
      <c r="M513" s="388"/>
      <c r="N513" s="929"/>
      <c r="O513" s="388"/>
      <c r="P513" s="388"/>
      <c r="Q513" s="388"/>
      <c r="R513" s="465"/>
      <c r="S513" s="929"/>
      <c r="T513" s="466"/>
      <c r="U513" s="929"/>
      <c r="V513" s="929"/>
      <c r="W513" s="929"/>
      <c r="X513" s="474"/>
      <c r="Y513" s="474"/>
      <c r="Z513" s="474"/>
      <c r="AA513" s="474"/>
      <c r="AB513" s="474"/>
      <c r="AC513" s="388"/>
      <c r="AD513" s="464"/>
      <c r="AE513" s="465"/>
      <c r="AF513" s="388"/>
      <c r="AW513" s="471"/>
      <c r="AX513" s="471"/>
    </row>
    <row r="514" spans="1:50" ht="27" customHeight="1" x14ac:dyDescent="0.25">
      <c r="A514" s="462"/>
      <c r="H514" s="929"/>
      <c r="I514" s="388"/>
      <c r="J514" s="929"/>
      <c r="K514" s="388"/>
      <c r="L514" s="929"/>
      <c r="M514" s="388"/>
      <c r="N514" s="929"/>
      <c r="O514" s="388"/>
      <c r="P514" s="388"/>
      <c r="Q514" s="388"/>
      <c r="R514" s="465"/>
      <c r="S514" s="929"/>
      <c r="T514" s="466"/>
      <c r="U514" s="929"/>
      <c r="V514" s="929"/>
      <c r="W514" s="929"/>
      <c r="X514" s="474"/>
      <c r="Y514" s="474"/>
      <c r="Z514" s="474"/>
      <c r="AA514" s="474"/>
      <c r="AB514" s="474"/>
      <c r="AC514" s="388"/>
      <c r="AD514" s="464"/>
      <c r="AE514" s="465"/>
      <c r="AF514" s="388"/>
      <c r="AW514" s="471"/>
      <c r="AX514" s="471"/>
    </row>
    <row r="515" spans="1:50" ht="27" customHeight="1" x14ac:dyDescent="0.25">
      <c r="A515" s="462"/>
      <c r="H515" s="929"/>
      <c r="I515" s="388"/>
      <c r="J515" s="929"/>
      <c r="K515" s="388"/>
      <c r="L515" s="929"/>
      <c r="M515" s="388"/>
      <c r="N515" s="929"/>
      <c r="O515" s="388"/>
      <c r="P515" s="388"/>
      <c r="Q515" s="388"/>
      <c r="R515" s="465"/>
      <c r="S515" s="929"/>
      <c r="T515" s="466"/>
      <c r="U515" s="929"/>
      <c r="V515" s="929"/>
      <c r="W515" s="929"/>
      <c r="X515" s="474"/>
      <c r="Y515" s="474"/>
      <c r="Z515" s="474"/>
      <c r="AA515" s="474"/>
      <c r="AB515" s="474"/>
      <c r="AC515" s="388"/>
      <c r="AD515" s="464"/>
      <c r="AE515" s="465"/>
      <c r="AF515" s="388"/>
      <c r="AW515" s="471"/>
      <c r="AX515" s="471"/>
    </row>
    <row r="516" spans="1:50" ht="27" customHeight="1" x14ac:dyDescent="0.25">
      <c r="A516" s="462"/>
      <c r="H516" s="929"/>
      <c r="I516" s="388"/>
      <c r="J516" s="929"/>
      <c r="K516" s="388"/>
      <c r="L516" s="929"/>
      <c r="M516" s="388"/>
      <c r="N516" s="929"/>
      <c r="O516" s="388"/>
      <c r="P516" s="388"/>
      <c r="Q516" s="388"/>
      <c r="R516" s="465"/>
      <c r="S516" s="929"/>
      <c r="T516" s="466"/>
      <c r="U516" s="929"/>
      <c r="V516" s="929"/>
      <c r="W516" s="929"/>
      <c r="X516" s="474"/>
      <c r="Y516" s="474"/>
      <c r="Z516" s="474"/>
      <c r="AA516" s="474"/>
      <c r="AB516" s="474"/>
      <c r="AC516" s="388"/>
      <c r="AD516" s="464"/>
      <c r="AE516" s="465"/>
      <c r="AF516" s="388"/>
      <c r="AW516" s="471"/>
      <c r="AX516" s="471"/>
    </row>
    <row r="517" spans="1:50" ht="27" customHeight="1" x14ac:dyDescent="0.25">
      <c r="A517" s="462"/>
      <c r="H517" s="929"/>
      <c r="I517" s="388"/>
      <c r="J517" s="929"/>
      <c r="K517" s="388"/>
      <c r="L517" s="929"/>
      <c r="M517" s="388"/>
      <c r="N517" s="929"/>
      <c r="O517" s="388"/>
      <c r="P517" s="388"/>
      <c r="Q517" s="388"/>
      <c r="R517" s="465"/>
      <c r="S517" s="929"/>
      <c r="T517" s="466"/>
      <c r="U517" s="929"/>
      <c r="V517" s="929"/>
      <c r="W517" s="929"/>
      <c r="X517" s="474"/>
      <c r="Y517" s="474"/>
      <c r="Z517" s="474"/>
      <c r="AA517" s="474"/>
      <c r="AB517" s="474"/>
      <c r="AC517" s="388"/>
      <c r="AD517" s="464"/>
      <c r="AE517" s="465"/>
      <c r="AF517" s="388"/>
      <c r="AW517" s="471"/>
      <c r="AX517" s="471"/>
    </row>
    <row r="518" spans="1:50" ht="27" customHeight="1" x14ac:dyDescent="0.25">
      <c r="A518" s="462"/>
      <c r="H518" s="929"/>
      <c r="I518" s="388"/>
      <c r="J518" s="929"/>
      <c r="K518" s="388"/>
      <c r="L518" s="929"/>
      <c r="M518" s="388"/>
      <c r="N518" s="929"/>
      <c r="O518" s="388"/>
      <c r="P518" s="388"/>
      <c r="Q518" s="388"/>
      <c r="R518" s="465"/>
      <c r="S518" s="929"/>
      <c r="T518" s="466"/>
      <c r="U518" s="929"/>
      <c r="V518" s="929"/>
      <c r="W518" s="929"/>
      <c r="X518" s="474"/>
      <c r="Y518" s="474"/>
      <c r="Z518" s="474"/>
      <c r="AA518" s="474"/>
      <c r="AB518" s="474"/>
      <c r="AC518" s="388"/>
      <c r="AD518" s="464"/>
      <c r="AE518" s="465"/>
      <c r="AF518" s="388"/>
      <c r="AW518" s="471"/>
      <c r="AX518" s="471"/>
    </row>
    <row r="519" spans="1:50" ht="27" customHeight="1" x14ac:dyDescent="0.25">
      <c r="A519" s="462"/>
      <c r="H519" s="929"/>
      <c r="I519" s="388"/>
      <c r="J519" s="929"/>
      <c r="K519" s="388"/>
      <c r="L519" s="929"/>
      <c r="M519" s="388"/>
      <c r="N519" s="929"/>
      <c r="O519" s="388"/>
      <c r="P519" s="388"/>
      <c r="Q519" s="388"/>
      <c r="R519" s="465"/>
      <c r="S519" s="929"/>
      <c r="T519" s="466"/>
      <c r="U519" s="929"/>
      <c r="V519" s="929"/>
      <c r="W519" s="929"/>
      <c r="X519" s="474"/>
      <c r="Y519" s="474"/>
      <c r="Z519" s="474"/>
      <c r="AA519" s="474"/>
      <c r="AB519" s="474"/>
      <c r="AC519" s="388"/>
      <c r="AD519" s="464"/>
      <c r="AE519" s="465"/>
      <c r="AF519" s="388"/>
      <c r="AW519" s="471"/>
      <c r="AX519" s="471"/>
    </row>
    <row r="520" spans="1:50" ht="27" customHeight="1" x14ac:dyDescent="0.25">
      <c r="A520" s="462"/>
      <c r="H520" s="929"/>
      <c r="I520" s="388"/>
      <c r="J520" s="929"/>
      <c r="K520" s="388"/>
      <c r="L520" s="929"/>
      <c r="M520" s="388"/>
      <c r="N520" s="929"/>
      <c r="O520" s="388"/>
      <c r="P520" s="388"/>
      <c r="Q520" s="388"/>
      <c r="R520" s="465"/>
      <c r="S520" s="929"/>
      <c r="T520" s="466"/>
      <c r="U520" s="929"/>
      <c r="V520" s="929"/>
      <c r="W520" s="929"/>
      <c r="X520" s="474"/>
      <c r="Y520" s="474"/>
      <c r="Z520" s="474"/>
      <c r="AA520" s="474"/>
      <c r="AB520" s="474"/>
      <c r="AC520" s="388"/>
      <c r="AD520" s="464"/>
      <c r="AE520" s="465"/>
      <c r="AF520" s="388"/>
      <c r="AW520" s="471"/>
      <c r="AX520" s="471"/>
    </row>
    <row r="521" spans="1:50" ht="27" customHeight="1" x14ac:dyDescent="0.25">
      <c r="A521" s="462"/>
      <c r="H521" s="929"/>
      <c r="I521" s="388"/>
      <c r="J521" s="929"/>
      <c r="K521" s="388"/>
      <c r="L521" s="929"/>
      <c r="M521" s="388"/>
      <c r="N521" s="929"/>
      <c r="O521" s="388"/>
      <c r="P521" s="388"/>
      <c r="Q521" s="388"/>
      <c r="R521" s="465"/>
      <c r="S521" s="929"/>
      <c r="T521" s="466"/>
      <c r="U521" s="929"/>
      <c r="V521" s="929"/>
      <c r="W521" s="929"/>
      <c r="X521" s="474"/>
      <c r="Y521" s="474"/>
      <c r="Z521" s="474"/>
      <c r="AA521" s="474"/>
      <c r="AB521" s="474"/>
      <c r="AC521" s="388"/>
      <c r="AD521" s="464"/>
      <c r="AE521" s="465"/>
      <c r="AF521" s="388"/>
      <c r="AW521" s="471"/>
      <c r="AX521" s="471"/>
    </row>
    <row r="522" spans="1:50" ht="27" customHeight="1" x14ac:dyDescent="0.25">
      <c r="A522" s="462"/>
      <c r="H522" s="929"/>
      <c r="I522" s="388"/>
      <c r="J522" s="929"/>
      <c r="K522" s="388"/>
      <c r="L522" s="929"/>
      <c r="M522" s="388"/>
      <c r="N522" s="929"/>
      <c r="O522" s="388"/>
      <c r="P522" s="388"/>
      <c r="Q522" s="388"/>
      <c r="R522" s="465"/>
      <c r="S522" s="929"/>
      <c r="T522" s="466"/>
      <c r="U522" s="929"/>
      <c r="V522" s="929"/>
      <c r="W522" s="929"/>
      <c r="X522" s="474"/>
      <c r="Y522" s="474"/>
      <c r="Z522" s="474"/>
      <c r="AA522" s="474"/>
      <c r="AB522" s="474"/>
      <c r="AC522" s="388"/>
      <c r="AD522" s="464"/>
      <c r="AE522" s="465"/>
      <c r="AF522" s="388"/>
      <c r="AW522" s="471"/>
      <c r="AX522" s="471"/>
    </row>
    <row r="523" spans="1:50" ht="27" customHeight="1" x14ac:dyDescent="0.25">
      <c r="A523" s="462"/>
      <c r="H523" s="929"/>
      <c r="I523" s="388"/>
      <c r="J523" s="929"/>
      <c r="K523" s="388"/>
      <c r="L523" s="929"/>
      <c r="M523" s="388"/>
      <c r="N523" s="929"/>
      <c r="O523" s="388"/>
      <c r="P523" s="388"/>
      <c r="Q523" s="388"/>
      <c r="R523" s="465"/>
      <c r="S523" s="929"/>
      <c r="T523" s="466"/>
      <c r="U523" s="929"/>
      <c r="V523" s="929"/>
      <c r="W523" s="929"/>
      <c r="X523" s="474"/>
      <c r="Y523" s="474"/>
      <c r="Z523" s="474"/>
      <c r="AA523" s="474"/>
      <c r="AB523" s="474"/>
      <c r="AC523" s="388"/>
      <c r="AD523" s="464"/>
      <c r="AE523" s="465"/>
      <c r="AF523" s="388"/>
      <c r="AW523" s="471"/>
      <c r="AX523" s="471"/>
    </row>
    <row r="524" spans="1:50" ht="27" customHeight="1" x14ac:dyDescent="0.25">
      <c r="A524" s="462"/>
      <c r="H524" s="929"/>
      <c r="I524" s="388"/>
      <c r="J524" s="929"/>
      <c r="K524" s="388"/>
      <c r="L524" s="929"/>
      <c r="M524" s="388"/>
      <c r="N524" s="929"/>
      <c r="O524" s="388"/>
      <c r="P524" s="388"/>
      <c r="Q524" s="388"/>
      <c r="R524" s="465"/>
      <c r="S524" s="929"/>
      <c r="T524" s="466"/>
      <c r="U524" s="929"/>
      <c r="V524" s="929"/>
      <c r="W524" s="929"/>
      <c r="X524" s="474"/>
      <c r="Y524" s="474"/>
      <c r="Z524" s="474"/>
      <c r="AA524" s="474"/>
      <c r="AB524" s="474"/>
      <c r="AC524" s="388"/>
      <c r="AD524" s="464"/>
      <c r="AE524" s="465"/>
      <c r="AF524" s="388"/>
      <c r="AW524" s="471"/>
      <c r="AX524" s="471"/>
    </row>
    <row r="525" spans="1:50" ht="27" customHeight="1" x14ac:dyDescent="0.25">
      <c r="A525" s="462"/>
      <c r="H525" s="929"/>
      <c r="I525" s="388"/>
      <c r="J525" s="929"/>
      <c r="K525" s="388"/>
      <c r="L525" s="929"/>
      <c r="M525" s="388"/>
      <c r="N525" s="929"/>
      <c r="O525" s="388"/>
      <c r="P525" s="388"/>
      <c r="Q525" s="388"/>
      <c r="R525" s="465"/>
      <c r="S525" s="929"/>
      <c r="T525" s="466"/>
      <c r="U525" s="929"/>
      <c r="V525" s="929"/>
      <c r="W525" s="929"/>
      <c r="X525" s="474"/>
      <c r="Y525" s="474"/>
      <c r="Z525" s="474"/>
      <c r="AA525" s="474"/>
      <c r="AB525" s="474"/>
      <c r="AC525" s="388"/>
      <c r="AD525" s="464"/>
      <c r="AE525" s="465"/>
      <c r="AF525" s="388"/>
      <c r="AW525" s="471"/>
      <c r="AX525" s="471"/>
    </row>
    <row r="526" spans="1:50" ht="27" customHeight="1" x14ac:dyDescent="0.25">
      <c r="A526" s="462"/>
      <c r="H526" s="929"/>
      <c r="I526" s="388"/>
      <c r="J526" s="929"/>
      <c r="K526" s="388"/>
      <c r="L526" s="929"/>
      <c r="M526" s="388"/>
      <c r="N526" s="929"/>
      <c r="O526" s="388"/>
      <c r="P526" s="388"/>
      <c r="Q526" s="388"/>
      <c r="R526" s="465"/>
      <c r="S526" s="929"/>
      <c r="T526" s="466"/>
      <c r="U526" s="929"/>
      <c r="V526" s="929"/>
      <c r="W526" s="929"/>
      <c r="X526" s="474"/>
      <c r="Y526" s="474"/>
      <c r="Z526" s="474"/>
      <c r="AA526" s="474"/>
      <c r="AB526" s="474"/>
      <c r="AC526" s="388"/>
      <c r="AD526" s="464"/>
      <c r="AE526" s="465"/>
      <c r="AF526" s="388"/>
      <c r="AW526" s="471"/>
      <c r="AX526" s="471"/>
    </row>
    <row r="527" spans="1:50" ht="27" customHeight="1" x14ac:dyDescent="0.25">
      <c r="A527" s="462"/>
      <c r="H527" s="929"/>
      <c r="I527" s="388"/>
      <c r="J527" s="929"/>
      <c r="K527" s="388"/>
      <c r="L527" s="929"/>
      <c r="M527" s="388"/>
      <c r="N527" s="929"/>
      <c r="O527" s="388"/>
      <c r="P527" s="388"/>
      <c r="Q527" s="388"/>
      <c r="R527" s="465"/>
      <c r="S527" s="929"/>
      <c r="T527" s="466"/>
      <c r="U527" s="929"/>
      <c r="V527" s="929"/>
      <c r="W527" s="929"/>
      <c r="X527" s="474"/>
      <c r="Y527" s="474"/>
      <c r="Z527" s="474"/>
      <c r="AA527" s="474"/>
      <c r="AB527" s="474"/>
      <c r="AC527" s="388"/>
      <c r="AD527" s="464"/>
      <c r="AE527" s="465"/>
      <c r="AF527" s="388"/>
      <c r="AW527" s="471"/>
      <c r="AX527" s="471"/>
    </row>
    <row r="528" spans="1:50" ht="27" customHeight="1" x14ac:dyDescent="0.25">
      <c r="A528" s="462"/>
      <c r="H528" s="929"/>
      <c r="I528" s="388"/>
      <c r="J528" s="929"/>
      <c r="K528" s="388"/>
      <c r="L528" s="929"/>
      <c r="M528" s="388"/>
      <c r="N528" s="929"/>
      <c r="O528" s="388"/>
      <c r="P528" s="388"/>
      <c r="Q528" s="388"/>
      <c r="R528" s="465"/>
      <c r="S528" s="929"/>
      <c r="T528" s="466"/>
      <c r="U528" s="929"/>
      <c r="V528" s="929"/>
      <c r="W528" s="929"/>
      <c r="X528" s="474"/>
      <c r="Y528" s="474"/>
      <c r="Z528" s="474"/>
      <c r="AA528" s="474"/>
      <c r="AB528" s="474"/>
      <c r="AC528" s="388"/>
      <c r="AD528" s="464"/>
      <c r="AE528" s="465"/>
      <c r="AF528" s="388"/>
      <c r="AW528" s="471"/>
      <c r="AX528" s="471"/>
    </row>
    <row r="529" spans="1:50" ht="27" customHeight="1" x14ac:dyDescent="0.25">
      <c r="A529" s="462"/>
      <c r="H529" s="929"/>
      <c r="I529" s="388"/>
      <c r="J529" s="929"/>
      <c r="K529" s="388"/>
      <c r="L529" s="929"/>
      <c r="M529" s="388"/>
      <c r="N529" s="929"/>
      <c r="O529" s="388"/>
      <c r="P529" s="388"/>
      <c r="Q529" s="388"/>
      <c r="R529" s="465"/>
      <c r="S529" s="929"/>
      <c r="T529" s="466"/>
      <c r="U529" s="929"/>
      <c r="V529" s="929"/>
      <c r="W529" s="929"/>
      <c r="X529" s="474"/>
      <c r="Y529" s="474"/>
      <c r="Z529" s="474"/>
      <c r="AA529" s="474"/>
      <c r="AB529" s="474"/>
      <c r="AC529" s="388"/>
      <c r="AD529" s="464"/>
      <c r="AE529" s="465"/>
      <c r="AF529" s="388"/>
      <c r="AW529" s="471"/>
      <c r="AX529" s="471"/>
    </row>
    <row r="530" spans="1:50" ht="27" customHeight="1" x14ac:dyDescent="0.25">
      <c r="A530" s="462"/>
      <c r="H530" s="929"/>
      <c r="I530" s="388"/>
      <c r="J530" s="929"/>
      <c r="K530" s="388"/>
      <c r="L530" s="929"/>
      <c r="M530" s="388"/>
      <c r="N530" s="929"/>
      <c r="O530" s="388"/>
      <c r="P530" s="388"/>
      <c r="Q530" s="388"/>
      <c r="R530" s="465"/>
      <c r="S530" s="929"/>
      <c r="T530" s="466"/>
      <c r="U530" s="929"/>
      <c r="V530" s="929"/>
      <c r="W530" s="929"/>
      <c r="X530" s="474"/>
      <c r="Y530" s="474"/>
      <c r="Z530" s="474"/>
      <c r="AA530" s="474"/>
      <c r="AB530" s="474"/>
      <c r="AC530" s="388"/>
      <c r="AD530" s="464"/>
      <c r="AE530" s="465"/>
      <c r="AF530" s="388"/>
      <c r="AW530" s="471"/>
      <c r="AX530" s="471"/>
    </row>
    <row r="531" spans="1:50" ht="27" customHeight="1" x14ac:dyDescent="0.25">
      <c r="A531" s="462"/>
      <c r="H531" s="929"/>
      <c r="I531" s="388"/>
      <c r="J531" s="929"/>
      <c r="K531" s="388"/>
      <c r="L531" s="929"/>
      <c r="M531" s="388"/>
      <c r="N531" s="929"/>
      <c r="O531" s="388"/>
      <c r="P531" s="388"/>
      <c r="Q531" s="388"/>
      <c r="R531" s="465"/>
      <c r="S531" s="929"/>
      <c r="T531" s="466"/>
      <c r="U531" s="929"/>
      <c r="V531" s="929"/>
      <c r="W531" s="929"/>
      <c r="X531" s="474"/>
      <c r="Y531" s="474"/>
      <c r="Z531" s="474"/>
      <c r="AA531" s="474"/>
      <c r="AB531" s="474"/>
      <c r="AC531" s="388"/>
      <c r="AD531" s="464"/>
      <c r="AE531" s="465"/>
      <c r="AF531" s="388"/>
      <c r="AW531" s="471"/>
      <c r="AX531" s="471"/>
    </row>
    <row r="532" spans="1:50" ht="27" customHeight="1" x14ac:dyDescent="0.25">
      <c r="A532" s="462"/>
      <c r="H532" s="929"/>
      <c r="I532" s="388"/>
      <c r="J532" s="929"/>
      <c r="K532" s="388"/>
      <c r="L532" s="929"/>
      <c r="M532" s="388"/>
      <c r="N532" s="929"/>
      <c r="O532" s="388"/>
      <c r="P532" s="388"/>
      <c r="Q532" s="388"/>
      <c r="R532" s="465"/>
      <c r="S532" s="929"/>
      <c r="T532" s="466"/>
      <c r="U532" s="929"/>
      <c r="V532" s="929"/>
      <c r="W532" s="929"/>
      <c r="X532" s="474"/>
      <c r="Y532" s="474"/>
      <c r="Z532" s="474"/>
      <c r="AA532" s="474"/>
      <c r="AB532" s="474"/>
      <c r="AC532" s="388"/>
      <c r="AD532" s="464"/>
      <c r="AE532" s="465"/>
      <c r="AF532" s="388"/>
      <c r="AW532" s="471"/>
      <c r="AX532" s="471"/>
    </row>
    <row r="533" spans="1:50" ht="27" customHeight="1" x14ac:dyDescent="0.25">
      <c r="A533" s="462"/>
      <c r="H533" s="929"/>
      <c r="I533" s="388"/>
      <c r="J533" s="929"/>
      <c r="K533" s="388"/>
      <c r="L533" s="929"/>
      <c r="M533" s="388"/>
      <c r="N533" s="929"/>
      <c r="O533" s="388"/>
      <c r="P533" s="388"/>
      <c r="Q533" s="388"/>
      <c r="R533" s="465"/>
      <c r="S533" s="929"/>
      <c r="T533" s="466"/>
      <c r="U533" s="929"/>
      <c r="V533" s="929"/>
      <c r="W533" s="929"/>
      <c r="X533" s="474"/>
      <c r="Y533" s="474"/>
      <c r="Z533" s="474"/>
      <c r="AA533" s="474"/>
      <c r="AB533" s="474"/>
      <c r="AC533" s="388"/>
      <c r="AD533" s="464"/>
      <c r="AE533" s="465"/>
      <c r="AF533" s="388"/>
      <c r="AW533" s="471"/>
      <c r="AX533" s="471"/>
    </row>
    <row r="534" spans="1:50" ht="27" customHeight="1" x14ac:dyDescent="0.25">
      <c r="A534" s="462"/>
      <c r="H534" s="929"/>
      <c r="I534" s="388"/>
      <c r="J534" s="929"/>
      <c r="K534" s="388"/>
      <c r="L534" s="929"/>
      <c r="M534" s="388"/>
      <c r="N534" s="929"/>
      <c r="O534" s="388"/>
      <c r="P534" s="388"/>
      <c r="Q534" s="388"/>
      <c r="R534" s="465"/>
      <c r="S534" s="929"/>
      <c r="T534" s="466"/>
      <c r="U534" s="929"/>
      <c r="V534" s="929"/>
      <c r="W534" s="929"/>
      <c r="X534" s="474"/>
      <c r="Y534" s="474"/>
      <c r="Z534" s="474"/>
      <c r="AA534" s="474"/>
      <c r="AB534" s="474"/>
      <c r="AC534" s="388"/>
      <c r="AD534" s="464"/>
      <c r="AE534" s="465"/>
      <c r="AF534" s="388"/>
      <c r="AW534" s="471"/>
      <c r="AX534" s="471"/>
    </row>
    <row r="535" spans="1:50" ht="27" customHeight="1" x14ac:dyDescent="0.25">
      <c r="A535" s="462"/>
      <c r="H535" s="929"/>
      <c r="I535" s="388"/>
      <c r="J535" s="929"/>
      <c r="K535" s="388"/>
      <c r="L535" s="929"/>
      <c r="M535" s="388"/>
      <c r="N535" s="929"/>
      <c r="O535" s="388"/>
      <c r="P535" s="388"/>
      <c r="Q535" s="388"/>
      <c r="R535" s="465"/>
      <c r="S535" s="929"/>
      <c r="T535" s="466"/>
      <c r="U535" s="929"/>
      <c r="V535" s="929"/>
      <c r="W535" s="929"/>
      <c r="X535" s="474"/>
      <c r="Y535" s="474"/>
      <c r="Z535" s="474"/>
      <c r="AA535" s="474"/>
      <c r="AB535" s="474"/>
      <c r="AC535" s="388"/>
      <c r="AD535" s="464"/>
      <c r="AE535" s="465"/>
      <c r="AF535" s="388"/>
      <c r="AW535" s="471"/>
      <c r="AX535" s="471"/>
    </row>
    <row r="536" spans="1:50" ht="27" customHeight="1" x14ac:dyDescent="0.25">
      <c r="A536" s="462"/>
      <c r="H536" s="929"/>
      <c r="I536" s="388"/>
      <c r="J536" s="929"/>
      <c r="K536" s="388"/>
      <c r="L536" s="929"/>
      <c r="M536" s="388"/>
      <c r="N536" s="929"/>
      <c r="O536" s="388"/>
      <c r="P536" s="388"/>
      <c r="Q536" s="388"/>
      <c r="R536" s="465"/>
      <c r="S536" s="929"/>
      <c r="T536" s="466"/>
      <c r="U536" s="929"/>
      <c r="V536" s="929"/>
      <c r="W536" s="929"/>
      <c r="X536" s="474"/>
      <c r="Y536" s="474"/>
      <c r="Z536" s="474"/>
      <c r="AA536" s="474"/>
      <c r="AB536" s="474"/>
      <c r="AC536" s="388"/>
      <c r="AD536" s="464"/>
      <c r="AE536" s="465"/>
      <c r="AF536" s="388"/>
      <c r="AW536" s="471"/>
      <c r="AX536" s="471"/>
    </row>
    <row r="537" spans="1:50" ht="27" customHeight="1" x14ac:dyDescent="0.25">
      <c r="A537" s="462"/>
      <c r="H537" s="929"/>
      <c r="I537" s="388"/>
      <c r="J537" s="929"/>
      <c r="K537" s="388"/>
      <c r="L537" s="929"/>
      <c r="M537" s="388"/>
      <c r="N537" s="929"/>
      <c r="O537" s="388"/>
      <c r="P537" s="388"/>
      <c r="Q537" s="388"/>
      <c r="R537" s="465"/>
      <c r="S537" s="929"/>
      <c r="T537" s="466"/>
      <c r="U537" s="929"/>
      <c r="V537" s="929"/>
      <c r="W537" s="929"/>
      <c r="X537" s="474"/>
      <c r="Y537" s="474"/>
      <c r="Z537" s="474"/>
      <c r="AA537" s="474"/>
      <c r="AB537" s="474"/>
      <c r="AC537" s="388"/>
      <c r="AD537" s="464"/>
      <c r="AE537" s="465"/>
      <c r="AF537" s="388"/>
      <c r="AW537" s="471"/>
      <c r="AX537" s="471"/>
    </row>
    <row r="538" spans="1:50" ht="27" customHeight="1" x14ac:dyDescent="0.25">
      <c r="A538" s="462"/>
      <c r="H538" s="929"/>
      <c r="I538" s="388"/>
      <c r="J538" s="929"/>
      <c r="K538" s="388"/>
      <c r="L538" s="929"/>
      <c r="M538" s="388"/>
      <c r="N538" s="929"/>
      <c r="O538" s="388"/>
      <c r="P538" s="388"/>
      <c r="Q538" s="388"/>
      <c r="R538" s="465"/>
      <c r="S538" s="929"/>
      <c r="T538" s="466"/>
      <c r="U538" s="929"/>
      <c r="V538" s="929"/>
      <c r="W538" s="929"/>
      <c r="X538" s="474"/>
      <c r="Y538" s="474"/>
      <c r="Z538" s="474"/>
      <c r="AA538" s="474"/>
      <c r="AB538" s="474"/>
      <c r="AC538" s="388"/>
      <c r="AD538" s="464"/>
      <c r="AE538" s="465"/>
      <c r="AF538" s="388"/>
      <c r="AW538" s="471"/>
      <c r="AX538" s="471"/>
    </row>
    <row r="539" spans="1:50" ht="27" customHeight="1" x14ac:dyDescent="0.25">
      <c r="A539" s="462"/>
      <c r="H539" s="929"/>
      <c r="I539" s="388"/>
      <c r="J539" s="929"/>
      <c r="K539" s="388"/>
      <c r="L539" s="929"/>
      <c r="M539" s="388"/>
      <c r="N539" s="929"/>
      <c r="O539" s="388"/>
      <c r="P539" s="388"/>
      <c r="Q539" s="388"/>
      <c r="R539" s="465"/>
      <c r="S539" s="929"/>
      <c r="T539" s="466"/>
      <c r="U539" s="929"/>
      <c r="V539" s="929"/>
      <c r="W539" s="929"/>
      <c r="X539" s="474"/>
      <c r="Y539" s="474"/>
      <c r="Z539" s="474"/>
      <c r="AA539" s="474"/>
      <c r="AB539" s="474"/>
      <c r="AC539" s="388"/>
      <c r="AD539" s="464"/>
      <c r="AE539" s="465"/>
      <c r="AF539" s="388"/>
      <c r="AW539" s="471"/>
      <c r="AX539" s="471"/>
    </row>
    <row r="540" spans="1:50" ht="27" customHeight="1" x14ac:dyDescent="0.25">
      <c r="A540" s="462"/>
      <c r="H540" s="929"/>
      <c r="I540" s="388"/>
      <c r="J540" s="929"/>
      <c r="K540" s="388"/>
      <c r="L540" s="929"/>
      <c r="M540" s="388"/>
      <c r="N540" s="929"/>
      <c r="O540" s="388"/>
      <c r="P540" s="388"/>
      <c r="Q540" s="388"/>
      <c r="R540" s="465"/>
      <c r="S540" s="929"/>
      <c r="T540" s="466"/>
      <c r="U540" s="929"/>
      <c r="V540" s="929"/>
      <c r="W540" s="929"/>
      <c r="X540" s="474"/>
      <c r="Y540" s="474"/>
      <c r="Z540" s="474"/>
      <c r="AA540" s="474"/>
      <c r="AB540" s="474"/>
      <c r="AC540" s="388"/>
      <c r="AD540" s="464"/>
      <c r="AE540" s="465"/>
      <c r="AF540" s="388"/>
      <c r="AW540" s="471"/>
      <c r="AX540" s="471"/>
    </row>
    <row r="541" spans="1:50" ht="27" customHeight="1" x14ac:dyDescent="0.25">
      <c r="A541" s="462"/>
      <c r="H541" s="929"/>
      <c r="I541" s="388"/>
      <c r="J541" s="929"/>
      <c r="K541" s="388"/>
      <c r="L541" s="929"/>
      <c r="M541" s="388"/>
      <c r="N541" s="929"/>
      <c r="O541" s="388"/>
      <c r="P541" s="388"/>
      <c r="Q541" s="388"/>
      <c r="R541" s="465"/>
      <c r="S541" s="929"/>
      <c r="T541" s="466"/>
      <c r="U541" s="929"/>
      <c r="V541" s="929"/>
      <c r="W541" s="929"/>
      <c r="X541" s="474"/>
      <c r="Y541" s="474"/>
      <c r="Z541" s="474"/>
      <c r="AA541" s="474"/>
      <c r="AB541" s="474"/>
      <c r="AC541" s="388"/>
      <c r="AD541" s="464"/>
      <c r="AE541" s="465"/>
      <c r="AF541" s="388"/>
      <c r="AW541" s="471"/>
      <c r="AX541" s="471"/>
    </row>
    <row r="542" spans="1:50" ht="27" customHeight="1" x14ac:dyDescent="0.25">
      <c r="A542" s="462"/>
      <c r="H542" s="929"/>
      <c r="I542" s="388"/>
      <c r="J542" s="929"/>
      <c r="K542" s="388"/>
      <c r="L542" s="929"/>
      <c r="M542" s="388"/>
      <c r="N542" s="929"/>
      <c r="O542" s="388"/>
      <c r="P542" s="388"/>
      <c r="Q542" s="388"/>
      <c r="R542" s="465"/>
      <c r="S542" s="929"/>
      <c r="T542" s="466"/>
      <c r="U542" s="929"/>
      <c r="V542" s="929"/>
      <c r="W542" s="929"/>
      <c r="X542" s="474"/>
      <c r="Y542" s="474"/>
      <c r="Z542" s="474"/>
      <c r="AA542" s="474"/>
      <c r="AB542" s="474"/>
      <c r="AC542" s="388"/>
      <c r="AD542" s="464"/>
      <c r="AE542" s="465"/>
      <c r="AF542" s="388"/>
      <c r="AW542" s="471"/>
      <c r="AX542" s="471"/>
    </row>
    <row r="543" spans="1:50" ht="27" customHeight="1" x14ac:dyDescent="0.25">
      <c r="A543" s="462"/>
      <c r="H543" s="929"/>
      <c r="I543" s="388"/>
      <c r="J543" s="929"/>
      <c r="K543" s="388"/>
      <c r="L543" s="929"/>
      <c r="M543" s="388"/>
      <c r="N543" s="929"/>
      <c r="O543" s="388"/>
      <c r="P543" s="388"/>
      <c r="Q543" s="388"/>
      <c r="R543" s="465"/>
      <c r="S543" s="929"/>
      <c r="T543" s="466"/>
      <c r="U543" s="929"/>
      <c r="V543" s="929"/>
      <c r="W543" s="929"/>
      <c r="X543" s="474"/>
      <c r="Y543" s="474"/>
      <c r="Z543" s="474"/>
      <c r="AA543" s="474"/>
      <c r="AB543" s="474"/>
      <c r="AC543" s="388"/>
      <c r="AD543" s="464"/>
      <c r="AE543" s="465"/>
      <c r="AF543" s="388"/>
      <c r="AW543" s="471"/>
      <c r="AX543" s="471"/>
    </row>
    <row r="544" spans="1:50" ht="27" customHeight="1" x14ac:dyDescent="0.25">
      <c r="A544" s="462"/>
      <c r="H544" s="929"/>
      <c r="I544" s="388"/>
      <c r="J544" s="929"/>
      <c r="K544" s="388"/>
      <c r="L544" s="929"/>
      <c r="M544" s="388"/>
      <c r="N544" s="929"/>
      <c r="O544" s="388"/>
      <c r="P544" s="388"/>
      <c r="Q544" s="388"/>
      <c r="R544" s="465"/>
      <c r="S544" s="929"/>
      <c r="T544" s="466"/>
      <c r="U544" s="929"/>
      <c r="V544" s="929"/>
      <c r="W544" s="929"/>
      <c r="X544" s="474"/>
      <c r="Y544" s="474"/>
      <c r="Z544" s="474"/>
      <c r="AA544" s="474"/>
      <c r="AB544" s="474"/>
      <c r="AC544" s="388"/>
      <c r="AD544" s="464"/>
      <c r="AE544" s="465"/>
      <c r="AF544" s="388"/>
      <c r="AW544" s="471"/>
      <c r="AX544" s="471"/>
    </row>
    <row r="545" spans="1:50" ht="27" customHeight="1" x14ac:dyDescent="0.25">
      <c r="A545" s="462"/>
      <c r="H545" s="929"/>
      <c r="I545" s="388"/>
      <c r="J545" s="929"/>
      <c r="K545" s="388"/>
      <c r="L545" s="929"/>
      <c r="M545" s="388"/>
      <c r="N545" s="929"/>
      <c r="O545" s="388"/>
      <c r="P545" s="388"/>
      <c r="Q545" s="388"/>
      <c r="R545" s="465"/>
      <c r="S545" s="929"/>
      <c r="T545" s="466"/>
      <c r="U545" s="929"/>
      <c r="V545" s="929"/>
      <c r="W545" s="929"/>
      <c r="X545" s="474"/>
      <c r="Y545" s="474"/>
      <c r="Z545" s="474"/>
      <c r="AA545" s="474"/>
      <c r="AB545" s="474"/>
      <c r="AC545" s="388"/>
      <c r="AD545" s="464"/>
      <c r="AE545" s="465"/>
      <c r="AF545" s="388"/>
      <c r="AW545" s="471"/>
      <c r="AX545" s="471"/>
    </row>
    <row r="546" spans="1:50" ht="27" customHeight="1" x14ac:dyDescent="0.25">
      <c r="A546" s="462"/>
      <c r="H546" s="929"/>
      <c r="I546" s="388"/>
      <c r="J546" s="929"/>
      <c r="K546" s="388"/>
      <c r="L546" s="929"/>
      <c r="M546" s="388"/>
      <c r="N546" s="929"/>
      <c r="O546" s="388"/>
      <c r="P546" s="388"/>
      <c r="Q546" s="388"/>
      <c r="R546" s="465"/>
      <c r="S546" s="929"/>
      <c r="T546" s="466"/>
      <c r="U546" s="929"/>
      <c r="V546" s="929"/>
      <c r="W546" s="929"/>
      <c r="X546" s="474"/>
      <c r="Y546" s="474"/>
      <c r="Z546" s="474"/>
      <c r="AA546" s="474"/>
      <c r="AB546" s="474"/>
      <c r="AC546" s="388"/>
      <c r="AD546" s="464"/>
      <c r="AE546" s="465"/>
      <c r="AF546" s="388"/>
      <c r="AW546" s="471"/>
      <c r="AX546" s="471"/>
    </row>
    <row r="547" spans="1:50" ht="27" customHeight="1" x14ac:dyDescent="0.25">
      <c r="A547" s="462"/>
      <c r="H547" s="929"/>
      <c r="I547" s="388"/>
      <c r="J547" s="929"/>
      <c r="K547" s="388"/>
      <c r="L547" s="929"/>
      <c r="M547" s="388"/>
      <c r="N547" s="929"/>
      <c r="O547" s="388"/>
      <c r="P547" s="388"/>
      <c r="Q547" s="388"/>
      <c r="R547" s="465"/>
      <c r="S547" s="929"/>
      <c r="T547" s="466"/>
      <c r="U547" s="929"/>
      <c r="V547" s="929"/>
      <c r="W547" s="929"/>
      <c r="X547" s="474"/>
      <c r="Y547" s="474"/>
      <c r="Z547" s="474"/>
      <c r="AA547" s="474"/>
      <c r="AB547" s="474"/>
      <c r="AC547" s="388"/>
      <c r="AD547" s="464"/>
      <c r="AE547" s="465"/>
      <c r="AF547" s="388"/>
      <c r="AW547" s="471"/>
      <c r="AX547" s="471"/>
    </row>
    <row r="548" spans="1:50" ht="27" customHeight="1" x14ac:dyDescent="0.25">
      <c r="A548" s="462"/>
      <c r="H548" s="929"/>
      <c r="I548" s="388"/>
      <c r="J548" s="929"/>
      <c r="K548" s="388"/>
      <c r="L548" s="929"/>
      <c r="M548" s="388"/>
      <c r="N548" s="929"/>
      <c r="O548" s="388"/>
      <c r="P548" s="388"/>
      <c r="Q548" s="388"/>
      <c r="R548" s="465"/>
      <c r="S548" s="929"/>
      <c r="T548" s="466"/>
      <c r="U548" s="929"/>
      <c r="V548" s="929"/>
      <c r="W548" s="929"/>
      <c r="X548" s="474"/>
      <c r="Y548" s="474"/>
      <c r="Z548" s="474"/>
      <c r="AA548" s="474"/>
      <c r="AB548" s="474"/>
      <c r="AC548" s="388"/>
      <c r="AD548" s="464"/>
      <c r="AE548" s="465"/>
      <c r="AF548" s="388"/>
      <c r="AW548" s="471"/>
      <c r="AX548" s="471"/>
    </row>
    <row r="549" spans="1:50" ht="27" customHeight="1" x14ac:dyDescent="0.25">
      <c r="A549" s="462"/>
      <c r="H549" s="929"/>
      <c r="I549" s="388"/>
      <c r="J549" s="929"/>
      <c r="K549" s="388"/>
      <c r="L549" s="929"/>
      <c r="M549" s="388"/>
      <c r="N549" s="929"/>
      <c r="O549" s="388"/>
      <c r="P549" s="388"/>
      <c r="Q549" s="388"/>
      <c r="R549" s="465"/>
      <c r="S549" s="929"/>
      <c r="T549" s="466"/>
      <c r="U549" s="929"/>
      <c r="V549" s="929"/>
      <c r="W549" s="929"/>
      <c r="X549" s="474"/>
      <c r="Y549" s="474"/>
      <c r="Z549" s="474"/>
      <c r="AA549" s="474"/>
      <c r="AB549" s="474"/>
      <c r="AC549" s="388"/>
      <c r="AD549" s="464"/>
      <c r="AE549" s="465"/>
      <c r="AF549" s="388"/>
      <c r="AW549" s="471"/>
      <c r="AX549" s="471"/>
    </row>
    <row r="550" spans="1:50" ht="27" customHeight="1" x14ac:dyDescent="0.25">
      <c r="A550" s="462"/>
      <c r="H550" s="929"/>
      <c r="I550" s="388"/>
      <c r="J550" s="929"/>
      <c r="K550" s="388"/>
      <c r="L550" s="929"/>
      <c r="M550" s="388"/>
      <c r="N550" s="929"/>
      <c r="O550" s="388"/>
      <c r="P550" s="388"/>
      <c r="Q550" s="388"/>
      <c r="R550" s="465"/>
      <c r="S550" s="929"/>
      <c r="T550" s="466"/>
      <c r="U550" s="929"/>
      <c r="V550" s="929"/>
      <c r="W550" s="929"/>
      <c r="X550" s="474"/>
      <c r="Y550" s="474"/>
      <c r="Z550" s="474"/>
      <c r="AA550" s="474"/>
      <c r="AB550" s="474"/>
      <c r="AC550" s="388"/>
      <c r="AD550" s="464"/>
      <c r="AE550" s="465"/>
      <c r="AF550" s="388"/>
      <c r="AW550" s="471"/>
      <c r="AX550" s="471"/>
    </row>
    <row r="551" spans="1:50" ht="27" customHeight="1" x14ac:dyDescent="0.25">
      <c r="A551" s="462"/>
      <c r="H551" s="929"/>
      <c r="I551" s="388"/>
      <c r="J551" s="929"/>
      <c r="K551" s="388"/>
      <c r="L551" s="929"/>
      <c r="M551" s="388"/>
      <c r="N551" s="929"/>
      <c r="O551" s="388"/>
      <c r="P551" s="388"/>
      <c r="Q551" s="388"/>
      <c r="R551" s="465"/>
      <c r="S551" s="929"/>
      <c r="T551" s="466"/>
      <c r="U551" s="929"/>
      <c r="V551" s="929"/>
      <c r="W551" s="929"/>
      <c r="X551" s="474"/>
      <c r="Y551" s="474"/>
      <c r="Z551" s="474"/>
      <c r="AA551" s="474"/>
      <c r="AB551" s="474"/>
      <c r="AC551" s="388"/>
      <c r="AD551" s="464"/>
      <c r="AE551" s="465"/>
      <c r="AF551" s="388"/>
      <c r="AW551" s="471"/>
      <c r="AX551" s="471"/>
    </row>
    <row r="552" spans="1:50" ht="27" customHeight="1" x14ac:dyDescent="0.25">
      <c r="A552" s="462"/>
      <c r="H552" s="929"/>
      <c r="I552" s="388"/>
      <c r="J552" s="929"/>
      <c r="K552" s="388"/>
      <c r="L552" s="929"/>
      <c r="M552" s="388"/>
      <c r="N552" s="929"/>
      <c r="O552" s="388"/>
      <c r="P552" s="388"/>
      <c r="Q552" s="388"/>
      <c r="R552" s="465"/>
      <c r="S552" s="929"/>
      <c r="T552" s="466"/>
      <c r="U552" s="929"/>
      <c r="V552" s="929"/>
      <c r="W552" s="929"/>
      <c r="X552" s="474"/>
      <c r="Y552" s="474"/>
      <c r="Z552" s="474"/>
      <c r="AA552" s="474"/>
      <c r="AB552" s="474"/>
      <c r="AC552" s="388"/>
      <c r="AD552" s="464"/>
      <c r="AE552" s="465"/>
      <c r="AF552" s="388"/>
      <c r="AW552" s="471"/>
      <c r="AX552" s="471"/>
    </row>
    <row r="553" spans="1:50" ht="27" customHeight="1" x14ac:dyDescent="0.25">
      <c r="A553" s="462"/>
      <c r="H553" s="929"/>
      <c r="I553" s="388"/>
      <c r="J553" s="929"/>
      <c r="K553" s="388"/>
      <c r="L553" s="929"/>
      <c r="M553" s="388"/>
      <c r="N553" s="929"/>
      <c r="O553" s="388"/>
      <c r="P553" s="388"/>
      <c r="Q553" s="388"/>
      <c r="R553" s="465"/>
      <c r="S553" s="929"/>
      <c r="T553" s="466"/>
      <c r="U553" s="929"/>
      <c r="V553" s="929"/>
      <c r="W553" s="929"/>
      <c r="X553" s="474"/>
      <c r="Y553" s="474"/>
      <c r="Z553" s="474"/>
      <c r="AA553" s="474"/>
      <c r="AB553" s="474"/>
      <c r="AC553" s="388"/>
      <c r="AD553" s="464"/>
      <c r="AE553" s="465"/>
      <c r="AF553" s="388"/>
      <c r="AW553" s="471"/>
      <c r="AX553" s="471"/>
    </row>
    <row r="554" spans="1:50" ht="27" customHeight="1" x14ac:dyDescent="0.25">
      <c r="A554" s="462"/>
      <c r="H554" s="929"/>
      <c r="I554" s="388"/>
      <c r="J554" s="929"/>
      <c r="K554" s="388"/>
      <c r="L554" s="929"/>
      <c r="M554" s="388"/>
      <c r="N554" s="929"/>
      <c r="O554" s="388"/>
      <c r="P554" s="388"/>
      <c r="Q554" s="388"/>
      <c r="R554" s="465"/>
      <c r="S554" s="929"/>
      <c r="T554" s="466"/>
      <c r="U554" s="929"/>
      <c r="V554" s="929"/>
      <c r="W554" s="929"/>
      <c r="X554" s="474"/>
      <c r="Y554" s="474"/>
      <c r="Z554" s="474"/>
      <c r="AA554" s="474"/>
      <c r="AB554" s="474"/>
      <c r="AC554" s="388"/>
      <c r="AD554" s="464"/>
      <c r="AE554" s="465"/>
      <c r="AF554" s="388"/>
      <c r="AW554" s="471"/>
      <c r="AX554" s="471"/>
    </row>
    <row r="555" spans="1:50" ht="27" customHeight="1" x14ac:dyDescent="0.25">
      <c r="A555" s="462"/>
      <c r="H555" s="929"/>
      <c r="I555" s="388"/>
      <c r="J555" s="929"/>
      <c r="K555" s="388"/>
      <c r="L555" s="929"/>
      <c r="M555" s="388"/>
      <c r="N555" s="929"/>
      <c r="O555" s="388"/>
      <c r="P555" s="388"/>
      <c r="Q555" s="388"/>
      <c r="R555" s="465"/>
      <c r="S555" s="929"/>
      <c r="T555" s="466"/>
      <c r="U555" s="929"/>
      <c r="V555" s="929"/>
      <c r="W555" s="929"/>
      <c r="X555" s="474"/>
      <c r="Y555" s="474"/>
      <c r="Z555" s="474"/>
      <c r="AA555" s="474"/>
      <c r="AB555" s="474"/>
      <c r="AC555" s="388"/>
      <c r="AD555" s="464"/>
      <c r="AE555" s="465"/>
      <c r="AF555" s="388"/>
      <c r="AW555" s="471"/>
      <c r="AX555" s="471"/>
    </row>
    <row r="556" spans="1:50" ht="27" customHeight="1" x14ac:dyDescent="0.25">
      <c r="A556" s="462"/>
      <c r="H556" s="929"/>
      <c r="I556" s="388"/>
      <c r="J556" s="929"/>
      <c r="K556" s="388"/>
      <c r="L556" s="929"/>
      <c r="M556" s="388"/>
      <c r="N556" s="929"/>
      <c r="O556" s="388"/>
      <c r="P556" s="388"/>
      <c r="Q556" s="388"/>
      <c r="R556" s="465"/>
      <c r="S556" s="929"/>
      <c r="T556" s="466"/>
      <c r="U556" s="929"/>
      <c r="V556" s="929"/>
      <c r="W556" s="929"/>
      <c r="X556" s="474"/>
      <c r="Y556" s="474"/>
      <c r="Z556" s="474"/>
      <c r="AA556" s="474"/>
      <c r="AB556" s="474"/>
      <c r="AC556" s="388"/>
      <c r="AD556" s="464"/>
      <c r="AE556" s="465"/>
      <c r="AF556" s="388"/>
      <c r="AW556" s="471"/>
      <c r="AX556" s="471"/>
    </row>
    <row r="557" spans="1:50" ht="27" customHeight="1" x14ac:dyDescent="0.25">
      <c r="A557" s="462"/>
      <c r="H557" s="929"/>
      <c r="I557" s="388"/>
      <c r="J557" s="929"/>
      <c r="K557" s="388"/>
      <c r="L557" s="929"/>
      <c r="M557" s="388"/>
      <c r="N557" s="929"/>
      <c r="O557" s="388"/>
      <c r="P557" s="388"/>
      <c r="Q557" s="388"/>
      <c r="R557" s="465"/>
      <c r="S557" s="929"/>
      <c r="T557" s="466"/>
      <c r="U557" s="929"/>
      <c r="V557" s="929"/>
      <c r="W557" s="929"/>
      <c r="X557" s="474"/>
      <c r="Y557" s="474"/>
      <c r="Z557" s="474"/>
      <c r="AA557" s="474"/>
      <c r="AB557" s="474"/>
      <c r="AC557" s="388"/>
      <c r="AD557" s="464"/>
      <c r="AE557" s="465"/>
      <c r="AF557" s="388"/>
      <c r="AW557" s="471"/>
      <c r="AX557" s="471"/>
    </row>
    <row r="558" spans="1:50" ht="27" customHeight="1" x14ac:dyDescent="0.25">
      <c r="A558" s="462"/>
      <c r="H558" s="929"/>
      <c r="I558" s="388"/>
      <c r="J558" s="929"/>
      <c r="K558" s="388"/>
      <c r="L558" s="929"/>
      <c r="M558" s="388"/>
      <c r="N558" s="929"/>
      <c r="O558" s="388"/>
      <c r="P558" s="388"/>
      <c r="Q558" s="388"/>
      <c r="R558" s="465"/>
      <c r="S558" s="929"/>
      <c r="T558" s="466"/>
      <c r="U558" s="929"/>
      <c r="V558" s="929"/>
      <c r="W558" s="929"/>
      <c r="X558" s="474"/>
      <c r="Y558" s="474"/>
      <c r="Z558" s="474"/>
      <c r="AA558" s="474"/>
      <c r="AB558" s="474"/>
      <c r="AC558" s="388"/>
      <c r="AD558" s="464"/>
      <c r="AE558" s="465"/>
      <c r="AF558" s="388"/>
      <c r="AW558" s="471"/>
      <c r="AX558" s="471"/>
    </row>
    <row r="559" spans="1:50" ht="27" customHeight="1" x14ac:dyDescent="0.25">
      <c r="A559" s="462"/>
      <c r="H559" s="929"/>
      <c r="I559" s="388"/>
      <c r="J559" s="929"/>
      <c r="K559" s="388"/>
      <c r="L559" s="929"/>
      <c r="M559" s="388"/>
      <c r="N559" s="929"/>
      <c r="O559" s="388"/>
      <c r="P559" s="388"/>
      <c r="Q559" s="388"/>
      <c r="R559" s="465"/>
      <c r="S559" s="929"/>
      <c r="T559" s="466"/>
      <c r="U559" s="929"/>
      <c r="V559" s="929"/>
      <c r="W559" s="929"/>
      <c r="X559" s="474"/>
      <c r="Y559" s="474"/>
      <c r="Z559" s="474"/>
      <c r="AA559" s="474"/>
      <c r="AB559" s="474"/>
      <c r="AC559" s="388"/>
      <c r="AD559" s="464"/>
      <c r="AE559" s="465"/>
      <c r="AF559" s="388"/>
      <c r="AW559" s="471"/>
      <c r="AX559" s="471"/>
    </row>
    <row r="560" spans="1:50" ht="27" customHeight="1" x14ac:dyDescent="0.25">
      <c r="A560" s="462"/>
      <c r="H560" s="929"/>
      <c r="I560" s="388"/>
      <c r="J560" s="929"/>
      <c r="K560" s="388"/>
      <c r="L560" s="929"/>
      <c r="M560" s="388"/>
      <c r="N560" s="929"/>
      <c r="O560" s="388"/>
      <c r="P560" s="388"/>
      <c r="Q560" s="388"/>
      <c r="R560" s="465"/>
      <c r="S560" s="929"/>
      <c r="T560" s="466"/>
      <c r="U560" s="929"/>
      <c r="V560" s="929"/>
      <c r="W560" s="929"/>
      <c r="X560" s="474"/>
      <c r="Y560" s="474"/>
      <c r="Z560" s="474"/>
      <c r="AA560" s="474"/>
      <c r="AB560" s="474"/>
      <c r="AC560" s="388"/>
      <c r="AD560" s="464"/>
      <c r="AE560" s="465"/>
      <c r="AF560" s="388"/>
      <c r="AW560" s="471"/>
      <c r="AX560" s="471"/>
    </row>
    <row r="561" spans="1:50" ht="27" customHeight="1" x14ac:dyDescent="0.25">
      <c r="A561" s="462"/>
      <c r="H561" s="929"/>
      <c r="I561" s="388"/>
      <c r="J561" s="929"/>
      <c r="K561" s="388"/>
      <c r="L561" s="929"/>
      <c r="M561" s="388"/>
      <c r="N561" s="929"/>
      <c r="O561" s="388"/>
      <c r="P561" s="388"/>
      <c r="Q561" s="388"/>
      <c r="R561" s="465"/>
      <c r="S561" s="929"/>
      <c r="T561" s="466"/>
      <c r="U561" s="929"/>
      <c r="V561" s="929"/>
      <c r="W561" s="929"/>
      <c r="X561" s="474"/>
      <c r="Y561" s="474"/>
      <c r="Z561" s="474"/>
      <c r="AA561" s="474"/>
      <c r="AB561" s="474"/>
      <c r="AC561" s="388"/>
      <c r="AD561" s="464"/>
      <c r="AE561" s="465"/>
      <c r="AF561" s="388"/>
      <c r="AW561" s="471"/>
      <c r="AX561" s="471"/>
    </row>
    <row r="562" spans="1:50" ht="27" customHeight="1" x14ac:dyDescent="0.25">
      <c r="A562" s="462"/>
      <c r="H562" s="929"/>
      <c r="I562" s="388"/>
      <c r="J562" s="929"/>
      <c r="K562" s="388"/>
      <c r="L562" s="929"/>
      <c r="M562" s="388"/>
      <c r="N562" s="929"/>
      <c r="O562" s="388"/>
      <c r="P562" s="388"/>
      <c r="Q562" s="388"/>
      <c r="R562" s="465"/>
      <c r="S562" s="929"/>
      <c r="T562" s="466"/>
      <c r="U562" s="929"/>
      <c r="V562" s="929"/>
      <c r="W562" s="929"/>
      <c r="X562" s="474"/>
      <c r="Y562" s="474"/>
      <c r="Z562" s="474"/>
      <c r="AA562" s="474"/>
      <c r="AB562" s="474"/>
      <c r="AC562" s="388"/>
      <c r="AD562" s="464"/>
      <c r="AE562" s="465"/>
      <c r="AF562" s="388"/>
      <c r="AW562" s="471"/>
      <c r="AX562" s="471"/>
    </row>
    <row r="563" spans="1:50" ht="27" customHeight="1" x14ac:dyDescent="0.25">
      <c r="A563" s="462"/>
      <c r="H563" s="929"/>
      <c r="I563" s="388"/>
      <c r="J563" s="929"/>
      <c r="K563" s="388"/>
      <c r="L563" s="929"/>
      <c r="M563" s="388"/>
      <c r="N563" s="929"/>
      <c r="O563" s="388"/>
      <c r="P563" s="388"/>
      <c r="Q563" s="388"/>
      <c r="R563" s="465"/>
      <c r="S563" s="929"/>
      <c r="T563" s="466"/>
      <c r="U563" s="929"/>
      <c r="V563" s="929"/>
      <c r="W563" s="929"/>
      <c r="X563" s="474"/>
      <c r="Y563" s="474"/>
      <c r="Z563" s="474"/>
      <c r="AA563" s="474"/>
      <c r="AB563" s="474"/>
      <c r="AC563" s="388"/>
      <c r="AD563" s="464"/>
      <c r="AE563" s="465"/>
      <c r="AF563" s="388"/>
      <c r="AW563" s="471"/>
      <c r="AX563" s="471"/>
    </row>
    <row r="564" spans="1:50" ht="27" customHeight="1" x14ac:dyDescent="0.25">
      <c r="A564" s="462"/>
      <c r="H564" s="929"/>
      <c r="I564" s="388"/>
      <c r="J564" s="929"/>
      <c r="K564" s="388"/>
      <c r="L564" s="929"/>
      <c r="M564" s="388"/>
      <c r="N564" s="929"/>
      <c r="O564" s="388"/>
      <c r="P564" s="388"/>
      <c r="Q564" s="388"/>
      <c r="R564" s="465"/>
      <c r="S564" s="929"/>
      <c r="T564" s="466"/>
      <c r="U564" s="929"/>
      <c r="V564" s="929"/>
      <c r="W564" s="929"/>
      <c r="X564" s="474"/>
      <c r="Y564" s="474"/>
      <c r="Z564" s="474"/>
      <c r="AA564" s="474"/>
      <c r="AB564" s="474"/>
      <c r="AC564" s="388"/>
      <c r="AD564" s="464"/>
      <c r="AE564" s="465"/>
      <c r="AF564" s="388"/>
      <c r="AW564" s="471"/>
      <c r="AX564" s="471"/>
    </row>
    <row r="565" spans="1:50" ht="27" customHeight="1" x14ac:dyDescent="0.25">
      <c r="A565" s="462"/>
      <c r="H565" s="929"/>
      <c r="I565" s="388"/>
      <c r="J565" s="929"/>
      <c r="K565" s="388"/>
      <c r="L565" s="929"/>
      <c r="M565" s="388"/>
      <c r="N565" s="929"/>
      <c r="O565" s="388"/>
      <c r="P565" s="388"/>
      <c r="Q565" s="388"/>
      <c r="R565" s="465"/>
      <c r="S565" s="929"/>
      <c r="T565" s="466"/>
      <c r="U565" s="929"/>
      <c r="V565" s="929"/>
      <c r="W565" s="929"/>
      <c r="X565" s="474"/>
      <c r="Y565" s="474"/>
      <c r="Z565" s="474"/>
      <c r="AA565" s="474"/>
      <c r="AB565" s="474"/>
      <c r="AC565" s="388"/>
      <c r="AD565" s="464"/>
      <c r="AE565" s="465"/>
      <c r="AF565" s="388"/>
      <c r="AW565" s="471"/>
      <c r="AX565" s="471"/>
    </row>
    <row r="566" spans="1:50" ht="27" customHeight="1" x14ac:dyDescent="0.25">
      <c r="A566" s="462"/>
      <c r="H566" s="929"/>
      <c r="I566" s="388"/>
      <c r="J566" s="929"/>
      <c r="K566" s="388"/>
      <c r="L566" s="929"/>
      <c r="M566" s="388"/>
      <c r="N566" s="929"/>
      <c r="O566" s="388"/>
      <c r="P566" s="388"/>
      <c r="Q566" s="388"/>
      <c r="R566" s="465"/>
      <c r="S566" s="929"/>
      <c r="T566" s="466"/>
      <c r="U566" s="929"/>
      <c r="V566" s="929"/>
      <c r="W566" s="929"/>
      <c r="X566" s="474"/>
      <c r="Y566" s="474"/>
      <c r="Z566" s="474"/>
      <c r="AA566" s="474"/>
      <c r="AB566" s="474"/>
      <c r="AC566" s="388"/>
      <c r="AD566" s="464"/>
      <c r="AE566" s="465"/>
      <c r="AF566" s="388"/>
      <c r="AW566" s="471"/>
      <c r="AX566" s="471"/>
    </row>
    <row r="567" spans="1:50" ht="27" customHeight="1" x14ac:dyDescent="0.25">
      <c r="A567" s="462"/>
      <c r="H567" s="929"/>
      <c r="I567" s="388"/>
      <c r="J567" s="929"/>
      <c r="K567" s="388"/>
      <c r="L567" s="929"/>
      <c r="M567" s="388"/>
      <c r="N567" s="929"/>
      <c r="O567" s="388"/>
      <c r="P567" s="388"/>
      <c r="Q567" s="388"/>
      <c r="R567" s="465"/>
      <c r="S567" s="929"/>
      <c r="T567" s="466"/>
      <c r="U567" s="929"/>
      <c r="V567" s="929"/>
      <c r="W567" s="929"/>
      <c r="X567" s="474"/>
      <c r="Y567" s="474"/>
      <c r="Z567" s="474"/>
      <c r="AA567" s="474"/>
      <c r="AB567" s="474"/>
      <c r="AC567" s="388"/>
      <c r="AD567" s="464"/>
      <c r="AE567" s="465"/>
      <c r="AF567" s="388"/>
      <c r="AW567" s="471"/>
      <c r="AX567" s="471"/>
    </row>
    <row r="568" spans="1:50" ht="27" customHeight="1" x14ac:dyDescent="0.25">
      <c r="A568" s="462"/>
      <c r="H568" s="929"/>
      <c r="I568" s="388"/>
      <c r="J568" s="929"/>
      <c r="K568" s="388"/>
      <c r="L568" s="929"/>
      <c r="M568" s="388"/>
      <c r="N568" s="929"/>
      <c r="O568" s="388"/>
      <c r="P568" s="388"/>
      <c r="Q568" s="388"/>
      <c r="R568" s="465"/>
      <c r="S568" s="929"/>
      <c r="T568" s="466"/>
      <c r="U568" s="929"/>
      <c r="V568" s="929"/>
      <c r="W568" s="929"/>
      <c r="X568" s="474"/>
      <c r="Y568" s="474"/>
      <c r="Z568" s="474"/>
      <c r="AA568" s="474"/>
      <c r="AB568" s="474"/>
      <c r="AC568" s="388"/>
      <c r="AD568" s="464"/>
      <c r="AE568" s="465"/>
      <c r="AF568" s="388"/>
      <c r="AW568" s="471"/>
      <c r="AX568" s="471"/>
    </row>
    <row r="569" spans="1:50" ht="27" customHeight="1" x14ac:dyDescent="0.25">
      <c r="A569" s="462"/>
      <c r="H569" s="929"/>
      <c r="I569" s="388"/>
      <c r="J569" s="929"/>
      <c r="K569" s="388"/>
      <c r="L569" s="929"/>
      <c r="M569" s="388"/>
      <c r="N569" s="929"/>
      <c r="O569" s="388"/>
      <c r="P569" s="388"/>
      <c r="Q569" s="388"/>
      <c r="R569" s="465"/>
      <c r="S569" s="929"/>
      <c r="T569" s="466"/>
      <c r="U569" s="929"/>
      <c r="V569" s="929"/>
      <c r="W569" s="929"/>
      <c r="X569" s="474"/>
      <c r="Y569" s="474"/>
      <c r="Z569" s="474"/>
      <c r="AA569" s="474"/>
      <c r="AB569" s="474"/>
      <c r="AC569" s="388"/>
      <c r="AD569" s="464"/>
      <c r="AE569" s="465"/>
      <c r="AF569" s="388"/>
      <c r="AW569" s="471"/>
      <c r="AX569" s="471"/>
    </row>
    <row r="570" spans="1:50" ht="27" customHeight="1" x14ac:dyDescent="0.25">
      <c r="A570" s="462"/>
      <c r="H570" s="929"/>
      <c r="I570" s="388"/>
      <c r="J570" s="929"/>
      <c r="K570" s="388"/>
      <c r="L570" s="929"/>
      <c r="M570" s="388"/>
      <c r="N570" s="929"/>
      <c r="O570" s="388"/>
      <c r="P570" s="388"/>
      <c r="Q570" s="388"/>
      <c r="R570" s="465"/>
      <c r="S570" s="929"/>
      <c r="T570" s="466"/>
      <c r="U570" s="929"/>
      <c r="V570" s="929"/>
      <c r="W570" s="929"/>
      <c r="X570" s="474"/>
      <c r="Y570" s="474"/>
      <c r="Z570" s="474"/>
      <c r="AA570" s="474"/>
      <c r="AB570" s="474"/>
      <c r="AC570" s="388"/>
      <c r="AD570" s="464"/>
      <c r="AE570" s="465"/>
      <c r="AF570" s="388"/>
      <c r="AW570" s="471"/>
      <c r="AX570" s="471"/>
    </row>
    <row r="571" spans="1:50" ht="27" customHeight="1" x14ac:dyDescent="0.25">
      <c r="A571" s="462"/>
      <c r="H571" s="929"/>
      <c r="I571" s="388"/>
      <c r="J571" s="929"/>
      <c r="K571" s="388"/>
      <c r="L571" s="929"/>
      <c r="M571" s="388"/>
      <c r="N571" s="929"/>
      <c r="O571" s="388"/>
      <c r="P571" s="388"/>
      <c r="Q571" s="388"/>
      <c r="R571" s="465"/>
      <c r="S571" s="929"/>
      <c r="T571" s="466"/>
      <c r="U571" s="929"/>
      <c r="V571" s="929"/>
      <c r="W571" s="929"/>
      <c r="X571" s="474"/>
      <c r="Y571" s="474"/>
      <c r="Z571" s="474"/>
      <c r="AA571" s="474"/>
      <c r="AB571" s="474"/>
      <c r="AC571" s="388"/>
      <c r="AD571" s="464"/>
      <c r="AE571" s="465"/>
      <c r="AF571" s="388"/>
      <c r="AW571" s="471"/>
      <c r="AX571" s="471"/>
    </row>
    <row r="572" spans="1:50" ht="27" customHeight="1" x14ac:dyDescent="0.25">
      <c r="A572" s="462"/>
      <c r="H572" s="929"/>
      <c r="I572" s="388"/>
      <c r="J572" s="929"/>
      <c r="K572" s="388"/>
      <c r="L572" s="929"/>
      <c r="M572" s="388"/>
      <c r="N572" s="929"/>
      <c r="O572" s="388"/>
      <c r="P572" s="388"/>
      <c r="Q572" s="388"/>
      <c r="R572" s="465"/>
      <c r="S572" s="929"/>
      <c r="T572" s="466"/>
      <c r="U572" s="929"/>
      <c r="V572" s="929"/>
      <c r="W572" s="929"/>
      <c r="X572" s="474"/>
      <c r="Y572" s="474"/>
      <c r="Z572" s="474"/>
      <c r="AA572" s="474"/>
      <c r="AB572" s="474"/>
      <c r="AC572" s="388"/>
      <c r="AD572" s="464"/>
      <c r="AE572" s="465"/>
      <c r="AF572" s="388"/>
      <c r="AW572" s="471"/>
      <c r="AX572" s="471"/>
    </row>
    <row r="573" spans="1:50" ht="27" customHeight="1" x14ac:dyDescent="0.25">
      <c r="A573" s="462"/>
      <c r="H573" s="929"/>
      <c r="I573" s="388"/>
      <c r="J573" s="929"/>
      <c r="K573" s="388"/>
      <c r="L573" s="929"/>
      <c r="M573" s="388"/>
      <c r="N573" s="929"/>
      <c r="O573" s="388"/>
      <c r="P573" s="388"/>
      <c r="Q573" s="388"/>
      <c r="R573" s="465"/>
      <c r="S573" s="929"/>
      <c r="T573" s="466"/>
      <c r="U573" s="929"/>
      <c r="V573" s="929"/>
      <c r="W573" s="929"/>
      <c r="X573" s="474"/>
      <c r="Y573" s="474"/>
      <c r="Z573" s="474"/>
      <c r="AA573" s="474"/>
      <c r="AB573" s="474"/>
      <c r="AC573" s="388"/>
      <c r="AD573" s="464"/>
      <c r="AE573" s="465"/>
      <c r="AF573" s="388"/>
      <c r="AW573" s="471"/>
      <c r="AX573" s="471"/>
    </row>
    <row r="574" spans="1:50" ht="27" customHeight="1" x14ac:dyDescent="0.25">
      <c r="A574" s="462"/>
      <c r="H574" s="929"/>
      <c r="I574" s="388"/>
      <c r="J574" s="929"/>
      <c r="K574" s="388"/>
      <c r="L574" s="929"/>
      <c r="M574" s="388"/>
      <c r="N574" s="929"/>
      <c r="O574" s="388"/>
      <c r="P574" s="388"/>
      <c r="Q574" s="388"/>
      <c r="R574" s="465"/>
      <c r="S574" s="929"/>
      <c r="T574" s="466"/>
      <c r="U574" s="929"/>
      <c r="V574" s="929"/>
      <c r="W574" s="929"/>
      <c r="X574" s="474"/>
      <c r="Y574" s="474"/>
      <c r="Z574" s="474"/>
      <c r="AA574" s="474"/>
      <c r="AB574" s="474"/>
      <c r="AC574" s="388"/>
      <c r="AD574" s="464"/>
      <c r="AE574" s="465"/>
      <c r="AF574" s="388"/>
      <c r="AW574" s="471"/>
      <c r="AX574" s="471"/>
    </row>
    <row r="575" spans="1:50" ht="27" customHeight="1" x14ac:dyDescent="0.25">
      <c r="A575" s="462"/>
      <c r="H575" s="929"/>
      <c r="I575" s="388"/>
      <c r="J575" s="929"/>
      <c r="K575" s="388"/>
      <c r="L575" s="929"/>
      <c r="M575" s="388"/>
      <c r="N575" s="929"/>
      <c r="O575" s="388"/>
      <c r="P575" s="388"/>
      <c r="Q575" s="388"/>
      <c r="R575" s="465"/>
      <c r="S575" s="929"/>
      <c r="T575" s="466"/>
      <c r="U575" s="929"/>
      <c r="V575" s="929"/>
      <c r="W575" s="929"/>
      <c r="X575" s="474"/>
      <c r="Y575" s="474"/>
      <c r="Z575" s="474"/>
      <c r="AA575" s="474"/>
      <c r="AB575" s="474"/>
      <c r="AC575" s="388"/>
      <c r="AD575" s="464"/>
      <c r="AE575" s="465"/>
      <c r="AF575" s="388"/>
      <c r="AW575" s="471"/>
      <c r="AX575" s="471"/>
    </row>
    <row r="576" spans="1:50" ht="27" customHeight="1" x14ac:dyDescent="0.25">
      <c r="A576" s="462"/>
      <c r="H576" s="929"/>
      <c r="I576" s="388"/>
      <c r="J576" s="929"/>
      <c r="K576" s="388"/>
      <c r="L576" s="929"/>
      <c r="M576" s="388"/>
      <c r="N576" s="929"/>
      <c r="O576" s="388"/>
      <c r="P576" s="388"/>
      <c r="Q576" s="388"/>
      <c r="R576" s="465"/>
      <c r="S576" s="929"/>
      <c r="T576" s="466"/>
      <c r="U576" s="929"/>
      <c r="V576" s="929"/>
      <c r="W576" s="929"/>
      <c r="X576" s="474"/>
      <c r="Y576" s="474"/>
      <c r="Z576" s="474"/>
      <c r="AA576" s="474"/>
      <c r="AB576" s="474"/>
      <c r="AC576" s="388"/>
      <c r="AD576" s="464"/>
      <c r="AE576" s="465"/>
      <c r="AF576" s="388"/>
      <c r="AW576" s="471"/>
      <c r="AX576" s="471"/>
    </row>
    <row r="577" spans="1:50" ht="27" customHeight="1" x14ac:dyDescent="0.25">
      <c r="A577" s="462"/>
      <c r="H577" s="929"/>
      <c r="I577" s="388"/>
      <c r="J577" s="929"/>
      <c r="K577" s="388"/>
      <c r="L577" s="929"/>
      <c r="M577" s="388"/>
      <c r="N577" s="929"/>
      <c r="O577" s="388"/>
      <c r="P577" s="388"/>
      <c r="Q577" s="388"/>
      <c r="R577" s="465"/>
      <c r="S577" s="929"/>
      <c r="T577" s="466"/>
      <c r="U577" s="929"/>
      <c r="V577" s="929"/>
      <c r="W577" s="929"/>
      <c r="X577" s="474"/>
      <c r="Y577" s="474"/>
      <c r="Z577" s="474"/>
      <c r="AA577" s="474"/>
      <c r="AB577" s="474"/>
      <c r="AC577" s="388"/>
      <c r="AD577" s="464"/>
      <c r="AE577" s="465"/>
      <c r="AF577" s="388"/>
      <c r="AW577" s="471"/>
      <c r="AX577" s="471"/>
    </row>
    <row r="578" spans="1:50" ht="27" customHeight="1" x14ac:dyDescent="0.25">
      <c r="A578" s="462"/>
      <c r="H578" s="929"/>
      <c r="I578" s="388"/>
      <c r="J578" s="929"/>
      <c r="K578" s="388"/>
      <c r="L578" s="929"/>
      <c r="M578" s="388"/>
      <c r="N578" s="929"/>
      <c r="O578" s="388"/>
      <c r="P578" s="388"/>
      <c r="Q578" s="388"/>
      <c r="R578" s="465"/>
      <c r="S578" s="929"/>
      <c r="T578" s="466"/>
      <c r="U578" s="929"/>
      <c r="V578" s="929"/>
      <c r="W578" s="929"/>
      <c r="X578" s="474"/>
      <c r="Y578" s="474"/>
      <c r="Z578" s="474"/>
      <c r="AA578" s="474"/>
      <c r="AB578" s="474"/>
      <c r="AC578" s="388"/>
      <c r="AD578" s="464"/>
      <c r="AE578" s="465"/>
      <c r="AF578" s="388"/>
      <c r="AW578" s="471"/>
      <c r="AX578" s="471"/>
    </row>
    <row r="579" spans="1:50" ht="27" customHeight="1" x14ac:dyDescent="0.25">
      <c r="A579" s="462"/>
      <c r="H579" s="929"/>
      <c r="I579" s="388"/>
      <c r="J579" s="929"/>
      <c r="K579" s="388"/>
      <c r="L579" s="929"/>
      <c r="M579" s="388"/>
      <c r="N579" s="929"/>
      <c r="O579" s="388"/>
      <c r="P579" s="388"/>
      <c r="Q579" s="388"/>
      <c r="R579" s="465"/>
      <c r="S579" s="929"/>
      <c r="T579" s="466"/>
      <c r="U579" s="929"/>
      <c r="V579" s="929"/>
      <c r="W579" s="929"/>
      <c r="X579" s="474"/>
      <c r="Y579" s="474"/>
      <c r="Z579" s="474"/>
      <c r="AA579" s="474"/>
      <c r="AB579" s="474"/>
      <c r="AC579" s="388"/>
      <c r="AD579" s="464"/>
      <c r="AE579" s="465"/>
      <c r="AF579" s="388"/>
      <c r="AW579" s="471"/>
      <c r="AX579" s="471"/>
    </row>
    <row r="580" spans="1:50" ht="27" customHeight="1" x14ac:dyDescent="0.25">
      <c r="A580" s="462"/>
      <c r="H580" s="929"/>
      <c r="I580" s="388"/>
      <c r="J580" s="929"/>
      <c r="K580" s="388"/>
      <c r="L580" s="929"/>
      <c r="M580" s="388"/>
      <c r="N580" s="929"/>
      <c r="O580" s="388"/>
      <c r="P580" s="388"/>
      <c r="Q580" s="388"/>
      <c r="R580" s="465"/>
      <c r="S580" s="929"/>
      <c r="T580" s="466"/>
      <c r="U580" s="929"/>
      <c r="V580" s="929"/>
      <c r="W580" s="929"/>
      <c r="X580" s="474"/>
      <c r="Y580" s="474"/>
      <c r="Z580" s="474"/>
      <c r="AA580" s="474"/>
      <c r="AB580" s="474"/>
      <c r="AC580" s="388"/>
      <c r="AD580" s="464"/>
      <c r="AE580" s="465"/>
      <c r="AF580" s="388"/>
      <c r="AW580" s="471"/>
      <c r="AX580" s="471"/>
    </row>
    <row r="581" spans="1:50" ht="27" customHeight="1" x14ac:dyDescent="0.25">
      <c r="A581" s="462"/>
      <c r="H581" s="929"/>
      <c r="I581" s="388"/>
      <c r="J581" s="929"/>
      <c r="K581" s="388"/>
      <c r="L581" s="929"/>
      <c r="M581" s="388"/>
      <c r="N581" s="929"/>
      <c r="O581" s="388"/>
      <c r="P581" s="388"/>
      <c r="Q581" s="388"/>
      <c r="R581" s="465"/>
      <c r="S581" s="929"/>
      <c r="T581" s="466"/>
      <c r="U581" s="929"/>
      <c r="V581" s="929"/>
      <c r="W581" s="929"/>
      <c r="X581" s="474"/>
      <c r="Y581" s="474"/>
      <c r="Z581" s="474"/>
      <c r="AA581" s="474"/>
      <c r="AB581" s="474"/>
      <c r="AC581" s="388"/>
      <c r="AD581" s="464"/>
      <c r="AE581" s="465"/>
      <c r="AF581" s="388"/>
      <c r="AW581" s="471"/>
      <c r="AX581" s="471"/>
    </row>
    <row r="582" spans="1:50" ht="27" customHeight="1" x14ac:dyDescent="0.25">
      <c r="A582" s="462"/>
      <c r="H582" s="929"/>
      <c r="I582" s="388"/>
      <c r="J582" s="929"/>
      <c r="K582" s="388"/>
      <c r="L582" s="929"/>
      <c r="M582" s="388"/>
      <c r="N582" s="929"/>
      <c r="O582" s="388"/>
      <c r="P582" s="388"/>
      <c r="Q582" s="388"/>
      <c r="R582" s="465"/>
      <c r="S582" s="929"/>
      <c r="T582" s="466"/>
      <c r="U582" s="929"/>
      <c r="V582" s="929"/>
      <c r="W582" s="929"/>
      <c r="X582" s="474"/>
      <c r="Y582" s="474"/>
      <c r="Z582" s="474"/>
      <c r="AA582" s="474"/>
      <c r="AB582" s="474"/>
      <c r="AC582" s="388"/>
      <c r="AD582" s="464"/>
      <c r="AE582" s="465"/>
      <c r="AF582" s="388"/>
      <c r="AW582" s="471"/>
      <c r="AX582" s="471"/>
    </row>
    <row r="583" spans="1:50" ht="27" customHeight="1" x14ac:dyDescent="0.25">
      <c r="A583" s="462"/>
      <c r="H583" s="929"/>
      <c r="I583" s="388"/>
      <c r="J583" s="929"/>
      <c r="K583" s="388"/>
      <c r="L583" s="929"/>
      <c r="M583" s="388"/>
      <c r="N583" s="929"/>
      <c r="O583" s="388"/>
      <c r="P583" s="388"/>
      <c r="Q583" s="388"/>
      <c r="R583" s="465"/>
      <c r="S583" s="929"/>
      <c r="T583" s="466"/>
      <c r="U583" s="929"/>
      <c r="V583" s="929"/>
      <c r="W583" s="929"/>
      <c r="X583" s="474"/>
      <c r="Y583" s="474"/>
      <c r="Z583" s="474"/>
      <c r="AA583" s="474"/>
      <c r="AB583" s="474"/>
      <c r="AC583" s="388"/>
      <c r="AD583" s="464"/>
      <c r="AE583" s="465"/>
      <c r="AF583" s="388"/>
      <c r="AW583" s="471"/>
      <c r="AX583" s="471"/>
    </row>
    <row r="584" spans="1:50" ht="27" customHeight="1" x14ac:dyDescent="0.25">
      <c r="A584" s="462"/>
      <c r="H584" s="929"/>
      <c r="I584" s="388"/>
      <c r="J584" s="929"/>
      <c r="K584" s="388"/>
      <c r="L584" s="929"/>
      <c r="M584" s="388"/>
      <c r="N584" s="929"/>
      <c r="O584" s="388"/>
      <c r="P584" s="388"/>
      <c r="Q584" s="388"/>
      <c r="R584" s="465"/>
      <c r="S584" s="929"/>
      <c r="T584" s="466"/>
      <c r="U584" s="929"/>
      <c r="V584" s="929"/>
      <c r="W584" s="929"/>
      <c r="X584" s="474"/>
      <c r="Y584" s="474"/>
      <c r="Z584" s="474"/>
      <c r="AA584" s="474"/>
      <c r="AB584" s="474"/>
      <c r="AC584" s="388"/>
      <c r="AD584" s="464"/>
      <c r="AE584" s="465"/>
      <c r="AF584" s="388"/>
      <c r="AW584" s="471"/>
      <c r="AX584" s="471"/>
    </row>
    <row r="585" spans="1:50" ht="27" customHeight="1" x14ac:dyDescent="0.25">
      <c r="A585" s="462"/>
      <c r="H585" s="929"/>
      <c r="I585" s="388"/>
      <c r="J585" s="929"/>
      <c r="K585" s="388"/>
      <c r="L585" s="929"/>
      <c r="M585" s="388"/>
      <c r="N585" s="929"/>
      <c r="O585" s="388"/>
      <c r="P585" s="388"/>
      <c r="Q585" s="388"/>
      <c r="R585" s="465"/>
      <c r="S585" s="929"/>
      <c r="T585" s="466"/>
      <c r="U585" s="929"/>
      <c r="V585" s="929"/>
      <c r="W585" s="929"/>
      <c r="X585" s="474"/>
      <c r="Y585" s="474"/>
      <c r="Z585" s="474"/>
      <c r="AA585" s="474"/>
      <c r="AB585" s="474"/>
      <c r="AC585" s="388"/>
      <c r="AD585" s="464"/>
      <c r="AE585" s="465"/>
      <c r="AF585" s="388"/>
      <c r="AW585" s="471"/>
      <c r="AX585" s="471"/>
    </row>
    <row r="586" spans="1:50" ht="27" customHeight="1" x14ac:dyDescent="0.25">
      <c r="A586" s="462"/>
      <c r="H586" s="929"/>
      <c r="I586" s="388"/>
      <c r="J586" s="929"/>
      <c r="K586" s="388"/>
      <c r="L586" s="929"/>
      <c r="M586" s="388"/>
      <c r="N586" s="929"/>
      <c r="O586" s="388"/>
      <c r="P586" s="388"/>
      <c r="Q586" s="388"/>
      <c r="R586" s="465"/>
      <c r="S586" s="929"/>
      <c r="T586" s="466"/>
      <c r="U586" s="929"/>
      <c r="V586" s="929"/>
      <c r="W586" s="929"/>
      <c r="X586" s="474"/>
      <c r="Y586" s="474"/>
      <c r="Z586" s="474"/>
      <c r="AA586" s="474"/>
      <c r="AB586" s="474"/>
      <c r="AC586" s="388"/>
      <c r="AD586" s="464"/>
      <c r="AE586" s="465"/>
      <c r="AF586" s="388"/>
      <c r="AW586" s="471"/>
      <c r="AX586" s="471"/>
    </row>
    <row r="587" spans="1:50" ht="27" customHeight="1" x14ac:dyDescent="0.25">
      <c r="A587" s="462"/>
      <c r="H587" s="929"/>
      <c r="I587" s="388"/>
      <c r="J587" s="929"/>
      <c r="K587" s="388"/>
      <c r="L587" s="929"/>
      <c r="M587" s="388"/>
      <c r="N587" s="929"/>
      <c r="O587" s="388"/>
      <c r="P587" s="388"/>
      <c r="Q587" s="388"/>
      <c r="R587" s="465"/>
      <c r="S587" s="929"/>
      <c r="T587" s="466"/>
      <c r="U587" s="929"/>
      <c r="V587" s="929"/>
      <c r="W587" s="929"/>
      <c r="X587" s="474"/>
      <c r="Y587" s="474"/>
      <c r="Z587" s="474"/>
      <c r="AA587" s="474"/>
      <c r="AB587" s="474"/>
      <c r="AC587" s="388"/>
      <c r="AD587" s="464"/>
      <c r="AE587" s="465"/>
      <c r="AF587" s="388"/>
      <c r="AW587" s="471"/>
      <c r="AX587" s="471"/>
    </row>
    <row r="588" spans="1:50" ht="27" customHeight="1" x14ac:dyDescent="0.25">
      <c r="A588" s="462"/>
      <c r="H588" s="929"/>
      <c r="I588" s="388"/>
      <c r="J588" s="929"/>
      <c r="K588" s="388"/>
      <c r="L588" s="929"/>
      <c r="M588" s="388"/>
      <c r="N588" s="929"/>
      <c r="O588" s="388"/>
      <c r="P588" s="388"/>
      <c r="Q588" s="388"/>
      <c r="R588" s="465"/>
      <c r="S588" s="929"/>
      <c r="T588" s="466"/>
      <c r="U588" s="929"/>
      <c r="V588" s="929"/>
      <c r="W588" s="929"/>
      <c r="X588" s="474"/>
      <c r="Y588" s="474"/>
      <c r="Z588" s="474"/>
      <c r="AA588" s="474"/>
      <c r="AB588" s="474"/>
      <c r="AC588" s="388"/>
      <c r="AD588" s="464"/>
      <c r="AE588" s="465"/>
      <c r="AF588" s="388"/>
      <c r="AW588" s="471"/>
      <c r="AX588" s="471"/>
    </row>
    <row r="589" spans="1:50" ht="27" customHeight="1" x14ac:dyDescent="0.25">
      <c r="A589" s="462"/>
      <c r="H589" s="929"/>
      <c r="I589" s="388"/>
      <c r="J589" s="929"/>
      <c r="K589" s="388"/>
      <c r="L589" s="929"/>
      <c r="M589" s="388"/>
      <c r="N589" s="929"/>
      <c r="O589" s="388"/>
      <c r="P589" s="388"/>
      <c r="Q589" s="388"/>
      <c r="R589" s="465"/>
      <c r="S589" s="929"/>
      <c r="T589" s="466"/>
      <c r="U589" s="929"/>
      <c r="V589" s="929"/>
      <c r="W589" s="929"/>
      <c r="X589" s="474"/>
      <c r="Y589" s="474"/>
      <c r="Z589" s="474"/>
      <c r="AA589" s="474"/>
      <c r="AB589" s="474"/>
      <c r="AC589" s="388"/>
      <c r="AD589" s="464"/>
      <c r="AE589" s="465"/>
      <c r="AF589" s="388"/>
      <c r="AW589" s="471"/>
      <c r="AX589" s="471"/>
    </row>
    <row r="590" spans="1:50" ht="27" customHeight="1" x14ac:dyDescent="0.25">
      <c r="A590" s="462"/>
      <c r="H590" s="929"/>
      <c r="I590" s="388"/>
      <c r="J590" s="929"/>
      <c r="K590" s="388"/>
      <c r="L590" s="929"/>
      <c r="M590" s="388"/>
      <c r="N590" s="929"/>
      <c r="O590" s="388"/>
      <c r="P590" s="388"/>
      <c r="Q590" s="388"/>
      <c r="R590" s="465"/>
      <c r="S590" s="929"/>
      <c r="T590" s="466"/>
      <c r="U590" s="929"/>
      <c r="V590" s="929"/>
      <c r="W590" s="929"/>
      <c r="X590" s="474"/>
      <c r="Y590" s="474"/>
      <c r="Z590" s="474"/>
      <c r="AA590" s="474"/>
      <c r="AB590" s="474"/>
      <c r="AC590" s="388"/>
      <c r="AD590" s="464"/>
      <c r="AE590" s="465"/>
      <c r="AF590" s="388"/>
      <c r="AW590" s="471"/>
      <c r="AX590" s="471"/>
    </row>
    <row r="591" spans="1:50" ht="27" customHeight="1" x14ac:dyDescent="0.25">
      <c r="A591" s="462"/>
      <c r="H591" s="929"/>
      <c r="I591" s="388"/>
      <c r="J591" s="929"/>
      <c r="K591" s="388"/>
      <c r="L591" s="929"/>
      <c r="M591" s="388"/>
      <c r="N591" s="929"/>
      <c r="O591" s="388"/>
      <c r="P591" s="388"/>
      <c r="Q591" s="388"/>
      <c r="R591" s="465"/>
      <c r="S591" s="929"/>
      <c r="T591" s="466"/>
      <c r="U591" s="929"/>
      <c r="V591" s="929"/>
      <c r="W591" s="929"/>
      <c r="X591" s="474"/>
      <c r="Y591" s="474"/>
      <c r="Z591" s="474"/>
      <c r="AA591" s="474"/>
      <c r="AB591" s="474"/>
      <c r="AC591" s="388"/>
      <c r="AD591" s="464"/>
      <c r="AE591" s="465"/>
      <c r="AF591" s="388"/>
      <c r="AW591" s="471"/>
      <c r="AX591" s="471"/>
    </row>
    <row r="592" spans="1:50" ht="27" customHeight="1" x14ac:dyDescent="0.25">
      <c r="A592" s="462"/>
      <c r="H592" s="929"/>
      <c r="I592" s="388"/>
      <c r="J592" s="929"/>
      <c r="K592" s="388"/>
      <c r="L592" s="929"/>
      <c r="M592" s="388"/>
      <c r="N592" s="929"/>
      <c r="O592" s="388"/>
      <c r="P592" s="388"/>
      <c r="Q592" s="388"/>
      <c r="R592" s="465"/>
      <c r="S592" s="929"/>
      <c r="T592" s="466"/>
      <c r="U592" s="929"/>
      <c r="V592" s="929"/>
      <c r="W592" s="929"/>
      <c r="X592" s="474"/>
      <c r="Y592" s="474"/>
      <c r="Z592" s="474"/>
      <c r="AA592" s="474"/>
      <c r="AB592" s="474"/>
      <c r="AC592" s="388"/>
      <c r="AD592" s="464"/>
      <c r="AE592" s="465"/>
      <c r="AF592" s="388"/>
      <c r="AW592" s="471"/>
      <c r="AX592" s="471"/>
    </row>
    <row r="593" spans="1:50" ht="27" customHeight="1" x14ac:dyDescent="0.25">
      <c r="A593" s="462"/>
      <c r="H593" s="929"/>
      <c r="I593" s="388"/>
      <c r="J593" s="929"/>
      <c r="K593" s="388"/>
      <c r="L593" s="929"/>
      <c r="M593" s="388"/>
      <c r="N593" s="929"/>
      <c r="O593" s="388"/>
      <c r="P593" s="388"/>
      <c r="Q593" s="388"/>
      <c r="R593" s="465"/>
      <c r="S593" s="929"/>
      <c r="T593" s="466"/>
      <c r="U593" s="929"/>
      <c r="V593" s="929"/>
      <c r="W593" s="929"/>
      <c r="X593" s="474"/>
      <c r="Y593" s="474"/>
      <c r="Z593" s="474"/>
      <c r="AA593" s="474"/>
      <c r="AB593" s="474"/>
      <c r="AC593" s="388"/>
      <c r="AD593" s="464"/>
      <c r="AE593" s="465"/>
      <c r="AF593" s="388"/>
      <c r="AW593" s="471"/>
      <c r="AX593" s="471"/>
    </row>
    <row r="594" spans="1:50" ht="27" customHeight="1" x14ac:dyDescent="0.25">
      <c r="A594" s="462"/>
      <c r="H594" s="929"/>
      <c r="I594" s="388"/>
      <c r="J594" s="929"/>
      <c r="K594" s="388"/>
      <c r="L594" s="929"/>
      <c r="M594" s="388"/>
      <c r="N594" s="929"/>
      <c r="O594" s="388"/>
      <c r="P594" s="388"/>
      <c r="Q594" s="388"/>
      <c r="R594" s="465"/>
      <c r="S594" s="929"/>
      <c r="T594" s="466"/>
      <c r="U594" s="929"/>
      <c r="V594" s="929"/>
      <c r="W594" s="929"/>
      <c r="X594" s="474"/>
      <c r="Y594" s="474"/>
      <c r="Z594" s="474"/>
      <c r="AA594" s="474"/>
      <c r="AB594" s="474"/>
      <c r="AC594" s="388"/>
      <c r="AD594" s="464"/>
      <c r="AE594" s="465"/>
      <c r="AF594" s="388"/>
      <c r="AW594" s="471"/>
      <c r="AX594" s="471"/>
    </row>
    <row r="595" spans="1:50" ht="27" customHeight="1" x14ac:dyDescent="0.25">
      <c r="A595" s="462"/>
      <c r="H595" s="929"/>
      <c r="I595" s="388"/>
      <c r="J595" s="929"/>
      <c r="K595" s="388"/>
      <c r="L595" s="929"/>
      <c r="M595" s="388"/>
      <c r="N595" s="929"/>
      <c r="O595" s="388"/>
      <c r="P595" s="388"/>
      <c r="Q595" s="388"/>
      <c r="R595" s="465"/>
      <c r="S595" s="929"/>
      <c r="T595" s="466"/>
      <c r="U595" s="929"/>
      <c r="V595" s="929"/>
      <c r="W595" s="929"/>
      <c r="X595" s="474"/>
      <c r="Y595" s="474"/>
      <c r="Z595" s="474"/>
      <c r="AA595" s="474"/>
      <c r="AB595" s="474"/>
      <c r="AC595" s="388"/>
      <c r="AD595" s="464"/>
      <c r="AE595" s="465"/>
      <c r="AF595" s="388"/>
      <c r="AW595" s="471"/>
      <c r="AX595" s="471"/>
    </row>
    <row r="596" spans="1:50" ht="27" customHeight="1" x14ac:dyDescent="0.25">
      <c r="A596" s="462"/>
      <c r="H596" s="929"/>
      <c r="I596" s="388"/>
      <c r="J596" s="929"/>
      <c r="K596" s="388"/>
      <c r="L596" s="929"/>
      <c r="M596" s="388"/>
      <c r="N596" s="929"/>
      <c r="O596" s="388"/>
      <c r="P596" s="388"/>
      <c r="Q596" s="388"/>
      <c r="R596" s="465"/>
      <c r="S596" s="929"/>
      <c r="T596" s="466"/>
      <c r="U596" s="929"/>
      <c r="V596" s="929"/>
      <c r="W596" s="929"/>
      <c r="X596" s="474"/>
      <c r="Y596" s="474"/>
      <c r="Z596" s="474"/>
      <c r="AA596" s="474"/>
      <c r="AB596" s="474"/>
      <c r="AC596" s="388"/>
      <c r="AD596" s="464"/>
      <c r="AE596" s="465"/>
      <c r="AF596" s="388"/>
      <c r="AW596" s="471"/>
      <c r="AX596" s="471"/>
    </row>
    <row r="597" spans="1:50" ht="27" customHeight="1" x14ac:dyDescent="0.25">
      <c r="A597" s="462"/>
      <c r="H597" s="929"/>
      <c r="I597" s="388"/>
      <c r="J597" s="929"/>
      <c r="K597" s="388"/>
      <c r="L597" s="929"/>
      <c r="M597" s="388"/>
      <c r="N597" s="929"/>
      <c r="O597" s="388"/>
      <c r="P597" s="388"/>
      <c r="Q597" s="388"/>
      <c r="R597" s="465"/>
      <c r="S597" s="929"/>
      <c r="T597" s="466"/>
      <c r="U597" s="929"/>
      <c r="V597" s="929"/>
      <c r="W597" s="929"/>
      <c r="X597" s="474"/>
      <c r="Y597" s="474"/>
      <c r="Z597" s="474"/>
      <c r="AA597" s="474"/>
      <c r="AB597" s="474"/>
      <c r="AC597" s="388"/>
      <c r="AD597" s="464"/>
      <c r="AE597" s="465"/>
      <c r="AF597" s="388"/>
      <c r="AW597" s="471"/>
      <c r="AX597" s="471"/>
    </row>
    <row r="598" spans="1:50" ht="27" customHeight="1" x14ac:dyDescent="0.25">
      <c r="A598" s="462"/>
      <c r="H598" s="929"/>
      <c r="I598" s="388"/>
      <c r="J598" s="929"/>
      <c r="K598" s="388"/>
      <c r="L598" s="929"/>
      <c r="M598" s="388"/>
      <c r="N598" s="929"/>
      <c r="O598" s="388"/>
      <c r="P598" s="388"/>
      <c r="Q598" s="388"/>
      <c r="R598" s="465"/>
      <c r="S598" s="929"/>
      <c r="T598" s="466"/>
      <c r="U598" s="929"/>
      <c r="V598" s="929"/>
      <c r="W598" s="929"/>
      <c r="X598" s="474"/>
      <c r="Y598" s="474"/>
      <c r="Z598" s="474"/>
      <c r="AA598" s="474"/>
      <c r="AB598" s="474"/>
      <c r="AC598" s="388"/>
      <c r="AD598" s="464"/>
      <c r="AE598" s="465"/>
      <c r="AF598" s="388"/>
      <c r="AW598" s="471"/>
      <c r="AX598" s="471"/>
    </row>
    <row r="599" spans="1:50" ht="27" customHeight="1" x14ac:dyDescent="0.25">
      <c r="A599" s="462"/>
      <c r="H599" s="929"/>
      <c r="I599" s="388"/>
      <c r="J599" s="929"/>
      <c r="K599" s="388"/>
      <c r="L599" s="929"/>
      <c r="M599" s="388"/>
      <c r="N599" s="929"/>
      <c r="O599" s="388"/>
      <c r="P599" s="388"/>
      <c r="Q599" s="388"/>
      <c r="R599" s="465"/>
      <c r="S599" s="929"/>
      <c r="T599" s="466"/>
      <c r="U599" s="929"/>
      <c r="V599" s="929"/>
      <c r="W599" s="929"/>
      <c r="X599" s="474"/>
      <c r="Y599" s="474"/>
      <c r="Z599" s="474"/>
      <c r="AA599" s="474"/>
      <c r="AB599" s="474"/>
      <c r="AC599" s="388"/>
      <c r="AD599" s="464"/>
      <c r="AE599" s="465"/>
      <c r="AF599" s="388"/>
      <c r="AW599" s="471"/>
      <c r="AX599" s="471"/>
    </row>
    <row r="600" spans="1:50" ht="27" customHeight="1" x14ac:dyDescent="0.25">
      <c r="A600" s="462"/>
      <c r="H600" s="929"/>
      <c r="I600" s="388"/>
      <c r="J600" s="929"/>
      <c r="K600" s="388"/>
      <c r="L600" s="929"/>
      <c r="M600" s="388"/>
      <c r="N600" s="929"/>
      <c r="O600" s="388"/>
      <c r="P600" s="388"/>
      <c r="Q600" s="388"/>
      <c r="R600" s="465"/>
      <c r="S600" s="929"/>
      <c r="T600" s="466"/>
      <c r="U600" s="929"/>
      <c r="V600" s="929"/>
      <c r="W600" s="929"/>
      <c r="X600" s="474"/>
      <c r="Y600" s="474"/>
      <c r="Z600" s="474"/>
      <c r="AA600" s="474"/>
      <c r="AB600" s="474"/>
      <c r="AC600" s="388"/>
      <c r="AD600" s="464"/>
      <c r="AE600" s="465"/>
      <c r="AF600" s="388"/>
      <c r="AW600" s="471"/>
      <c r="AX600" s="471"/>
    </row>
    <row r="601" spans="1:50" ht="27" customHeight="1" x14ac:dyDescent="0.25">
      <c r="A601" s="462"/>
      <c r="H601" s="929"/>
      <c r="I601" s="388"/>
      <c r="J601" s="929"/>
      <c r="K601" s="388"/>
      <c r="L601" s="929"/>
      <c r="M601" s="388"/>
      <c r="N601" s="929"/>
      <c r="O601" s="388"/>
      <c r="P601" s="388"/>
      <c r="Q601" s="388"/>
      <c r="R601" s="465"/>
      <c r="S601" s="929"/>
      <c r="T601" s="466"/>
      <c r="U601" s="929"/>
      <c r="V601" s="929"/>
      <c r="W601" s="929"/>
      <c r="X601" s="474"/>
      <c r="Y601" s="474"/>
      <c r="Z601" s="474"/>
      <c r="AA601" s="474"/>
      <c r="AB601" s="474"/>
      <c r="AC601" s="388"/>
      <c r="AD601" s="464"/>
      <c r="AE601" s="465"/>
      <c r="AF601" s="388"/>
      <c r="AW601" s="471"/>
      <c r="AX601" s="471"/>
    </row>
    <row r="602" spans="1:50" ht="27" customHeight="1" x14ac:dyDescent="0.25">
      <c r="A602" s="462"/>
      <c r="H602" s="929"/>
      <c r="I602" s="388"/>
      <c r="J602" s="929"/>
      <c r="K602" s="388"/>
      <c r="L602" s="929"/>
      <c r="M602" s="388"/>
      <c r="N602" s="929"/>
      <c r="O602" s="388"/>
      <c r="P602" s="388"/>
      <c r="Q602" s="388"/>
      <c r="R602" s="465"/>
      <c r="S602" s="929"/>
      <c r="T602" s="466"/>
      <c r="U602" s="929"/>
      <c r="V602" s="929"/>
      <c r="W602" s="929"/>
      <c r="X602" s="474"/>
      <c r="Y602" s="474"/>
      <c r="Z602" s="474"/>
      <c r="AA602" s="474"/>
      <c r="AB602" s="474"/>
      <c r="AC602" s="388"/>
      <c r="AD602" s="464"/>
      <c r="AE602" s="465"/>
      <c r="AF602" s="388"/>
      <c r="AW602" s="471"/>
      <c r="AX602" s="471"/>
    </row>
    <row r="603" spans="1:50" ht="27" customHeight="1" x14ac:dyDescent="0.25">
      <c r="A603" s="462"/>
      <c r="H603" s="929"/>
      <c r="I603" s="388"/>
      <c r="J603" s="929"/>
      <c r="K603" s="388"/>
      <c r="L603" s="929"/>
      <c r="M603" s="388"/>
      <c r="N603" s="929"/>
      <c r="O603" s="388"/>
      <c r="P603" s="388"/>
      <c r="Q603" s="388"/>
      <c r="R603" s="465"/>
      <c r="S603" s="929"/>
      <c r="T603" s="466"/>
      <c r="U603" s="929"/>
      <c r="V603" s="929"/>
      <c r="W603" s="929"/>
      <c r="X603" s="474"/>
      <c r="Y603" s="474"/>
      <c r="Z603" s="474"/>
      <c r="AA603" s="474"/>
      <c r="AB603" s="474"/>
      <c r="AC603" s="388"/>
      <c r="AD603" s="464"/>
      <c r="AE603" s="465"/>
      <c r="AF603" s="388"/>
      <c r="AW603" s="471"/>
      <c r="AX603" s="471"/>
    </row>
    <row r="604" spans="1:50" ht="27" customHeight="1" x14ac:dyDescent="0.25">
      <c r="A604" s="462"/>
      <c r="H604" s="929"/>
      <c r="I604" s="388"/>
      <c r="J604" s="929"/>
      <c r="K604" s="388"/>
      <c r="L604" s="929"/>
      <c r="M604" s="388"/>
      <c r="N604" s="929"/>
      <c r="O604" s="388"/>
      <c r="P604" s="388"/>
      <c r="Q604" s="388"/>
      <c r="R604" s="465"/>
      <c r="S604" s="929"/>
      <c r="T604" s="466"/>
      <c r="U604" s="929"/>
      <c r="V604" s="929"/>
      <c r="W604" s="929"/>
      <c r="X604" s="474"/>
      <c r="Y604" s="474"/>
      <c r="Z604" s="474"/>
      <c r="AA604" s="474"/>
      <c r="AB604" s="474"/>
      <c r="AC604" s="388"/>
      <c r="AD604" s="464"/>
      <c r="AE604" s="465"/>
      <c r="AF604" s="388"/>
      <c r="AW604" s="471"/>
      <c r="AX604" s="471"/>
    </row>
    <row r="605" spans="1:50" ht="27" customHeight="1" x14ac:dyDescent="0.25">
      <c r="A605" s="462"/>
      <c r="H605" s="929"/>
      <c r="I605" s="388"/>
      <c r="J605" s="929"/>
      <c r="K605" s="388"/>
      <c r="L605" s="929"/>
      <c r="M605" s="388"/>
      <c r="N605" s="929"/>
      <c r="O605" s="388"/>
      <c r="P605" s="388"/>
      <c r="Q605" s="388"/>
      <c r="R605" s="465"/>
      <c r="S605" s="929"/>
      <c r="T605" s="466"/>
      <c r="U605" s="929"/>
      <c r="V605" s="929"/>
      <c r="W605" s="929"/>
      <c r="X605" s="474"/>
      <c r="Y605" s="474"/>
      <c r="Z605" s="474"/>
      <c r="AA605" s="474"/>
      <c r="AB605" s="474"/>
      <c r="AC605" s="388"/>
      <c r="AD605" s="464"/>
      <c r="AE605" s="465"/>
      <c r="AF605" s="388"/>
      <c r="AW605" s="471"/>
      <c r="AX605" s="471"/>
    </row>
    <row r="606" spans="1:50" ht="27" customHeight="1" x14ac:dyDescent="0.25">
      <c r="A606" s="462"/>
      <c r="H606" s="929"/>
      <c r="I606" s="388"/>
      <c r="J606" s="929"/>
      <c r="K606" s="388"/>
      <c r="L606" s="929"/>
      <c r="M606" s="388"/>
      <c r="N606" s="929"/>
      <c r="O606" s="388"/>
      <c r="P606" s="388"/>
      <c r="Q606" s="388"/>
      <c r="R606" s="465"/>
      <c r="S606" s="929"/>
      <c r="T606" s="466"/>
      <c r="U606" s="929"/>
      <c r="V606" s="929"/>
      <c r="W606" s="929"/>
      <c r="X606" s="474"/>
      <c r="Y606" s="474"/>
      <c r="Z606" s="474"/>
      <c r="AA606" s="474"/>
      <c r="AB606" s="474"/>
      <c r="AC606" s="388"/>
      <c r="AD606" s="464"/>
      <c r="AE606" s="465"/>
      <c r="AF606" s="388"/>
      <c r="AW606" s="471"/>
      <c r="AX606" s="471"/>
    </row>
    <row r="607" spans="1:50" ht="27" customHeight="1" x14ac:dyDescent="0.25">
      <c r="A607" s="462"/>
      <c r="H607" s="929"/>
      <c r="I607" s="388"/>
      <c r="J607" s="929"/>
      <c r="K607" s="388"/>
      <c r="L607" s="929"/>
      <c r="M607" s="388"/>
      <c r="N607" s="929"/>
      <c r="O607" s="388"/>
      <c r="P607" s="388"/>
      <c r="Q607" s="388"/>
      <c r="R607" s="465"/>
      <c r="S607" s="929"/>
      <c r="T607" s="466"/>
      <c r="U607" s="929"/>
      <c r="V607" s="929"/>
      <c r="W607" s="929"/>
      <c r="X607" s="474"/>
      <c r="Y607" s="474"/>
      <c r="Z607" s="474"/>
      <c r="AA607" s="474"/>
      <c r="AB607" s="474"/>
      <c r="AC607" s="388"/>
      <c r="AD607" s="464"/>
      <c r="AE607" s="465"/>
      <c r="AF607" s="388"/>
      <c r="AW607" s="471"/>
      <c r="AX607" s="471"/>
    </row>
    <row r="608" spans="1:50" ht="27" customHeight="1" x14ac:dyDescent="0.25">
      <c r="A608" s="462"/>
      <c r="H608" s="929"/>
      <c r="I608" s="388"/>
      <c r="J608" s="929"/>
      <c r="K608" s="388"/>
      <c r="L608" s="929"/>
      <c r="M608" s="388"/>
      <c r="N608" s="929"/>
      <c r="O608" s="388"/>
      <c r="P608" s="388"/>
      <c r="Q608" s="388"/>
      <c r="R608" s="465"/>
      <c r="S608" s="929"/>
      <c r="T608" s="466"/>
      <c r="U608" s="929"/>
      <c r="V608" s="929"/>
      <c r="W608" s="929"/>
      <c r="X608" s="474"/>
      <c r="Y608" s="474"/>
      <c r="Z608" s="474"/>
      <c r="AA608" s="474"/>
      <c r="AB608" s="474"/>
      <c r="AC608" s="388"/>
      <c r="AD608" s="464"/>
      <c r="AE608" s="465"/>
      <c r="AF608" s="388"/>
      <c r="AW608" s="471"/>
      <c r="AX608" s="471"/>
    </row>
    <row r="609" spans="1:50" ht="27" customHeight="1" x14ac:dyDescent="0.25">
      <c r="A609" s="462"/>
      <c r="H609" s="929"/>
      <c r="I609" s="388"/>
      <c r="J609" s="929"/>
      <c r="K609" s="388"/>
      <c r="L609" s="929"/>
      <c r="M609" s="388"/>
      <c r="N609" s="929"/>
      <c r="O609" s="388"/>
      <c r="P609" s="388"/>
      <c r="Q609" s="388"/>
      <c r="R609" s="465"/>
      <c r="S609" s="929"/>
      <c r="T609" s="466"/>
      <c r="U609" s="929"/>
      <c r="V609" s="929"/>
      <c r="W609" s="929"/>
      <c r="X609" s="474"/>
      <c r="Y609" s="474"/>
      <c r="Z609" s="474"/>
      <c r="AA609" s="474"/>
      <c r="AB609" s="474"/>
      <c r="AC609" s="388"/>
      <c r="AD609" s="464"/>
      <c r="AE609" s="465"/>
      <c r="AF609" s="388"/>
      <c r="AW609" s="471"/>
      <c r="AX609" s="471"/>
    </row>
    <row r="610" spans="1:50" ht="27" customHeight="1" x14ac:dyDescent="0.25">
      <c r="A610" s="462"/>
      <c r="H610" s="929"/>
      <c r="I610" s="388"/>
      <c r="J610" s="929"/>
      <c r="K610" s="388"/>
      <c r="L610" s="929"/>
      <c r="M610" s="388"/>
      <c r="N610" s="929"/>
      <c r="O610" s="388"/>
      <c r="P610" s="388"/>
      <c r="Q610" s="388"/>
      <c r="R610" s="465"/>
      <c r="S610" s="929"/>
      <c r="T610" s="466"/>
      <c r="U610" s="929"/>
      <c r="V610" s="929"/>
      <c r="W610" s="929"/>
      <c r="X610" s="474"/>
      <c r="Y610" s="474"/>
      <c r="Z610" s="474"/>
      <c r="AA610" s="474"/>
      <c r="AB610" s="474"/>
      <c r="AC610" s="388"/>
      <c r="AD610" s="464"/>
      <c r="AE610" s="465"/>
      <c r="AF610" s="388"/>
      <c r="AW610" s="471"/>
      <c r="AX610" s="471"/>
    </row>
    <row r="611" spans="1:50" ht="27" customHeight="1" x14ac:dyDescent="0.25">
      <c r="A611" s="462"/>
      <c r="H611" s="929"/>
      <c r="I611" s="388"/>
      <c r="J611" s="929"/>
      <c r="K611" s="388"/>
      <c r="L611" s="929"/>
      <c r="M611" s="388"/>
      <c r="N611" s="929"/>
      <c r="O611" s="388"/>
      <c r="P611" s="388"/>
      <c r="Q611" s="388"/>
      <c r="R611" s="465"/>
      <c r="S611" s="929"/>
      <c r="T611" s="466"/>
      <c r="U611" s="929"/>
      <c r="V611" s="929"/>
      <c r="W611" s="929"/>
      <c r="X611" s="474"/>
      <c r="Y611" s="474"/>
      <c r="Z611" s="474"/>
      <c r="AA611" s="474"/>
      <c r="AB611" s="474"/>
      <c r="AC611" s="388"/>
      <c r="AD611" s="464"/>
      <c r="AE611" s="465"/>
      <c r="AF611" s="388"/>
      <c r="AW611" s="471"/>
      <c r="AX611" s="471"/>
    </row>
    <row r="612" spans="1:50" ht="27" customHeight="1" x14ac:dyDescent="0.25">
      <c r="A612" s="462"/>
      <c r="H612" s="929"/>
      <c r="I612" s="388"/>
      <c r="J612" s="929"/>
      <c r="K612" s="388"/>
      <c r="L612" s="929"/>
      <c r="M612" s="388"/>
      <c r="N612" s="929"/>
      <c r="O612" s="388"/>
      <c r="P612" s="388"/>
      <c r="Q612" s="388"/>
      <c r="R612" s="465"/>
      <c r="S612" s="929"/>
      <c r="T612" s="466"/>
      <c r="U612" s="929"/>
      <c r="V612" s="929"/>
      <c r="W612" s="929"/>
      <c r="X612" s="474"/>
      <c r="Y612" s="474"/>
      <c r="Z612" s="474"/>
      <c r="AA612" s="474"/>
      <c r="AB612" s="474"/>
      <c r="AC612" s="388"/>
      <c r="AD612" s="464"/>
      <c r="AE612" s="465"/>
      <c r="AF612" s="388"/>
      <c r="AW612" s="471"/>
      <c r="AX612" s="471"/>
    </row>
    <row r="613" spans="1:50" ht="27" customHeight="1" x14ac:dyDescent="0.25">
      <c r="A613" s="462"/>
      <c r="H613" s="929"/>
      <c r="I613" s="388"/>
      <c r="J613" s="929"/>
      <c r="K613" s="388"/>
      <c r="L613" s="929"/>
      <c r="M613" s="388"/>
      <c r="N613" s="929"/>
      <c r="O613" s="388"/>
      <c r="P613" s="388"/>
      <c r="Q613" s="388"/>
      <c r="R613" s="465"/>
      <c r="S613" s="929"/>
      <c r="T613" s="466"/>
      <c r="U613" s="929"/>
      <c r="V613" s="929"/>
      <c r="W613" s="929"/>
      <c r="X613" s="474"/>
      <c r="Y613" s="474"/>
      <c r="Z613" s="474"/>
      <c r="AA613" s="474"/>
      <c r="AB613" s="474"/>
      <c r="AC613" s="388"/>
      <c r="AD613" s="464"/>
      <c r="AE613" s="465"/>
      <c r="AF613" s="388"/>
      <c r="AW613" s="471"/>
      <c r="AX613" s="471"/>
    </row>
    <row r="614" spans="1:50" ht="27" customHeight="1" x14ac:dyDescent="0.25">
      <c r="A614" s="462"/>
      <c r="H614" s="929"/>
      <c r="I614" s="388"/>
      <c r="J614" s="929"/>
      <c r="K614" s="388"/>
      <c r="L614" s="929"/>
      <c r="M614" s="388"/>
      <c r="N614" s="929"/>
      <c r="O614" s="388"/>
      <c r="P614" s="388"/>
      <c r="Q614" s="388"/>
      <c r="R614" s="465"/>
      <c r="S614" s="929"/>
      <c r="T614" s="466"/>
      <c r="U614" s="929"/>
      <c r="V614" s="929"/>
      <c r="W614" s="929"/>
      <c r="X614" s="474"/>
      <c r="Y614" s="474"/>
      <c r="Z614" s="474"/>
      <c r="AA614" s="474"/>
      <c r="AB614" s="474"/>
      <c r="AC614" s="388"/>
      <c r="AD614" s="464"/>
      <c r="AE614" s="465"/>
      <c r="AF614" s="388"/>
      <c r="AW614" s="471"/>
      <c r="AX614" s="471"/>
    </row>
    <row r="615" spans="1:50" ht="27" customHeight="1" x14ac:dyDescent="0.25">
      <c r="A615" s="462"/>
      <c r="H615" s="929"/>
      <c r="I615" s="388"/>
      <c r="J615" s="929"/>
      <c r="K615" s="388"/>
      <c r="L615" s="929"/>
      <c r="M615" s="388"/>
      <c r="N615" s="929"/>
      <c r="O615" s="388"/>
      <c r="P615" s="388"/>
      <c r="Q615" s="388"/>
      <c r="R615" s="465"/>
      <c r="S615" s="929"/>
      <c r="T615" s="466"/>
      <c r="U615" s="929"/>
      <c r="V615" s="929"/>
      <c r="W615" s="929"/>
      <c r="X615" s="474"/>
      <c r="Y615" s="474"/>
      <c r="Z615" s="474"/>
      <c r="AA615" s="474"/>
      <c r="AB615" s="474"/>
      <c r="AC615" s="388"/>
      <c r="AD615" s="464"/>
      <c r="AE615" s="465"/>
      <c r="AF615" s="388"/>
      <c r="AW615" s="471"/>
      <c r="AX615" s="471"/>
    </row>
    <row r="616" spans="1:50" ht="27" customHeight="1" x14ac:dyDescent="0.25">
      <c r="A616" s="462"/>
      <c r="H616" s="929"/>
      <c r="I616" s="388"/>
      <c r="J616" s="929"/>
      <c r="K616" s="388"/>
      <c r="L616" s="929"/>
      <c r="M616" s="388"/>
      <c r="N616" s="929"/>
      <c r="O616" s="388"/>
      <c r="P616" s="388"/>
      <c r="Q616" s="388"/>
      <c r="R616" s="465"/>
      <c r="S616" s="929"/>
      <c r="T616" s="466"/>
      <c r="U616" s="929"/>
      <c r="V616" s="929"/>
      <c r="W616" s="929"/>
      <c r="X616" s="474"/>
      <c r="Y616" s="474"/>
      <c r="Z616" s="474"/>
      <c r="AA616" s="474"/>
      <c r="AB616" s="474"/>
      <c r="AC616" s="388"/>
      <c r="AD616" s="464"/>
      <c r="AE616" s="465"/>
      <c r="AF616" s="388"/>
      <c r="AW616" s="471"/>
      <c r="AX616" s="471"/>
    </row>
    <row r="617" spans="1:50" ht="27" customHeight="1" x14ac:dyDescent="0.25">
      <c r="A617" s="462"/>
      <c r="H617" s="929"/>
      <c r="I617" s="388"/>
      <c r="J617" s="929"/>
      <c r="K617" s="388"/>
      <c r="L617" s="929"/>
      <c r="M617" s="388"/>
      <c r="N617" s="929"/>
      <c r="O617" s="388"/>
      <c r="P617" s="388"/>
      <c r="Q617" s="388"/>
      <c r="R617" s="465"/>
      <c r="S617" s="929"/>
      <c r="T617" s="466"/>
      <c r="U617" s="929"/>
      <c r="V617" s="929"/>
      <c r="W617" s="929"/>
      <c r="X617" s="474"/>
      <c r="Y617" s="474"/>
      <c r="Z617" s="474"/>
      <c r="AA617" s="474"/>
      <c r="AB617" s="474"/>
      <c r="AC617" s="388"/>
      <c r="AD617" s="464"/>
      <c r="AE617" s="465"/>
      <c r="AF617" s="388"/>
      <c r="AW617" s="471"/>
      <c r="AX617" s="471"/>
    </row>
    <row r="618" spans="1:50" ht="27" customHeight="1" x14ac:dyDescent="0.25">
      <c r="A618" s="462"/>
      <c r="H618" s="929"/>
      <c r="I618" s="388"/>
      <c r="J618" s="929"/>
      <c r="K618" s="388"/>
      <c r="L618" s="929"/>
      <c r="M618" s="388"/>
      <c r="N618" s="929"/>
      <c r="O618" s="388"/>
      <c r="P618" s="388"/>
      <c r="Q618" s="388"/>
      <c r="R618" s="465"/>
      <c r="S618" s="929"/>
      <c r="T618" s="466"/>
      <c r="U618" s="929"/>
      <c r="V618" s="929"/>
      <c r="W618" s="929"/>
      <c r="X618" s="474"/>
      <c r="Y618" s="474"/>
      <c r="Z618" s="474"/>
      <c r="AA618" s="474"/>
      <c r="AB618" s="474"/>
      <c r="AC618" s="388"/>
      <c r="AD618" s="464"/>
      <c r="AE618" s="465"/>
      <c r="AF618" s="388"/>
      <c r="AW618" s="471"/>
      <c r="AX618" s="471"/>
    </row>
    <row r="619" spans="1:50" ht="27" customHeight="1" x14ac:dyDescent="0.25">
      <c r="A619" s="462"/>
      <c r="H619" s="929"/>
      <c r="I619" s="388"/>
      <c r="J619" s="929"/>
      <c r="K619" s="388"/>
      <c r="L619" s="929"/>
      <c r="M619" s="388"/>
      <c r="N619" s="929"/>
      <c r="O619" s="388"/>
      <c r="P619" s="388"/>
      <c r="Q619" s="388"/>
      <c r="R619" s="465"/>
      <c r="S619" s="929"/>
      <c r="T619" s="466"/>
      <c r="U619" s="929"/>
      <c r="V619" s="929"/>
      <c r="W619" s="929"/>
      <c r="X619" s="474"/>
      <c r="Y619" s="474"/>
      <c r="Z619" s="474"/>
      <c r="AA619" s="474"/>
      <c r="AB619" s="474"/>
      <c r="AC619" s="388"/>
      <c r="AD619" s="464"/>
      <c r="AE619" s="465"/>
      <c r="AF619" s="388"/>
      <c r="AW619" s="471"/>
      <c r="AX619" s="471"/>
    </row>
    <row r="620" spans="1:50" ht="27" customHeight="1" x14ac:dyDescent="0.25">
      <c r="A620" s="462"/>
      <c r="H620" s="929"/>
      <c r="I620" s="388"/>
      <c r="J620" s="929"/>
      <c r="K620" s="388"/>
      <c r="L620" s="929"/>
      <c r="M620" s="388"/>
      <c r="N620" s="929"/>
      <c r="O620" s="388"/>
      <c r="P620" s="388"/>
      <c r="Q620" s="388"/>
      <c r="R620" s="465"/>
      <c r="S620" s="929"/>
      <c r="T620" s="466"/>
      <c r="U620" s="929"/>
      <c r="V620" s="929"/>
      <c r="W620" s="929"/>
      <c r="X620" s="474"/>
      <c r="Y620" s="474"/>
      <c r="Z620" s="474"/>
      <c r="AA620" s="474"/>
      <c r="AB620" s="474"/>
      <c r="AC620" s="388"/>
      <c r="AD620" s="464"/>
      <c r="AE620" s="465"/>
      <c r="AF620" s="388"/>
      <c r="AW620" s="471"/>
      <c r="AX620" s="471"/>
    </row>
    <row r="621" spans="1:50" ht="27" customHeight="1" x14ac:dyDescent="0.25">
      <c r="A621" s="462"/>
      <c r="H621" s="929"/>
      <c r="I621" s="388"/>
      <c r="J621" s="929"/>
      <c r="K621" s="388"/>
      <c r="L621" s="929"/>
      <c r="M621" s="388"/>
      <c r="N621" s="929"/>
      <c r="O621" s="388"/>
      <c r="P621" s="388"/>
      <c r="Q621" s="388"/>
      <c r="R621" s="465"/>
      <c r="S621" s="929"/>
      <c r="T621" s="466"/>
      <c r="U621" s="929"/>
      <c r="V621" s="929"/>
      <c r="W621" s="929"/>
      <c r="X621" s="474"/>
      <c r="Y621" s="474"/>
      <c r="Z621" s="474"/>
      <c r="AA621" s="474"/>
      <c r="AB621" s="474"/>
      <c r="AC621" s="388"/>
      <c r="AD621" s="464"/>
      <c r="AE621" s="465"/>
      <c r="AF621" s="388"/>
      <c r="AW621" s="471"/>
      <c r="AX621" s="471"/>
    </row>
    <row r="622" spans="1:50" ht="27" customHeight="1" x14ac:dyDescent="0.25">
      <c r="A622" s="462"/>
      <c r="H622" s="929"/>
      <c r="I622" s="388"/>
      <c r="J622" s="929"/>
      <c r="K622" s="388"/>
      <c r="L622" s="929"/>
      <c r="M622" s="388"/>
      <c r="N622" s="929"/>
      <c r="O622" s="388"/>
      <c r="P622" s="388"/>
      <c r="Q622" s="388"/>
      <c r="R622" s="465"/>
      <c r="S622" s="929"/>
      <c r="T622" s="466"/>
      <c r="U622" s="929"/>
      <c r="V622" s="929"/>
      <c r="W622" s="929"/>
      <c r="X622" s="474"/>
      <c r="Y622" s="474"/>
      <c r="Z622" s="474"/>
      <c r="AA622" s="474"/>
      <c r="AB622" s="474"/>
      <c r="AC622" s="388"/>
      <c r="AD622" s="464"/>
      <c r="AE622" s="465"/>
      <c r="AF622" s="388"/>
      <c r="AW622" s="471"/>
      <c r="AX622" s="471"/>
    </row>
    <row r="623" spans="1:50" ht="27" customHeight="1" x14ac:dyDescent="0.25">
      <c r="A623" s="462"/>
      <c r="H623" s="929"/>
      <c r="I623" s="388"/>
      <c r="J623" s="929"/>
      <c r="K623" s="388"/>
      <c r="L623" s="929"/>
      <c r="M623" s="388"/>
      <c r="N623" s="929"/>
      <c r="O623" s="388"/>
      <c r="P623" s="388"/>
      <c r="Q623" s="388"/>
      <c r="R623" s="465"/>
      <c r="S623" s="929"/>
      <c r="T623" s="466"/>
      <c r="U623" s="929"/>
      <c r="V623" s="929"/>
      <c r="W623" s="929"/>
      <c r="X623" s="474"/>
      <c r="Y623" s="474"/>
      <c r="Z623" s="474"/>
      <c r="AA623" s="474"/>
      <c r="AB623" s="474"/>
      <c r="AC623" s="388"/>
      <c r="AD623" s="464"/>
      <c r="AE623" s="465"/>
      <c r="AF623" s="388"/>
      <c r="AW623" s="471"/>
      <c r="AX623" s="471"/>
    </row>
    <row r="624" spans="1:50" ht="27" customHeight="1" x14ac:dyDescent="0.25">
      <c r="A624" s="462"/>
      <c r="H624" s="929"/>
      <c r="I624" s="388"/>
      <c r="J624" s="929"/>
      <c r="K624" s="388"/>
      <c r="L624" s="929"/>
      <c r="M624" s="388"/>
      <c r="N624" s="929"/>
      <c r="O624" s="388"/>
      <c r="P624" s="388"/>
      <c r="Q624" s="388"/>
      <c r="R624" s="465"/>
      <c r="S624" s="929"/>
      <c r="T624" s="466"/>
      <c r="U624" s="929"/>
      <c r="V624" s="929"/>
      <c r="W624" s="929"/>
      <c r="X624" s="474"/>
      <c r="Y624" s="474"/>
      <c r="Z624" s="474"/>
      <c r="AA624" s="474"/>
      <c r="AB624" s="474"/>
      <c r="AC624" s="388"/>
      <c r="AD624" s="464"/>
      <c r="AE624" s="465"/>
      <c r="AF624" s="388"/>
      <c r="AW624" s="471"/>
      <c r="AX624" s="471"/>
    </row>
    <row r="625" spans="1:50" ht="27" customHeight="1" x14ac:dyDescent="0.25">
      <c r="A625" s="462"/>
      <c r="H625" s="929"/>
      <c r="I625" s="388"/>
      <c r="J625" s="929"/>
      <c r="K625" s="388"/>
      <c r="L625" s="929"/>
      <c r="M625" s="388"/>
      <c r="N625" s="929"/>
      <c r="O625" s="388"/>
      <c r="P625" s="388"/>
      <c r="Q625" s="388"/>
      <c r="R625" s="465"/>
      <c r="S625" s="929"/>
      <c r="T625" s="466"/>
      <c r="U625" s="929"/>
      <c r="V625" s="929"/>
      <c r="W625" s="929"/>
      <c r="X625" s="474"/>
      <c r="Y625" s="474"/>
      <c r="Z625" s="474"/>
      <c r="AA625" s="474"/>
      <c r="AB625" s="474"/>
      <c r="AC625" s="388"/>
      <c r="AD625" s="464"/>
      <c r="AE625" s="465"/>
      <c r="AF625" s="388"/>
      <c r="AW625" s="471"/>
      <c r="AX625" s="471"/>
    </row>
    <row r="626" spans="1:50" ht="27" customHeight="1" x14ac:dyDescent="0.25">
      <c r="A626" s="462"/>
      <c r="H626" s="929"/>
      <c r="I626" s="388"/>
      <c r="J626" s="929"/>
      <c r="K626" s="388"/>
      <c r="L626" s="929"/>
      <c r="M626" s="388"/>
      <c r="N626" s="929"/>
      <c r="O626" s="388"/>
      <c r="P626" s="388"/>
      <c r="Q626" s="388"/>
      <c r="R626" s="465"/>
      <c r="S626" s="929"/>
      <c r="T626" s="466"/>
      <c r="U626" s="929"/>
      <c r="V626" s="929"/>
      <c r="W626" s="929"/>
      <c r="X626" s="474"/>
      <c r="Y626" s="474"/>
      <c r="Z626" s="474"/>
      <c r="AA626" s="474"/>
      <c r="AB626" s="474"/>
      <c r="AC626" s="388"/>
      <c r="AD626" s="464"/>
      <c r="AE626" s="465"/>
      <c r="AF626" s="388"/>
      <c r="AW626" s="471"/>
      <c r="AX626" s="471"/>
    </row>
    <row r="627" spans="1:50" ht="27" customHeight="1" x14ac:dyDescent="0.25">
      <c r="A627" s="462"/>
      <c r="H627" s="929"/>
      <c r="I627" s="388"/>
      <c r="J627" s="929"/>
      <c r="K627" s="388"/>
      <c r="L627" s="929"/>
      <c r="M627" s="388"/>
      <c r="N627" s="929"/>
      <c r="O627" s="388"/>
      <c r="P627" s="388"/>
      <c r="Q627" s="388"/>
      <c r="R627" s="465"/>
      <c r="S627" s="929"/>
      <c r="T627" s="466"/>
      <c r="U627" s="929"/>
      <c r="V627" s="929"/>
      <c r="W627" s="929"/>
      <c r="X627" s="474"/>
      <c r="Y627" s="474"/>
      <c r="Z627" s="474"/>
      <c r="AA627" s="474"/>
      <c r="AB627" s="474"/>
      <c r="AC627" s="388"/>
      <c r="AD627" s="464"/>
      <c r="AE627" s="465"/>
      <c r="AF627" s="388"/>
      <c r="AW627" s="471"/>
      <c r="AX627" s="471"/>
    </row>
    <row r="628" spans="1:50" ht="27" customHeight="1" x14ac:dyDescent="0.25">
      <c r="A628" s="462"/>
      <c r="H628" s="929"/>
      <c r="I628" s="388"/>
      <c r="J628" s="929"/>
      <c r="K628" s="388"/>
      <c r="L628" s="929"/>
      <c r="M628" s="388"/>
      <c r="N628" s="929"/>
      <c r="O628" s="388"/>
      <c r="P628" s="388"/>
      <c r="Q628" s="388"/>
      <c r="R628" s="465"/>
      <c r="S628" s="929"/>
      <c r="T628" s="466"/>
      <c r="U628" s="929"/>
      <c r="V628" s="929"/>
      <c r="W628" s="929"/>
      <c r="X628" s="474"/>
      <c r="Y628" s="474"/>
      <c r="Z628" s="474"/>
      <c r="AA628" s="474"/>
      <c r="AB628" s="474"/>
      <c r="AC628" s="388"/>
      <c r="AD628" s="464"/>
      <c r="AE628" s="465"/>
      <c r="AF628" s="388"/>
      <c r="AW628" s="471"/>
      <c r="AX628" s="471"/>
    </row>
    <row r="629" spans="1:50" ht="27" customHeight="1" x14ac:dyDescent="0.25">
      <c r="A629" s="462"/>
      <c r="H629" s="929"/>
      <c r="I629" s="388"/>
      <c r="J629" s="929"/>
      <c r="K629" s="388"/>
      <c r="L629" s="929"/>
      <c r="M629" s="388"/>
      <c r="N629" s="929"/>
      <c r="O629" s="388"/>
      <c r="P629" s="388"/>
      <c r="Q629" s="388"/>
      <c r="R629" s="465"/>
      <c r="S629" s="929"/>
      <c r="T629" s="466"/>
      <c r="U629" s="929"/>
      <c r="V629" s="929"/>
      <c r="W629" s="929"/>
      <c r="X629" s="474"/>
      <c r="Y629" s="474"/>
      <c r="Z629" s="474"/>
      <c r="AA629" s="474"/>
      <c r="AB629" s="474"/>
      <c r="AC629" s="388"/>
      <c r="AD629" s="464"/>
      <c r="AE629" s="465"/>
      <c r="AF629" s="388"/>
      <c r="AW629" s="471"/>
      <c r="AX629" s="471"/>
    </row>
    <row r="630" spans="1:50" ht="27" customHeight="1" x14ac:dyDescent="0.25">
      <c r="A630" s="462"/>
      <c r="H630" s="929"/>
      <c r="I630" s="388"/>
      <c r="J630" s="929"/>
      <c r="K630" s="388"/>
      <c r="L630" s="929"/>
      <c r="M630" s="388"/>
      <c r="N630" s="929"/>
      <c r="O630" s="388"/>
      <c r="P630" s="388"/>
      <c r="Q630" s="388"/>
      <c r="R630" s="465"/>
      <c r="S630" s="929"/>
      <c r="T630" s="466"/>
      <c r="U630" s="929"/>
      <c r="V630" s="929"/>
      <c r="W630" s="929"/>
      <c r="X630" s="474"/>
      <c r="Y630" s="474"/>
      <c r="Z630" s="474"/>
      <c r="AA630" s="474"/>
      <c r="AB630" s="474"/>
      <c r="AC630" s="388"/>
      <c r="AD630" s="464"/>
      <c r="AE630" s="465"/>
      <c r="AF630" s="388"/>
      <c r="AW630" s="471"/>
      <c r="AX630" s="471"/>
    </row>
    <row r="631" spans="1:50" ht="27" customHeight="1" x14ac:dyDescent="0.25">
      <c r="A631" s="462"/>
      <c r="H631" s="929"/>
      <c r="I631" s="388"/>
      <c r="J631" s="929"/>
      <c r="K631" s="388"/>
      <c r="L631" s="929"/>
      <c r="M631" s="388"/>
      <c r="N631" s="929"/>
      <c r="O631" s="388"/>
      <c r="P631" s="388"/>
      <c r="Q631" s="388"/>
      <c r="R631" s="465"/>
      <c r="S631" s="929"/>
      <c r="T631" s="466"/>
      <c r="U631" s="929"/>
      <c r="V631" s="929"/>
      <c r="W631" s="929"/>
      <c r="X631" s="474"/>
      <c r="Y631" s="474"/>
      <c r="Z631" s="474"/>
      <c r="AA631" s="474"/>
      <c r="AB631" s="474"/>
      <c r="AC631" s="388"/>
      <c r="AD631" s="464"/>
      <c r="AE631" s="465"/>
      <c r="AF631" s="388"/>
      <c r="AW631" s="471"/>
      <c r="AX631" s="471"/>
    </row>
    <row r="632" spans="1:50" ht="27" customHeight="1" x14ac:dyDescent="0.25">
      <c r="A632" s="462"/>
      <c r="H632" s="929"/>
      <c r="I632" s="388"/>
      <c r="J632" s="929"/>
      <c r="K632" s="388"/>
      <c r="L632" s="929"/>
      <c r="M632" s="388"/>
      <c r="N632" s="929"/>
      <c r="O632" s="388"/>
      <c r="P632" s="388"/>
      <c r="Q632" s="388"/>
      <c r="R632" s="465"/>
      <c r="S632" s="929"/>
      <c r="T632" s="466"/>
      <c r="U632" s="929"/>
      <c r="V632" s="929"/>
      <c r="W632" s="929"/>
      <c r="X632" s="474"/>
      <c r="Y632" s="474"/>
      <c r="Z632" s="474"/>
      <c r="AA632" s="474"/>
      <c r="AB632" s="474"/>
      <c r="AC632" s="388"/>
      <c r="AD632" s="464"/>
      <c r="AE632" s="465"/>
      <c r="AF632" s="388"/>
      <c r="AW632" s="471"/>
      <c r="AX632" s="471"/>
    </row>
    <row r="633" spans="1:50" ht="27" customHeight="1" x14ac:dyDescent="0.25">
      <c r="A633" s="462"/>
      <c r="H633" s="929"/>
      <c r="I633" s="388"/>
      <c r="J633" s="929"/>
      <c r="K633" s="388"/>
      <c r="L633" s="929"/>
      <c r="M633" s="388"/>
      <c r="N633" s="929"/>
      <c r="O633" s="388"/>
      <c r="P633" s="388"/>
      <c r="Q633" s="388"/>
      <c r="R633" s="465"/>
      <c r="S633" s="929"/>
      <c r="T633" s="466"/>
      <c r="U633" s="929"/>
      <c r="V633" s="929"/>
      <c r="W633" s="929"/>
      <c r="X633" s="474"/>
      <c r="Y633" s="474"/>
      <c r="Z633" s="474"/>
      <c r="AA633" s="474"/>
      <c r="AB633" s="474"/>
      <c r="AC633" s="388"/>
      <c r="AD633" s="464"/>
      <c r="AE633" s="465"/>
      <c r="AF633" s="388"/>
      <c r="AW633" s="471"/>
      <c r="AX633" s="471"/>
    </row>
    <row r="634" spans="1:50" ht="27" customHeight="1" x14ac:dyDescent="0.25">
      <c r="A634" s="462"/>
      <c r="H634" s="929"/>
      <c r="I634" s="388"/>
      <c r="J634" s="929"/>
      <c r="K634" s="388"/>
      <c r="L634" s="929"/>
      <c r="M634" s="388"/>
      <c r="N634" s="929"/>
      <c r="O634" s="388"/>
      <c r="P634" s="388"/>
      <c r="Q634" s="388"/>
      <c r="R634" s="465"/>
      <c r="S634" s="929"/>
      <c r="T634" s="466"/>
      <c r="U634" s="929"/>
      <c r="V634" s="929"/>
      <c r="W634" s="929"/>
      <c r="X634" s="474"/>
      <c r="Y634" s="474"/>
      <c r="Z634" s="474"/>
      <c r="AA634" s="474"/>
      <c r="AB634" s="474"/>
      <c r="AC634" s="388"/>
      <c r="AD634" s="464"/>
      <c r="AE634" s="465"/>
      <c r="AF634" s="388"/>
      <c r="AW634" s="471"/>
      <c r="AX634" s="471"/>
    </row>
    <row r="635" spans="1:50" ht="27" customHeight="1" x14ac:dyDescent="0.25">
      <c r="A635" s="462"/>
      <c r="H635" s="929"/>
      <c r="I635" s="388"/>
      <c r="J635" s="929"/>
      <c r="K635" s="388"/>
      <c r="L635" s="929"/>
      <c r="M635" s="388"/>
      <c r="N635" s="929"/>
      <c r="O635" s="388"/>
      <c r="P635" s="388"/>
      <c r="Q635" s="388"/>
      <c r="R635" s="465"/>
      <c r="S635" s="929"/>
      <c r="T635" s="466"/>
      <c r="U635" s="929"/>
      <c r="V635" s="929"/>
      <c r="W635" s="929"/>
      <c r="X635" s="474"/>
      <c r="Y635" s="474"/>
      <c r="Z635" s="474"/>
      <c r="AA635" s="474"/>
      <c r="AB635" s="474"/>
      <c r="AC635" s="388"/>
      <c r="AD635" s="464"/>
      <c r="AE635" s="465"/>
      <c r="AF635" s="388"/>
      <c r="AW635" s="471"/>
      <c r="AX635" s="471"/>
    </row>
    <row r="636" spans="1:50" ht="27" customHeight="1" x14ac:dyDescent="0.25">
      <c r="A636" s="462"/>
      <c r="H636" s="929"/>
      <c r="I636" s="388"/>
      <c r="J636" s="929"/>
      <c r="K636" s="388"/>
      <c r="L636" s="929"/>
      <c r="M636" s="388"/>
      <c r="N636" s="929"/>
      <c r="O636" s="388"/>
      <c r="P636" s="388"/>
      <c r="Q636" s="388"/>
      <c r="R636" s="465"/>
      <c r="S636" s="929"/>
      <c r="T636" s="466"/>
      <c r="U636" s="929"/>
      <c r="V636" s="929"/>
      <c r="W636" s="929"/>
      <c r="X636" s="474"/>
      <c r="Y636" s="474"/>
      <c r="Z636" s="474"/>
      <c r="AA636" s="474"/>
      <c r="AB636" s="474"/>
      <c r="AC636" s="388"/>
      <c r="AD636" s="464"/>
      <c r="AE636" s="465"/>
      <c r="AF636" s="388"/>
      <c r="AW636" s="471"/>
      <c r="AX636" s="471"/>
    </row>
    <row r="637" spans="1:50" ht="27" customHeight="1" x14ac:dyDescent="0.25">
      <c r="A637" s="462"/>
      <c r="H637" s="929"/>
      <c r="I637" s="388"/>
      <c r="J637" s="929"/>
      <c r="K637" s="388"/>
      <c r="L637" s="929"/>
      <c r="M637" s="388"/>
      <c r="N637" s="929"/>
      <c r="O637" s="388"/>
      <c r="P637" s="388"/>
      <c r="Q637" s="388"/>
      <c r="R637" s="465"/>
      <c r="S637" s="929"/>
      <c r="T637" s="466"/>
      <c r="U637" s="929"/>
      <c r="V637" s="929"/>
      <c r="W637" s="929"/>
      <c r="X637" s="474"/>
      <c r="Y637" s="474"/>
      <c r="Z637" s="474"/>
      <c r="AA637" s="474"/>
      <c r="AB637" s="474"/>
      <c r="AC637" s="388"/>
      <c r="AD637" s="464"/>
      <c r="AE637" s="465"/>
      <c r="AF637" s="388"/>
      <c r="AW637" s="471"/>
      <c r="AX637" s="471"/>
    </row>
    <row r="638" spans="1:50" ht="27" customHeight="1" x14ac:dyDescent="0.25">
      <c r="A638" s="462"/>
      <c r="H638" s="929"/>
      <c r="I638" s="388"/>
      <c r="J638" s="929"/>
      <c r="K638" s="388"/>
      <c r="L638" s="929"/>
      <c r="M638" s="388"/>
      <c r="N638" s="929"/>
      <c r="O638" s="388"/>
      <c r="P638" s="388"/>
      <c r="Q638" s="388"/>
      <c r="R638" s="465"/>
      <c r="S638" s="929"/>
      <c r="T638" s="466"/>
      <c r="U638" s="929"/>
      <c r="V638" s="929"/>
      <c r="W638" s="929"/>
      <c r="X638" s="474"/>
      <c r="Y638" s="474"/>
      <c r="Z638" s="474"/>
      <c r="AA638" s="474"/>
      <c r="AB638" s="474"/>
      <c r="AC638" s="388"/>
      <c r="AD638" s="464"/>
      <c r="AE638" s="465"/>
      <c r="AF638" s="388"/>
      <c r="AW638" s="471"/>
      <c r="AX638" s="471"/>
    </row>
    <row r="639" spans="1:50" ht="27" customHeight="1" x14ac:dyDescent="0.25">
      <c r="A639" s="462"/>
      <c r="H639" s="929"/>
      <c r="I639" s="388"/>
      <c r="J639" s="929"/>
      <c r="K639" s="388"/>
      <c r="L639" s="929"/>
      <c r="M639" s="388"/>
      <c r="N639" s="929"/>
      <c r="O639" s="388"/>
      <c r="P639" s="388"/>
      <c r="Q639" s="388"/>
      <c r="R639" s="465"/>
      <c r="S639" s="929"/>
      <c r="T639" s="466"/>
      <c r="U639" s="929"/>
      <c r="V639" s="929"/>
      <c r="W639" s="929"/>
      <c r="X639" s="474"/>
      <c r="Y639" s="474"/>
      <c r="Z639" s="474"/>
      <c r="AA639" s="474"/>
      <c r="AB639" s="474"/>
      <c r="AC639" s="388"/>
      <c r="AD639" s="464"/>
      <c r="AE639" s="465"/>
      <c r="AF639" s="388"/>
      <c r="AW639" s="471"/>
      <c r="AX639" s="471"/>
    </row>
    <row r="640" spans="1:50" ht="27" customHeight="1" x14ac:dyDescent="0.25">
      <c r="A640" s="462"/>
      <c r="H640" s="929"/>
      <c r="I640" s="388"/>
      <c r="J640" s="929"/>
      <c r="K640" s="388"/>
      <c r="L640" s="929"/>
      <c r="M640" s="388"/>
      <c r="N640" s="929"/>
      <c r="O640" s="388"/>
      <c r="P640" s="388"/>
      <c r="Q640" s="388"/>
      <c r="R640" s="465"/>
      <c r="S640" s="929"/>
      <c r="T640" s="466"/>
      <c r="U640" s="929"/>
      <c r="V640" s="929"/>
      <c r="W640" s="929"/>
      <c r="X640" s="474"/>
      <c r="Y640" s="474"/>
      <c r="Z640" s="474"/>
      <c r="AA640" s="474"/>
      <c r="AB640" s="474"/>
      <c r="AC640" s="388"/>
      <c r="AD640" s="464"/>
      <c r="AE640" s="465"/>
      <c r="AF640" s="388"/>
      <c r="AW640" s="471"/>
      <c r="AX640" s="471"/>
    </row>
    <row r="641" spans="1:50" ht="27" customHeight="1" x14ac:dyDescent="0.25">
      <c r="A641" s="462"/>
      <c r="H641" s="929"/>
      <c r="I641" s="388"/>
      <c r="J641" s="929"/>
      <c r="K641" s="388"/>
      <c r="L641" s="929"/>
      <c r="M641" s="388"/>
      <c r="N641" s="929"/>
      <c r="O641" s="388"/>
      <c r="P641" s="388"/>
      <c r="Q641" s="388"/>
      <c r="R641" s="465"/>
      <c r="S641" s="929"/>
      <c r="T641" s="466"/>
      <c r="U641" s="929"/>
      <c r="V641" s="929"/>
      <c r="W641" s="929"/>
      <c r="X641" s="474"/>
      <c r="Y641" s="474"/>
      <c r="Z641" s="474"/>
      <c r="AA641" s="474"/>
      <c r="AB641" s="474"/>
      <c r="AC641" s="388"/>
      <c r="AD641" s="464"/>
      <c r="AE641" s="465"/>
      <c r="AF641" s="388"/>
      <c r="AW641" s="471"/>
      <c r="AX641" s="471"/>
    </row>
    <row r="642" spans="1:50" ht="27" customHeight="1" x14ac:dyDescent="0.25">
      <c r="A642" s="462"/>
      <c r="H642" s="929"/>
      <c r="I642" s="388"/>
      <c r="J642" s="929"/>
      <c r="K642" s="388"/>
      <c r="L642" s="929"/>
      <c r="M642" s="388"/>
      <c r="N642" s="929"/>
      <c r="O642" s="388"/>
      <c r="P642" s="388"/>
      <c r="Q642" s="388"/>
      <c r="R642" s="465"/>
      <c r="S642" s="929"/>
      <c r="T642" s="466"/>
      <c r="U642" s="929"/>
      <c r="V642" s="929"/>
      <c r="W642" s="929"/>
      <c r="X642" s="474"/>
      <c r="Y642" s="474"/>
      <c r="Z642" s="474"/>
      <c r="AA642" s="474"/>
      <c r="AB642" s="474"/>
      <c r="AC642" s="388"/>
      <c r="AD642" s="464"/>
      <c r="AE642" s="465"/>
      <c r="AF642" s="388"/>
      <c r="AW642" s="471"/>
      <c r="AX642" s="471"/>
    </row>
    <row r="643" spans="1:50" ht="27" customHeight="1" x14ac:dyDescent="0.25">
      <c r="A643" s="462"/>
      <c r="H643" s="929"/>
      <c r="I643" s="388"/>
      <c r="J643" s="929"/>
      <c r="K643" s="388"/>
      <c r="L643" s="929"/>
      <c r="M643" s="388"/>
      <c r="N643" s="929"/>
      <c r="O643" s="388"/>
      <c r="P643" s="388"/>
      <c r="Q643" s="388"/>
      <c r="R643" s="465"/>
      <c r="S643" s="929"/>
      <c r="T643" s="466"/>
      <c r="U643" s="929"/>
      <c r="V643" s="929"/>
      <c r="W643" s="929"/>
      <c r="X643" s="474"/>
      <c r="Y643" s="474"/>
      <c r="Z643" s="474"/>
      <c r="AA643" s="474"/>
      <c r="AB643" s="474"/>
      <c r="AC643" s="388"/>
      <c r="AD643" s="464"/>
      <c r="AE643" s="465"/>
      <c r="AF643" s="388"/>
      <c r="AW643" s="471"/>
      <c r="AX643" s="471"/>
    </row>
    <row r="644" spans="1:50" ht="27" customHeight="1" x14ac:dyDescent="0.25">
      <c r="A644" s="462"/>
      <c r="H644" s="929"/>
      <c r="I644" s="388"/>
      <c r="J644" s="929"/>
      <c r="K644" s="388"/>
      <c r="L644" s="929"/>
      <c r="M644" s="388"/>
      <c r="N644" s="929"/>
      <c r="O644" s="388"/>
      <c r="P644" s="388"/>
      <c r="Q644" s="388"/>
      <c r="R644" s="465"/>
      <c r="S644" s="929"/>
      <c r="T644" s="466"/>
      <c r="U644" s="929"/>
      <c r="V644" s="929"/>
      <c r="W644" s="929"/>
      <c r="X644" s="474"/>
      <c r="Y644" s="474"/>
      <c r="Z644" s="474"/>
      <c r="AA644" s="474"/>
      <c r="AB644" s="474"/>
      <c r="AC644" s="388"/>
      <c r="AD644" s="464"/>
      <c r="AE644" s="465"/>
      <c r="AF644" s="388"/>
      <c r="AW644" s="471"/>
      <c r="AX644" s="471"/>
    </row>
    <row r="645" spans="1:50" ht="27" customHeight="1" x14ac:dyDescent="0.25">
      <c r="A645" s="462"/>
      <c r="H645" s="929"/>
      <c r="I645" s="388"/>
      <c r="J645" s="929"/>
      <c r="K645" s="388"/>
      <c r="L645" s="929"/>
      <c r="M645" s="388"/>
      <c r="N645" s="929"/>
      <c r="O645" s="388"/>
      <c r="P645" s="388"/>
      <c r="Q645" s="388"/>
      <c r="R645" s="465"/>
      <c r="S645" s="929"/>
      <c r="T645" s="466"/>
      <c r="U645" s="929"/>
      <c r="V645" s="929"/>
      <c r="W645" s="929"/>
      <c r="X645" s="474"/>
      <c r="Y645" s="474"/>
      <c r="Z645" s="474"/>
      <c r="AA645" s="474"/>
      <c r="AB645" s="474"/>
      <c r="AC645" s="388"/>
      <c r="AD645" s="464"/>
      <c r="AE645" s="465"/>
      <c r="AF645" s="388"/>
      <c r="AW645" s="471"/>
      <c r="AX645" s="471"/>
    </row>
    <row r="646" spans="1:50" ht="27" customHeight="1" x14ac:dyDescent="0.25">
      <c r="A646" s="462"/>
      <c r="H646" s="929"/>
      <c r="I646" s="388"/>
      <c r="J646" s="929"/>
      <c r="K646" s="388"/>
      <c r="L646" s="929"/>
      <c r="M646" s="388"/>
      <c r="N646" s="929"/>
      <c r="O646" s="388"/>
      <c r="P646" s="388"/>
      <c r="Q646" s="388"/>
      <c r="R646" s="465"/>
      <c r="S646" s="929"/>
      <c r="T646" s="466"/>
      <c r="U646" s="929"/>
      <c r="V646" s="929"/>
      <c r="W646" s="929"/>
      <c r="X646" s="474"/>
      <c r="Y646" s="474"/>
      <c r="Z646" s="474"/>
      <c r="AA646" s="474"/>
      <c r="AB646" s="474"/>
      <c r="AC646" s="388"/>
      <c r="AD646" s="464"/>
      <c r="AE646" s="465"/>
      <c r="AF646" s="388"/>
      <c r="AW646" s="471"/>
      <c r="AX646" s="471"/>
    </row>
    <row r="647" spans="1:50" ht="27" customHeight="1" x14ac:dyDescent="0.25">
      <c r="A647" s="462"/>
      <c r="H647" s="929"/>
      <c r="I647" s="388"/>
      <c r="J647" s="929"/>
      <c r="K647" s="388"/>
      <c r="L647" s="929"/>
      <c r="M647" s="388"/>
      <c r="N647" s="929"/>
      <c r="O647" s="388"/>
      <c r="P647" s="388"/>
      <c r="Q647" s="388"/>
      <c r="R647" s="465"/>
      <c r="S647" s="929"/>
      <c r="T647" s="466"/>
      <c r="U647" s="929"/>
      <c r="V647" s="929"/>
      <c r="W647" s="929"/>
      <c r="X647" s="474"/>
      <c r="Y647" s="474"/>
      <c r="Z647" s="474"/>
      <c r="AA647" s="474"/>
      <c r="AB647" s="474"/>
      <c r="AC647" s="388"/>
      <c r="AD647" s="464"/>
      <c r="AE647" s="465"/>
      <c r="AF647" s="388"/>
      <c r="AW647" s="471"/>
      <c r="AX647" s="471"/>
    </row>
    <row r="648" spans="1:50" ht="27" customHeight="1" x14ac:dyDescent="0.25">
      <c r="A648" s="462"/>
      <c r="H648" s="929"/>
      <c r="I648" s="388"/>
      <c r="J648" s="929"/>
      <c r="K648" s="388"/>
      <c r="L648" s="929"/>
      <c r="M648" s="388"/>
      <c r="N648" s="929"/>
      <c r="O648" s="388"/>
      <c r="P648" s="388"/>
      <c r="Q648" s="388"/>
      <c r="R648" s="465"/>
      <c r="S648" s="929"/>
      <c r="T648" s="466"/>
      <c r="U648" s="929"/>
      <c r="V648" s="929"/>
      <c r="W648" s="929"/>
      <c r="X648" s="474"/>
      <c r="Y648" s="474"/>
      <c r="Z648" s="474"/>
      <c r="AA648" s="474"/>
      <c r="AB648" s="474"/>
      <c r="AC648" s="388"/>
      <c r="AD648" s="464"/>
      <c r="AE648" s="465"/>
      <c r="AF648" s="388"/>
      <c r="AW648" s="471"/>
      <c r="AX648" s="471"/>
    </row>
    <row r="649" spans="1:50" ht="27" customHeight="1" x14ac:dyDescent="0.25">
      <c r="A649" s="462"/>
      <c r="H649" s="929"/>
      <c r="I649" s="388"/>
      <c r="J649" s="929"/>
      <c r="K649" s="388"/>
      <c r="L649" s="929"/>
      <c r="M649" s="388"/>
      <c r="N649" s="929"/>
      <c r="O649" s="388"/>
      <c r="P649" s="388"/>
      <c r="Q649" s="388"/>
      <c r="R649" s="465"/>
      <c r="S649" s="929"/>
      <c r="T649" s="466"/>
      <c r="U649" s="929"/>
      <c r="V649" s="929"/>
      <c r="W649" s="929"/>
      <c r="X649" s="474"/>
      <c r="Y649" s="474"/>
      <c r="Z649" s="474"/>
      <c r="AA649" s="474"/>
      <c r="AB649" s="474"/>
      <c r="AC649" s="388"/>
      <c r="AD649" s="464"/>
      <c r="AE649" s="465"/>
      <c r="AF649" s="388"/>
      <c r="AW649" s="471"/>
      <c r="AX649" s="471"/>
    </row>
    <row r="650" spans="1:50" ht="27" customHeight="1" x14ac:dyDescent="0.25">
      <c r="A650" s="462"/>
      <c r="H650" s="929"/>
      <c r="I650" s="388"/>
      <c r="J650" s="929"/>
      <c r="K650" s="388"/>
      <c r="L650" s="929"/>
      <c r="M650" s="388"/>
      <c r="N650" s="929"/>
      <c r="O650" s="388"/>
      <c r="P650" s="388"/>
      <c r="Q650" s="388"/>
      <c r="R650" s="465"/>
      <c r="S650" s="929"/>
      <c r="T650" s="466"/>
      <c r="U650" s="929"/>
      <c r="V650" s="929"/>
      <c r="W650" s="929"/>
      <c r="X650" s="474"/>
      <c r="Y650" s="474"/>
      <c r="Z650" s="474"/>
      <c r="AA650" s="474"/>
      <c r="AB650" s="474"/>
      <c r="AC650" s="388"/>
      <c r="AD650" s="464"/>
      <c r="AE650" s="465"/>
      <c r="AF650" s="388"/>
      <c r="AW650" s="471"/>
      <c r="AX650" s="471"/>
    </row>
    <row r="651" spans="1:50" ht="27" customHeight="1" x14ac:dyDescent="0.25">
      <c r="A651" s="462"/>
      <c r="H651" s="929"/>
      <c r="I651" s="388"/>
      <c r="J651" s="929"/>
      <c r="K651" s="388"/>
      <c r="L651" s="929"/>
      <c r="M651" s="388"/>
      <c r="N651" s="929"/>
      <c r="O651" s="388"/>
      <c r="P651" s="388"/>
      <c r="Q651" s="388"/>
      <c r="R651" s="465"/>
      <c r="S651" s="929"/>
      <c r="T651" s="466"/>
      <c r="U651" s="929"/>
      <c r="V651" s="929"/>
      <c r="W651" s="929"/>
      <c r="X651" s="474"/>
      <c r="Y651" s="474"/>
      <c r="Z651" s="474"/>
      <c r="AA651" s="474"/>
      <c r="AB651" s="474"/>
      <c r="AC651" s="388"/>
      <c r="AD651" s="464"/>
      <c r="AE651" s="465"/>
      <c r="AF651" s="388"/>
      <c r="AW651" s="471"/>
      <c r="AX651" s="471"/>
    </row>
    <row r="652" spans="1:50" ht="27" customHeight="1" x14ac:dyDescent="0.25">
      <c r="A652" s="462"/>
      <c r="H652" s="929"/>
      <c r="I652" s="388"/>
      <c r="J652" s="929"/>
      <c r="K652" s="388"/>
      <c r="L652" s="929"/>
      <c r="M652" s="388"/>
      <c r="N652" s="929"/>
      <c r="O652" s="388"/>
      <c r="P652" s="388"/>
      <c r="Q652" s="388"/>
      <c r="R652" s="465"/>
      <c r="S652" s="929"/>
      <c r="T652" s="466"/>
      <c r="U652" s="929"/>
      <c r="V652" s="929"/>
      <c r="W652" s="929"/>
      <c r="X652" s="474"/>
      <c r="Y652" s="474"/>
      <c r="Z652" s="474"/>
      <c r="AA652" s="474"/>
      <c r="AB652" s="474"/>
      <c r="AC652" s="388"/>
      <c r="AD652" s="464"/>
      <c r="AE652" s="465"/>
      <c r="AF652" s="388"/>
      <c r="AW652" s="471"/>
      <c r="AX652" s="471"/>
    </row>
    <row r="653" spans="1:50" ht="27" customHeight="1" x14ac:dyDescent="0.25">
      <c r="A653" s="462"/>
      <c r="H653" s="929"/>
      <c r="I653" s="388"/>
      <c r="J653" s="929"/>
      <c r="K653" s="388"/>
      <c r="L653" s="929"/>
      <c r="M653" s="388"/>
      <c r="N653" s="929"/>
      <c r="O653" s="388"/>
      <c r="P653" s="388"/>
      <c r="Q653" s="388"/>
      <c r="R653" s="465"/>
      <c r="S653" s="929"/>
      <c r="T653" s="466"/>
      <c r="U653" s="929"/>
      <c r="V653" s="929"/>
      <c r="W653" s="929"/>
      <c r="X653" s="474"/>
      <c r="Y653" s="474"/>
      <c r="Z653" s="474"/>
      <c r="AA653" s="474"/>
      <c r="AB653" s="474"/>
      <c r="AC653" s="388"/>
      <c r="AD653" s="464"/>
      <c r="AE653" s="465"/>
      <c r="AF653" s="388"/>
      <c r="AW653" s="471"/>
      <c r="AX653" s="471"/>
    </row>
    <row r="654" spans="1:50" ht="27" customHeight="1" x14ac:dyDescent="0.25">
      <c r="A654" s="462"/>
      <c r="H654" s="929"/>
      <c r="I654" s="388"/>
      <c r="J654" s="929"/>
      <c r="K654" s="388"/>
      <c r="L654" s="929"/>
      <c r="M654" s="388"/>
      <c r="N654" s="929"/>
      <c r="O654" s="388"/>
      <c r="P654" s="388"/>
      <c r="Q654" s="388"/>
      <c r="R654" s="465"/>
      <c r="S654" s="929"/>
      <c r="T654" s="466"/>
      <c r="U654" s="929"/>
      <c r="V654" s="929"/>
      <c r="W654" s="929"/>
      <c r="X654" s="474"/>
      <c r="Y654" s="474"/>
      <c r="Z654" s="474"/>
      <c r="AA654" s="474"/>
      <c r="AB654" s="474"/>
      <c r="AC654" s="388"/>
      <c r="AD654" s="464"/>
      <c r="AE654" s="465"/>
      <c r="AF654" s="388"/>
      <c r="AW654" s="471"/>
      <c r="AX654" s="471"/>
    </row>
    <row r="655" spans="1:50" ht="27" customHeight="1" x14ac:dyDescent="0.25">
      <c r="A655" s="462"/>
      <c r="H655" s="929"/>
      <c r="I655" s="388"/>
      <c r="J655" s="929"/>
      <c r="K655" s="388"/>
      <c r="L655" s="929"/>
      <c r="M655" s="388"/>
      <c r="N655" s="929"/>
      <c r="O655" s="388"/>
      <c r="P655" s="388"/>
      <c r="Q655" s="388"/>
      <c r="R655" s="465"/>
      <c r="S655" s="929"/>
      <c r="T655" s="466"/>
      <c r="U655" s="929"/>
      <c r="V655" s="929"/>
      <c r="W655" s="929"/>
      <c r="X655" s="474"/>
      <c r="Y655" s="474"/>
      <c r="Z655" s="474"/>
      <c r="AA655" s="474"/>
      <c r="AB655" s="474"/>
      <c r="AC655" s="388"/>
      <c r="AD655" s="464"/>
      <c r="AE655" s="465"/>
      <c r="AF655" s="388"/>
      <c r="AW655" s="471"/>
      <c r="AX655" s="471"/>
    </row>
    <row r="656" spans="1:50" ht="27" customHeight="1" x14ac:dyDescent="0.25">
      <c r="A656" s="462"/>
      <c r="H656" s="929"/>
      <c r="I656" s="388"/>
      <c r="J656" s="929"/>
      <c r="K656" s="388"/>
      <c r="L656" s="929"/>
      <c r="M656" s="388"/>
      <c r="N656" s="929"/>
      <c r="O656" s="388"/>
      <c r="P656" s="388"/>
      <c r="Q656" s="388"/>
      <c r="R656" s="465"/>
      <c r="S656" s="929"/>
      <c r="T656" s="466"/>
      <c r="U656" s="929"/>
      <c r="V656" s="929"/>
      <c r="W656" s="929"/>
      <c r="X656" s="474"/>
      <c r="Y656" s="474"/>
      <c r="Z656" s="474"/>
      <c r="AA656" s="474"/>
      <c r="AB656" s="474"/>
      <c r="AC656" s="388"/>
      <c r="AD656" s="464"/>
      <c r="AE656" s="465"/>
      <c r="AF656" s="388"/>
      <c r="AW656" s="471"/>
      <c r="AX656" s="471"/>
    </row>
    <row r="657" spans="1:50" ht="27" customHeight="1" x14ac:dyDescent="0.25">
      <c r="A657" s="462"/>
      <c r="H657" s="929"/>
      <c r="I657" s="388"/>
      <c r="J657" s="929"/>
      <c r="K657" s="388"/>
      <c r="L657" s="929"/>
      <c r="M657" s="388"/>
      <c r="N657" s="929"/>
      <c r="O657" s="388"/>
      <c r="P657" s="388"/>
      <c r="Q657" s="388"/>
      <c r="R657" s="465"/>
      <c r="S657" s="929"/>
      <c r="T657" s="466"/>
      <c r="U657" s="929"/>
      <c r="V657" s="929"/>
      <c r="W657" s="929"/>
      <c r="X657" s="474"/>
      <c r="Y657" s="474"/>
      <c r="Z657" s="474"/>
      <c r="AA657" s="474"/>
      <c r="AB657" s="474"/>
      <c r="AC657" s="388"/>
      <c r="AD657" s="464"/>
      <c r="AE657" s="465"/>
      <c r="AF657" s="388"/>
      <c r="AW657" s="471"/>
      <c r="AX657" s="471"/>
    </row>
    <row r="658" spans="1:50" ht="27" customHeight="1" x14ac:dyDescent="0.25">
      <c r="A658" s="462"/>
      <c r="H658" s="929"/>
      <c r="I658" s="388"/>
      <c r="J658" s="929"/>
      <c r="K658" s="388"/>
      <c r="L658" s="929"/>
      <c r="M658" s="388"/>
      <c r="N658" s="929"/>
      <c r="O658" s="388"/>
      <c r="P658" s="388"/>
      <c r="Q658" s="388"/>
      <c r="R658" s="465"/>
      <c r="S658" s="929"/>
      <c r="T658" s="466"/>
      <c r="U658" s="929"/>
      <c r="V658" s="929"/>
      <c r="W658" s="929"/>
      <c r="X658" s="474"/>
      <c r="Y658" s="474"/>
      <c r="Z658" s="474"/>
      <c r="AA658" s="474"/>
      <c r="AB658" s="474"/>
      <c r="AC658" s="388"/>
      <c r="AD658" s="464"/>
      <c r="AE658" s="465"/>
      <c r="AF658" s="388"/>
      <c r="AW658" s="471"/>
      <c r="AX658" s="471"/>
    </row>
    <row r="659" spans="1:50" ht="27" customHeight="1" x14ac:dyDescent="0.25">
      <c r="A659" s="462"/>
      <c r="H659" s="929"/>
      <c r="I659" s="388"/>
      <c r="J659" s="929"/>
      <c r="K659" s="388"/>
      <c r="L659" s="929"/>
      <c r="M659" s="388"/>
      <c r="N659" s="929"/>
      <c r="O659" s="388"/>
      <c r="P659" s="388"/>
      <c r="Q659" s="388"/>
      <c r="R659" s="465"/>
      <c r="S659" s="929"/>
      <c r="T659" s="466"/>
      <c r="U659" s="929"/>
      <c r="V659" s="929"/>
      <c r="W659" s="929"/>
      <c r="X659" s="474"/>
      <c r="Y659" s="474"/>
      <c r="Z659" s="474"/>
      <c r="AA659" s="474"/>
      <c r="AB659" s="474"/>
      <c r="AC659" s="388"/>
      <c r="AD659" s="464"/>
      <c r="AE659" s="465"/>
      <c r="AF659" s="388"/>
      <c r="AW659" s="471"/>
      <c r="AX659" s="471"/>
    </row>
    <row r="660" spans="1:50" ht="27" customHeight="1" x14ac:dyDescent="0.25">
      <c r="A660" s="462"/>
      <c r="H660" s="929"/>
      <c r="I660" s="388"/>
      <c r="J660" s="929"/>
      <c r="K660" s="388"/>
      <c r="L660" s="929"/>
      <c r="M660" s="388"/>
      <c r="N660" s="929"/>
      <c r="O660" s="388"/>
      <c r="P660" s="388"/>
      <c r="Q660" s="388"/>
      <c r="R660" s="465"/>
      <c r="S660" s="929"/>
      <c r="T660" s="466"/>
      <c r="U660" s="929"/>
      <c r="V660" s="929"/>
      <c r="W660" s="929"/>
      <c r="X660" s="474"/>
      <c r="Y660" s="474"/>
      <c r="Z660" s="474"/>
      <c r="AA660" s="474"/>
      <c r="AB660" s="474"/>
      <c r="AC660" s="388"/>
      <c r="AD660" s="464"/>
      <c r="AE660" s="465"/>
      <c r="AF660" s="388"/>
      <c r="AW660" s="471"/>
      <c r="AX660" s="471"/>
    </row>
    <row r="661" spans="1:50" ht="27" customHeight="1" x14ac:dyDescent="0.25">
      <c r="A661" s="462"/>
      <c r="H661" s="929"/>
      <c r="I661" s="388"/>
      <c r="J661" s="929"/>
      <c r="K661" s="388"/>
      <c r="L661" s="929"/>
      <c r="M661" s="388"/>
      <c r="N661" s="929"/>
      <c r="O661" s="388"/>
      <c r="P661" s="388"/>
      <c r="Q661" s="388"/>
      <c r="R661" s="465"/>
      <c r="S661" s="929"/>
      <c r="T661" s="466"/>
      <c r="U661" s="929"/>
      <c r="V661" s="929"/>
      <c r="W661" s="929"/>
      <c r="X661" s="474"/>
      <c r="Y661" s="474"/>
      <c r="Z661" s="474"/>
      <c r="AA661" s="474"/>
      <c r="AB661" s="474"/>
      <c r="AC661" s="388"/>
      <c r="AD661" s="464"/>
      <c r="AE661" s="465"/>
      <c r="AF661" s="388"/>
      <c r="AW661" s="471"/>
      <c r="AX661" s="471"/>
    </row>
    <row r="662" spans="1:50" ht="27" customHeight="1" x14ac:dyDescent="0.25">
      <c r="A662" s="462"/>
      <c r="H662" s="929"/>
      <c r="I662" s="388"/>
      <c r="J662" s="929"/>
      <c r="K662" s="388"/>
      <c r="L662" s="929"/>
      <c r="M662" s="388"/>
      <c r="N662" s="929"/>
      <c r="O662" s="388"/>
      <c r="P662" s="388"/>
      <c r="Q662" s="388"/>
      <c r="R662" s="465"/>
      <c r="S662" s="929"/>
      <c r="T662" s="466"/>
      <c r="U662" s="929"/>
      <c r="V662" s="929"/>
      <c r="W662" s="929"/>
      <c r="X662" s="474"/>
      <c r="Y662" s="474"/>
      <c r="Z662" s="474"/>
      <c r="AA662" s="474"/>
      <c r="AB662" s="474"/>
      <c r="AC662" s="388"/>
      <c r="AD662" s="464"/>
      <c r="AE662" s="465"/>
      <c r="AF662" s="388"/>
      <c r="AW662" s="471"/>
      <c r="AX662" s="471"/>
    </row>
    <row r="663" spans="1:50" ht="27" customHeight="1" x14ac:dyDescent="0.25">
      <c r="A663" s="462"/>
      <c r="H663" s="929"/>
      <c r="I663" s="388"/>
      <c r="J663" s="929"/>
      <c r="K663" s="388"/>
      <c r="L663" s="929"/>
      <c r="M663" s="388"/>
      <c r="N663" s="929"/>
      <c r="O663" s="388"/>
      <c r="P663" s="388"/>
      <c r="Q663" s="388"/>
      <c r="R663" s="465"/>
      <c r="S663" s="929"/>
      <c r="T663" s="466"/>
      <c r="U663" s="929"/>
      <c r="V663" s="929"/>
      <c r="W663" s="929"/>
      <c r="X663" s="474"/>
      <c r="Y663" s="474"/>
      <c r="Z663" s="474"/>
      <c r="AA663" s="474"/>
      <c r="AB663" s="474"/>
      <c r="AC663" s="388"/>
      <c r="AD663" s="464"/>
      <c r="AE663" s="465"/>
      <c r="AF663" s="388"/>
      <c r="AW663" s="471"/>
      <c r="AX663" s="471"/>
    </row>
    <row r="664" spans="1:50" ht="27" customHeight="1" x14ac:dyDescent="0.25">
      <c r="A664" s="462"/>
      <c r="H664" s="929"/>
      <c r="I664" s="388"/>
      <c r="J664" s="929"/>
      <c r="K664" s="388"/>
      <c r="L664" s="929"/>
      <c r="M664" s="388"/>
      <c r="N664" s="929"/>
      <c r="O664" s="388"/>
      <c r="P664" s="388"/>
      <c r="Q664" s="388"/>
      <c r="R664" s="465"/>
      <c r="S664" s="929"/>
      <c r="T664" s="466"/>
      <c r="U664" s="929"/>
      <c r="V664" s="929"/>
      <c r="W664" s="929"/>
      <c r="X664" s="474"/>
      <c r="Y664" s="474"/>
      <c r="Z664" s="474"/>
      <c r="AA664" s="474"/>
      <c r="AB664" s="474"/>
      <c r="AC664" s="388"/>
      <c r="AD664" s="464"/>
      <c r="AE664" s="465"/>
      <c r="AF664" s="388"/>
      <c r="AW664" s="471"/>
      <c r="AX664" s="471"/>
    </row>
    <row r="665" spans="1:50" ht="27" customHeight="1" x14ac:dyDescent="0.25">
      <c r="A665" s="462"/>
      <c r="H665" s="929"/>
      <c r="I665" s="388"/>
      <c r="J665" s="929"/>
      <c r="K665" s="388"/>
      <c r="L665" s="929"/>
      <c r="M665" s="388"/>
      <c r="N665" s="929"/>
      <c r="O665" s="388"/>
      <c r="P665" s="388"/>
      <c r="Q665" s="388"/>
      <c r="R665" s="465"/>
      <c r="S665" s="929"/>
      <c r="T665" s="466"/>
      <c r="U665" s="929"/>
      <c r="V665" s="929"/>
      <c r="W665" s="929"/>
      <c r="X665" s="474"/>
      <c r="Y665" s="474"/>
      <c r="Z665" s="474"/>
      <c r="AA665" s="474"/>
      <c r="AB665" s="474"/>
      <c r="AC665" s="388"/>
      <c r="AD665" s="464"/>
      <c r="AE665" s="465"/>
      <c r="AF665" s="388"/>
      <c r="AW665" s="471"/>
      <c r="AX665" s="471"/>
    </row>
    <row r="666" spans="1:50" ht="27" customHeight="1" x14ac:dyDescent="0.25">
      <c r="A666" s="462"/>
      <c r="H666" s="929"/>
      <c r="I666" s="388"/>
      <c r="J666" s="929"/>
      <c r="K666" s="388"/>
      <c r="L666" s="929"/>
      <c r="M666" s="388"/>
      <c r="N666" s="929"/>
      <c r="O666" s="388"/>
      <c r="P666" s="388"/>
      <c r="Q666" s="388"/>
      <c r="R666" s="465"/>
      <c r="S666" s="929"/>
      <c r="T666" s="466"/>
      <c r="U666" s="929"/>
      <c r="V666" s="929"/>
      <c r="W666" s="929"/>
      <c r="X666" s="474"/>
      <c r="Y666" s="474"/>
      <c r="Z666" s="474"/>
      <c r="AA666" s="474"/>
      <c r="AB666" s="474"/>
      <c r="AC666" s="388"/>
      <c r="AD666" s="464"/>
      <c r="AE666" s="465"/>
      <c r="AF666" s="388"/>
      <c r="AW666" s="471"/>
      <c r="AX666" s="471"/>
    </row>
    <row r="667" spans="1:50" ht="27" customHeight="1" x14ac:dyDescent="0.25">
      <c r="A667" s="462"/>
      <c r="H667" s="929"/>
      <c r="I667" s="388"/>
      <c r="J667" s="929"/>
      <c r="K667" s="388"/>
      <c r="L667" s="929"/>
      <c r="M667" s="388"/>
      <c r="N667" s="929"/>
      <c r="O667" s="388"/>
      <c r="P667" s="388"/>
      <c r="Q667" s="388"/>
      <c r="R667" s="465"/>
      <c r="S667" s="929"/>
      <c r="T667" s="466"/>
      <c r="U667" s="929"/>
      <c r="V667" s="929"/>
      <c r="W667" s="929"/>
      <c r="X667" s="474"/>
      <c r="Y667" s="474"/>
      <c r="Z667" s="474"/>
      <c r="AA667" s="474"/>
      <c r="AB667" s="474"/>
      <c r="AC667" s="388"/>
      <c r="AD667" s="464"/>
      <c r="AE667" s="465"/>
      <c r="AF667" s="388"/>
      <c r="AW667" s="471"/>
      <c r="AX667" s="471"/>
    </row>
    <row r="668" spans="1:50" ht="27" customHeight="1" x14ac:dyDescent="0.25">
      <c r="A668" s="462"/>
      <c r="H668" s="929"/>
      <c r="I668" s="388"/>
      <c r="J668" s="929"/>
      <c r="K668" s="388"/>
      <c r="L668" s="929"/>
      <c r="M668" s="388"/>
      <c r="N668" s="929"/>
      <c r="O668" s="388"/>
      <c r="P668" s="388"/>
      <c r="Q668" s="388"/>
      <c r="R668" s="465"/>
      <c r="S668" s="929"/>
      <c r="T668" s="466"/>
      <c r="U668" s="929"/>
      <c r="V668" s="929"/>
      <c r="W668" s="929"/>
      <c r="X668" s="474"/>
      <c r="Y668" s="474"/>
      <c r="Z668" s="474"/>
      <c r="AA668" s="474"/>
      <c r="AB668" s="474"/>
      <c r="AC668" s="388"/>
      <c r="AD668" s="464"/>
      <c r="AE668" s="465"/>
      <c r="AF668" s="388"/>
      <c r="AW668" s="471"/>
      <c r="AX668" s="471"/>
    </row>
    <row r="669" spans="1:50" ht="27" customHeight="1" x14ac:dyDescent="0.25">
      <c r="A669" s="462"/>
      <c r="H669" s="929"/>
      <c r="I669" s="388"/>
      <c r="J669" s="929"/>
      <c r="K669" s="388"/>
      <c r="L669" s="929"/>
      <c r="M669" s="388"/>
      <c r="N669" s="929"/>
      <c r="O669" s="388"/>
      <c r="P669" s="388"/>
      <c r="Q669" s="388"/>
      <c r="R669" s="465"/>
      <c r="S669" s="929"/>
      <c r="T669" s="466"/>
      <c r="U669" s="929"/>
      <c r="V669" s="929"/>
      <c r="W669" s="929"/>
      <c r="X669" s="474"/>
      <c r="Y669" s="474"/>
      <c r="Z669" s="474"/>
      <c r="AA669" s="474"/>
      <c r="AB669" s="474"/>
      <c r="AC669" s="388"/>
      <c r="AD669" s="464"/>
      <c r="AE669" s="465"/>
      <c r="AF669" s="388"/>
      <c r="AW669" s="471"/>
      <c r="AX669" s="471"/>
    </row>
    <row r="670" spans="1:50" ht="27" customHeight="1" x14ac:dyDescent="0.25">
      <c r="A670" s="462"/>
      <c r="H670" s="929"/>
      <c r="I670" s="388"/>
      <c r="J670" s="929"/>
      <c r="K670" s="388"/>
      <c r="L670" s="929"/>
      <c r="M670" s="388"/>
      <c r="N670" s="929"/>
      <c r="O670" s="388"/>
      <c r="P670" s="388"/>
      <c r="Q670" s="388"/>
      <c r="R670" s="465"/>
      <c r="S670" s="929"/>
      <c r="T670" s="466"/>
      <c r="U670" s="929"/>
      <c r="V670" s="929"/>
      <c r="W670" s="929"/>
      <c r="X670" s="474"/>
      <c r="Y670" s="474"/>
      <c r="Z670" s="474"/>
      <c r="AA670" s="474"/>
      <c r="AB670" s="474"/>
      <c r="AC670" s="388"/>
      <c r="AD670" s="464"/>
      <c r="AE670" s="465"/>
      <c r="AF670" s="388"/>
      <c r="AW670" s="471"/>
      <c r="AX670" s="471"/>
    </row>
    <row r="671" spans="1:50" ht="27" customHeight="1" x14ac:dyDescent="0.25">
      <c r="A671" s="462"/>
      <c r="H671" s="929"/>
      <c r="I671" s="388"/>
      <c r="J671" s="929"/>
      <c r="K671" s="388"/>
      <c r="L671" s="929"/>
      <c r="M671" s="388"/>
      <c r="N671" s="929"/>
      <c r="O671" s="388"/>
      <c r="P671" s="388"/>
      <c r="Q671" s="388"/>
      <c r="R671" s="465"/>
      <c r="S671" s="929"/>
      <c r="T671" s="466"/>
      <c r="U671" s="929"/>
      <c r="V671" s="929"/>
      <c r="W671" s="929"/>
      <c r="X671" s="474"/>
      <c r="Y671" s="474"/>
      <c r="Z671" s="474"/>
      <c r="AA671" s="474"/>
      <c r="AB671" s="474"/>
      <c r="AC671" s="388"/>
      <c r="AD671" s="464"/>
      <c r="AE671" s="465"/>
      <c r="AF671" s="388"/>
      <c r="AW671" s="471"/>
      <c r="AX671" s="471"/>
    </row>
    <row r="672" spans="1:50" ht="27" customHeight="1" x14ac:dyDescent="0.25">
      <c r="A672" s="462"/>
      <c r="H672" s="929"/>
      <c r="I672" s="388"/>
      <c r="J672" s="929"/>
      <c r="K672" s="388"/>
      <c r="L672" s="929"/>
      <c r="M672" s="388"/>
      <c r="N672" s="929"/>
      <c r="O672" s="388"/>
      <c r="P672" s="388"/>
      <c r="Q672" s="388"/>
      <c r="R672" s="465"/>
      <c r="S672" s="929"/>
      <c r="T672" s="466"/>
      <c r="U672" s="929"/>
      <c r="V672" s="929"/>
      <c r="W672" s="929"/>
      <c r="X672" s="474"/>
      <c r="Y672" s="474"/>
      <c r="Z672" s="474"/>
      <c r="AA672" s="474"/>
      <c r="AB672" s="474"/>
      <c r="AC672" s="388"/>
      <c r="AD672" s="464"/>
      <c r="AE672" s="465"/>
      <c r="AF672" s="388"/>
      <c r="AW672" s="471"/>
      <c r="AX672" s="471"/>
    </row>
    <row r="673" spans="1:50" ht="27" customHeight="1" x14ac:dyDescent="0.25">
      <c r="A673" s="462"/>
      <c r="H673" s="929"/>
      <c r="I673" s="388"/>
      <c r="J673" s="929"/>
      <c r="K673" s="388"/>
      <c r="L673" s="929"/>
      <c r="M673" s="388"/>
      <c r="N673" s="929"/>
      <c r="O673" s="388"/>
      <c r="P673" s="388"/>
      <c r="Q673" s="388"/>
      <c r="R673" s="465"/>
      <c r="S673" s="929"/>
      <c r="T673" s="466"/>
      <c r="U673" s="929"/>
      <c r="V673" s="929"/>
      <c r="W673" s="929"/>
      <c r="X673" s="474"/>
      <c r="Y673" s="474"/>
      <c r="Z673" s="474"/>
      <c r="AA673" s="474"/>
      <c r="AB673" s="474"/>
      <c r="AC673" s="388"/>
      <c r="AD673" s="464"/>
      <c r="AE673" s="465"/>
      <c r="AF673" s="388"/>
      <c r="AW673" s="471"/>
      <c r="AX673" s="471"/>
    </row>
    <row r="674" spans="1:50" ht="27" customHeight="1" x14ac:dyDescent="0.25">
      <c r="A674" s="462"/>
      <c r="H674" s="929"/>
      <c r="I674" s="388"/>
      <c r="J674" s="929"/>
      <c r="K674" s="388"/>
      <c r="L674" s="929"/>
      <c r="M674" s="388"/>
      <c r="N674" s="929"/>
      <c r="O674" s="388"/>
      <c r="P674" s="388"/>
      <c r="Q674" s="388"/>
      <c r="R674" s="465"/>
      <c r="S674" s="929"/>
      <c r="T674" s="466"/>
      <c r="U674" s="929"/>
      <c r="V674" s="929"/>
      <c r="W674" s="929"/>
      <c r="X674" s="474"/>
      <c r="Y674" s="474"/>
      <c r="Z674" s="474"/>
      <c r="AA674" s="474"/>
      <c r="AB674" s="474"/>
      <c r="AC674" s="388"/>
      <c r="AD674" s="464"/>
      <c r="AE674" s="465"/>
      <c r="AF674" s="388"/>
      <c r="AW674" s="471"/>
      <c r="AX674" s="471"/>
    </row>
    <row r="675" spans="1:50" ht="27" customHeight="1" x14ac:dyDescent="0.25">
      <c r="A675" s="462"/>
      <c r="H675" s="929"/>
      <c r="I675" s="388"/>
      <c r="J675" s="929"/>
      <c r="K675" s="388"/>
      <c r="L675" s="929"/>
      <c r="M675" s="388"/>
      <c r="N675" s="929"/>
      <c r="O675" s="388"/>
      <c r="P675" s="388"/>
      <c r="Q675" s="388"/>
      <c r="R675" s="465"/>
      <c r="S675" s="929"/>
      <c r="T675" s="466"/>
      <c r="U675" s="929"/>
      <c r="V675" s="929"/>
      <c r="W675" s="929"/>
      <c r="X675" s="474"/>
      <c r="Y675" s="474"/>
      <c r="Z675" s="474"/>
      <c r="AA675" s="474"/>
      <c r="AB675" s="474"/>
      <c r="AC675" s="388"/>
      <c r="AD675" s="464"/>
      <c r="AE675" s="465"/>
      <c r="AF675" s="388"/>
      <c r="AW675" s="471"/>
      <c r="AX675" s="471"/>
    </row>
    <row r="676" spans="1:50" ht="27" customHeight="1" x14ac:dyDescent="0.25">
      <c r="A676" s="462"/>
      <c r="H676" s="929"/>
      <c r="I676" s="388"/>
      <c r="J676" s="929"/>
      <c r="K676" s="388"/>
      <c r="L676" s="929"/>
      <c r="M676" s="388"/>
      <c r="N676" s="929"/>
      <c r="O676" s="388"/>
      <c r="P676" s="388"/>
      <c r="Q676" s="388"/>
      <c r="R676" s="465"/>
      <c r="S676" s="929"/>
      <c r="T676" s="466"/>
      <c r="U676" s="929"/>
      <c r="V676" s="929"/>
      <c r="W676" s="929"/>
      <c r="X676" s="474"/>
      <c r="Y676" s="474"/>
      <c r="Z676" s="474"/>
      <c r="AA676" s="474"/>
      <c r="AB676" s="474"/>
      <c r="AC676" s="388"/>
      <c r="AD676" s="464"/>
      <c r="AE676" s="465"/>
      <c r="AF676" s="388"/>
      <c r="AW676" s="471"/>
      <c r="AX676" s="471"/>
    </row>
    <row r="677" spans="1:50" ht="27" customHeight="1" x14ac:dyDescent="0.25">
      <c r="A677" s="462"/>
      <c r="H677" s="929"/>
      <c r="I677" s="388"/>
      <c r="J677" s="929"/>
      <c r="K677" s="388"/>
      <c r="L677" s="929"/>
      <c r="M677" s="388"/>
      <c r="N677" s="929"/>
      <c r="O677" s="388"/>
      <c r="P677" s="388"/>
      <c r="Q677" s="388"/>
      <c r="R677" s="465"/>
      <c r="S677" s="929"/>
      <c r="T677" s="466"/>
      <c r="U677" s="929"/>
      <c r="V677" s="929"/>
      <c r="W677" s="929"/>
      <c r="X677" s="474"/>
      <c r="Y677" s="474"/>
      <c r="Z677" s="474"/>
      <c r="AA677" s="474"/>
      <c r="AB677" s="474"/>
      <c r="AC677" s="388"/>
      <c r="AD677" s="464"/>
      <c r="AE677" s="465"/>
      <c r="AF677" s="388"/>
      <c r="AW677" s="471"/>
      <c r="AX677" s="471"/>
    </row>
    <row r="678" spans="1:50" ht="27" customHeight="1" x14ac:dyDescent="0.25">
      <c r="A678" s="462"/>
      <c r="H678" s="929"/>
      <c r="I678" s="388"/>
      <c r="J678" s="929"/>
      <c r="K678" s="388"/>
      <c r="L678" s="929"/>
      <c r="M678" s="388"/>
      <c r="N678" s="929"/>
      <c r="O678" s="388"/>
      <c r="P678" s="388"/>
      <c r="Q678" s="388"/>
      <c r="R678" s="465"/>
      <c r="S678" s="929"/>
      <c r="T678" s="466"/>
      <c r="U678" s="929"/>
      <c r="V678" s="929"/>
      <c r="W678" s="929"/>
      <c r="X678" s="474"/>
      <c r="Y678" s="474"/>
      <c r="Z678" s="474"/>
      <c r="AA678" s="474"/>
      <c r="AB678" s="474"/>
      <c r="AC678" s="388"/>
      <c r="AD678" s="464"/>
      <c r="AE678" s="465"/>
      <c r="AF678" s="388"/>
      <c r="AW678" s="471"/>
      <c r="AX678" s="471"/>
    </row>
    <row r="679" spans="1:50" ht="27" customHeight="1" x14ac:dyDescent="0.25">
      <c r="A679" s="462"/>
      <c r="H679" s="929"/>
      <c r="I679" s="388"/>
      <c r="J679" s="929"/>
      <c r="K679" s="388"/>
      <c r="L679" s="929"/>
      <c r="M679" s="388"/>
      <c r="N679" s="929"/>
      <c r="O679" s="388"/>
      <c r="P679" s="388"/>
      <c r="Q679" s="388"/>
      <c r="R679" s="465"/>
      <c r="S679" s="929"/>
      <c r="T679" s="466"/>
      <c r="U679" s="929"/>
      <c r="V679" s="929"/>
      <c r="W679" s="929"/>
      <c r="X679" s="474"/>
      <c r="Y679" s="474"/>
      <c r="Z679" s="474"/>
      <c r="AA679" s="474"/>
      <c r="AB679" s="474"/>
      <c r="AC679" s="388"/>
      <c r="AD679" s="464"/>
      <c r="AE679" s="465"/>
      <c r="AF679" s="388"/>
      <c r="AW679" s="471"/>
      <c r="AX679" s="471"/>
    </row>
    <row r="680" spans="1:50" ht="27" customHeight="1" x14ac:dyDescent="0.25">
      <c r="A680" s="462"/>
      <c r="H680" s="929"/>
      <c r="I680" s="388"/>
      <c r="J680" s="929"/>
      <c r="K680" s="388"/>
      <c r="L680" s="929"/>
      <c r="M680" s="388"/>
      <c r="N680" s="929"/>
      <c r="O680" s="388"/>
      <c r="P680" s="388"/>
      <c r="Q680" s="388"/>
      <c r="R680" s="465"/>
      <c r="S680" s="929"/>
      <c r="T680" s="466"/>
      <c r="U680" s="929"/>
      <c r="V680" s="929"/>
      <c r="W680" s="929"/>
      <c r="X680" s="474"/>
      <c r="Y680" s="474"/>
      <c r="Z680" s="474"/>
      <c r="AA680" s="474"/>
      <c r="AB680" s="474"/>
      <c r="AC680" s="388"/>
      <c r="AD680" s="464"/>
      <c r="AE680" s="465"/>
      <c r="AF680" s="388"/>
      <c r="AW680" s="471"/>
      <c r="AX680" s="471"/>
    </row>
    <row r="681" spans="1:50" ht="27" customHeight="1" x14ac:dyDescent="0.25">
      <c r="A681" s="462"/>
      <c r="H681" s="929"/>
      <c r="I681" s="388"/>
      <c r="J681" s="929"/>
      <c r="K681" s="388"/>
      <c r="L681" s="929"/>
      <c r="M681" s="388"/>
      <c r="N681" s="929"/>
      <c r="O681" s="388"/>
      <c r="P681" s="388"/>
      <c r="Q681" s="388"/>
      <c r="R681" s="465"/>
      <c r="S681" s="929"/>
      <c r="T681" s="466"/>
      <c r="U681" s="929"/>
      <c r="V681" s="929"/>
      <c r="W681" s="929"/>
      <c r="X681" s="474"/>
      <c r="Y681" s="474"/>
      <c r="Z681" s="474"/>
      <c r="AA681" s="474"/>
      <c r="AB681" s="474"/>
      <c r="AC681" s="388"/>
      <c r="AD681" s="464"/>
      <c r="AE681" s="465"/>
      <c r="AF681" s="388"/>
      <c r="AW681" s="471"/>
      <c r="AX681" s="471"/>
    </row>
    <row r="682" spans="1:50" ht="27" customHeight="1" x14ac:dyDescent="0.25">
      <c r="A682" s="462"/>
      <c r="H682" s="929"/>
      <c r="I682" s="388"/>
      <c r="J682" s="929"/>
      <c r="K682" s="388"/>
      <c r="L682" s="929"/>
      <c r="M682" s="388"/>
      <c r="N682" s="929"/>
      <c r="O682" s="388"/>
      <c r="P682" s="388"/>
      <c r="Q682" s="388"/>
      <c r="R682" s="465"/>
      <c r="S682" s="929"/>
      <c r="T682" s="466"/>
      <c r="U682" s="929"/>
      <c r="V682" s="929"/>
      <c r="W682" s="929"/>
      <c r="X682" s="474"/>
      <c r="Y682" s="474"/>
      <c r="Z682" s="474"/>
      <c r="AA682" s="474"/>
      <c r="AB682" s="474"/>
      <c r="AC682" s="388"/>
      <c r="AD682" s="464"/>
      <c r="AE682" s="465"/>
      <c r="AF682" s="388"/>
      <c r="AW682" s="471"/>
      <c r="AX682" s="471"/>
    </row>
    <row r="683" spans="1:50" ht="27" customHeight="1" x14ac:dyDescent="0.25">
      <c r="A683" s="462"/>
      <c r="H683" s="929"/>
      <c r="I683" s="388"/>
      <c r="J683" s="929"/>
      <c r="K683" s="388"/>
      <c r="L683" s="929"/>
      <c r="M683" s="388"/>
      <c r="N683" s="929"/>
      <c r="O683" s="388"/>
      <c r="P683" s="388"/>
      <c r="Q683" s="388"/>
      <c r="R683" s="465"/>
      <c r="S683" s="929"/>
      <c r="T683" s="466"/>
      <c r="U683" s="929"/>
      <c r="V683" s="929"/>
      <c r="W683" s="929"/>
      <c r="X683" s="474"/>
      <c r="Y683" s="474"/>
      <c r="Z683" s="474"/>
      <c r="AA683" s="474"/>
      <c r="AB683" s="474"/>
      <c r="AC683" s="388"/>
      <c r="AD683" s="464"/>
      <c r="AE683" s="465"/>
      <c r="AF683" s="388"/>
      <c r="AW683" s="471"/>
      <c r="AX683" s="471"/>
    </row>
    <row r="684" spans="1:50" ht="27" customHeight="1" x14ac:dyDescent="0.25">
      <c r="A684" s="462"/>
      <c r="H684" s="929"/>
      <c r="I684" s="388"/>
      <c r="J684" s="929"/>
      <c r="K684" s="388"/>
      <c r="L684" s="929"/>
      <c r="M684" s="388"/>
      <c r="N684" s="929"/>
      <c r="O684" s="388"/>
      <c r="P684" s="388"/>
      <c r="Q684" s="388"/>
      <c r="R684" s="465"/>
      <c r="S684" s="929"/>
      <c r="T684" s="466"/>
      <c r="U684" s="929"/>
      <c r="V684" s="929"/>
      <c r="W684" s="929"/>
      <c r="X684" s="474"/>
      <c r="Y684" s="474"/>
      <c r="Z684" s="474"/>
      <c r="AA684" s="474"/>
      <c r="AB684" s="474"/>
      <c r="AC684" s="388"/>
      <c r="AD684" s="464"/>
      <c r="AE684" s="465"/>
      <c r="AF684" s="388"/>
      <c r="AW684" s="471"/>
      <c r="AX684" s="471"/>
    </row>
    <row r="685" spans="1:50" ht="27" customHeight="1" x14ac:dyDescent="0.25">
      <c r="A685" s="462"/>
      <c r="H685" s="929"/>
      <c r="I685" s="388"/>
      <c r="J685" s="929"/>
      <c r="K685" s="388"/>
      <c r="L685" s="929"/>
      <c r="M685" s="388"/>
      <c r="N685" s="929"/>
      <c r="O685" s="388"/>
      <c r="P685" s="388"/>
      <c r="Q685" s="388"/>
      <c r="R685" s="465"/>
      <c r="S685" s="929"/>
      <c r="T685" s="466"/>
      <c r="U685" s="929"/>
      <c r="V685" s="929"/>
      <c r="W685" s="929"/>
      <c r="X685" s="474"/>
      <c r="Y685" s="474"/>
      <c r="Z685" s="474"/>
      <c r="AA685" s="474"/>
      <c r="AB685" s="474"/>
      <c r="AC685" s="388"/>
      <c r="AD685" s="464"/>
      <c r="AE685" s="465"/>
      <c r="AF685" s="388"/>
      <c r="AW685" s="471"/>
      <c r="AX685" s="471"/>
    </row>
    <row r="686" spans="1:50" ht="27" customHeight="1" x14ac:dyDescent="0.25">
      <c r="A686" s="462"/>
      <c r="H686" s="929"/>
      <c r="I686" s="388"/>
      <c r="J686" s="929"/>
      <c r="K686" s="388"/>
      <c r="L686" s="929"/>
      <c r="M686" s="388"/>
      <c r="N686" s="929"/>
      <c r="O686" s="388"/>
      <c r="P686" s="388"/>
      <c r="Q686" s="388"/>
      <c r="R686" s="465"/>
      <c r="S686" s="929"/>
      <c r="T686" s="466"/>
      <c r="U686" s="929"/>
      <c r="V686" s="929"/>
      <c r="W686" s="929"/>
      <c r="X686" s="474"/>
      <c r="Y686" s="474"/>
      <c r="Z686" s="474"/>
      <c r="AA686" s="474"/>
      <c r="AB686" s="474"/>
      <c r="AC686" s="388"/>
      <c r="AD686" s="464"/>
      <c r="AE686" s="465"/>
      <c r="AF686" s="388"/>
      <c r="AW686" s="471"/>
      <c r="AX686" s="471"/>
    </row>
    <row r="687" spans="1:50" ht="27" customHeight="1" x14ac:dyDescent="0.25">
      <c r="A687" s="462"/>
      <c r="H687" s="929"/>
      <c r="I687" s="388"/>
      <c r="J687" s="929"/>
      <c r="K687" s="388"/>
      <c r="L687" s="929"/>
      <c r="M687" s="388"/>
      <c r="N687" s="929"/>
      <c r="O687" s="388"/>
      <c r="P687" s="388"/>
      <c r="Q687" s="388"/>
      <c r="R687" s="465"/>
      <c r="S687" s="929"/>
      <c r="T687" s="466"/>
      <c r="U687" s="929"/>
      <c r="V687" s="929"/>
      <c r="W687" s="929"/>
      <c r="X687" s="474"/>
      <c r="Y687" s="474"/>
      <c r="Z687" s="474"/>
      <c r="AA687" s="474"/>
      <c r="AB687" s="474"/>
      <c r="AC687" s="388"/>
      <c r="AD687" s="464"/>
      <c r="AE687" s="465"/>
      <c r="AF687" s="388"/>
      <c r="AW687" s="471"/>
      <c r="AX687" s="471"/>
    </row>
    <row r="688" spans="1:50" ht="27" customHeight="1" x14ac:dyDescent="0.25">
      <c r="A688" s="462"/>
      <c r="H688" s="929"/>
      <c r="I688" s="388"/>
      <c r="J688" s="929"/>
      <c r="K688" s="388"/>
      <c r="L688" s="929"/>
      <c r="M688" s="388"/>
      <c r="N688" s="929"/>
      <c r="O688" s="388"/>
      <c r="P688" s="388"/>
      <c r="Q688" s="388"/>
      <c r="R688" s="465"/>
      <c r="S688" s="929"/>
      <c r="T688" s="466"/>
      <c r="U688" s="929"/>
      <c r="V688" s="929"/>
      <c r="W688" s="929"/>
      <c r="X688" s="474"/>
      <c r="Y688" s="474"/>
      <c r="Z688" s="474"/>
      <c r="AA688" s="474"/>
      <c r="AB688" s="474"/>
      <c r="AC688" s="388"/>
      <c r="AD688" s="464"/>
      <c r="AE688" s="465"/>
      <c r="AF688" s="388"/>
      <c r="AW688" s="471"/>
      <c r="AX688" s="471"/>
    </row>
    <row r="689" spans="1:50" ht="27" customHeight="1" x14ac:dyDescent="0.25">
      <c r="A689" s="462"/>
      <c r="H689" s="929"/>
      <c r="I689" s="388"/>
      <c r="J689" s="929"/>
      <c r="K689" s="388"/>
      <c r="L689" s="929"/>
      <c r="M689" s="388"/>
      <c r="N689" s="929"/>
      <c r="O689" s="388"/>
      <c r="P689" s="388"/>
      <c r="Q689" s="388"/>
      <c r="R689" s="465"/>
      <c r="S689" s="929"/>
      <c r="T689" s="466"/>
      <c r="U689" s="929"/>
      <c r="V689" s="929"/>
      <c r="W689" s="929"/>
      <c r="X689" s="474"/>
      <c r="Y689" s="474"/>
      <c r="Z689" s="474"/>
      <c r="AA689" s="474"/>
      <c r="AB689" s="474"/>
      <c r="AC689" s="388"/>
      <c r="AD689" s="464"/>
      <c r="AE689" s="465"/>
      <c r="AF689" s="388"/>
      <c r="AW689" s="471"/>
      <c r="AX689" s="471"/>
    </row>
    <row r="690" spans="1:50" ht="27" customHeight="1" x14ac:dyDescent="0.25">
      <c r="A690" s="462"/>
      <c r="H690" s="929"/>
      <c r="I690" s="388"/>
      <c r="J690" s="929"/>
      <c r="K690" s="388"/>
      <c r="L690" s="929"/>
      <c r="M690" s="388"/>
      <c r="N690" s="929"/>
      <c r="O690" s="388"/>
      <c r="P690" s="388"/>
      <c r="Q690" s="388"/>
      <c r="R690" s="465"/>
      <c r="S690" s="929"/>
      <c r="T690" s="466"/>
      <c r="U690" s="929"/>
      <c r="V690" s="929"/>
      <c r="W690" s="929"/>
      <c r="X690" s="474"/>
      <c r="Y690" s="474"/>
      <c r="Z690" s="474"/>
      <c r="AA690" s="474"/>
      <c r="AB690" s="474"/>
      <c r="AC690" s="388"/>
      <c r="AD690" s="464"/>
      <c r="AE690" s="465"/>
      <c r="AF690" s="388"/>
      <c r="AW690" s="471"/>
      <c r="AX690" s="471"/>
    </row>
    <row r="691" spans="1:50" ht="27" customHeight="1" x14ac:dyDescent="0.25">
      <c r="A691" s="462"/>
      <c r="H691" s="929"/>
      <c r="I691" s="388"/>
      <c r="J691" s="929"/>
      <c r="K691" s="388"/>
      <c r="L691" s="929"/>
      <c r="M691" s="388"/>
      <c r="N691" s="929"/>
      <c r="O691" s="388"/>
      <c r="P691" s="388"/>
      <c r="Q691" s="388"/>
      <c r="R691" s="465"/>
      <c r="S691" s="929"/>
      <c r="T691" s="466"/>
      <c r="U691" s="929"/>
      <c r="V691" s="929"/>
      <c r="W691" s="929"/>
      <c r="X691" s="474"/>
      <c r="Y691" s="474"/>
      <c r="Z691" s="474"/>
      <c r="AA691" s="474"/>
      <c r="AB691" s="474"/>
      <c r="AC691" s="388"/>
      <c r="AD691" s="464"/>
      <c r="AE691" s="465"/>
      <c r="AF691" s="388"/>
      <c r="AW691" s="471"/>
      <c r="AX691" s="471"/>
    </row>
    <row r="692" spans="1:50" ht="27" customHeight="1" x14ac:dyDescent="0.25">
      <c r="A692" s="462"/>
      <c r="H692" s="929"/>
      <c r="I692" s="388"/>
      <c r="J692" s="929"/>
      <c r="K692" s="388"/>
      <c r="L692" s="929"/>
      <c r="M692" s="388"/>
      <c r="N692" s="929"/>
      <c r="O692" s="388"/>
      <c r="P692" s="388"/>
      <c r="Q692" s="388"/>
      <c r="R692" s="465"/>
      <c r="S692" s="929"/>
      <c r="T692" s="466"/>
      <c r="U692" s="929"/>
      <c r="V692" s="929"/>
      <c r="W692" s="929"/>
      <c r="X692" s="474"/>
      <c r="Y692" s="474"/>
      <c r="Z692" s="474"/>
      <c r="AA692" s="474"/>
      <c r="AB692" s="474"/>
      <c r="AC692" s="388"/>
      <c r="AD692" s="464"/>
      <c r="AE692" s="465"/>
      <c r="AF692" s="388"/>
      <c r="AW692" s="471"/>
      <c r="AX692" s="471"/>
    </row>
    <row r="693" spans="1:50" ht="27" customHeight="1" x14ac:dyDescent="0.25">
      <c r="A693" s="462"/>
      <c r="H693" s="929"/>
      <c r="I693" s="388"/>
      <c r="J693" s="929"/>
      <c r="K693" s="388"/>
      <c r="L693" s="929"/>
      <c r="M693" s="388"/>
      <c r="N693" s="929"/>
      <c r="O693" s="388"/>
      <c r="P693" s="388"/>
      <c r="Q693" s="388"/>
      <c r="R693" s="465"/>
      <c r="S693" s="929"/>
      <c r="T693" s="466"/>
      <c r="U693" s="929"/>
      <c r="V693" s="929"/>
      <c r="W693" s="929"/>
      <c r="X693" s="474"/>
      <c r="Y693" s="474"/>
      <c r="Z693" s="474"/>
      <c r="AA693" s="474"/>
      <c r="AB693" s="474"/>
      <c r="AC693" s="388"/>
      <c r="AD693" s="464"/>
      <c r="AE693" s="465"/>
      <c r="AF693" s="388"/>
      <c r="AW693" s="471"/>
      <c r="AX693" s="471"/>
    </row>
    <row r="694" spans="1:50" ht="27" customHeight="1" x14ac:dyDescent="0.25">
      <c r="A694" s="462"/>
      <c r="H694" s="929"/>
      <c r="I694" s="388"/>
      <c r="J694" s="929"/>
      <c r="K694" s="388"/>
      <c r="L694" s="929"/>
      <c r="M694" s="388"/>
      <c r="N694" s="929"/>
      <c r="O694" s="388"/>
      <c r="P694" s="388"/>
      <c r="Q694" s="388"/>
      <c r="R694" s="465"/>
      <c r="S694" s="929"/>
      <c r="T694" s="466"/>
      <c r="U694" s="929"/>
      <c r="V694" s="929"/>
      <c r="W694" s="929"/>
      <c r="X694" s="474"/>
      <c r="Y694" s="474"/>
      <c r="Z694" s="474"/>
      <c r="AA694" s="474"/>
      <c r="AB694" s="474"/>
      <c r="AC694" s="388"/>
      <c r="AD694" s="464"/>
      <c r="AE694" s="465"/>
      <c r="AF694" s="388"/>
      <c r="AW694" s="471"/>
      <c r="AX694" s="471"/>
    </row>
    <row r="695" spans="1:50" ht="27" customHeight="1" x14ac:dyDescent="0.25">
      <c r="A695" s="462"/>
      <c r="H695" s="929"/>
      <c r="I695" s="388"/>
      <c r="J695" s="929"/>
      <c r="K695" s="388"/>
      <c r="L695" s="929"/>
      <c r="M695" s="388"/>
      <c r="N695" s="929"/>
      <c r="O695" s="388"/>
      <c r="P695" s="388"/>
      <c r="Q695" s="388"/>
      <c r="R695" s="465"/>
      <c r="S695" s="929"/>
      <c r="T695" s="466"/>
      <c r="U695" s="929"/>
      <c r="V695" s="929"/>
      <c r="W695" s="929"/>
      <c r="X695" s="474"/>
      <c r="Y695" s="474"/>
      <c r="Z695" s="474"/>
      <c r="AA695" s="474"/>
      <c r="AB695" s="474"/>
      <c r="AC695" s="388"/>
      <c r="AD695" s="464"/>
      <c r="AE695" s="465"/>
      <c r="AF695" s="388"/>
      <c r="AW695" s="471"/>
      <c r="AX695" s="471"/>
    </row>
    <row r="696" spans="1:50" ht="27" customHeight="1" x14ac:dyDescent="0.25">
      <c r="A696" s="462"/>
      <c r="H696" s="929"/>
      <c r="I696" s="388"/>
      <c r="J696" s="929"/>
      <c r="K696" s="388"/>
      <c r="L696" s="929"/>
      <c r="M696" s="388"/>
      <c r="N696" s="929"/>
      <c r="O696" s="388"/>
      <c r="P696" s="388"/>
      <c r="Q696" s="388"/>
      <c r="R696" s="465"/>
      <c r="S696" s="929"/>
      <c r="T696" s="466"/>
      <c r="U696" s="929"/>
      <c r="V696" s="929"/>
      <c r="W696" s="929"/>
      <c r="X696" s="474"/>
      <c r="Y696" s="474"/>
      <c r="Z696" s="474"/>
      <c r="AA696" s="474"/>
      <c r="AB696" s="474"/>
      <c r="AC696" s="388"/>
      <c r="AD696" s="464"/>
      <c r="AE696" s="465"/>
      <c r="AF696" s="388"/>
      <c r="AW696" s="471"/>
      <c r="AX696" s="471"/>
    </row>
    <row r="697" spans="1:50" ht="27" customHeight="1" x14ac:dyDescent="0.25">
      <c r="A697" s="462"/>
      <c r="H697" s="929"/>
      <c r="I697" s="388"/>
      <c r="J697" s="929"/>
      <c r="K697" s="388"/>
      <c r="L697" s="929"/>
      <c r="M697" s="388"/>
      <c r="N697" s="929"/>
      <c r="O697" s="388"/>
      <c r="P697" s="388"/>
      <c r="Q697" s="388"/>
      <c r="R697" s="465"/>
      <c r="S697" s="929"/>
      <c r="T697" s="466"/>
      <c r="U697" s="929"/>
      <c r="V697" s="929"/>
      <c r="W697" s="929"/>
      <c r="X697" s="474"/>
      <c r="Y697" s="474"/>
      <c r="Z697" s="474"/>
      <c r="AA697" s="474"/>
      <c r="AB697" s="474"/>
      <c r="AC697" s="388"/>
      <c r="AD697" s="464"/>
      <c r="AE697" s="465"/>
      <c r="AF697" s="388"/>
      <c r="AW697" s="471"/>
      <c r="AX697" s="471"/>
    </row>
    <row r="698" spans="1:50" ht="27" customHeight="1" x14ac:dyDescent="0.25">
      <c r="A698" s="462"/>
      <c r="H698" s="929"/>
      <c r="I698" s="388"/>
      <c r="J698" s="929"/>
      <c r="K698" s="388"/>
      <c r="L698" s="929"/>
      <c r="M698" s="388"/>
      <c r="N698" s="929"/>
      <c r="O698" s="388"/>
      <c r="P698" s="388"/>
      <c r="Q698" s="388"/>
      <c r="R698" s="465"/>
      <c r="S698" s="929"/>
      <c r="T698" s="466"/>
      <c r="U698" s="929"/>
      <c r="V698" s="929"/>
      <c r="W698" s="929"/>
      <c r="X698" s="474"/>
      <c r="Y698" s="474"/>
      <c r="Z698" s="474"/>
      <c r="AA698" s="474"/>
      <c r="AB698" s="474"/>
      <c r="AC698" s="388"/>
      <c r="AD698" s="464"/>
      <c r="AE698" s="465"/>
      <c r="AF698" s="388"/>
      <c r="AW698" s="471"/>
      <c r="AX698" s="471"/>
    </row>
    <row r="699" spans="1:50" ht="27" customHeight="1" x14ac:dyDescent="0.25">
      <c r="A699" s="462"/>
      <c r="H699" s="929"/>
      <c r="I699" s="388"/>
      <c r="J699" s="929"/>
      <c r="K699" s="388"/>
      <c r="L699" s="929"/>
      <c r="M699" s="388"/>
      <c r="N699" s="929"/>
      <c r="O699" s="388"/>
      <c r="P699" s="388"/>
      <c r="Q699" s="388"/>
      <c r="R699" s="465"/>
      <c r="S699" s="929"/>
      <c r="T699" s="466"/>
      <c r="U699" s="929"/>
      <c r="V699" s="929"/>
      <c r="W699" s="929"/>
      <c r="X699" s="474"/>
      <c r="Y699" s="474"/>
      <c r="Z699" s="474"/>
      <c r="AA699" s="474"/>
      <c r="AB699" s="474"/>
      <c r="AC699" s="388"/>
      <c r="AD699" s="464"/>
      <c r="AE699" s="465"/>
      <c r="AF699" s="388"/>
      <c r="AW699" s="471"/>
      <c r="AX699" s="471"/>
    </row>
    <row r="700" spans="1:50" ht="27" customHeight="1" x14ac:dyDescent="0.25">
      <c r="A700" s="462"/>
      <c r="H700" s="929"/>
      <c r="I700" s="388"/>
      <c r="J700" s="929"/>
      <c r="K700" s="388"/>
      <c r="L700" s="929"/>
      <c r="M700" s="388"/>
      <c r="N700" s="929"/>
      <c r="O700" s="388"/>
      <c r="P700" s="388"/>
      <c r="Q700" s="388"/>
      <c r="R700" s="465"/>
      <c r="S700" s="929"/>
      <c r="T700" s="466"/>
      <c r="U700" s="929"/>
      <c r="V700" s="929"/>
      <c r="W700" s="929"/>
      <c r="X700" s="474"/>
      <c r="Y700" s="474"/>
      <c r="Z700" s="474"/>
      <c r="AA700" s="474"/>
      <c r="AB700" s="474"/>
      <c r="AC700" s="388"/>
      <c r="AD700" s="464"/>
      <c r="AE700" s="465"/>
      <c r="AF700" s="388"/>
      <c r="AW700" s="471"/>
      <c r="AX700" s="471"/>
    </row>
    <row r="701" spans="1:50" ht="27" customHeight="1" x14ac:dyDescent="0.25">
      <c r="A701" s="462"/>
      <c r="H701" s="929"/>
      <c r="I701" s="388"/>
      <c r="J701" s="929"/>
      <c r="K701" s="388"/>
      <c r="L701" s="929"/>
      <c r="M701" s="388"/>
      <c r="N701" s="929"/>
      <c r="O701" s="388"/>
      <c r="P701" s="388"/>
      <c r="Q701" s="388"/>
      <c r="R701" s="465"/>
      <c r="S701" s="929"/>
      <c r="T701" s="466"/>
      <c r="U701" s="929"/>
      <c r="V701" s="929"/>
      <c r="W701" s="929"/>
      <c r="X701" s="474"/>
      <c r="Y701" s="474"/>
      <c r="Z701" s="474"/>
      <c r="AA701" s="474"/>
      <c r="AB701" s="474"/>
      <c r="AC701" s="388"/>
      <c r="AD701" s="464"/>
      <c r="AE701" s="465"/>
      <c r="AF701" s="388"/>
      <c r="AW701" s="471"/>
      <c r="AX701" s="471"/>
    </row>
    <row r="702" spans="1:50" ht="27" customHeight="1" x14ac:dyDescent="0.25">
      <c r="A702" s="462"/>
      <c r="H702" s="929"/>
      <c r="I702" s="388"/>
      <c r="J702" s="929"/>
      <c r="K702" s="388"/>
      <c r="L702" s="929"/>
      <c r="M702" s="388"/>
      <c r="N702" s="929"/>
      <c r="O702" s="388"/>
      <c r="P702" s="388"/>
      <c r="Q702" s="388"/>
      <c r="R702" s="465"/>
      <c r="S702" s="929"/>
      <c r="T702" s="466"/>
      <c r="U702" s="929"/>
      <c r="V702" s="929"/>
      <c r="W702" s="929"/>
      <c r="X702" s="474"/>
      <c r="Y702" s="474"/>
      <c r="Z702" s="474"/>
      <c r="AA702" s="474"/>
      <c r="AB702" s="474"/>
      <c r="AC702" s="388"/>
      <c r="AD702" s="464"/>
      <c r="AE702" s="465"/>
      <c r="AF702" s="388"/>
      <c r="AW702" s="471"/>
      <c r="AX702" s="471"/>
    </row>
    <row r="703" spans="1:50" ht="27" customHeight="1" x14ac:dyDescent="0.25">
      <c r="A703" s="462"/>
      <c r="H703" s="929"/>
      <c r="I703" s="388"/>
      <c r="J703" s="929"/>
      <c r="K703" s="388"/>
      <c r="L703" s="929"/>
      <c r="M703" s="388"/>
      <c r="N703" s="929"/>
      <c r="O703" s="388"/>
      <c r="P703" s="388"/>
      <c r="Q703" s="388"/>
      <c r="R703" s="465"/>
      <c r="S703" s="929"/>
      <c r="T703" s="466"/>
      <c r="U703" s="929"/>
      <c r="V703" s="929"/>
      <c r="W703" s="929"/>
      <c r="X703" s="474"/>
      <c r="Y703" s="474"/>
      <c r="Z703" s="474"/>
      <c r="AA703" s="474"/>
      <c r="AB703" s="474"/>
      <c r="AC703" s="388"/>
      <c r="AD703" s="464"/>
      <c r="AE703" s="465"/>
      <c r="AF703" s="388"/>
      <c r="AW703" s="471"/>
      <c r="AX703" s="471"/>
    </row>
    <row r="704" spans="1:50" ht="27" customHeight="1" x14ac:dyDescent="0.25">
      <c r="A704" s="462"/>
      <c r="H704" s="929"/>
      <c r="I704" s="388"/>
      <c r="J704" s="929"/>
      <c r="K704" s="388"/>
      <c r="L704" s="929"/>
      <c r="M704" s="388"/>
      <c r="N704" s="929"/>
      <c r="O704" s="388"/>
      <c r="P704" s="388"/>
      <c r="Q704" s="388"/>
      <c r="R704" s="465"/>
      <c r="S704" s="929"/>
      <c r="T704" s="466"/>
      <c r="U704" s="929"/>
      <c r="V704" s="929"/>
      <c r="W704" s="929"/>
      <c r="X704" s="474"/>
      <c r="Y704" s="474"/>
      <c r="Z704" s="474"/>
      <c r="AA704" s="474"/>
      <c r="AB704" s="474"/>
      <c r="AC704" s="388"/>
      <c r="AD704" s="464"/>
      <c r="AE704" s="465"/>
      <c r="AF704" s="388"/>
      <c r="AW704" s="471"/>
      <c r="AX704" s="471"/>
    </row>
    <row r="705" spans="1:50" ht="27" customHeight="1" x14ac:dyDescent="0.25">
      <c r="A705" s="462"/>
      <c r="H705" s="929"/>
      <c r="I705" s="388"/>
      <c r="J705" s="929"/>
      <c r="K705" s="388"/>
      <c r="L705" s="929"/>
      <c r="M705" s="388"/>
      <c r="N705" s="929"/>
      <c r="O705" s="388"/>
      <c r="P705" s="388"/>
      <c r="Q705" s="388"/>
      <c r="R705" s="465"/>
      <c r="S705" s="929"/>
      <c r="T705" s="466"/>
      <c r="U705" s="929"/>
      <c r="V705" s="929"/>
      <c r="W705" s="929"/>
      <c r="X705" s="474"/>
      <c r="Y705" s="474"/>
      <c r="Z705" s="474"/>
      <c r="AA705" s="474"/>
      <c r="AB705" s="474"/>
      <c r="AC705" s="388"/>
      <c r="AD705" s="464"/>
      <c r="AE705" s="465"/>
      <c r="AF705" s="388"/>
      <c r="AW705" s="471"/>
      <c r="AX705" s="471"/>
    </row>
    <row r="706" spans="1:50" ht="27" customHeight="1" x14ac:dyDescent="0.25">
      <c r="A706" s="462"/>
      <c r="H706" s="929"/>
      <c r="I706" s="388"/>
      <c r="J706" s="929"/>
      <c r="K706" s="388"/>
      <c r="L706" s="929"/>
      <c r="M706" s="388"/>
      <c r="N706" s="929"/>
      <c r="O706" s="388"/>
      <c r="P706" s="388"/>
      <c r="Q706" s="388"/>
      <c r="R706" s="465"/>
      <c r="S706" s="929"/>
      <c r="T706" s="466"/>
      <c r="U706" s="929"/>
      <c r="V706" s="929"/>
      <c r="W706" s="929"/>
      <c r="X706" s="474"/>
      <c r="Y706" s="474"/>
      <c r="Z706" s="474"/>
      <c r="AA706" s="474"/>
      <c r="AB706" s="474"/>
      <c r="AC706" s="388"/>
      <c r="AD706" s="464"/>
      <c r="AE706" s="465"/>
      <c r="AF706" s="388"/>
      <c r="AW706" s="471"/>
      <c r="AX706" s="471"/>
    </row>
    <row r="707" spans="1:50" ht="27" customHeight="1" x14ac:dyDescent="0.25">
      <c r="A707" s="462"/>
      <c r="H707" s="929"/>
      <c r="I707" s="388"/>
      <c r="J707" s="929"/>
      <c r="K707" s="388"/>
      <c r="L707" s="929"/>
      <c r="M707" s="388"/>
      <c r="N707" s="929"/>
      <c r="O707" s="388"/>
      <c r="P707" s="388"/>
      <c r="Q707" s="388"/>
      <c r="R707" s="465"/>
      <c r="S707" s="929"/>
      <c r="T707" s="466"/>
      <c r="U707" s="929"/>
      <c r="V707" s="929"/>
      <c r="W707" s="929"/>
      <c r="X707" s="474"/>
      <c r="Y707" s="474"/>
      <c r="Z707" s="474"/>
      <c r="AA707" s="474"/>
      <c r="AB707" s="474"/>
      <c r="AC707" s="388"/>
      <c r="AD707" s="464"/>
      <c r="AE707" s="465"/>
      <c r="AF707" s="388"/>
      <c r="AW707" s="471"/>
      <c r="AX707" s="471"/>
    </row>
    <row r="708" spans="1:50" ht="27" customHeight="1" x14ac:dyDescent="0.25">
      <c r="A708" s="462"/>
      <c r="H708" s="929"/>
      <c r="I708" s="388"/>
      <c r="J708" s="929"/>
      <c r="K708" s="388"/>
      <c r="L708" s="929"/>
      <c r="M708" s="388"/>
      <c r="N708" s="929"/>
      <c r="O708" s="388"/>
      <c r="P708" s="388"/>
      <c r="Q708" s="388"/>
      <c r="R708" s="465"/>
      <c r="S708" s="929"/>
      <c r="T708" s="466"/>
      <c r="U708" s="929"/>
      <c r="V708" s="929"/>
      <c r="W708" s="929"/>
      <c r="X708" s="474"/>
      <c r="Y708" s="474"/>
      <c r="Z708" s="474"/>
      <c r="AA708" s="474"/>
      <c r="AB708" s="474"/>
      <c r="AC708" s="388"/>
      <c r="AD708" s="464"/>
      <c r="AE708" s="465"/>
      <c r="AF708" s="388"/>
      <c r="AW708" s="471"/>
      <c r="AX708" s="471"/>
    </row>
    <row r="709" spans="1:50" ht="27" customHeight="1" x14ac:dyDescent="0.25">
      <c r="A709" s="462"/>
      <c r="H709" s="929"/>
      <c r="I709" s="388"/>
      <c r="J709" s="929"/>
      <c r="K709" s="388"/>
      <c r="L709" s="929"/>
      <c r="M709" s="388"/>
      <c r="N709" s="929"/>
      <c r="O709" s="388"/>
      <c r="P709" s="388"/>
      <c r="Q709" s="388"/>
      <c r="R709" s="465"/>
      <c r="S709" s="929"/>
      <c r="T709" s="466"/>
      <c r="U709" s="929"/>
      <c r="V709" s="929"/>
      <c r="W709" s="929"/>
      <c r="X709" s="474"/>
      <c r="Y709" s="474"/>
      <c r="Z709" s="474"/>
      <c r="AA709" s="474"/>
      <c r="AB709" s="474"/>
      <c r="AC709" s="388"/>
      <c r="AD709" s="464"/>
      <c r="AE709" s="465"/>
      <c r="AF709" s="388"/>
      <c r="AW709" s="471"/>
      <c r="AX709" s="471"/>
    </row>
    <row r="710" spans="1:50" ht="27" customHeight="1" x14ac:dyDescent="0.25">
      <c r="A710" s="462"/>
      <c r="H710" s="929"/>
      <c r="I710" s="388"/>
      <c r="J710" s="929"/>
      <c r="K710" s="388"/>
      <c r="L710" s="929"/>
      <c r="M710" s="388"/>
      <c r="N710" s="929"/>
      <c r="O710" s="388"/>
      <c r="P710" s="388"/>
      <c r="Q710" s="388"/>
      <c r="R710" s="465"/>
      <c r="S710" s="929"/>
      <c r="T710" s="466"/>
      <c r="U710" s="929"/>
      <c r="V710" s="929"/>
      <c r="W710" s="929"/>
      <c r="X710" s="474"/>
      <c r="Y710" s="474"/>
      <c r="Z710" s="474"/>
      <c r="AA710" s="474"/>
      <c r="AB710" s="474"/>
      <c r="AC710" s="388"/>
      <c r="AD710" s="464"/>
      <c r="AE710" s="465"/>
      <c r="AF710" s="388"/>
      <c r="AW710" s="471"/>
      <c r="AX710" s="471"/>
    </row>
    <row r="711" spans="1:50" ht="27" customHeight="1" x14ac:dyDescent="0.25">
      <c r="A711" s="462"/>
      <c r="H711" s="929"/>
      <c r="I711" s="388"/>
      <c r="J711" s="929"/>
      <c r="K711" s="388"/>
      <c r="L711" s="929"/>
      <c r="M711" s="388"/>
      <c r="N711" s="929"/>
      <c r="O711" s="388"/>
      <c r="P711" s="388"/>
      <c r="Q711" s="388"/>
      <c r="R711" s="465"/>
      <c r="S711" s="929"/>
      <c r="T711" s="466"/>
      <c r="U711" s="929"/>
      <c r="V711" s="929"/>
      <c r="W711" s="929"/>
      <c r="X711" s="474"/>
      <c r="Y711" s="474"/>
      <c r="Z711" s="474"/>
      <c r="AA711" s="474"/>
      <c r="AB711" s="474"/>
      <c r="AC711" s="388"/>
      <c r="AD711" s="464"/>
      <c r="AE711" s="465"/>
      <c r="AF711" s="388"/>
      <c r="AW711" s="471"/>
      <c r="AX711" s="471"/>
    </row>
    <row r="712" spans="1:50" ht="27" customHeight="1" x14ac:dyDescent="0.25">
      <c r="A712" s="462"/>
      <c r="H712" s="929"/>
      <c r="I712" s="388"/>
      <c r="J712" s="929"/>
      <c r="K712" s="388"/>
      <c r="L712" s="929"/>
      <c r="M712" s="388"/>
      <c r="N712" s="929"/>
      <c r="O712" s="388"/>
      <c r="P712" s="388"/>
      <c r="Q712" s="388"/>
      <c r="R712" s="465"/>
      <c r="S712" s="929"/>
      <c r="T712" s="466"/>
      <c r="U712" s="929"/>
      <c r="V712" s="929"/>
      <c r="W712" s="929"/>
      <c r="X712" s="474"/>
      <c r="Y712" s="474"/>
      <c r="Z712" s="474"/>
      <c r="AA712" s="474"/>
      <c r="AB712" s="474"/>
      <c r="AC712" s="388"/>
      <c r="AD712" s="464"/>
      <c r="AE712" s="465"/>
      <c r="AF712" s="388"/>
      <c r="AW712" s="471"/>
      <c r="AX712" s="471"/>
    </row>
    <row r="713" spans="1:50" ht="27" customHeight="1" x14ac:dyDescent="0.25">
      <c r="A713" s="462"/>
      <c r="H713" s="929"/>
      <c r="I713" s="388"/>
      <c r="J713" s="929"/>
      <c r="K713" s="388"/>
      <c r="L713" s="929"/>
      <c r="M713" s="388"/>
      <c r="N713" s="929"/>
      <c r="O713" s="388"/>
      <c r="P713" s="388"/>
      <c r="Q713" s="388"/>
      <c r="R713" s="465"/>
      <c r="S713" s="929"/>
      <c r="T713" s="466"/>
      <c r="U713" s="929"/>
      <c r="V713" s="929"/>
      <c r="W713" s="929"/>
      <c r="X713" s="474"/>
      <c r="Y713" s="474"/>
      <c r="Z713" s="474"/>
      <c r="AA713" s="474"/>
      <c r="AB713" s="474"/>
      <c r="AC713" s="388"/>
      <c r="AD713" s="464"/>
      <c r="AE713" s="465"/>
      <c r="AF713" s="388"/>
      <c r="AW713" s="471"/>
      <c r="AX713" s="471"/>
    </row>
    <row r="714" spans="1:50" ht="27" customHeight="1" x14ac:dyDescent="0.25">
      <c r="A714" s="462"/>
      <c r="H714" s="929"/>
      <c r="I714" s="388"/>
      <c r="J714" s="929"/>
      <c r="K714" s="388"/>
      <c r="L714" s="929"/>
      <c r="M714" s="388"/>
      <c r="N714" s="929"/>
      <c r="O714" s="388"/>
      <c r="P714" s="388"/>
      <c r="Q714" s="388"/>
      <c r="R714" s="465"/>
      <c r="S714" s="929"/>
      <c r="T714" s="466"/>
      <c r="U714" s="929"/>
      <c r="V714" s="929"/>
      <c r="W714" s="929"/>
      <c r="X714" s="474"/>
      <c r="Y714" s="474"/>
      <c r="Z714" s="474"/>
      <c r="AA714" s="474"/>
      <c r="AB714" s="474"/>
      <c r="AC714" s="388"/>
      <c r="AD714" s="464"/>
      <c r="AE714" s="465"/>
      <c r="AF714" s="388"/>
      <c r="AW714" s="471"/>
      <c r="AX714" s="471"/>
    </row>
    <row r="715" spans="1:50" ht="27" customHeight="1" x14ac:dyDescent="0.25">
      <c r="A715" s="462"/>
      <c r="H715" s="929"/>
      <c r="I715" s="388"/>
      <c r="J715" s="929"/>
      <c r="K715" s="388"/>
      <c r="L715" s="929"/>
      <c r="M715" s="388"/>
      <c r="N715" s="929"/>
      <c r="O715" s="388"/>
      <c r="P715" s="388"/>
      <c r="Q715" s="388"/>
      <c r="R715" s="465"/>
      <c r="S715" s="929"/>
      <c r="T715" s="466"/>
      <c r="U715" s="929"/>
      <c r="V715" s="929"/>
      <c r="W715" s="929"/>
      <c r="X715" s="474"/>
      <c r="Y715" s="474"/>
      <c r="Z715" s="474"/>
      <c r="AA715" s="474"/>
      <c r="AB715" s="474"/>
      <c r="AC715" s="388"/>
      <c r="AD715" s="464"/>
      <c r="AE715" s="465"/>
      <c r="AF715" s="388"/>
      <c r="AW715" s="471"/>
      <c r="AX715" s="471"/>
    </row>
    <row r="716" spans="1:50" ht="27" customHeight="1" x14ac:dyDescent="0.25">
      <c r="A716" s="462"/>
      <c r="H716" s="929"/>
      <c r="I716" s="388"/>
      <c r="J716" s="929"/>
      <c r="K716" s="388"/>
      <c r="L716" s="929"/>
      <c r="M716" s="388"/>
      <c r="N716" s="929"/>
      <c r="O716" s="388"/>
      <c r="P716" s="388"/>
      <c r="Q716" s="388"/>
      <c r="R716" s="465"/>
      <c r="S716" s="929"/>
      <c r="T716" s="466"/>
      <c r="U716" s="929"/>
      <c r="V716" s="929"/>
      <c r="W716" s="929"/>
      <c r="X716" s="474"/>
      <c r="Y716" s="474"/>
      <c r="Z716" s="474"/>
      <c r="AA716" s="474"/>
      <c r="AB716" s="474"/>
      <c r="AC716" s="388"/>
      <c r="AD716" s="464"/>
      <c r="AE716" s="465"/>
      <c r="AF716" s="388"/>
      <c r="AW716" s="471"/>
      <c r="AX716" s="471"/>
    </row>
    <row r="717" spans="1:50" ht="27" customHeight="1" x14ac:dyDescent="0.25">
      <c r="A717" s="462"/>
      <c r="H717" s="929"/>
      <c r="I717" s="388"/>
      <c r="J717" s="929"/>
      <c r="K717" s="388"/>
      <c r="L717" s="929"/>
      <c r="M717" s="388"/>
      <c r="N717" s="929"/>
      <c r="O717" s="388"/>
      <c r="P717" s="388"/>
      <c r="Q717" s="388"/>
      <c r="R717" s="465"/>
      <c r="S717" s="929"/>
      <c r="T717" s="466"/>
      <c r="U717" s="929"/>
      <c r="V717" s="929"/>
      <c r="W717" s="929"/>
      <c r="X717" s="474"/>
      <c r="Y717" s="474"/>
      <c r="Z717" s="474"/>
      <c r="AA717" s="474"/>
      <c r="AB717" s="474"/>
      <c r="AC717" s="388"/>
      <c r="AD717" s="464"/>
      <c r="AE717" s="465"/>
      <c r="AF717" s="388"/>
      <c r="AW717" s="471"/>
      <c r="AX717" s="471"/>
    </row>
    <row r="718" spans="1:50" ht="27" customHeight="1" x14ac:dyDescent="0.25">
      <c r="A718" s="462"/>
      <c r="H718" s="929"/>
      <c r="I718" s="388"/>
      <c r="J718" s="929"/>
      <c r="K718" s="388"/>
      <c r="L718" s="929"/>
      <c r="M718" s="388"/>
      <c r="N718" s="929"/>
      <c r="O718" s="388"/>
      <c r="P718" s="388"/>
      <c r="Q718" s="388"/>
      <c r="R718" s="465"/>
      <c r="S718" s="929"/>
      <c r="T718" s="466"/>
      <c r="U718" s="929"/>
      <c r="V718" s="929"/>
      <c r="W718" s="929"/>
      <c r="X718" s="474"/>
      <c r="Y718" s="474"/>
      <c r="Z718" s="474"/>
      <c r="AA718" s="474"/>
      <c r="AB718" s="474"/>
      <c r="AC718" s="388"/>
      <c r="AD718" s="464"/>
      <c r="AE718" s="465"/>
      <c r="AF718" s="388"/>
      <c r="AW718" s="471"/>
      <c r="AX718" s="471"/>
    </row>
    <row r="719" spans="1:50" ht="27" customHeight="1" x14ac:dyDescent="0.25">
      <c r="A719" s="462"/>
      <c r="H719" s="929"/>
      <c r="I719" s="388"/>
      <c r="J719" s="929"/>
      <c r="K719" s="388"/>
      <c r="L719" s="929"/>
      <c r="M719" s="388"/>
      <c r="N719" s="929"/>
      <c r="O719" s="388"/>
      <c r="P719" s="388"/>
      <c r="Q719" s="388"/>
      <c r="R719" s="465"/>
      <c r="S719" s="929"/>
      <c r="T719" s="466"/>
      <c r="U719" s="929"/>
      <c r="V719" s="929"/>
      <c r="W719" s="929"/>
      <c r="X719" s="474"/>
      <c r="Y719" s="474"/>
      <c r="Z719" s="474"/>
      <c r="AA719" s="474"/>
      <c r="AB719" s="474"/>
      <c r="AC719" s="388"/>
      <c r="AD719" s="464"/>
      <c r="AE719" s="465"/>
      <c r="AF719" s="388"/>
      <c r="AW719" s="471"/>
      <c r="AX719" s="471"/>
    </row>
    <row r="720" spans="1:50" ht="27" customHeight="1" x14ac:dyDescent="0.25">
      <c r="A720" s="462"/>
      <c r="H720" s="929"/>
      <c r="I720" s="388"/>
      <c r="J720" s="929"/>
      <c r="K720" s="388"/>
      <c r="L720" s="929"/>
      <c r="M720" s="388"/>
      <c r="N720" s="929"/>
      <c r="O720" s="388"/>
      <c r="P720" s="388"/>
      <c r="Q720" s="388"/>
      <c r="R720" s="465"/>
      <c r="S720" s="929"/>
      <c r="T720" s="466"/>
      <c r="U720" s="929"/>
      <c r="V720" s="929"/>
      <c r="W720" s="929"/>
      <c r="X720" s="474"/>
      <c r="Y720" s="474"/>
      <c r="Z720" s="474"/>
      <c r="AA720" s="474"/>
      <c r="AB720" s="474"/>
      <c r="AC720" s="388"/>
      <c r="AD720" s="464"/>
      <c r="AE720" s="465"/>
      <c r="AF720" s="388"/>
      <c r="AW720" s="471"/>
      <c r="AX720" s="471"/>
    </row>
    <row r="721" spans="1:50" ht="27" customHeight="1" x14ac:dyDescent="0.25">
      <c r="A721" s="462"/>
      <c r="H721" s="929"/>
      <c r="I721" s="388"/>
      <c r="J721" s="929"/>
      <c r="K721" s="388"/>
      <c r="L721" s="929"/>
      <c r="M721" s="388"/>
      <c r="N721" s="929"/>
      <c r="O721" s="388"/>
      <c r="P721" s="388"/>
      <c r="Q721" s="388"/>
      <c r="R721" s="465"/>
      <c r="S721" s="929"/>
      <c r="T721" s="466"/>
      <c r="U721" s="929"/>
      <c r="V721" s="929"/>
      <c r="W721" s="929"/>
      <c r="X721" s="474"/>
      <c r="Y721" s="474"/>
      <c r="Z721" s="474"/>
      <c r="AA721" s="474"/>
      <c r="AB721" s="474"/>
      <c r="AC721" s="388"/>
      <c r="AD721" s="464"/>
      <c r="AE721" s="465"/>
      <c r="AF721" s="388"/>
      <c r="AW721" s="471"/>
      <c r="AX721" s="471"/>
    </row>
    <row r="722" spans="1:50" ht="27" customHeight="1" x14ac:dyDescent="0.25">
      <c r="A722" s="462"/>
      <c r="H722" s="929"/>
      <c r="I722" s="388"/>
      <c r="J722" s="929"/>
      <c r="K722" s="388"/>
      <c r="L722" s="929"/>
      <c r="M722" s="388"/>
      <c r="N722" s="929"/>
      <c r="O722" s="388"/>
      <c r="P722" s="388"/>
      <c r="Q722" s="388"/>
      <c r="R722" s="465"/>
      <c r="S722" s="929"/>
      <c r="T722" s="466"/>
      <c r="U722" s="929"/>
      <c r="V722" s="929"/>
      <c r="W722" s="929"/>
      <c r="X722" s="474"/>
      <c r="Y722" s="474"/>
      <c r="Z722" s="474"/>
      <c r="AA722" s="474"/>
      <c r="AB722" s="474"/>
      <c r="AC722" s="388"/>
      <c r="AD722" s="464"/>
      <c r="AE722" s="465"/>
      <c r="AF722" s="388"/>
      <c r="AW722" s="471"/>
      <c r="AX722" s="471"/>
    </row>
    <row r="723" spans="1:50" ht="27" customHeight="1" x14ac:dyDescent="0.25">
      <c r="A723" s="462"/>
      <c r="H723" s="929"/>
      <c r="I723" s="388"/>
      <c r="J723" s="929"/>
      <c r="K723" s="388"/>
      <c r="L723" s="929"/>
      <c r="M723" s="388"/>
      <c r="N723" s="929"/>
      <c r="O723" s="388"/>
      <c r="P723" s="388"/>
      <c r="Q723" s="388"/>
      <c r="R723" s="465"/>
      <c r="S723" s="929"/>
      <c r="T723" s="466"/>
      <c r="U723" s="929"/>
      <c r="V723" s="929"/>
      <c r="W723" s="929"/>
      <c r="X723" s="474"/>
      <c r="Y723" s="474"/>
      <c r="Z723" s="474"/>
      <c r="AA723" s="474"/>
      <c r="AB723" s="474"/>
      <c r="AC723" s="388"/>
      <c r="AD723" s="464"/>
      <c r="AE723" s="465"/>
      <c r="AF723" s="388"/>
      <c r="AW723" s="471"/>
      <c r="AX723" s="471"/>
    </row>
    <row r="724" spans="1:50" ht="27" customHeight="1" x14ac:dyDescent="0.25">
      <c r="A724" s="462"/>
      <c r="H724" s="929"/>
      <c r="I724" s="388"/>
      <c r="J724" s="929"/>
      <c r="K724" s="388"/>
      <c r="L724" s="929"/>
      <c r="M724" s="388"/>
      <c r="N724" s="929"/>
      <c r="O724" s="388"/>
      <c r="P724" s="388"/>
      <c r="Q724" s="388"/>
      <c r="R724" s="465"/>
      <c r="S724" s="929"/>
      <c r="T724" s="466"/>
      <c r="U724" s="929"/>
      <c r="V724" s="929"/>
      <c r="W724" s="929"/>
      <c r="X724" s="474"/>
      <c r="Y724" s="474"/>
      <c r="Z724" s="474"/>
      <c r="AA724" s="474"/>
      <c r="AB724" s="474"/>
      <c r="AC724" s="388"/>
      <c r="AD724" s="464"/>
      <c r="AE724" s="465"/>
      <c r="AF724" s="388"/>
      <c r="AW724" s="471"/>
      <c r="AX724" s="471"/>
    </row>
    <row r="725" spans="1:50" ht="27" customHeight="1" x14ac:dyDescent="0.25">
      <c r="A725" s="462"/>
      <c r="H725" s="929"/>
      <c r="I725" s="388"/>
      <c r="J725" s="929"/>
      <c r="K725" s="388"/>
      <c r="L725" s="929"/>
      <c r="M725" s="388"/>
      <c r="N725" s="929"/>
      <c r="O725" s="388"/>
      <c r="P725" s="388"/>
      <c r="Q725" s="388"/>
      <c r="R725" s="465"/>
      <c r="S725" s="929"/>
      <c r="T725" s="466"/>
      <c r="U725" s="929"/>
      <c r="V725" s="929"/>
      <c r="W725" s="929"/>
      <c r="X725" s="474"/>
      <c r="Y725" s="474"/>
      <c r="Z725" s="474"/>
      <c r="AA725" s="474"/>
      <c r="AB725" s="474"/>
      <c r="AC725" s="388"/>
      <c r="AD725" s="464"/>
      <c r="AE725" s="465"/>
      <c r="AF725" s="388"/>
      <c r="AW725" s="471"/>
      <c r="AX725" s="471"/>
    </row>
    <row r="726" spans="1:50" ht="27" customHeight="1" x14ac:dyDescent="0.25">
      <c r="A726" s="462"/>
      <c r="H726" s="929"/>
      <c r="I726" s="388"/>
      <c r="J726" s="929"/>
      <c r="K726" s="388"/>
      <c r="L726" s="929"/>
      <c r="M726" s="388"/>
      <c r="N726" s="929"/>
      <c r="O726" s="388"/>
      <c r="P726" s="388"/>
      <c r="Q726" s="388"/>
      <c r="R726" s="465"/>
      <c r="S726" s="929"/>
      <c r="T726" s="466"/>
      <c r="U726" s="929"/>
      <c r="V726" s="929"/>
      <c r="W726" s="929"/>
      <c r="X726" s="474"/>
      <c r="Y726" s="474"/>
      <c r="Z726" s="474"/>
      <c r="AA726" s="474"/>
      <c r="AB726" s="474"/>
      <c r="AC726" s="388"/>
      <c r="AD726" s="464"/>
      <c r="AE726" s="465"/>
      <c r="AF726" s="388"/>
      <c r="AW726" s="471"/>
      <c r="AX726" s="471"/>
    </row>
    <row r="727" spans="1:50" ht="27" customHeight="1" x14ac:dyDescent="0.25">
      <c r="A727" s="462"/>
      <c r="H727" s="929"/>
      <c r="I727" s="388"/>
      <c r="J727" s="929"/>
      <c r="K727" s="388"/>
      <c r="L727" s="929"/>
      <c r="M727" s="388"/>
      <c r="N727" s="929"/>
      <c r="O727" s="388"/>
      <c r="P727" s="388"/>
      <c r="Q727" s="388"/>
      <c r="R727" s="465"/>
      <c r="S727" s="929"/>
      <c r="T727" s="466"/>
      <c r="U727" s="929"/>
      <c r="V727" s="929"/>
      <c r="W727" s="929"/>
      <c r="X727" s="474"/>
      <c r="Y727" s="474"/>
      <c r="Z727" s="474"/>
      <c r="AA727" s="474"/>
      <c r="AB727" s="474"/>
      <c r="AC727" s="388"/>
      <c r="AD727" s="464"/>
      <c r="AE727" s="465"/>
      <c r="AF727" s="388"/>
      <c r="AW727" s="471"/>
      <c r="AX727" s="471"/>
    </row>
    <row r="728" spans="1:50" ht="27" customHeight="1" x14ac:dyDescent="0.25">
      <c r="A728" s="462"/>
      <c r="H728" s="929"/>
      <c r="I728" s="388"/>
      <c r="J728" s="929"/>
      <c r="K728" s="388"/>
      <c r="L728" s="929"/>
      <c r="M728" s="388"/>
      <c r="N728" s="929"/>
      <c r="O728" s="388"/>
      <c r="P728" s="388"/>
      <c r="Q728" s="388"/>
      <c r="R728" s="465"/>
      <c r="S728" s="929"/>
      <c r="T728" s="466"/>
      <c r="U728" s="929"/>
      <c r="V728" s="929"/>
      <c r="W728" s="929"/>
      <c r="X728" s="474"/>
      <c r="Y728" s="474"/>
      <c r="Z728" s="474"/>
      <c r="AA728" s="474"/>
      <c r="AB728" s="474"/>
      <c r="AC728" s="388"/>
      <c r="AD728" s="464"/>
      <c r="AE728" s="465"/>
      <c r="AF728" s="388"/>
      <c r="AW728" s="471"/>
      <c r="AX728" s="471"/>
    </row>
    <row r="729" spans="1:50" ht="27" customHeight="1" x14ac:dyDescent="0.25">
      <c r="A729" s="462"/>
      <c r="H729" s="929"/>
      <c r="I729" s="388"/>
      <c r="J729" s="929"/>
      <c r="K729" s="388"/>
      <c r="L729" s="929"/>
      <c r="M729" s="388"/>
      <c r="N729" s="929"/>
      <c r="O729" s="388"/>
      <c r="P729" s="388"/>
      <c r="Q729" s="388"/>
      <c r="R729" s="465"/>
      <c r="S729" s="929"/>
      <c r="T729" s="466"/>
      <c r="U729" s="929"/>
      <c r="V729" s="929"/>
      <c r="W729" s="929"/>
      <c r="X729" s="474"/>
      <c r="Y729" s="474"/>
      <c r="Z729" s="474"/>
      <c r="AA729" s="474"/>
      <c r="AB729" s="474"/>
      <c r="AC729" s="388"/>
      <c r="AD729" s="464"/>
      <c r="AE729" s="465"/>
      <c r="AF729" s="388"/>
      <c r="AW729" s="471"/>
      <c r="AX729" s="471"/>
    </row>
    <row r="730" spans="1:50" ht="27" customHeight="1" x14ac:dyDescent="0.25">
      <c r="A730" s="462"/>
      <c r="H730" s="929"/>
      <c r="I730" s="388"/>
      <c r="J730" s="929"/>
      <c r="K730" s="388"/>
      <c r="L730" s="929"/>
      <c r="M730" s="388"/>
      <c r="N730" s="929"/>
      <c r="O730" s="388"/>
      <c r="P730" s="388"/>
      <c r="Q730" s="388"/>
      <c r="R730" s="465"/>
      <c r="S730" s="929"/>
      <c r="T730" s="466"/>
      <c r="U730" s="929"/>
      <c r="V730" s="929"/>
      <c r="W730" s="929"/>
      <c r="X730" s="474"/>
      <c r="Y730" s="474"/>
      <c r="Z730" s="474"/>
      <c r="AA730" s="474"/>
      <c r="AB730" s="474"/>
      <c r="AC730" s="388"/>
      <c r="AD730" s="464"/>
      <c r="AE730" s="465"/>
      <c r="AF730" s="388"/>
      <c r="AW730" s="471"/>
      <c r="AX730" s="471"/>
    </row>
    <row r="731" spans="1:50" ht="27" customHeight="1" x14ac:dyDescent="0.25">
      <c r="A731" s="462"/>
      <c r="H731" s="929"/>
      <c r="I731" s="388"/>
      <c r="J731" s="929"/>
      <c r="K731" s="388"/>
      <c r="L731" s="929"/>
      <c r="M731" s="388"/>
      <c r="N731" s="929"/>
      <c r="O731" s="388"/>
      <c r="P731" s="388"/>
      <c r="Q731" s="388"/>
      <c r="R731" s="465"/>
      <c r="S731" s="929"/>
      <c r="T731" s="466"/>
      <c r="U731" s="929"/>
      <c r="V731" s="929"/>
      <c r="W731" s="929"/>
      <c r="X731" s="474"/>
      <c r="Y731" s="474"/>
      <c r="Z731" s="474"/>
      <c r="AA731" s="474"/>
      <c r="AB731" s="474"/>
      <c r="AC731" s="388"/>
      <c r="AD731" s="464"/>
      <c r="AE731" s="465"/>
      <c r="AF731" s="388"/>
      <c r="AW731" s="471"/>
      <c r="AX731" s="471"/>
    </row>
    <row r="732" spans="1:50" ht="27" customHeight="1" x14ac:dyDescent="0.25">
      <c r="A732" s="462"/>
      <c r="H732" s="929"/>
      <c r="I732" s="388"/>
      <c r="J732" s="929"/>
      <c r="K732" s="388"/>
      <c r="L732" s="929"/>
      <c r="M732" s="388"/>
      <c r="N732" s="929"/>
      <c r="O732" s="388"/>
      <c r="P732" s="388"/>
      <c r="Q732" s="388"/>
      <c r="R732" s="465"/>
      <c r="S732" s="929"/>
      <c r="T732" s="466"/>
      <c r="U732" s="929"/>
      <c r="V732" s="929"/>
      <c r="W732" s="929"/>
      <c r="X732" s="474"/>
      <c r="Y732" s="474"/>
      <c r="Z732" s="474"/>
      <c r="AA732" s="474"/>
      <c r="AB732" s="474"/>
      <c r="AC732" s="388"/>
      <c r="AD732" s="464"/>
      <c r="AE732" s="465"/>
      <c r="AF732" s="388"/>
      <c r="AW732" s="471"/>
      <c r="AX732" s="471"/>
    </row>
    <row r="733" spans="1:50" ht="27" customHeight="1" x14ac:dyDescent="0.25">
      <c r="A733" s="462"/>
      <c r="H733" s="929"/>
      <c r="I733" s="388"/>
      <c r="J733" s="929"/>
      <c r="K733" s="388"/>
      <c r="L733" s="929"/>
      <c r="M733" s="388"/>
      <c r="N733" s="929"/>
      <c r="O733" s="388"/>
      <c r="P733" s="388"/>
      <c r="Q733" s="388"/>
      <c r="R733" s="465"/>
      <c r="S733" s="929"/>
      <c r="T733" s="466"/>
      <c r="U733" s="929"/>
      <c r="V733" s="929"/>
      <c r="W733" s="929"/>
      <c r="X733" s="474"/>
      <c r="Y733" s="474"/>
      <c r="Z733" s="474"/>
      <c r="AA733" s="474"/>
      <c r="AB733" s="474"/>
      <c r="AC733" s="388"/>
      <c r="AD733" s="464"/>
      <c r="AE733" s="465"/>
      <c r="AF733" s="388"/>
      <c r="AW733" s="471"/>
      <c r="AX733" s="471"/>
    </row>
    <row r="734" spans="1:50" ht="27" customHeight="1" x14ac:dyDescent="0.25">
      <c r="A734" s="462"/>
      <c r="H734" s="929"/>
      <c r="I734" s="388"/>
      <c r="J734" s="929"/>
      <c r="K734" s="388"/>
      <c r="L734" s="929"/>
      <c r="M734" s="388"/>
      <c r="N734" s="929"/>
      <c r="O734" s="388"/>
      <c r="P734" s="388"/>
      <c r="Q734" s="388"/>
      <c r="R734" s="465"/>
      <c r="S734" s="929"/>
      <c r="T734" s="466"/>
      <c r="U734" s="929"/>
      <c r="V734" s="929"/>
      <c r="W734" s="929"/>
      <c r="X734" s="474"/>
      <c r="Y734" s="474"/>
      <c r="Z734" s="474"/>
      <c r="AA734" s="474"/>
      <c r="AB734" s="474"/>
      <c r="AC734" s="388"/>
      <c r="AD734" s="464"/>
      <c r="AE734" s="465"/>
      <c r="AF734" s="388"/>
      <c r="AW734" s="471"/>
      <c r="AX734" s="471"/>
    </row>
    <row r="735" spans="1:50" ht="27" customHeight="1" x14ac:dyDescent="0.25">
      <c r="A735" s="462"/>
      <c r="H735" s="929"/>
      <c r="I735" s="388"/>
      <c r="J735" s="929"/>
      <c r="K735" s="388"/>
      <c r="L735" s="929"/>
      <c r="M735" s="388"/>
      <c r="N735" s="929"/>
      <c r="O735" s="388"/>
      <c r="P735" s="388"/>
      <c r="Q735" s="388"/>
      <c r="R735" s="465"/>
      <c r="S735" s="929"/>
      <c r="T735" s="466"/>
      <c r="U735" s="929"/>
      <c r="V735" s="929"/>
      <c r="W735" s="929"/>
      <c r="X735" s="474"/>
      <c r="Y735" s="474"/>
      <c r="Z735" s="474"/>
      <c r="AA735" s="474"/>
      <c r="AB735" s="474"/>
      <c r="AC735" s="388"/>
      <c r="AD735" s="464"/>
      <c r="AE735" s="465"/>
      <c r="AF735" s="388"/>
      <c r="AW735" s="471"/>
      <c r="AX735" s="471"/>
    </row>
    <row r="736" spans="1:50" ht="27" customHeight="1" x14ac:dyDescent="0.25">
      <c r="A736" s="462"/>
      <c r="H736" s="929"/>
      <c r="I736" s="388"/>
      <c r="J736" s="929"/>
      <c r="K736" s="388"/>
      <c r="L736" s="929"/>
      <c r="M736" s="388"/>
      <c r="N736" s="929"/>
      <c r="O736" s="388"/>
      <c r="P736" s="388"/>
      <c r="Q736" s="388"/>
      <c r="R736" s="465"/>
      <c r="S736" s="929"/>
      <c r="T736" s="466"/>
      <c r="U736" s="929"/>
      <c r="V736" s="929"/>
      <c r="W736" s="929"/>
      <c r="X736" s="474"/>
      <c r="Y736" s="474"/>
      <c r="Z736" s="474"/>
      <c r="AA736" s="474"/>
      <c r="AB736" s="474"/>
      <c r="AC736" s="388"/>
      <c r="AD736" s="464"/>
      <c r="AE736" s="465"/>
      <c r="AF736" s="388"/>
      <c r="AW736" s="471"/>
      <c r="AX736" s="471"/>
    </row>
    <row r="737" spans="1:50" ht="27" customHeight="1" x14ac:dyDescent="0.25">
      <c r="A737" s="462"/>
      <c r="H737" s="929"/>
      <c r="I737" s="388"/>
      <c r="J737" s="929"/>
      <c r="K737" s="388"/>
      <c r="L737" s="929"/>
      <c r="M737" s="388"/>
      <c r="N737" s="929"/>
      <c r="O737" s="388"/>
      <c r="P737" s="388"/>
      <c r="Q737" s="388"/>
      <c r="R737" s="465"/>
      <c r="S737" s="929"/>
      <c r="T737" s="466"/>
      <c r="U737" s="929"/>
      <c r="V737" s="929"/>
      <c r="W737" s="929"/>
      <c r="X737" s="474"/>
      <c r="Y737" s="474"/>
      <c r="Z737" s="474"/>
      <c r="AA737" s="474"/>
      <c r="AB737" s="474"/>
      <c r="AC737" s="388"/>
      <c r="AD737" s="464"/>
      <c r="AE737" s="465"/>
      <c r="AF737" s="388"/>
      <c r="AW737" s="471"/>
      <c r="AX737" s="471"/>
    </row>
    <row r="738" spans="1:50" ht="27" customHeight="1" x14ac:dyDescent="0.25">
      <c r="A738" s="462"/>
      <c r="H738" s="929"/>
      <c r="I738" s="388"/>
      <c r="J738" s="929"/>
      <c r="K738" s="388"/>
      <c r="L738" s="929"/>
      <c r="M738" s="388"/>
      <c r="N738" s="929"/>
      <c r="O738" s="388"/>
      <c r="P738" s="388"/>
      <c r="Q738" s="388"/>
      <c r="R738" s="465"/>
      <c r="S738" s="929"/>
      <c r="T738" s="466"/>
      <c r="U738" s="929"/>
      <c r="V738" s="929"/>
      <c r="W738" s="929"/>
      <c r="X738" s="474"/>
      <c r="Y738" s="474"/>
      <c r="Z738" s="474"/>
      <c r="AA738" s="474"/>
      <c r="AB738" s="474"/>
      <c r="AC738" s="388"/>
      <c r="AD738" s="464"/>
      <c r="AE738" s="465"/>
      <c r="AF738" s="388"/>
      <c r="AW738" s="471"/>
      <c r="AX738" s="471"/>
    </row>
    <row r="739" spans="1:50" ht="27" customHeight="1" x14ac:dyDescent="0.25">
      <c r="A739" s="462"/>
      <c r="H739" s="929"/>
      <c r="I739" s="388"/>
      <c r="J739" s="929"/>
      <c r="K739" s="388"/>
      <c r="L739" s="929"/>
      <c r="M739" s="388"/>
      <c r="N739" s="929"/>
      <c r="O739" s="388"/>
      <c r="P739" s="388"/>
      <c r="Q739" s="388"/>
      <c r="R739" s="465"/>
      <c r="S739" s="929"/>
      <c r="T739" s="466"/>
      <c r="U739" s="929"/>
      <c r="V739" s="929"/>
      <c r="W739" s="929"/>
      <c r="X739" s="474"/>
      <c r="Y739" s="474"/>
      <c r="Z739" s="474"/>
      <c r="AA739" s="474"/>
      <c r="AB739" s="474"/>
      <c r="AC739" s="388"/>
      <c r="AD739" s="464"/>
      <c r="AE739" s="465"/>
      <c r="AF739" s="388"/>
      <c r="AW739" s="471"/>
      <c r="AX739" s="471"/>
    </row>
    <row r="740" spans="1:50" ht="27" customHeight="1" x14ac:dyDescent="0.25">
      <c r="A740" s="462"/>
      <c r="H740" s="929"/>
      <c r="I740" s="388"/>
      <c r="J740" s="929"/>
      <c r="K740" s="388"/>
      <c r="L740" s="929"/>
      <c r="M740" s="388"/>
      <c r="N740" s="929"/>
      <c r="O740" s="388"/>
      <c r="P740" s="388"/>
      <c r="Q740" s="388"/>
      <c r="R740" s="465"/>
      <c r="S740" s="929"/>
      <c r="T740" s="466"/>
      <c r="U740" s="929"/>
      <c r="V740" s="929"/>
      <c r="W740" s="929"/>
      <c r="X740" s="474"/>
      <c r="Y740" s="474"/>
      <c r="Z740" s="474"/>
      <c r="AA740" s="474"/>
      <c r="AB740" s="474"/>
      <c r="AC740" s="388"/>
      <c r="AD740" s="464"/>
      <c r="AE740" s="465"/>
      <c r="AF740" s="388"/>
      <c r="AW740" s="471"/>
      <c r="AX740" s="471"/>
    </row>
    <row r="741" spans="1:50" ht="27" customHeight="1" x14ac:dyDescent="0.25">
      <c r="A741" s="462"/>
      <c r="H741" s="929"/>
      <c r="I741" s="388"/>
      <c r="J741" s="929"/>
      <c r="K741" s="388"/>
      <c r="L741" s="929"/>
      <c r="M741" s="388"/>
      <c r="N741" s="929"/>
      <c r="O741" s="388"/>
      <c r="P741" s="388"/>
      <c r="Q741" s="388"/>
      <c r="R741" s="465"/>
      <c r="S741" s="929"/>
      <c r="T741" s="466"/>
      <c r="U741" s="929"/>
      <c r="V741" s="929"/>
      <c r="W741" s="929"/>
      <c r="X741" s="474"/>
      <c r="Y741" s="474"/>
      <c r="Z741" s="474"/>
      <c r="AA741" s="474"/>
      <c r="AB741" s="474"/>
      <c r="AC741" s="388"/>
      <c r="AD741" s="464"/>
      <c r="AE741" s="465"/>
      <c r="AF741" s="388"/>
      <c r="AW741" s="471"/>
      <c r="AX741" s="471"/>
    </row>
    <row r="742" spans="1:50" ht="27" customHeight="1" x14ac:dyDescent="0.25">
      <c r="A742" s="462"/>
      <c r="H742" s="929"/>
      <c r="I742" s="388"/>
      <c r="J742" s="929"/>
      <c r="K742" s="388"/>
      <c r="L742" s="929"/>
      <c r="M742" s="388"/>
      <c r="N742" s="929"/>
      <c r="O742" s="388"/>
      <c r="P742" s="388"/>
      <c r="Q742" s="388"/>
      <c r="R742" s="465"/>
      <c r="S742" s="929"/>
      <c r="T742" s="466"/>
      <c r="U742" s="929"/>
      <c r="V742" s="929"/>
      <c r="W742" s="929"/>
      <c r="X742" s="474"/>
      <c r="Y742" s="474"/>
      <c r="Z742" s="474"/>
      <c r="AA742" s="474"/>
      <c r="AB742" s="474"/>
      <c r="AC742" s="388"/>
      <c r="AD742" s="464"/>
      <c r="AE742" s="465"/>
      <c r="AF742" s="388"/>
      <c r="AW742" s="471"/>
      <c r="AX742" s="471"/>
    </row>
    <row r="743" spans="1:50" ht="27" customHeight="1" x14ac:dyDescent="0.25">
      <c r="A743" s="462"/>
      <c r="H743" s="929"/>
      <c r="I743" s="388"/>
      <c r="J743" s="929"/>
      <c r="K743" s="388"/>
      <c r="L743" s="929"/>
      <c r="M743" s="388"/>
      <c r="N743" s="929"/>
      <c r="O743" s="388"/>
      <c r="P743" s="388"/>
      <c r="Q743" s="388"/>
      <c r="R743" s="465"/>
      <c r="S743" s="929"/>
      <c r="T743" s="466"/>
      <c r="U743" s="929"/>
      <c r="V743" s="929"/>
      <c r="W743" s="929"/>
      <c r="X743" s="474"/>
      <c r="Y743" s="474"/>
      <c r="Z743" s="474"/>
      <c r="AA743" s="474"/>
      <c r="AB743" s="474"/>
      <c r="AC743" s="388"/>
      <c r="AD743" s="464"/>
      <c r="AE743" s="465"/>
      <c r="AF743" s="388"/>
      <c r="AW743" s="471"/>
      <c r="AX743" s="471"/>
    </row>
    <row r="744" spans="1:50" ht="27" customHeight="1" x14ac:dyDescent="0.25">
      <c r="A744" s="462"/>
      <c r="H744" s="929"/>
      <c r="I744" s="388"/>
      <c r="J744" s="929"/>
      <c r="K744" s="388"/>
      <c r="L744" s="929"/>
      <c r="M744" s="388"/>
      <c r="N744" s="929"/>
      <c r="O744" s="388"/>
      <c r="P744" s="388"/>
      <c r="Q744" s="388"/>
      <c r="R744" s="465"/>
      <c r="S744" s="929"/>
      <c r="T744" s="466"/>
      <c r="U744" s="929"/>
      <c r="V744" s="929"/>
      <c r="W744" s="929"/>
      <c r="X744" s="474"/>
      <c r="Y744" s="474"/>
      <c r="Z744" s="474"/>
      <c r="AA744" s="474"/>
      <c r="AB744" s="474"/>
      <c r="AC744" s="388"/>
      <c r="AD744" s="464"/>
      <c r="AE744" s="465"/>
      <c r="AF744" s="388"/>
      <c r="AW744" s="471"/>
      <c r="AX744" s="471"/>
    </row>
    <row r="745" spans="1:50" ht="27" customHeight="1" x14ac:dyDescent="0.25">
      <c r="A745" s="462"/>
      <c r="H745" s="929"/>
      <c r="I745" s="388"/>
      <c r="J745" s="929"/>
      <c r="K745" s="388"/>
      <c r="L745" s="929"/>
      <c r="M745" s="388"/>
      <c r="N745" s="929"/>
      <c r="O745" s="388"/>
      <c r="P745" s="388"/>
      <c r="Q745" s="388"/>
      <c r="R745" s="465"/>
      <c r="S745" s="929"/>
      <c r="T745" s="466"/>
      <c r="U745" s="929"/>
      <c r="V745" s="929"/>
      <c r="W745" s="929"/>
      <c r="X745" s="474"/>
      <c r="Y745" s="474"/>
      <c r="Z745" s="474"/>
      <c r="AA745" s="474"/>
      <c r="AB745" s="474"/>
      <c r="AC745" s="388"/>
      <c r="AD745" s="464"/>
      <c r="AE745" s="465"/>
      <c r="AF745" s="388"/>
      <c r="AW745" s="471"/>
      <c r="AX745" s="471"/>
    </row>
    <row r="746" spans="1:50" ht="27" customHeight="1" x14ac:dyDescent="0.25">
      <c r="A746" s="462"/>
      <c r="H746" s="929"/>
      <c r="I746" s="388"/>
      <c r="J746" s="929"/>
      <c r="K746" s="388"/>
      <c r="L746" s="929"/>
      <c r="M746" s="388"/>
      <c r="N746" s="929"/>
      <c r="O746" s="388"/>
      <c r="P746" s="388"/>
      <c r="Q746" s="388"/>
      <c r="R746" s="465"/>
      <c r="S746" s="929"/>
      <c r="T746" s="466"/>
      <c r="U746" s="929"/>
      <c r="V746" s="929"/>
      <c r="W746" s="929"/>
      <c r="X746" s="474"/>
      <c r="Y746" s="474"/>
      <c r="Z746" s="474"/>
      <c r="AA746" s="474"/>
      <c r="AB746" s="474"/>
      <c r="AC746" s="388"/>
      <c r="AD746" s="464"/>
      <c r="AE746" s="465"/>
      <c r="AF746" s="388"/>
      <c r="AW746" s="471"/>
      <c r="AX746" s="471"/>
    </row>
    <row r="747" spans="1:50" ht="27" customHeight="1" x14ac:dyDescent="0.25">
      <c r="A747" s="462"/>
      <c r="H747" s="929"/>
      <c r="I747" s="388"/>
      <c r="J747" s="929"/>
      <c r="K747" s="388"/>
      <c r="L747" s="929"/>
      <c r="M747" s="388"/>
      <c r="N747" s="929"/>
      <c r="O747" s="388"/>
      <c r="P747" s="388"/>
      <c r="Q747" s="388"/>
      <c r="R747" s="465"/>
      <c r="S747" s="929"/>
      <c r="T747" s="466"/>
      <c r="U747" s="929"/>
      <c r="V747" s="929"/>
      <c r="W747" s="929"/>
      <c r="X747" s="474"/>
      <c r="Y747" s="474"/>
      <c r="Z747" s="474"/>
      <c r="AA747" s="474"/>
      <c r="AB747" s="474"/>
      <c r="AC747" s="388"/>
      <c r="AD747" s="464"/>
      <c r="AE747" s="465"/>
      <c r="AF747" s="388"/>
      <c r="AW747" s="471"/>
      <c r="AX747" s="471"/>
    </row>
    <row r="748" spans="1:50" ht="27" customHeight="1" x14ac:dyDescent="0.25">
      <c r="A748" s="462"/>
      <c r="H748" s="929"/>
      <c r="I748" s="388"/>
      <c r="J748" s="929"/>
      <c r="K748" s="388"/>
      <c r="L748" s="929"/>
      <c r="M748" s="388"/>
      <c r="N748" s="929"/>
      <c r="O748" s="388"/>
      <c r="P748" s="388"/>
      <c r="Q748" s="388"/>
      <c r="R748" s="465"/>
      <c r="S748" s="929"/>
      <c r="T748" s="466"/>
      <c r="U748" s="929"/>
      <c r="V748" s="929"/>
      <c r="W748" s="929"/>
      <c r="X748" s="474"/>
      <c r="Y748" s="474"/>
      <c r="Z748" s="474"/>
      <c r="AA748" s="474"/>
      <c r="AB748" s="474"/>
      <c r="AC748" s="388"/>
      <c r="AD748" s="464"/>
      <c r="AE748" s="465"/>
      <c r="AF748" s="388"/>
      <c r="AW748" s="471"/>
      <c r="AX748" s="471"/>
    </row>
    <row r="749" spans="1:50" ht="27" customHeight="1" x14ac:dyDescent="0.25">
      <c r="A749" s="462"/>
      <c r="H749" s="929"/>
      <c r="I749" s="388"/>
      <c r="J749" s="929"/>
      <c r="K749" s="388"/>
      <c r="L749" s="929"/>
      <c r="M749" s="388"/>
      <c r="N749" s="929"/>
      <c r="O749" s="388"/>
      <c r="P749" s="388"/>
      <c r="Q749" s="388"/>
      <c r="R749" s="465"/>
      <c r="S749" s="929"/>
      <c r="T749" s="466"/>
      <c r="U749" s="929"/>
      <c r="V749" s="929"/>
      <c r="W749" s="929"/>
      <c r="X749" s="474"/>
      <c r="Y749" s="474"/>
      <c r="Z749" s="474"/>
      <c r="AA749" s="474"/>
      <c r="AB749" s="474"/>
      <c r="AC749" s="388"/>
      <c r="AD749" s="464"/>
      <c r="AE749" s="465"/>
      <c r="AF749" s="388"/>
      <c r="AW749" s="471"/>
      <c r="AX749" s="471"/>
    </row>
    <row r="750" spans="1:50" ht="27" customHeight="1" x14ac:dyDescent="0.25">
      <c r="A750" s="462"/>
      <c r="H750" s="929"/>
      <c r="I750" s="388"/>
      <c r="J750" s="929"/>
      <c r="K750" s="388"/>
      <c r="L750" s="929"/>
      <c r="M750" s="388"/>
      <c r="N750" s="929"/>
      <c r="O750" s="388"/>
      <c r="P750" s="388"/>
      <c r="Q750" s="388"/>
      <c r="R750" s="465"/>
      <c r="S750" s="929"/>
      <c r="T750" s="466"/>
      <c r="U750" s="929"/>
      <c r="V750" s="929"/>
      <c r="W750" s="929"/>
      <c r="X750" s="474"/>
      <c r="Y750" s="474"/>
      <c r="Z750" s="474"/>
      <c r="AA750" s="474"/>
      <c r="AB750" s="474"/>
      <c r="AC750" s="388"/>
      <c r="AD750" s="464"/>
      <c r="AE750" s="465"/>
      <c r="AF750" s="388"/>
      <c r="AW750" s="471"/>
      <c r="AX750" s="471"/>
    </row>
    <row r="751" spans="1:50" ht="27" customHeight="1" x14ac:dyDescent="0.25">
      <c r="A751" s="462"/>
      <c r="H751" s="929"/>
      <c r="I751" s="388"/>
      <c r="J751" s="929"/>
      <c r="K751" s="388"/>
      <c r="L751" s="929"/>
      <c r="M751" s="388"/>
      <c r="N751" s="929"/>
      <c r="O751" s="388"/>
      <c r="P751" s="388"/>
      <c r="Q751" s="388"/>
      <c r="R751" s="465"/>
      <c r="S751" s="929"/>
      <c r="T751" s="466"/>
      <c r="U751" s="929"/>
      <c r="V751" s="929"/>
      <c r="W751" s="929"/>
      <c r="X751" s="474"/>
      <c r="Y751" s="474"/>
      <c r="Z751" s="474"/>
      <c r="AA751" s="474"/>
      <c r="AB751" s="474"/>
      <c r="AC751" s="388"/>
      <c r="AD751" s="464"/>
      <c r="AE751" s="465"/>
      <c r="AF751" s="388"/>
      <c r="AW751" s="471"/>
      <c r="AX751" s="471"/>
    </row>
    <row r="752" spans="1:50" ht="27" customHeight="1" x14ac:dyDescent="0.25">
      <c r="A752" s="462"/>
      <c r="H752" s="929"/>
      <c r="I752" s="388"/>
      <c r="J752" s="929"/>
      <c r="K752" s="388"/>
      <c r="L752" s="929"/>
      <c r="M752" s="388"/>
      <c r="N752" s="929"/>
      <c r="O752" s="388"/>
      <c r="P752" s="388"/>
      <c r="Q752" s="388"/>
      <c r="R752" s="465"/>
      <c r="S752" s="929"/>
      <c r="T752" s="466"/>
      <c r="U752" s="929"/>
      <c r="V752" s="929"/>
      <c r="W752" s="929"/>
      <c r="X752" s="474"/>
      <c r="Y752" s="474"/>
      <c r="Z752" s="474"/>
      <c r="AA752" s="474"/>
      <c r="AB752" s="474"/>
      <c r="AC752" s="388"/>
      <c r="AD752" s="464"/>
      <c r="AE752" s="465"/>
      <c r="AF752" s="388"/>
      <c r="AW752" s="471"/>
      <c r="AX752" s="471"/>
    </row>
    <row r="753" spans="1:50" ht="27" customHeight="1" x14ac:dyDescent="0.25">
      <c r="A753" s="462"/>
      <c r="H753" s="929"/>
      <c r="I753" s="388"/>
      <c r="J753" s="929"/>
      <c r="K753" s="388"/>
      <c r="L753" s="929"/>
      <c r="M753" s="388"/>
      <c r="N753" s="929"/>
      <c r="O753" s="388"/>
      <c r="P753" s="388"/>
      <c r="Q753" s="388"/>
      <c r="R753" s="465"/>
      <c r="S753" s="929"/>
      <c r="T753" s="466"/>
      <c r="U753" s="929"/>
      <c r="V753" s="929"/>
      <c r="W753" s="929"/>
      <c r="X753" s="474"/>
      <c r="Y753" s="474"/>
      <c r="Z753" s="474"/>
      <c r="AA753" s="474"/>
      <c r="AB753" s="474"/>
      <c r="AC753" s="388"/>
      <c r="AD753" s="464"/>
      <c r="AE753" s="465"/>
      <c r="AF753" s="388"/>
      <c r="AW753" s="471"/>
      <c r="AX753" s="471"/>
    </row>
    <row r="754" spans="1:50" ht="27" customHeight="1" x14ac:dyDescent="0.25">
      <c r="A754" s="462"/>
      <c r="H754" s="929"/>
      <c r="I754" s="388"/>
      <c r="J754" s="929"/>
      <c r="K754" s="388"/>
      <c r="L754" s="929"/>
      <c r="M754" s="388"/>
      <c r="N754" s="929"/>
      <c r="O754" s="388"/>
      <c r="P754" s="388"/>
      <c r="Q754" s="388"/>
      <c r="R754" s="465"/>
      <c r="S754" s="929"/>
      <c r="T754" s="466"/>
      <c r="U754" s="929"/>
      <c r="V754" s="929"/>
      <c r="W754" s="929"/>
      <c r="X754" s="474"/>
      <c r="Y754" s="474"/>
      <c r="Z754" s="474"/>
      <c r="AA754" s="474"/>
      <c r="AB754" s="474"/>
      <c r="AC754" s="388"/>
      <c r="AD754" s="464"/>
      <c r="AE754" s="465"/>
      <c r="AF754" s="388"/>
      <c r="AW754" s="471"/>
      <c r="AX754" s="471"/>
    </row>
    <row r="755" spans="1:50" ht="27" customHeight="1" x14ac:dyDescent="0.25">
      <c r="A755" s="462"/>
      <c r="H755" s="929"/>
      <c r="I755" s="388"/>
      <c r="J755" s="929"/>
      <c r="K755" s="388"/>
      <c r="L755" s="929"/>
      <c r="M755" s="388"/>
      <c r="N755" s="929"/>
      <c r="O755" s="388"/>
      <c r="P755" s="388"/>
      <c r="Q755" s="388"/>
      <c r="R755" s="465"/>
      <c r="S755" s="929"/>
      <c r="T755" s="466"/>
      <c r="U755" s="929"/>
      <c r="V755" s="929"/>
      <c r="W755" s="929"/>
      <c r="X755" s="474"/>
      <c r="Y755" s="474"/>
      <c r="Z755" s="474"/>
      <c r="AA755" s="474"/>
      <c r="AB755" s="474"/>
      <c r="AC755" s="388"/>
      <c r="AD755" s="464"/>
      <c r="AE755" s="465"/>
      <c r="AF755" s="388"/>
      <c r="AW755" s="471"/>
      <c r="AX755" s="471"/>
    </row>
    <row r="756" spans="1:50" ht="27" customHeight="1" x14ac:dyDescent="0.25">
      <c r="A756" s="462"/>
      <c r="H756" s="929"/>
      <c r="I756" s="388"/>
      <c r="J756" s="929"/>
      <c r="K756" s="388"/>
      <c r="L756" s="929"/>
      <c r="M756" s="388"/>
      <c r="N756" s="929"/>
      <c r="O756" s="388"/>
      <c r="P756" s="388"/>
      <c r="Q756" s="388"/>
      <c r="R756" s="465"/>
      <c r="S756" s="929"/>
      <c r="T756" s="466"/>
      <c r="U756" s="929"/>
      <c r="V756" s="929"/>
      <c r="W756" s="929"/>
      <c r="X756" s="474"/>
      <c r="Y756" s="474"/>
      <c r="Z756" s="474"/>
      <c r="AA756" s="474"/>
      <c r="AB756" s="474"/>
      <c r="AC756" s="388"/>
      <c r="AD756" s="464"/>
      <c r="AE756" s="465"/>
      <c r="AF756" s="388"/>
      <c r="AW756" s="471"/>
      <c r="AX756" s="471"/>
    </row>
    <row r="757" spans="1:50" ht="27" customHeight="1" x14ac:dyDescent="0.25">
      <c r="A757" s="462"/>
      <c r="H757" s="929"/>
      <c r="I757" s="388"/>
      <c r="J757" s="929"/>
      <c r="K757" s="388"/>
      <c r="L757" s="929"/>
      <c r="M757" s="388"/>
      <c r="N757" s="929"/>
      <c r="O757" s="388"/>
      <c r="P757" s="388"/>
      <c r="Q757" s="388"/>
      <c r="R757" s="465"/>
      <c r="S757" s="929"/>
      <c r="T757" s="466"/>
      <c r="U757" s="929"/>
      <c r="V757" s="929"/>
      <c r="W757" s="929"/>
      <c r="X757" s="474"/>
      <c r="Y757" s="474"/>
      <c r="Z757" s="474"/>
      <c r="AA757" s="474"/>
      <c r="AB757" s="474"/>
      <c r="AC757" s="388"/>
      <c r="AD757" s="464"/>
      <c r="AE757" s="465"/>
      <c r="AF757" s="388"/>
      <c r="AW757" s="471"/>
      <c r="AX757" s="471"/>
    </row>
    <row r="758" spans="1:50" ht="27" customHeight="1" x14ac:dyDescent="0.25">
      <c r="A758" s="462"/>
      <c r="H758" s="929"/>
      <c r="I758" s="388"/>
      <c r="J758" s="929"/>
      <c r="K758" s="388"/>
      <c r="L758" s="929"/>
      <c r="M758" s="388"/>
      <c r="N758" s="929"/>
      <c r="O758" s="388"/>
      <c r="P758" s="388"/>
      <c r="Q758" s="388"/>
      <c r="R758" s="465"/>
      <c r="S758" s="929"/>
      <c r="T758" s="466"/>
      <c r="U758" s="929"/>
      <c r="V758" s="929"/>
      <c r="W758" s="929"/>
      <c r="X758" s="474"/>
      <c r="Y758" s="474"/>
      <c r="Z758" s="474"/>
      <c r="AA758" s="474"/>
      <c r="AB758" s="474"/>
      <c r="AC758" s="388"/>
      <c r="AD758" s="464"/>
      <c r="AE758" s="465"/>
      <c r="AF758" s="388"/>
      <c r="AW758" s="471"/>
      <c r="AX758" s="471"/>
    </row>
    <row r="759" spans="1:50" ht="27" customHeight="1" x14ac:dyDescent="0.25">
      <c r="A759" s="462"/>
      <c r="H759" s="929"/>
      <c r="I759" s="388"/>
      <c r="J759" s="929"/>
      <c r="K759" s="388"/>
      <c r="L759" s="929"/>
      <c r="M759" s="388"/>
      <c r="N759" s="929"/>
      <c r="O759" s="388"/>
      <c r="P759" s="388"/>
      <c r="Q759" s="388"/>
      <c r="R759" s="465"/>
      <c r="S759" s="929"/>
      <c r="T759" s="466"/>
      <c r="U759" s="929"/>
      <c r="V759" s="929"/>
      <c r="W759" s="929"/>
      <c r="X759" s="474"/>
      <c r="Y759" s="474"/>
      <c r="Z759" s="474"/>
      <c r="AA759" s="474"/>
      <c r="AB759" s="474"/>
      <c r="AC759" s="388"/>
      <c r="AD759" s="464"/>
      <c r="AE759" s="465"/>
      <c r="AF759" s="388"/>
      <c r="AW759" s="471"/>
      <c r="AX759" s="471"/>
    </row>
    <row r="760" spans="1:50" ht="27" customHeight="1" x14ac:dyDescent="0.25">
      <c r="A760" s="462"/>
      <c r="H760" s="929"/>
      <c r="I760" s="388"/>
      <c r="J760" s="929"/>
      <c r="K760" s="388"/>
      <c r="L760" s="929"/>
      <c r="M760" s="388"/>
      <c r="N760" s="929"/>
      <c r="O760" s="388"/>
      <c r="P760" s="388"/>
      <c r="Q760" s="388"/>
      <c r="R760" s="465"/>
      <c r="S760" s="929"/>
      <c r="T760" s="466"/>
      <c r="U760" s="929"/>
      <c r="V760" s="929"/>
      <c r="W760" s="929"/>
      <c r="X760" s="474"/>
      <c r="Y760" s="474"/>
      <c r="Z760" s="474"/>
      <c r="AA760" s="474"/>
      <c r="AB760" s="474"/>
      <c r="AC760" s="388"/>
      <c r="AD760" s="464"/>
      <c r="AE760" s="465"/>
      <c r="AF760" s="388"/>
      <c r="AW760" s="471"/>
      <c r="AX760" s="471"/>
    </row>
    <row r="761" spans="1:50" ht="27" customHeight="1" x14ac:dyDescent="0.25">
      <c r="A761" s="462"/>
      <c r="H761" s="929"/>
      <c r="I761" s="388"/>
      <c r="J761" s="929"/>
      <c r="K761" s="388"/>
      <c r="L761" s="929"/>
      <c r="M761" s="388"/>
      <c r="N761" s="929"/>
      <c r="O761" s="388"/>
      <c r="P761" s="388"/>
      <c r="Q761" s="388"/>
      <c r="R761" s="465"/>
      <c r="S761" s="929"/>
      <c r="T761" s="466"/>
      <c r="U761" s="929"/>
      <c r="V761" s="929"/>
      <c r="W761" s="929"/>
      <c r="X761" s="474"/>
      <c r="Y761" s="474"/>
      <c r="Z761" s="474"/>
      <c r="AA761" s="474"/>
      <c r="AB761" s="474"/>
      <c r="AC761" s="388"/>
      <c r="AD761" s="464"/>
      <c r="AE761" s="465"/>
      <c r="AF761" s="388"/>
      <c r="AW761" s="471"/>
      <c r="AX761" s="471"/>
    </row>
    <row r="762" spans="1:50" ht="27" customHeight="1" x14ac:dyDescent="0.25">
      <c r="A762" s="462"/>
      <c r="H762" s="929"/>
      <c r="I762" s="388"/>
      <c r="J762" s="929"/>
      <c r="K762" s="388"/>
      <c r="L762" s="929"/>
      <c r="M762" s="388"/>
      <c r="N762" s="929"/>
      <c r="O762" s="388"/>
      <c r="P762" s="388"/>
      <c r="Q762" s="388"/>
      <c r="R762" s="465"/>
      <c r="S762" s="929"/>
      <c r="T762" s="466"/>
      <c r="U762" s="929"/>
      <c r="V762" s="929"/>
      <c r="W762" s="929"/>
      <c r="X762" s="474"/>
      <c r="Y762" s="474"/>
      <c r="Z762" s="474"/>
      <c r="AA762" s="474"/>
      <c r="AB762" s="474"/>
      <c r="AC762" s="388"/>
      <c r="AD762" s="464"/>
      <c r="AE762" s="465"/>
      <c r="AF762" s="388"/>
      <c r="AW762" s="471"/>
      <c r="AX762" s="471"/>
    </row>
    <row r="763" spans="1:50" ht="27" customHeight="1" x14ac:dyDescent="0.25">
      <c r="A763" s="462"/>
      <c r="H763" s="929"/>
      <c r="I763" s="388"/>
      <c r="J763" s="929"/>
      <c r="K763" s="388"/>
      <c r="L763" s="929"/>
      <c r="M763" s="388"/>
      <c r="N763" s="929"/>
      <c r="O763" s="388"/>
      <c r="P763" s="388"/>
      <c r="Q763" s="388"/>
      <c r="R763" s="465"/>
      <c r="S763" s="929"/>
      <c r="T763" s="466"/>
      <c r="U763" s="929"/>
      <c r="V763" s="929"/>
      <c r="W763" s="929"/>
      <c r="X763" s="474"/>
      <c r="Y763" s="474"/>
      <c r="Z763" s="474"/>
      <c r="AA763" s="474"/>
      <c r="AB763" s="474"/>
      <c r="AC763" s="388"/>
      <c r="AD763" s="464"/>
      <c r="AE763" s="465"/>
      <c r="AF763" s="388"/>
      <c r="AW763" s="471"/>
      <c r="AX763" s="471"/>
    </row>
    <row r="764" spans="1:50" ht="27" customHeight="1" x14ac:dyDescent="0.25">
      <c r="A764" s="462"/>
      <c r="H764" s="929"/>
      <c r="I764" s="388"/>
      <c r="J764" s="929"/>
      <c r="K764" s="388"/>
      <c r="L764" s="929"/>
      <c r="M764" s="388"/>
      <c r="N764" s="929"/>
      <c r="O764" s="388"/>
      <c r="P764" s="388"/>
      <c r="Q764" s="388"/>
      <c r="R764" s="465"/>
      <c r="S764" s="929"/>
      <c r="T764" s="466"/>
      <c r="U764" s="929"/>
      <c r="V764" s="929"/>
      <c r="W764" s="929"/>
      <c r="X764" s="474"/>
      <c r="Y764" s="474"/>
      <c r="Z764" s="474"/>
      <c r="AA764" s="474"/>
      <c r="AB764" s="474"/>
      <c r="AC764" s="388"/>
      <c r="AD764" s="464"/>
      <c r="AE764" s="465"/>
      <c r="AF764" s="388"/>
      <c r="AW764" s="471"/>
      <c r="AX764" s="471"/>
    </row>
    <row r="765" spans="1:50" ht="27" customHeight="1" x14ac:dyDescent="0.25">
      <c r="A765" s="462"/>
      <c r="H765" s="929"/>
      <c r="I765" s="388"/>
      <c r="J765" s="929"/>
      <c r="K765" s="388"/>
      <c r="L765" s="929"/>
      <c r="M765" s="388"/>
      <c r="N765" s="929"/>
      <c r="O765" s="388"/>
      <c r="P765" s="388"/>
      <c r="Q765" s="388"/>
      <c r="R765" s="465"/>
      <c r="S765" s="929"/>
      <c r="T765" s="466"/>
      <c r="U765" s="929"/>
      <c r="V765" s="929"/>
      <c r="W765" s="929"/>
      <c r="X765" s="474"/>
      <c r="Y765" s="474"/>
      <c r="Z765" s="474"/>
      <c r="AA765" s="474"/>
      <c r="AB765" s="474"/>
      <c r="AC765" s="388"/>
      <c r="AD765" s="464"/>
      <c r="AE765" s="465"/>
      <c r="AF765" s="388"/>
      <c r="AW765" s="471"/>
      <c r="AX765" s="471"/>
    </row>
    <row r="766" spans="1:50" ht="27" customHeight="1" x14ac:dyDescent="0.25">
      <c r="A766" s="462"/>
      <c r="H766" s="929"/>
      <c r="I766" s="388"/>
      <c r="J766" s="929"/>
      <c r="K766" s="388"/>
      <c r="L766" s="929"/>
      <c r="M766" s="388"/>
      <c r="N766" s="929"/>
      <c r="O766" s="388"/>
      <c r="P766" s="388"/>
      <c r="Q766" s="388"/>
      <c r="R766" s="465"/>
      <c r="S766" s="929"/>
      <c r="T766" s="466"/>
      <c r="U766" s="929"/>
      <c r="V766" s="929"/>
      <c r="W766" s="929"/>
      <c r="X766" s="474"/>
      <c r="Y766" s="474"/>
      <c r="Z766" s="474"/>
      <c r="AA766" s="474"/>
      <c r="AB766" s="474"/>
      <c r="AC766" s="388"/>
      <c r="AD766" s="464"/>
      <c r="AE766" s="465"/>
      <c r="AF766" s="388"/>
      <c r="AW766" s="471"/>
      <c r="AX766" s="471"/>
    </row>
    <row r="767" spans="1:50" ht="27" customHeight="1" x14ac:dyDescent="0.25">
      <c r="A767" s="462"/>
      <c r="H767" s="929"/>
      <c r="I767" s="388"/>
      <c r="J767" s="929"/>
      <c r="K767" s="388"/>
      <c r="L767" s="929"/>
      <c r="M767" s="388"/>
      <c r="N767" s="929"/>
      <c r="O767" s="388"/>
      <c r="P767" s="388"/>
      <c r="Q767" s="388"/>
      <c r="R767" s="465"/>
      <c r="S767" s="929"/>
      <c r="T767" s="466"/>
      <c r="U767" s="929"/>
      <c r="V767" s="929"/>
      <c r="W767" s="929"/>
      <c r="X767" s="474"/>
      <c r="Y767" s="474"/>
      <c r="Z767" s="474"/>
      <c r="AA767" s="474"/>
      <c r="AB767" s="474"/>
      <c r="AC767" s="388"/>
      <c r="AD767" s="464"/>
      <c r="AE767" s="465"/>
      <c r="AF767" s="388"/>
      <c r="AW767" s="471"/>
      <c r="AX767" s="471"/>
    </row>
    <row r="768" spans="1:50" ht="27" customHeight="1" x14ac:dyDescent="0.25">
      <c r="A768" s="462"/>
      <c r="H768" s="929"/>
      <c r="I768" s="388"/>
      <c r="J768" s="929"/>
      <c r="K768" s="388"/>
      <c r="L768" s="929"/>
      <c r="M768" s="388"/>
      <c r="N768" s="929"/>
      <c r="O768" s="388"/>
      <c r="P768" s="388"/>
      <c r="Q768" s="388"/>
      <c r="R768" s="465"/>
      <c r="S768" s="929"/>
      <c r="T768" s="466"/>
      <c r="U768" s="929"/>
      <c r="V768" s="929"/>
      <c r="W768" s="929"/>
      <c r="X768" s="474"/>
      <c r="Y768" s="474"/>
      <c r="Z768" s="474"/>
      <c r="AA768" s="474"/>
      <c r="AB768" s="474"/>
      <c r="AC768" s="388"/>
      <c r="AD768" s="464"/>
      <c r="AE768" s="465"/>
      <c r="AF768" s="388"/>
      <c r="AW768" s="471"/>
      <c r="AX768" s="471"/>
    </row>
    <row r="769" spans="1:50" ht="27" customHeight="1" x14ac:dyDescent="0.25">
      <c r="A769" s="462"/>
      <c r="H769" s="929"/>
      <c r="I769" s="388"/>
      <c r="J769" s="929"/>
      <c r="K769" s="388"/>
      <c r="L769" s="929"/>
      <c r="M769" s="388"/>
      <c r="N769" s="929"/>
      <c r="O769" s="388"/>
      <c r="P769" s="388"/>
      <c r="Q769" s="388"/>
      <c r="R769" s="465"/>
      <c r="S769" s="929"/>
      <c r="T769" s="466"/>
      <c r="U769" s="929"/>
      <c r="V769" s="929"/>
      <c r="W769" s="929"/>
      <c r="X769" s="474"/>
      <c r="Y769" s="474"/>
      <c r="Z769" s="474"/>
      <c r="AA769" s="474"/>
      <c r="AB769" s="474"/>
      <c r="AC769" s="388"/>
      <c r="AD769" s="464"/>
      <c r="AE769" s="465"/>
      <c r="AF769" s="388"/>
      <c r="AW769" s="471"/>
      <c r="AX769" s="471"/>
    </row>
    <row r="770" spans="1:50" ht="27" customHeight="1" x14ac:dyDescent="0.25">
      <c r="A770" s="462"/>
      <c r="H770" s="929"/>
      <c r="I770" s="388"/>
      <c r="J770" s="929"/>
      <c r="K770" s="388"/>
      <c r="L770" s="929"/>
      <c r="M770" s="388"/>
      <c r="N770" s="929"/>
      <c r="O770" s="388"/>
      <c r="P770" s="388"/>
      <c r="Q770" s="388"/>
      <c r="R770" s="465"/>
      <c r="S770" s="929"/>
      <c r="T770" s="466"/>
      <c r="U770" s="929"/>
      <c r="V770" s="929"/>
      <c r="W770" s="929"/>
      <c r="X770" s="474"/>
      <c r="Y770" s="474"/>
      <c r="Z770" s="474"/>
      <c r="AA770" s="474"/>
      <c r="AB770" s="474"/>
      <c r="AC770" s="388"/>
      <c r="AD770" s="464"/>
      <c r="AE770" s="465"/>
      <c r="AF770" s="388"/>
      <c r="AW770" s="471"/>
      <c r="AX770" s="471"/>
    </row>
    <row r="771" spans="1:50" ht="27" customHeight="1" x14ac:dyDescent="0.25">
      <c r="A771" s="462"/>
      <c r="H771" s="929"/>
      <c r="I771" s="388"/>
      <c r="J771" s="929"/>
      <c r="K771" s="388"/>
      <c r="L771" s="929"/>
      <c r="M771" s="388"/>
      <c r="N771" s="929"/>
      <c r="O771" s="388"/>
      <c r="P771" s="388"/>
      <c r="Q771" s="388"/>
      <c r="R771" s="465"/>
      <c r="S771" s="929"/>
      <c r="T771" s="466"/>
      <c r="U771" s="929"/>
      <c r="V771" s="929"/>
      <c r="W771" s="929"/>
      <c r="X771" s="474"/>
      <c r="Y771" s="474"/>
      <c r="Z771" s="474"/>
      <c r="AA771" s="474"/>
      <c r="AB771" s="474"/>
      <c r="AC771" s="388"/>
      <c r="AD771" s="464"/>
      <c r="AE771" s="465"/>
      <c r="AF771" s="388"/>
      <c r="AW771" s="471"/>
      <c r="AX771" s="471"/>
    </row>
    <row r="772" spans="1:50" ht="27" customHeight="1" x14ac:dyDescent="0.25">
      <c r="A772" s="462"/>
      <c r="H772" s="929"/>
      <c r="I772" s="388"/>
      <c r="J772" s="929"/>
      <c r="K772" s="388"/>
      <c r="L772" s="929"/>
      <c r="M772" s="388"/>
      <c r="N772" s="929"/>
      <c r="O772" s="388"/>
      <c r="P772" s="388"/>
      <c r="Q772" s="388"/>
      <c r="R772" s="465"/>
      <c r="S772" s="929"/>
      <c r="T772" s="466"/>
      <c r="U772" s="929"/>
      <c r="V772" s="929"/>
      <c r="W772" s="929"/>
      <c r="X772" s="474"/>
      <c r="Y772" s="474"/>
      <c r="Z772" s="474"/>
      <c r="AA772" s="474"/>
      <c r="AB772" s="474"/>
      <c r="AC772" s="388"/>
      <c r="AD772" s="464"/>
      <c r="AE772" s="465"/>
      <c r="AF772" s="388"/>
      <c r="AW772" s="471"/>
      <c r="AX772" s="471"/>
    </row>
    <row r="773" spans="1:50" ht="27" customHeight="1" x14ac:dyDescent="0.25">
      <c r="A773" s="462"/>
      <c r="H773" s="929"/>
      <c r="I773" s="388"/>
      <c r="J773" s="929"/>
      <c r="K773" s="388"/>
      <c r="L773" s="929"/>
      <c r="M773" s="388"/>
      <c r="N773" s="929"/>
      <c r="O773" s="388"/>
      <c r="P773" s="388"/>
      <c r="Q773" s="388"/>
      <c r="R773" s="465"/>
      <c r="S773" s="929"/>
      <c r="T773" s="466"/>
      <c r="U773" s="929"/>
      <c r="V773" s="929"/>
      <c r="W773" s="929"/>
      <c r="X773" s="474"/>
      <c r="Y773" s="474"/>
      <c r="Z773" s="474"/>
      <c r="AA773" s="474"/>
      <c r="AB773" s="474"/>
      <c r="AC773" s="388"/>
      <c r="AD773" s="464"/>
      <c r="AE773" s="465"/>
      <c r="AF773" s="388"/>
      <c r="AW773" s="471"/>
      <c r="AX773" s="471"/>
    </row>
    <row r="774" spans="1:50" ht="27" customHeight="1" x14ac:dyDescent="0.25">
      <c r="A774" s="462"/>
      <c r="H774" s="929"/>
      <c r="I774" s="388"/>
      <c r="J774" s="929"/>
      <c r="K774" s="388"/>
      <c r="L774" s="929"/>
      <c r="M774" s="388"/>
      <c r="N774" s="929"/>
      <c r="O774" s="388"/>
      <c r="P774" s="388"/>
      <c r="Q774" s="388"/>
      <c r="R774" s="465"/>
      <c r="S774" s="929"/>
      <c r="T774" s="466"/>
      <c r="U774" s="929"/>
      <c r="V774" s="929"/>
      <c r="W774" s="929"/>
      <c r="X774" s="474"/>
      <c r="Y774" s="474"/>
      <c r="Z774" s="474"/>
      <c r="AA774" s="474"/>
      <c r="AB774" s="474"/>
      <c r="AC774" s="388"/>
      <c r="AD774" s="464"/>
      <c r="AE774" s="465"/>
      <c r="AF774" s="388"/>
      <c r="AW774" s="471"/>
      <c r="AX774" s="471"/>
    </row>
    <row r="775" spans="1:50" ht="27" customHeight="1" x14ac:dyDescent="0.25">
      <c r="A775" s="462"/>
      <c r="H775" s="929"/>
      <c r="I775" s="388"/>
      <c r="J775" s="929"/>
      <c r="K775" s="388"/>
      <c r="L775" s="929"/>
      <c r="M775" s="388"/>
      <c r="N775" s="929"/>
      <c r="O775" s="388"/>
      <c r="P775" s="388"/>
      <c r="Q775" s="388"/>
      <c r="R775" s="465"/>
      <c r="S775" s="929"/>
      <c r="T775" s="466"/>
      <c r="U775" s="929"/>
      <c r="V775" s="929"/>
      <c r="W775" s="929"/>
      <c r="X775" s="474"/>
      <c r="Y775" s="474"/>
      <c r="Z775" s="474"/>
      <c r="AA775" s="474"/>
      <c r="AB775" s="474"/>
      <c r="AC775" s="388"/>
      <c r="AD775" s="464"/>
      <c r="AE775" s="465"/>
      <c r="AF775" s="388"/>
      <c r="AW775" s="471"/>
      <c r="AX775" s="471"/>
    </row>
    <row r="776" spans="1:50" ht="27" customHeight="1" x14ac:dyDescent="0.25">
      <c r="A776" s="462"/>
      <c r="H776" s="929"/>
      <c r="I776" s="388"/>
      <c r="J776" s="929"/>
      <c r="K776" s="388"/>
      <c r="L776" s="929"/>
      <c r="M776" s="388"/>
      <c r="N776" s="929"/>
      <c r="O776" s="388"/>
      <c r="P776" s="388"/>
      <c r="Q776" s="388"/>
      <c r="R776" s="465"/>
      <c r="S776" s="929"/>
      <c r="T776" s="466"/>
      <c r="U776" s="929"/>
      <c r="V776" s="929"/>
      <c r="W776" s="929"/>
      <c r="X776" s="474"/>
      <c r="Y776" s="474"/>
      <c r="Z776" s="474"/>
      <c r="AA776" s="474"/>
      <c r="AB776" s="474"/>
      <c r="AC776" s="388"/>
      <c r="AD776" s="464"/>
      <c r="AE776" s="465"/>
      <c r="AF776" s="388"/>
      <c r="AW776" s="471"/>
      <c r="AX776" s="471"/>
    </row>
    <row r="777" spans="1:50" ht="27" customHeight="1" x14ac:dyDescent="0.25">
      <c r="A777" s="462"/>
      <c r="H777" s="929"/>
      <c r="I777" s="388"/>
      <c r="J777" s="929"/>
      <c r="K777" s="388"/>
      <c r="L777" s="929"/>
      <c r="M777" s="388"/>
      <c r="N777" s="929"/>
      <c r="O777" s="388"/>
      <c r="P777" s="388"/>
      <c r="Q777" s="388"/>
      <c r="R777" s="465"/>
      <c r="S777" s="929"/>
      <c r="T777" s="466"/>
      <c r="U777" s="929"/>
      <c r="V777" s="929"/>
      <c r="W777" s="929"/>
      <c r="X777" s="474"/>
      <c r="Y777" s="474"/>
      <c r="Z777" s="474"/>
      <c r="AA777" s="474"/>
      <c r="AB777" s="474"/>
      <c r="AC777" s="388"/>
      <c r="AD777" s="464"/>
      <c r="AE777" s="465"/>
      <c r="AF777" s="388"/>
      <c r="AW777" s="471"/>
      <c r="AX777" s="471"/>
    </row>
    <row r="778" spans="1:50" ht="27" customHeight="1" x14ac:dyDescent="0.25">
      <c r="A778" s="462"/>
      <c r="H778" s="929"/>
      <c r="I778" s="388"/>
      <c r="J778" s="929"/>
      <c r="K778" s="388"/>
      <c r="L778" s="929"/>
      <c r="M778" s="388"/>
      <c r="N778" s="929"/>
      <c r="O778" s="388"/>
      <c r="P778" s="388"/>
      <c r="Q778" s="388"/>
      <c r="R778" s="465"/>
      <c r="S778" s="929"/>
      <c r="T778" s="466"/>
      <c r="U778" s="929"/>
      <c r="V778" s="929"/>
      <c r="W778" s="929"/>
      <c r="X778" s="474"/>
      <c r="Y778" s="474"/>
      <c r="Z778" s="474"/>
      <c r="AA778" s="474"/>
      <c r="AB778" s="474"/>
      <c r="AC778" s="388"/>
      <c r="AD778" s="464"/>
      <c r="AE778" s="465"/>
      <c r="AF778" s="388"/>
      <c r="AW778" s="471"/>
      <c r="AX778" s="471"/>
    </row>
    <row r="779" spans="1:50" ht="27" customHeight="1" x14ac:dyDescent="0.25">
      <c r="A779" s="462"/>
      <c r="H779" s="929"/>
      <c r="I779" s="388"/>
      <c r="J779" s="929"/>
      <c r="K779" s="388"/>
      <c r="L779" s="929"/>
      <c r="M779" s="388"/>
      <c r="N779" s="929"/>
      <c r="O779" s="388"/>
      <c r="P779" s="388"/>
      <c r="Q779" s="388"/>
      <c r="R779" s="465"/>
      <c r="S779" s="929"/>
      <c r="T779" s="466"/>
      <c r="U779" s="929"/>
      <c r="V779" s="929"/>
      <c r="W779" s="929"/>
      <c r="X779" s="474"/>
      <c r="Y779" s="474"/>
      <c r="Z779" s="474"/>
      <c r="AA779" s="474"/>
      <c r="AB779" s="474"/>
      <c r="AC779" s="388"/>
      <c r="AD779" s="464"/>
      <c r="AE779" s="465"/>
      <c r="AF779" s="388"/>
      <c r="AW779" s="471"/>
      <c r="AX779" s="471"/>
    </row>
    <row r="780" spans="1:50" ht="27" customHeight="1" x14ac:dyDescent="0.25">
      <c r="A780" s="462"/>
      <c r="H780" s="929"/>
      <c r="I780" s="388"/>
      <c r="J780" s="929"/>
      <c r="K780" s="388"/>
      <c r="L780" s="929"/>
      <c r="M780" s="388"/>
      <c r="N780" s="929"/>
      <c r="O780" s="388"/>
      <c r="P780" s="388"/>
      <c r="Q780" s="388"/>
      <c r="R780" s="465"/>
      <c r="S780" s="929"/>
      <c r="T780" s="466"/>
      <c r="U780" s="929"/>
      <c r="V780" s="929"/>
      <c r="W780" s="929"/>
      <c r="X780" s="474"/>
      <c r="Y780" s="474"/>
      <c r="Z780" s="474"/>
      <c r="AA780" s="474"/>
      <c r="AB780" s="474"/>
      <c r="AC780" s="388"/>
      <c r="AD780" s="464"/>
      <c r="AE780" s="465"/>
      <c r="AF780" s="388"/>
      <c r="AW780" s="471"/>
      <c r="AX780" s="471"/>
    </row>
    <row r="781" spans="1:50" ht="27" customHeight="1" x14ac:dyDescent="0.25">
      <c r="A781" s="462"/>
      <c r="H781" s="929"/>
      <c r="I781" s="388"/>
      <c r="J781" s="929"/>
      <c r="K781" s="388"/>
      <c r="L781" s="929"/>
      <c r="M781" s="388"/>
      <c r="N781" s="929"/>
      <c r="O781" s="388"/>
      <c r="P781" s="388"/>
      <c r="Q781" s="388"/>
      <c r="R781" s="465"/>
      <c r="S781" s="929"/>
      <c r="T781" s="466"/>
      <c r="U781" s="929"/>
      <c r="V781" s="929"/>
      <c r="W781" s="929"/>
      <c r="X781" s="474"/>
      <c r="Y781" s="474"/>
      <c r="Z781" s="474"/>
      <c r="AA781" s="474"/>
      <c r="AB781" s="474"/>
      <c r="AC781" s="388"/>
      <c r="AD781" s="464"/>
      <c r="AE781" s="465"/>
      <c r="AF781" s="388"/>
      <c r="AW781" s="471"/>
      <c r="AX781" s="471"/>
    </row>
    <row r="782" spans="1:50" ht="27" customHeight="1" x14ac:dyDescent="0.25">
      <c r="A782" s="462"/>
      <c r="H782" s="929"/>
      <c r="I782" s="388"/>
      <c r="J782" s="929"/>
      <c r="K782" s="388"/>
      <c r="L782" s="929"/>
      <c r="M782" s="388"/>
      <c r="N782" s="929"/>
      <c r="O782" s="388"/>
      <c r="P782" s="388"/>
      <c r="Q782" s="388"/>
      <c r="R782" s="465"/>
      <c r="S782" s="929"/>
      <c r="T782" s="466"/>
      <c r="U782" s="929"/>
      <c r="V782" s="929"/>
      <c r="W782" s="929"/>
      <c r="X782" s="474"/>
      <c r="Y782" s="474"/>
      <c r="Z782" s="474"/>
      <c r="AA782" s="474"/>
      <c r="AB782" s="474"/>
      <c r="AC782" s="388"/>
      <c r="AD782" s="464"/>
      <c r="AE782" s="465"/>
      <c r="AF782" s="388"/>
      <c r="AW782" s="471"/>
      <c r="AX782" s="471"/>
    </row>
    <row r="783" spans="1:50" ht="27" customHeight="1" x14ac:dyDescent="0.25">
      <c r="A783" s="462"/>
      <c r="H783" s="929"/>
      <c r="I783" s="388"/>
      <c r="J783" s="929"/>
      <c r="K783" s="388"/>
      <c r="L783" s="929"/>
      <c r="M783" s="388"/>
      <c r="N783" s="929"/>
      <c r="O783" s="388"/>
      <c r="P783" s="388"/>
      <c r="Q783" s="388"/>
      <c r="R783" s="465"/>
      <c r="S783" s="929"/>
      <c r="T783" s="466"/>
      <c r="U783" s="929"/>
      <c r="V783" s="929"/>
      <c r="W783" s="929"/>
      <c r="X783" s="474"/>
      <c r="Y783" s="474"/>
      <c r="Z783" s="474"/>
      <c r="AA783" s="474"/>
      <c r="AB783" s="474"/>
      <c r="AC783" s="388"/>
      <c r="AD783" s="464"/>
      <c r="AE783" s="465"/>
      <c r="AF783" s="388"/>
      <c r="AW783" s="471"/>
      <c r="AX783" s="471"/>
    </row>
    <row r="784" spans="1:50" ht="27" customHeight="1" x14ac:dyDescent="0.25">
      <c r="A784" s="462"/>
      <c r="H784" s="929"/>
      <c r="I784" s="388"/>
      <c r="J784" s="929"/>
      <c r="K784" s="388"/>
      <c r="L784" s="929"/>
      <c r="M784" s="388"/>
      <c r="N784" s="929"/>
      <c r="O784" s="388"/>
      <c r="P784" s="388"/>
      <c r="Q784" s="388"/>
      <c r="R784" s="465"/>
      <c r="S784" s="929"/>
      <c r="T784" s="466"/>
      <c r="U784" s="929"/>
      <c r="V784" s="929"/>
      <c r="W784" s="929"/>
      <c r="X784" s="474"/>
      <c r="Y784" s="474"/>
      <c r="Z784" s="474"/>
      <c r="AA784" s="474"/>
      <c r="AB784" s="474"/>
      <c r="AC784" s="388"/>
      <c r="AD784" s="464"/>
      <c r="AE784" s="465"/>
      <c r="AF784" s="388"/>
      <c r="AW784" s="471"/>
      <c r="AX784" s="471"/>
    </row>
    <row r="785" spans="1:50" ht="27" customHeight="1" x14ac:dyDescent="0.25">
      <c r="A785" s="462"/>
      <c r="H785" s="929"/>
      <c r="I785" s="388"/>
      <c r="J785" s="929"/>
      <c r="K785" s="388"/>
      <c r="L785" s="929"/>
      <c r="M785" s="388"/>
      <c r="N785" s="929"/>
      <c r="O785" s="388"/>
      <c r="P785" s="388"/>
      <c r="Q785" s="388"/>
      <c r="R785" s="465"/>
      <c r="S785" s="929"/>
      <c r="T785" s="466"/>
      <c r="U785" s="929"/>
      <c r="V785" s="929"/>
      <c r="W785" s="929"/>
      <c r="X785" s="474"/>
      <c r="Y785" s="474"/>
      <c r="Z785" s="474"/>
      <c r="AA785" s="474"/>
      <c r="AB785" s="474"/>
      <c r="AC785" s="388"/>
      <c r="AD785" s="464"/>
      <c r="AE785" s="465"/>
      <c r="AF785" s="388"/>
      <c r="AW785" s="471"/>
      <c r="AX785" s="471"/>
    </row>
    <row r="786" spans="1:50" ht="27" customHeight="1" x14ac:dyDescent="0.25">
      <c r="A786" s="462"/>
      <c r="H786" s="929"/>
      <c r="I786" s="388"/>
      <c r="J786" s="929"/>
      <c r="K786" s="388"/>
      <c r="L786" s="929"/>
      <c r="M786" s="388"/>
      <c r="N786" s="929"/>
      <c r="O786" s="388"/>
      <c r="P786" s="388"/>
      <c r="Q786" s="388"/>
      <c r="R786" s="465"/>
      <c r="S786" s="929"/>
      <c r="T786" s="466"/>
      <c r="U786" s="929"/>
      <c r="V786" s="929"/>
      <c r="W786" s="929"/>
      <c r="X786" s="474"/>
      <c r="Y786" s="474"/>
      <c r="Z786" s="474"/>
      <c r="AA786" s="474"/>
      <c r="AB786" s="474"/>
      <c r="AC786" s="388"/>
      <c r="AD786" s="464"/>
      <c r="AE786" s="465"/>
      <c r="AF786" s="388"/>
      <c r="AW786" s="471"/>
      <c r="AX786" s="471"/>
    </row>
    <row r="787" spans="1:50" ht="27" customHeight="1" x14ac:dyDescent="0.25">
      <c r="A787" s="462"/>
      <c r="H787" s="929"/>
      <c r="I787" s="388"/>
      <c r="J787" s="929"/>
      <c r="K787" s="388"/>
      <c r="L787" s="929"/>
      <c r="M787" s="388"/>
      <c r="N787" s="929"/>
      <c r="O787" s="388"/>
      <c r="P787" s="388"/>
      <c r="Q787" s="388"/>
      <c r="R787" s="465"/>
      <c r="S787" s="929"/>
      <c r="T787" s="466"/>
      <c r="U787" s="929"/>
      <c r="V787" s="929"/>
      <c r="W787" s="929"/>
      <c r="X787" s="474"/>
      <c r="Y787" s="474"/>
      <c r="Z787" s="474"/>
      <c r="AA787" s="474"/>
      <c r="AB787" s="474"/>
      <c r="AC787" s="388"/>
      <c r="AD787" s="464"/>
      <c r="AE787" s="465"/>
      <c r="AF787" s="388"/>
      <c r="AW787" s="471"/>
      <c r="AX787" s="471"/>
    </row>
    <row r="788" spans="1:50" ht="27" customHeight="1" x14ac:dyDescent="0.25">
      <c r="A788" s="462"/>
      <c r="H788" s="929"/>
      <c r="I788" s="388"/>
      <c r="J788" s="929"/>
      <c r="K788" s="388"/>
      <c r="L788" s="929"/>
      <c r="M788" s="388"/>
      <c r="N788" s="929"/>
      <c r="O788" s="388"/>
      <c r="P788" s="388"/>
      <c r="Q788" s="388"/>
      <c r="R788" s="465"/>
      <c r="S788" s="929"/>
      <c r="T788" s="466"/>
      <c r="U788" s="929"/>
      <c r="V788" s="929"/>
      <c r="W788" s="929"/>
      <c r="X788" s="474"/>
      <c r="Y788" s="474"/>
      <c r="Z788" s="474"/>
      <c r="AA788" s="474"/>
      <c r="AB788" s="474"/>
      <c r="AC788" s="388"/>
      <c r="AD788" s="464"/>
      <c r="AE788" s="465"/>
      <c r="AF788" s="388"/>
      <c r="AW788" s="471"/>
      <c r="AX788" s="471"/>
    </row>
    <row r="789" spans="1:50" ht="27" customHeight="1" x14ac:dyDescent="0.25">
      <c r="A789" s="462"/>
      <c r="H789" s="929"/>
      <c r="I789" s="388"/>
      <c r="J789" s="929"/>
      <c r="K789" s="388"/>
      <c r="L789" s="929"/>
      <c r="M789" s="388"/>
      <c r="N789" s="929"/>
      <c r="O789" s="388"/>
      <c r="P789" s="388"/>
      <c r="Q789" s="388"/>
      <c r="R789" s="465"/>
      <c r="S789" s="929"/>
      <c r="T789" s="466"/>
      <c r="U789" s="929"/>
      <c r="V789" s="929"/>
      <c r="W789" s="929"/>
      <c r="X789" s="474"/>
      <c r="Y789" s="474"/>
      <c r="Z789" s="474"/>
      <c r="AA789" s="474"/>
      <c r="AB789" s="474"/>
      <c r="AC789" s="388"/>
      <c r="AD789" s="464"/>
      <c r="AE789" s="465"/>
      <c r="AF789" s="388"/>
      <c r="AW789" s="471"/>
      <c r="AX789" s="471"/>
    </row>
    <row r="790" spans="1:50" ht="27" customHeight="1" x14ac:dyDescent="0.25">
      <c r="A790" s="462"/>
      <c r="H790" s="929"/>
      <c r="I790" s="388"/>
      <c r="J790" s="929"/>
      <c r="K790" s="388"/>
      <c r="L790" s="929"/>
      <c r="M790" s="388"/>
      <c r="N790" s="929"/>
      <c r="O790" s="388"/>
      <c r="P790" s="388"/>
      <c r="Q790" s="388"/>
      <c r="R790" s="465"/>
      <c r="S790" s="929"/>
      <c r="T790" s="466"/>
      <c r="U790" s="929"/>
      <c r="V790" s="929"/>
      <c r="W790" s="929"/>
      <c r="X790" s="474"/>
      <c r="Y790" s="474"/>
      <c r="Z790" s="474"/>
      <c r="AA790" s="474"/>
      <c r="AB790" s="474"/>
      <c r="AC790" s="388"/>
      <c r="AD790" s="464"/>
      <c r="AE790" s="465"/>
      <c r="AF790" s="388"/>
      <c r="AW790" s="471"/>
      <c r="AX790" s="471"/>
    </row>
    <row r="791" spans="1:50" ht="27" customHeight="1" x14ac:dyDescent="0.25">
      <c r="A791" s="462"/>
      <c r="H791" s="929"/>
      <c r="I791" s="388"/>
      <c r="J791" s="929"/>
      <c r="K791" s="388"/>
      <c r="L791" s="929"/>
      <c r="M791" s="388"/>
      <c r="N791" s="929"/>
      <c r="O791" s="388"/>
      <c r="P791" s="388"/>
      <c r="Q791" s="388"/>
      <c r="R791" s="465"/>
      <c r="S791" s="929"/>
      <c r="T791" s="466"/>
      <c r="U791" s="929"/>
      <c r="V791" s="929"/>
      <c r="W791" s="929"/>
      <c r="X791" s="474"/>
      <c r="Y791" s="474"/>
      <c r="Z791" s="474"/>
      <c r="AA791" s="474"/>
      <c r="AB791" s="474"/>
      <c r="AC791" s="388"/>
      <c r="AD791" s="464"/>
      <c r="AE791" s="465"/>
      <c r="AF791" s="388"/>
      <c r="AW791" s="471"/>
      <c r="AX791" s="471"/>
    </row>
    <row r="792" spans="1:50" ht="27" customHeight="1" x14ac:dyDescent="0.25">
      <c r="A792" s="462"/>
      <c r="H792" s="929"/>
      <c r="I792" s="388"/>
      <c r="J792" s="929"/>
      <c r="K792" s="388"/>
      <c r="L792" s="929"/>
      <c r="M792" s="388"/>
      <c r="N792" s="929"/>
      <c r="O792" s="388"/>
      <c r="P792" s="388"/>
      <c r="Q792" s="388"/>
      <c r="R792" s="465"/>
      <c r="S792" s="929"/>
      <c r="T792" s="466"/>
      <c r="U792" s="929"/>
      <c r="V792" s="929"/>
      <c r="W792" s="929"/>
      <c r="X792" s="474"/>
      <c r="Y792" s="474"/>
      <c r="Z792" s="474"/>
      <c r="AA792" s="474"/>
      <c r="AB792" s="474"/>
      <c r="AC792" s="388"/>
      <c r="AD792" s="464"/>
      <c r="AE792" s="465"/>
      <c r="AF792" s="388"/>
      <c r="AW792" s="471"/>
      <c r="AX792" s="471"/>
    </row>
    <row r="793" spans="1:50" ht="27" customHeight="1" x14ac:dyDescent="0.25">
      <c r="A793" s="462"/>
      <c r="H793" s="929"/>
      <c r="I793" s="388"/>
      <c r="J793" s="929"/>
      <c r="K793" s="388"/>
      <c r="L793" s="929"/>
      <c r="M793" s="388"/>
      <c r="N793" s="929"/>
      <c r="O793" s="388"/>
      <c r="P793" s="388"/>
      <c r="Q793" s="388"/>
      <c r="R793" s="465"/>
      <c r="S793" s="929"/>
      <c r="T793" s="466"/>
      <c r="U793" s="929"/>
      <c r="V793" s="929"/>
      <c r="W793" s="929"/>
      <c r="X793" s="474"/>
      <c r="Y793" s="474"/>
      <c r="Z793" s="474"/>
      <c r="AA793" s="474"/>
      <c r="AB793" s="474"/>
      <c r="AC793" s="388"/>
      <c r="AD793" s="464"/>
      <c r="AE793" s="465"/>
      <c r="AF793" s="388"/>
      <c r="AW793" s="471"/>
      <c r="AX793" s="471"/>
    </row>
    <row r="794" spans="1:50" ht="27" customHeight="1" x14ac:dyDescent="0.25">
      <c r="A794" s="462"/>
      <c r="H794" s="929"/>
      <c r="I794" s="388"/>
      <c r="J794" s="929"/>
      <c r="K794" s="388"/>
      <c r="L794" s="929"/>
      <c r="M794" s="388"/>
      <c r="N794" s="929"/>
      <c r="O794" s="388"/>
      <c r="P794" s="388"/>
      <c r="Q794" s="388"/>
      <c r="R794" s="465"/>
      <c r="S794" s="929"/>
      <c r="T794" s="466"/>
      <c r="U794" s="929"/>
      <c r="V794" s="929"/>
      <c r="W794" s="929"/>
      <c r="X794" s="474"/>
      <c r="Y794" s="474"/>
      <c r="Z794" s="474"/>
      <c r="AA794" s="474"/>
      <c r="AB794" s="474"/>
      <c r="AC794" s="388"/>
      <c r="AD794" s="464"/>
      <c r="AE794" s="465"/>
      <c r="AF794" s="388"/>
      <c r="AW794" s="471"/>
      <c r="AX794" s="471"/>
    </row>
    <row r="795" spans="1:50" ht="27" customHeight="1" x14ac:dyDescent="0.25">
      <c r="A795" s="462"/>
      <c r="H795" s="929"/>
      <c r="I795" s="388"/>
      <c r="J795" s="929"/>
      <c r="K795" s="388"/>
      <c r="L795" s="929"/>
      <c r="M795" s="388"/>
      <c r="N795" s="929"/>
      <c r="O795" s="388"/>
      <c r="P795" s="388"/>
      <c r="Q795" s="388"/>
      <c r="R795" s="465"/>
      <c r="S795" s="929"/>
      <c r="T795" s="466"/>
      <c r="U795" s="929"/>
      <c r="V795" s="929"/>
      <c r="W795" s="929"/>
      <c r="X795" s="474"/>
      <c r="Y795" s="474"/>
      <c r="Z795" s="474"/>
      <c r="AA795" s="474"/>
      <c r="AB795" s="474"/>
      <c r="AC795" s="388"/>
      <c r="AD795" s="464"/>
      <c r="AE795" s="465"/>
      <c r="AF795" s="388"/>
      <c r="AW795" s="471"/>
      <c r="AX795" s="471"/>
    </row>
    <row r="796" spans="1:50" ht="27" customHeight="1" x14ac:dyDescent="0.25">
      <c r="A796" s="462"/>
      <c r="H796" s="929"/>
      <c r="I796" s="388"/>
      <c r="J796" s="929"/>
      <c r="K796" s="388"/>
      <c r="L796" s="929"/>
      <c r="M796" s="388"/>
      <c r="N796" s="929"/>
      <c r="O796" s="388"/>
      <c r="P796" s="388"/>
      <c r="Q796" s="388"/>
      <c r="R796" s="465"/>
      <c r="S796" s="929"/>
      <c r="T796" s="466"/>
      <c r="U796" s="929"/>
      <c r="V796" s="929"/>
      <c r="W796" s="929"/>
      <c r="X796" s="474"/>
      <c r="Y796" s="474"/>
      <c r="Z796" s="474"/>
      <c r="AA796" s="474"/>
      <c r="AB796" s="474"/>
      <c r="AC796" s="388"/>
      <c r="AD796" s="464"/>
      <c r="AE796" s="465"/>
      <c r="AF796" s="388"/>
      <c r="AW796" s="471"/>
      <c r="AX796" s="471"/>
    </row>
    <row r="797" spans="1:50" ht="27" customHeight="1" x14ac:dyDescent="0.25">
      <c r="A797" s="462"/>
      <c r="H797" s="929"/>
      <c r="I797" s="388"/>
      <c r="J797" s="929"/>
      <c r="K797" s="388"/>
      <c r="L797" s="929"/>
      <c r="M797" s="388"/>
      <c r="N797" s="929"/>
      <c r="O797" s="388"/>
      <c r="P797" s="388"/>
      <c r="Q797" s="388"/>
      <c r="R797" s="465"/>
      <c r="S797" s="929"/>
      <c r="T797" s="466"/>
      <c r="U797" s="929"/>
      <c r="V797" s="929"/>
      <c r="W797" s="929"/>
      <c r="X797" s="474"/>
      <c r="Y797" s="474"/>
      <c r="Z797" s="474"/>
      <c r="AA797" s="474"/>
      <c r="AB797" s="474"/>
      <c r="AC797" s="388"/>
      <c r="AD797" s="464"/>
      <c r="AE797" s="465"/>
      <c r="AF797" s="388"/>
      <c r="AW797" s="471"/>
      <c r="AX797" s="471"/>
    </row>
    <row r="798" spans="1:50" ht="27" customHeight="1" x14ac:dyDescent="0.25">
      <c r="A798" s="462"/>
      <c r="H798" s="929"/>
      <c r="I798" s="388"/>
      <c r="J798" s="929"/>
      <c r="K798" s="388"/>
      <c r="L798" s="929"/>
      <c r="M798" s="388"/>
      <c r="N798" s="929"/>
      <c r="O798" s="388"/>
      <c r="P798" s="388"/>
      <c r="Q798" s="388"/>
      <c r="R798" s="465"/>
      <c r="S798" s="929"/>
      <c r="T798" s="466"/>
      <c r="U798" s="929"/>
      <c r="V798" s="929"/>
      <c r="W798" s="929"/>
      <c r="X798" s="474"/>
      <c r="Y798" s="474"/>
      <c r="Z798" s="474"/>
      <c r="AA798" s="474"/>
      <c r="AB798" s="474"/>
      <c r="AC798" s="388"/>
      <c r="AD798" s="464"/>
      <c r="AE798" s="465"/>
      <c r="AF798" s="388"/>
      <c r="AW798" s="471"/>
      <c r="AX798" s="471"/>
    </row>
    <row r="799" spans="1:50" ht="27" customHeight="1" x14ac:dyDescent="0.25">
      <c r="A799" s="462"/>
      <c r="H799" s="929"/>
      <c r="I799" s="388"/>
      <c r="J799" s="929"/>
      <c r="K799" s="388"/>
      <c r="L799" s="929"/>
      <c r="M799" s="388"/>
      <c r="N799" s="929"/>
      <c r="O799" s="388"/>
      <c r="P799" s="388"/>
      <c r="Q799" s="388"/>
      <c r="R799" s="465"/>
      <c r="S799" s="929"/>
      <c r="T799" s="466"/>
      <c r="U799" s="929"/>
      <c r="V799" s="929"/>
      <c r="W799" s="929"/>
      <c r="X799" s="474"/>
      <c r="Y799" s="474"/>
      <c r="Z799" s="474"/>
      <c r="AA799" s="474"/>
      <c r="AB799" s="474"/>
      <c r="AC799" s="388"/>
      <c r="AD799" s="464"/>
      <c r="AE799" s="465"/>
      <c r="AF799" s="388"/>
      <c r="AW799" s="471"/>
      <c r="AX799" s="471"/>
    </row>
    <row r="800" spans="1:50" ht="27" customHeight="1" x14ac:dyDescent="0.25">
      <c r="A800" s="462"/>
      <c r="H800" s="929"/>
      <c r="I800" s="388"/>
      <c r="J800" s="929"/>
      <c r="K800" s="388"/>
      <c r="L800" s="929"/>
      <c r="M800" s="388"/>
      <c r="N800" s="929"/>
      <c r="O800" s="388"/>
      <c r="P800" s="388"/>
      <c r="Q800" s="388"/>
      <c r="R800" s="465"/>
      <c r="S800" s="929"/>
      <c r="T800" s="466"/>
      <c r="U800" s="929"/>
      <c r="V800" s="929"/>
      <c r="W800" s="929"/>
      <c r="X800" s="474"/>
      <c r="Y800" s="474"/>
      <c r="Z800" s="474"/>
      <c r="AA800" s="474"/>
      <c r="AB800" s="474"/>
      <c r="AC800" s="388"/>
      <c r="AD800" s="464"/>
      <c r="AE800" s="465"/>
      <c r="AF800" s="388"/>
      <c r="AW800" s="471"/>
      <c r="AX800" s="471"/>
    </row>
    <row r="801" spans="1:50" ht="27" customHeight="1" x14ac:dyDescent="0.25">
      <c r="A801" s="462"/>
      <c r="H801" s="929"/>
      <c r="I801" s="388"/>
      <c r="J801" s="929"/>
      <c r="K801" s="388"/>
      <c r="L801" s="929"/>
      <c r="M801" s="388"/>
      <c r="N801" s="929"/>
      <c r="O801" s="388"/>
      <c r="P801" s="388"/>
      <c r="Q801" s="388"/>
      <c r="R801" s="465"/>
      <c r="S801" s="929"/>
      <c r="T801" s="466"/>
      <c r="U801" s="929"/>
      <c r="V801" s="929"/>
      <c r="W801" s="929"/>
      <c r="X801" s="474"/>
      <c r="Y801" s="474"/>
      <c r="Z801" s="474"/>
      <c r="AA801" s="474"/>
      <c r="AB801" s="474"/>
      <c r="AC801" s="388"/>
      <c r="AD801" s="464"/>
      <c r="AE801" s="465"/>
      <c r="AF801" s="388"/>
      <c r="AW801" s="471"/>
      <c r="AX801" s="471"/>
    </row>
    <row r="802" spans="1:50" ht="27" customHeight="1" x14ac:dyDescent="0.25">
      <c r="A802" s="462"/>
      <c r="H802" s="929"/>
      <c r="I802" s="388"/>
      <c r="J802" s="929"/>
      <c r="K802" s="388"/>
      <c r="L802" s="929"/>
      <c r="M802" s="388"/>
      <c r="N802" s="929"/>
      <c r="O802" s="388"/>
      <c r="P802" s="388"/>
      <c r="Q802" s="388"/>
      <c r="R802" s="465"/>
      <c r="S802" s="929"/>
      <c r="T802" s="466"/>
      <c r="U802" s="929"/>
      <c r="V802" s="929"/>
      <c r="W802" s="929"/>
      <c r="X802" s="474"/>
      <c r="Y802" s="474"/>
      <c r="Z802" s="474"/>
      <c r="AA802" s="474"/>
      <c r="AB802" s="474"/>
      <c r="AC802" s="388"/>
      <c r="AD802" s="464"/>
      <c r="AE802" s="465"/>
      <c r="AF802" s="388"/>
      <c r="AW802" s="471"/>
      <c r="AX802" s="471"/>
    </row>
    <row r="803" spans="1:50" ht="27" customHeight="1" x14ac:dyDescent="0.25">
      <c r="A803" s="462"/>
      <c r="H803" s="929"/>
      <c r="I803" s="388"/>
      <c r="J803" s="929"/>
      <c r="K803" s="388"/>
      <c r="L803" s="929"/>
      <c r="M803" s="388"/>
      <c r="N803" s="929"/>
      <c r="O803" s="388"/>
      <c r="P803" s="388"/>
      <c r="Q803" s="388"/>
      <c r="R803" s="465"/>
      <c r="S803" s="929"/>
      <c r="T803" s="466"/>
      <c r="U803" s="929"/>
      <c r="V803" s="929"/>
      <c r="W803" s="929"/>
      <c r="X803" s="474"/>
      <c r="Y803" s="474"/>
      <c r="Z803" s="474"/>
      <c r="AA803" s="474"/>
      <c r="AB803" s="474"/>
      <c r="AC803" s="388"/>
      <c r="AD803" s="464"/>
      <c r="AE803" s="465"/>
      <c r="AF803" s="388"/>
      <c r="AW803" s="471"/>
      <c r="AX803" s="471"/>
    </row>
    <row r="804" spans="1:50" ht="27" customHeight="1" x14ac:dyDescent="0.25">
      <c r="A804" s="462"/>
      <c r="H804" s="929"/>
      <c r="I804" s="388"/>
      <c r="J804" s="929"/>
      <c r="K804" s="388"/>
      <c r="L804" s="929"/>
      <c r="M804" s="388"/>
      <c r="N804" s="929"/>
      <c r="O804" s="388"/>
      <c r="P804" s="388"/>
      <c r="Q804" s="388"/>
      <c r="R804" s="465"/>
      <c r="S804" s="929"/>
      <c r="T804" s="466"/>
      <c r="U804" s="929"/>
      <c r="V804" s="929"/>
      <c r="W804" s="929"/>
      <c r="X804" s="474"/>
      <c r="Y804" s="474"/>
      <c r="Z804" s="474"/>
      <c r="AA804" s="474"/>
      <c r="AB804" s="474"/>
      <c r="AC804" s="388"/>
      <c r="AD804" s="464"/>
      <c r="AE804" s="465"/>
      <c r="AF804" s="388"/>
      <c r="AW804" s="471"/>
      <c r="AX804" s="471"/>
    </row>
    <row r="805" spans="1:50" ht="27" customHeight="1" x14ac:dyDescent="0.25">
      <c r="A805" s="462"/>
      <c r="H805" s="929"/>
      <c r="I805" s="388"/>
      <c r="J805" s="929"/>
      <c r="K805" s="388"/>
      <c r="L805" s="929"/>
      <c r="M805" s="388"/>
      <c r="N805" s="929"/>
      <c r="O805" s="388"/>
      <c r="P805" s="388"/>
      <c r="Q805" s="388"/>
      <c r="R805" s="465"/>
      <c r="S805" s="929"/>
      <c r="T805" s="466"/>
      <c r="U805" s="929"/>
      <c r="V805" s="929"/>
      <c r="W805" s="929"/>
      <c r="X805" s="474"/>
      <c r="Y805" s="474"/>
      <c r="Z805" s="474"/>
      <c r="AA805" s="474"/>
      <c r="AB805" s="474"/>
      <c r="AC805" s="388"/>
      <c r="AD805" s="464"/>
      <c r="AE805" s="465"/>
      <c r="AF805" s="388"/>
      <c r="AW805" s="471"/>
      <c r="AX805" s="471"/>
    </row>
    <row r="806" spans="1:50" ht="27" customHeight="1" x14ac:dyDescent="0.25">
      <c r="A806" s="462"/>
      <c r="H806" s="929"/>
      <c r="I806" s="388"/>
      <c r="J806" s="929"/>
      <c r="K806" s="388"/>
      <c r="L806" s="929"/>
      <c r="M806" s="388"/>
      <c r="N806" s="929"/>
      <c r="O806" s="388"/>
      <c r="P806" s="388"/>
      <c r="Q806" s="388"/>
      <c r="R806" s="465"/>
      <c r="S806" s="929"/>
      <c r="T806" s="466"/>
      <c r="U806" s="929"/>
      <c r="V806" s="929"/>
      <c r="W806" s="929"/>
      <c r="X806" s="474"/>
      <c r="Y806" s="474"/>
      <c r="Z806" s="474"/>
      <c r="AA806" s="474"/>
      <c r="AB806" s="474"/>
      <c r="AC806" s="388"/>
      <c r="AD806" s="464"/>
      <c r="AE806" s="465"/>
      <c r="AF806" s="388"/>
      <c r="AW806" s="471"/>
      <c r="AX806" s="471"/>
    </row>
    <row r="807" spans="1:50" ht="27" customHeight="1" x14ac:dyDescent="0.25">
      <c r="A807" s="462"/>
      <c r="H807" s="929"/>
      <c r="I807" s="388"/>
      <c r="J807" s="929"/>
      <c r="K807" s="388"/>
      <c r="L807" s="929"/>
      <c r="M807" s="388"/>
      <c r="N807" s="929"/>
      <c r="O807" s="388"/>
      <c r="P807" s="388"/>
      <c r="Q807" s="388"/>
      <c r="R807" s="465"/>
      <c r="S807" s="929"/>
      <c r="T807" s="466"/>
      <c r="U807" s="929"/>
      <c r="V807" s="929"/>
      <c r="W807" s="929"/>
      <c r="X807" s="474"/>
      <c r="Y807" s="474"/>
      <c r="Z807" s="474"/>
      <c r="AA807" s="474"/>
      <c r="AB807" s="474"/>
      <c r="AC807" s="388"/>
      <c r="AD807" s="464"/>
      <c r="AE807" s="465"/>
      <c r="AF807" s="388"/>
      <c r="AW807" s="471"/>
      <c r="AX807" s="471"/>
    </row>
    <row r="808" spans="1:50" ht="27" customHeight="1" x14ac:dyDescent="0.25">
      <c r="A808" s="462"/>
      <c r="H808" s="929"/>
      <c r="I808" s="388"/>
      <c r="J808" s="929"/>
      <c r="K808" s="388"/>
      <c r="L808" s="929"/>
      <c r="M808" s="388"/>
      <c r="N808" s="929"/>
      <c r="O808" s="388"/>
      <c r="P808" s="388"/>
      <c r="Q808" s="388"/>
      <c r="R808" s="465"/>
      <c r="S808" s="929"/>
      <c r="T808" s="466"/>
      <c r="U808" s="929"/>
      <c r="V808" s="929"/>
      <c r="W808" s="929"/>
      <c r="X808" s="474"/>
      <c r="Y808" s="474"/>
      <c r="Z808" s="474"/>
      <c r="AA808" s="474"/>
      <c r="AB808" s="474"/>
      <c r="AC808" s="388"/>
      <c r="AD808" s="464"/>
      <c r="AE808" s="465"/>
      <c r="AF808" s="388"/>
      <c r="AW808" s="471"/>
      <c r="AX808" s="471"/>
    </row>
    <row r="809" spans="1:50" ht="27" customHeight="1" x14ac:dyDescent="0.25">
      <c r="A809" s="462"/>
      <c r="H809" s="929"/>
      <c r="I809" s="388"/>
      <c r="J809" s="929"/>
      <c r="K809" s="388"/>
      <c r="L809" s="929"/>
      <c r="M809" s="388"/>
      <c r="N809" s="929"/>
      <c r="O809" s="388"/>
      <c r="P809" s="388"/>
      <c r="Q809" s="388"/>
      <c r="R809" s="465"/>
      <c r="S809" s="929"/>
      <c r="T809" s="466"/>
      <c r="U809" s="929"/>
      <c r="V809" s="929"/>
      <c r="W809" s="929"/>
      <c r="X809" s="474"/>
      <c r="Y809" s="474"/>
      <c r="Z809" s="474"/>
      <c r="AA809" s="474"/>
      <c r="AB809" s="474"/>
      <c r="AC809" s="388"/>
      <c r="AD809" s="464"/>
      <c r="AE809" s="465"/>
      <c r="AF809" s="388"/>
      <c r="AW809" s="471"/>
      <c r="AX809" s="471"/>
    </row>
    <row r="810" spans="1:50" ht="27" customHeight="1" x14ac:dyDescent="0.25">
      <c r="A810" s="462"/>
      <c r="H810" s="929"/>
      <c r="I810" s="388"/>
      <c r="J810" s="929"/>
      <c r="K810" s="388"/>
      <c r="L810" s="929"/>
      <c r="M810" s="388"/>
      <c r="N810" s="929"/>
      <c r="O810" s="388"/>
      <c r="P810" s="388"/>
      <c r="Q810" s="388"/>
      <c r="R810" s="465"/>
      <c r="S810" s="929"/>
      <c r="T810" s="466"/>
      <c r="U810" s="929"/>
      <c r="V810" s="929"/>
      <c r="W810" s="929"/>
      <c r="X810" s="474"/>
      <c r="Y810" s="474"/>
      <c r="Z810" s="474"/>
      <c r="AA810" s="474"/>
      <c r="AB810" s="474"/>
      <c r="AC810" s="388"/>
      <c r="AD810" s="464"/>
      <c r="AE810" s="465"/>
      <c r="AF810" s="388"/>
      <c r="AW810" s="471"/>
      <c r="AX810" s="471"/>
    </row>
    <row r="811" spans="1:50" ht="27" customHeight="1" x14ac:dyDescent="0.25">
      <c r="A811" s="462"/>
      <c r="H811" s="929"/>
      <c r="I811" s="388"/>
      <c r="J811" s="929"/>
      <c r="K811" s="388"/>
      <c r="L811" s="929"/>
      <c r="M811" s="388"/>
      <c r="N811" s="929"/>
      <c r="O811" s="388"/>
      <c r="P811" s="388"/>
      <c r="Q811" s="388"/>
      <c r="R811" s="465"/>
      <c r="S811" s="929"/>
      <c r="T811" s="466"/>
      <c r="U811" s="929"/>
      <c r="V811" s="929"/>
      <c r="W811" s="929"/>
      <c r="X811" s="474"/>
      <c r="Y811" s="474"/>
      <c r="Z811" s="474"/>
      <c r="AA811" s="474"/>
      <c r="AB811" s="474"/>
      <c r="AC811" s="388"/>
      <c r="AD811" s="464"/>
      <c r="AE811" s="465"/>
      <c r="AF811" s="388"/>
      <c r="AW811" s="471"/>
      <c r="AX811" s="471"/>
    </row>
    <row r="812" spans="1:50" ht="27" customHeight="1" x14ac:dyDescent="0.25">
      <c r="A812" s="462"/>
      <c r="H812" s="929"/>
      <c r="I812" s="388"/>
      <c r="J812" s="929"/>
      <c r="K812" s="388"/>
      <c r="L812" s="929"/>
      <c r="M812" s="388"/>
      <c r="N812" s="929"/>
      <c r="O812" s="388"/>
      <c r="P812" s="388"/>
      <c r="Q812" s="388"/>
      <c r="R812" s="465"/>
      <c r="S812" s="929"/>
      <c r="T812" s="466"/>
      <c r="U812" s="929"/>
      <c r="V812" s="929"/>
      <c r="W812" s="929"/>
      <c r="X812" s="474"/>
      <c r="Y812" s="474"/>
      <c r="Z812" s="474"/>
      <c r="AA812" s="474"/>
      <c r="AB812" s="474"/>
      <c r="AC812" s="388"/>
      <c r="AD812" s="464"/>
      <c r="AE812" s="465"/>
      <c r="AF812" s="388"/>
      <c r="AW812" s="471"/>
      <c r="AX812" s="471"/>
    </row>
    <row r="813" spans="1:50" ht="27" customHeight="1" x14ac:dyDescent="0.25">
      <c r="A813" s="462"/>
      <c r="H813" s="929"/>
      <c r="I813" s="388"/>
      <c r="J813" s="929"/>
      <c r="K813" s="388"/>
      <c r="L813" s="929"/>
      <c r="M813" s="388"/>
      <c r="N813" s="929"/>
      <c r="O813" s="388"/>
      <c r="P813" s="388"/>
      <c r="Q813" s="388"/>
      <c r="R813" s="465"/>
      <c r="S813" s="929"/>
      <c r="T813" s="466"/>
      <c r="U813" s="929"/>
      <c r="V813" s="929"/>
      <c r="W813" s="929"/>
      <c r="X813" s="474"/>
      <c r="Y813" s="474"/>
      <c r="Z813" s="474"/>
      <c r="AA813" s="474"/>
      <c r="AB813" s="474"/>
      <c r="AC813" s="388"/>
      <c r="AD813" s="464"/>
      <c r="AE813" s="465"/>
      <c r="AF813" s="388"/>
      <c r="AW813" s="471"/>
      <c r="AX813" s="471"/>
    </row>
    <row r="814" spans="1:50" ht="27" customHeight="1" x14ac:dyDescent="0.25">
      <c r="A814" s="462"/>
      <c r="H814" s="929"/>
      <c r="I814" s="388"/>
      <c r="J814" s="929"/>
      <c r="K814" s="388"/>
      <c r="L814" s="929"/>
      <c r="M814" s="388"/>
      <c r="N814" s="929"/>
      <c r="O814" s="388"/>
      <c r="P814" s="388"/>
      <c r="Q814" s="388"/>
      <c r="R814" s="465"/>
      <c r="S814" s="929"/>
      <c r="T814" s="466"/>
      <c r="U814" s="929"/>
      <c r="V814" s="929"/>
      <c r="W814" s="929"/>
      <c r="X814" s="474"/>
      <c r="Y814" s="474"/>
      <c r="Z814" s="474"/>
      <c r="AA814" s="474"/>
      <c r="AB814" s="474"/>
      <c r="AC814" s="388"/>
      <c r="AD814" s="464"/>
      <c r="AE814" s="465"/>
      <c r="AF814" s="388"/>
      <c r="AW814" s="471"/>
      <c r="AX814" s="471"/>
    </row>
    <row r="815" spans="1:50" ht="27" customHeight="1" x14ac:dyDescent="0.25">
      <c r="A815" s="462"/>
      <c r="H815" s="929"/>
      <c r="I815" s="388"/>
      <c r="J815" s="929"/>
      <c r="K815" s="388"/>
      <c r="L815" s="929"/>
      <c r="M815" s="388"/>
      <c r="N815" s="929"/>
      <c r="O815" s="388"/>
      <c r="P815" s="388"/>
      <c r="Q815" s="388"/>
      <c r="R815" s="465"/>
      <c r="S815" s="929"/>
      <c r="T815" s="466"/>
      <c r="U815" s="929"/>
      <c r="V815" s="929"/>
      <c r="W815" s="929"/>
      <c r="X815" s="474"/>
      <c r="Y815" s="474"/>
      <c r="Z815" s="474"/>
      <c r="AA815" s="474"/>
      <c r="AB815" s="474"/>
      <c r="AC815" s="388"/>
      <c r="AD815" s="464"/>
      <c r="AE815" s="465"/>
      <c r="AF815" s="388"/>
      <c r="AW815" s="471"/>
      <c r="AX815" s="471"/>
    </row>
    <row r="816" spans="1:50" ht="27" customHeight="1" x14ac:dyDescent="0.25">
      <c r="A816" s="462"/>
      <c r="H816" s="929"/>
      <c r="I816" s="388"/>
      <c r="J816" s="929"/>
      <c r="K816" s="388"/>
      <c r="L816" s="929"/>
      <c r="M816" s="388"/>
      <c r="N816" s="929"/>
      <c r="O816" s="388"/>
      <c r="P816" s="388"/>
      <c r="Q816" s="388"/>
      <c r="R816" s="465"/>
      <c r="S816" s="929"/>
      <c r="T816" s="466"/>
      <c r="U816" s="929"/>
      <c r="V816" s="929"/>
      <c r="W816" s="929"/>
      <c r="X816" s="474"/>
      <c r="Y816" s="474"/>
      <c r="Z816" s="474"/>
      <c r="AA816" s="474"/>
      <c r="AB816" s="474"/>
      <c r="AC816" s="388"/>
      <c r="AD816" s="464"/>
      <c r="AE816" s="465"/>
      <c r="AF816" s="388"/>
      <c r="AW816" s="471"/>
      <c r="AX816" s="471"/>
    </row>
    <row r="817" spans="1:50" ht="27" customHeight="1" x14ac:dyDescent="0.25">
      <c r="A817" s="462"/>
      <c r="H817" s="929"/>
      <c r="I817" s="388"/>
      <c r="J817" s="929"/>
      <c r="K817" s="388"/>
      <c r="L817" s="929"/>
      <c r="M817" s="388"/>
      <c r="N817" s="929"/>
      <c r="O817" s="388"/>
      <c r="P817" s="388"/>
      <c r="Q817" s="388"/>
      <c r="R817" s="465"/>
      <c r="S817" s="929"/>
      <c r="T817" s="466"/>
      <c r="U817" s="929"/>
      <c r="V817" s="929"/>
      <c r="W817" s="929"/>
      <c r="X817" s="474"/>
      <c r="Y817" s="474"/>
      <c r="Z817" s="474"/>
      <c r="AA817" s="474"/>
      <c r="AB817" s="474"/>
      <c r="AC817" s="388"/>
      <c r="AD817" s="464"/>
      <c r="AE817" s="465"/>
      <c r="AF817" s="388"/>
      <c r="AW817" s="471"/>
      <c r="AX817" s="471"/>
    </row>
    <row r="818" spans="1:50" ht="27" customHeight="1" x14ac:dyDescent="0.25">
      <c r="A818" s="462"/>
      <c r="H818" s="929"/>
      <c r="I818" s="388"/>
      <c r="J818" s="929"/>
      <c r="K818" s="388"/>
      <c r="L818" s="929"/>
      <c r="M818" s="388"/>
      <c r="N818" s="929"/>
      <c r="O818" s="388"/>
      <c r="P818" s="388"/>
      <c r="Q818" s="388"/>
      <c r="R818" s="465"/>
      <c r="S818" s="929"/>
      <c r="T818" s="466"/>
      <c r="U818" s="929"/>
      <c r="V818" s="929"/>
      <c r="W818" s="929"/>
      <c r="X818" s="474"/>
      <c r="Y818" s="474"/>
      <c r="Z818" s="474"/>
      <c r="AA818" s="474"/>
      <c r="AB818" s="474"/>
      <c r="AC818" s="388"/>
      <c r="AD818" s="464"/>
      <c r="AE818" s="465"/>
      <c r="AF818" s="388"/>
      <c r="AW818" s="471"/>
      <c r="AX818" s="471"/>
    </row>
    <row r="819" spans="1:50" ht="27" customHeight="1" x14ac:dyDescent="0.25">
      <c r="A819" s="462"/>
      <c r="H819" s="929"/>
      <c r="I819" s="388"/>
      <c r="J819" s="929"/>
      <c r="K819" s="388"/>
      <c r="L819" s="929"/>
      <c r="M819" s="388"/>
      <c r="N819" s="929"/>
      <c r="O819" s="388"/>
      <c r="P819" s="388"/>
      <c r="Q819" s="388"/>
      <c r="R819" s="465"/>
      <c r="S819" s="929"/>
      <c r="T819" s="466"/>
      <c r="U819" s="929"/>
      <c r="V819" s="929"/>
      <c r="W819" s="929"/>
      <c r="X819" s="474"/>
      <c r="Y819" s="474"/>
      <c r="Z819" s="474"/>
      <c r="AA819" s="474"/>
      <c r="AB819" s="474"/>
      <c r="AC819" s="388"/>
      <c r="AD819" s="464"/>
      <c r="AE819" s="465"/>
      <c r="AF819" s="388"/>
      <c r="AW819" s="471"/>
      <c r="AX819" s="471"/>
    </row>
    <row r="820" spans="1:50" ht="27" customHeight="1" x14ac:dyDescent="0.25">
      <c r="A820" s="462"/>
      <c r="H820" s="929"/>
      <c r="I820" s="388"/>
      <c r="J820" s="929"/>
      <c r="K820" s="388"/>
      <c r="L820" s="929"/>
      <c r="M820" s="388"/>
      <c r="N820" s="929"/>
      <c r="O820" s="388"/>
      <c r="P820" s="388"/>
      <c r="Q820" s="388"/>
      <c r="R820" s="465"/>
      <c r="S820" s="929"/>
      <c r="T820" s="466"/>
      <c r="U820" s="929"/>
      <c r="V820" s="929"/>
      <c r="W820" s="929"/>
      <c r="X820" s="474"/>
      <c r="Y820" s="474"/>
      <c r="Z820" s="474"/>
      <c r="AA820" s="474"/>
      <c r="AB820" s="474"/>
      <c r="AC820" s="388"/>
      <c r="AD820" s="464"/>
      <c r="AE820" s="465"/>
      <c r="AF820" s="388"/>
      <c r="AW820" s="471"/>
      <c r="AX820" s="471"/>
    </row>
    <row r="821" spans="1:50" ht="27" customHeight="1" x14ac:dyDescent="0.25">
      <c r="A821" s="462"/>
      <c r="H821" s="929"/>
      <c r="I821" s="388"/>
      <c r="J821" s="929"/>
      <c r="K821" s="388"/>
      <c r="L821" s="929"/>
      <c r="M821" s="388"/>
      <c r="N821" s="929"/>
      <c r="O821" s="388"/>
      <c r="P821" s="388"/>
      <c r="Q821" s="388"/>
      <c r="R821" s="465"/>
      <c r="S821" s="929"/>
      <c r="T821" s="466"/>
      <c r="U821" s="929"/>
      <c r="V821" s="929"/>
      <c r="W821" s="929"/>
      <c r="X821" s="474"/>
      <c r="Y821" s="474"/>
      <c r="Z821" s="474"/>
      <c r="AA821" s="474"/>
      <c r="AB821" s="474"/>
      <c r="AC821" s="388"/>
      <c r="AD821" s="464"/>
      <c r="AE821" s="465"/>
      <c r="AF821" s="388"/>
      <c r="AW821" s="471"/>
      <c r="AX821" s="471"/>
    </row>
    <row r="822" spans="1:50" ht="27" customHeight="1" x14ac:dyDescent="0.25">
      <c r="A822" s="462"/>
      <c r="H822" s="929"/>
      <c r="I822" s="388"/>
      <c r="J822" s="929"/>
      <c r="K822" s="388"/>
      <c r="L822" s="929"/>
      <c r="M822" s="388"/>
      <c r="N822" s="929"/>
      <c r="O822" s="388"/>
      <c r="P822" s="388"/>
      <c r="Q822" s="388"/>
      <c r="R822" s="465"/>
      <c r="S822" s="929"/>
      <c r="T822" s="466"/>
      <c r="U822" s="929"/>
      <c r="V822" s="929"/>
      <c r="W822" s="929"/>
      <c r="X822" s="474"/>
      <c r="Y822" s="474"/>
      <c r="Z822" s="474"/>
      <c r="AA822" s="474"/>
      <c r="AB822" s="474"/>
      <c r="AC822" s="388"/>
      <c r="AD822" s="464"/>
      <c r="AE822" s="465"/>
      <c r="AF822" s="388"/>
      <c r="AW822" s="471"/>
      <c r="AX822" s="471"/>
    </row>
    <row r="823" spans="1:50" ht="27" customHeight="1" x14ac:dyDescent="0.25">
      <c r="A823" s="462"/>
      <c r="H823" s="929"/>
      <c r="I823" s="388"/>
      <c r="J823" s="929"/>
      <c r="K823" s="388"/>
      <c r="L823" s="929"/>
      <c r="M823" s="388"/>
      <c r="N823" s="929"/>
      <c r="O823" s="388"/>
      <c r="P823" s="388"/>
      <c r="Q823" s="388"/>
      <c r="R823" s="465"/>
      <c r="S823" s="929"/>
      <c r="T823" s="466"/>
      <c r="U823" s="929"/>
      <c r="V823" s="929"/>
      <c r="W823" s="929"/>
      <c r="X823" s="474"/>
      <c r="Y823" s="474"/>
      <c r="Z823" s="474"/>
      <c r="AA823" s="474"/>
      <c r="AB823" s="474"/>
      <c r="AC823" s="388"/>
      <c r="AD823" s="464"/>
      <c r="AE823" s="465"/>
      <c r="AF823" s="388"/>
      <c r="AW823" s="471"/>
      <c r="AX823" s="471"/>
    </row>
    <row r="824" spans="1:50" ht="27" customHeight="1" x14ac:dyDescent="0.25">
      <c r="A824" s="462"/>
      <c r="H824" s="929"/>
      <c r="I824" s="388"/>
      <c r="J824" s="929"/>
      <c r="K824" s="388"/>
      <c r="L824" s="929"/>
      <c r="M824" s="388"/>
      <c r="N824" s="929"/>
      <c r="O824" s="388"/>
      <c r="P824" s="388"/>
      <c r="Q824" s="388"/>
      <c r="R824" s="465"/>
      <c r="S824" s="929"/>
      <c r="T824" s="466"/>
      <c r="U824" s="929"/>
      <c r="V824" s="929"/>
      <c r="W824" s="929"/>
      <c r="X824" s="474"/>
      <c r="Y824" s="474"/>
      <c r="Z824" s="474"/>
      <c r="AA824" s="474"/>
      <c r="AB824" s="474"/>
      <c r="AC824" s="388"/>
      <c r="AD824" s="464"/>
      <c r="AE824" s="465"/>
      <c r="AF824" s="388"/>
      <c r="AW824" s="471"/>
      <c r="AX824" s="471"/>
    </row>
    <row r="825" spans="1:50" ht="27" customHeight="1" x14ac:dyDescent="0.25">
      <c r="A825" s="462"/>
      <c r="H825" s="929"/>
      <c r="I825" s="388"/>
      <c r="J825" s="929"/>
      <c r="K825" s="388"/>
      <c r="L825" s="929"/>
      <c r="M825" s="388"/>
      <c r="N825" s="929"/>
      <c r="O825" s="388"/>
      <c r="P825" s="388"/>
      <c r="Q825" s="388"/>
      <c r="R825" s="465"/>
      <c r="S825" s="929"/>
      <c r="T825" s="466"/>
      <c r="U825" s="929"/>
      <c r="V825" s="929"/>
      <c r="W825" s="929"/>
      <c r="X825" s="474"/>
      <c r="Y825" s="474"/>
      <c r="Z825" s="474"/>
      <c r="AA825" s="474"/>
      <c r="AB825" s="474"/>
      <c r="AC825" s="388"/>
      <c r="AD825" s="464"/>
      <c r="AE825" s="465"/>
      <c r="AF825" s="388"/>
      <c r="AW825" s="471"/>
      <c r="AX825" s="471"/>
    </row>
    <row r="826" spans="1:50" ht="27" customHeight="1" x14ac:dyDescent="0.25">
      <c r="A826" s="462"/>
      <c r="H826" s="929"/>
      <c r="I826" s="388"/>
      <c r="J826" s="929"/>
      <c r="K826" s="388"/>
      <c r="L826" s="929"/>
      <c r="M826" s="388"/>
      <c r="N826" s="929"/>
      <c r="O826" s="388"/>
      <c r="P826" s="388"/>
      <c r="Q826" s="388"/>
      <c r="R826" s="465"/>
      <c r="S826" s="929"/>
      <c r="T826" s="466"/>
      <c r="U826" s="929"/>
      <c r="V826" s="929"/>
      <c r="W826" s="929"/>
      <c r="X826" s="474"/>
      <c r="Y826" s="474"/>
      <c r="Z826" s="474"/>
      <c r="AA826" s="474"/>
      <c r="AB826" s="474"/>
      <c r="AC826" s="388"/>
      <c r="AD826" s="464"/>
      <c r="AE826" s="465"/>
      <c r="AF826" s="388"/>
      <c r="AW826" s="471"/>
      <c r="AX826" s="471"/>
    </row>
    <row r="827" spans="1:50" ht="27" customHeight="1" x14ac:dyDescent="0.25">
      <c r="A827" s="462"/>
      <c r="H827" s="929"/>
      <c r="I827" s="388"/>
      <c r="J827" s="929"/>
      <c r="K827" s="388"/>
      <c r="L827" s="929"/>
      <c r="M827" s="388"/>
      <c r="N827" s="929"/>
      <c r="O827" s="388"/>
      <c r="P827" s="388"/>
      <c r="Q827" s="388"/>
      <c r="R827" s="465"/>
      <c r="S827" s="929"/>
      <c r="T827" s="466"/>
      <c r="U827" s="929"/>
      <c r="V827" s="929"/>
      <c r="W827" s="929"/>
      <c r="X827" s="474"/>
      <c r="Y827" s="474"/>
      <c r="Z827" s="474"/>
      <c r="AA827" s="474"/>
      <c r="AB827" s="474"/>
      <c r="AC827" s="388"/>
      <c r="AD827" s="464"/>
      <c r="AE827" s="465"/>
      <c r="AF827" s="388"/>
      <c r="AW827" s="471"/>
      <c r="AX827" s="471"/>
    </row>
    <row r="828" spans="1:50" ht="27" customHeight="1" x14ac:dyDescent="0.25">
      <c r="A828" s="462"/>
      <c r="H828" s="929"/>
      <c r="I828" s="388"/>
      <c r="J828" s="929"/>
      <c r="K828" s="388"/>
      <c r="L828" s="929"/>
      <c r="M828" s="388"/>
      <c r="N828" s="929"/>
      <c r="O828" s="388"/>
      <c r="P828" s="388"/>
      <c r="Q828" s="388"/>
      <c r="R828" s="465"/>
      <c r="S828" s="929"/>
      <c r="T828" s="466"/>
      <c r="U828" s="929"/>
      <c r="V828" s="929"/>
      <c r="W828" s="929"/>
      <c r="X828" s="474"/>
      <c r="Y828" s="474"/>
      <c r="Z828" s="474"/>
      <c r="AA828" s="474"/>
      <c r="AB828" s="474"/>
      <c r="AC828" s="388"/>
      <c r="AD828" s="464"/>
      <c r="AE828" s="465"/>
      <c r="AF828" s="388"/>
      <c r="AW828" s="471"/>
      <c r="AX828" s="471"/>
    </row>
    <row r="829" spans="1:50" ht="27" customHeight="1" x14ac:dyDescent="0.25">
      <c r="A829" s="462"/>
      <c r="H829" s="929"/>
      <c r="I829" s="388"/>
      <c r="J829" s="929"/>
      <c r="K829" s="388"/>
      <c r="L829" s="929"/>
      <c r="M829" s="388"/>
      <c r="N829" s="929"/>
      <c r="O829" s="388"/>
      <c r="P829" s="388"/>
      <c r="Q829" s="388"/>
      <c r="R829" s="465"/>
      <c r="S829" s="929"/>
      <c r="T829" s="466"/>
      <c r="U829" s="929"/>
      <c r="V829" s="929"/>
      <c r="W829" s="929"/>
      <c r="X829" s="474"/>
      <c r="Y829" s="474"/>
      <c r="Z829" s="474"/>
      <c r="AA829" s="474"/>
      <c r="AB829" s="474"/>
      <c r="AC829" s="388"/>
      <c r="AD829" s="464"/>
      <c r="AE829" s="465"/>
      <c r="AF829" s="388"/>
      <c r="AW829" s="471"/>
      <c r="AX829" s="471"/>
    </row>
    <row r="830" spans="1:50" ht="27" customHeight="1" x14ac:dyDescent="0.25">
      <c r="A830" s="462"/>
      <c r="H830" s="929"/>
      <c r="I830" s="388"/>
      <c r="J830" s="929"/>
      <c r="K830" s="388"/>
      <c r="L830" s="929"/>
      <c r="M830" s="388"/>
      <c r="N830" s="929"/>
      <c r="O830" s="388"/>
      <c r="P830" s="388"/>
      <c r="Q830" s="388"/>
      <c r="R830" s="465"/>
      <c r="S830" s="929"/>
      <c r="T830" s="466"/>
      <c r="U830" s="929"/>
      <c r="V830" s="929"/>
      <c r="W830" s="929"/>
      <c r="X830" s="474"/>
      <c r="Y830" s="474"/>
      <c r="Z830" s="474"/>
      <c r="AA830" s="474"/>
      <c r="AB830" s="474"/>
      <c r="AC830" s="388"/>
      <c r="AD830" s="464"/>
      <c r="AE830" s="465"/>
      <c r="AF830" s="388"/>
      <c r="AW830" s="471"/>
      <c r="AX830" s="471"/>
    </row>
    <row r="831" spans="1:50" ht="27" customHeight="1" x14ac:dyDescent="0.25">
      <c r="A831" s="462"/>
      <c r="H831" s="929"/>
      <c r="I831" s="388"/>
      <c r="J831" s="929"/>
      <c r="K831" s="388"/>
      <c r="L831" s="929"/>
      <c r="M831" s="388"/>
      <c r="N831" s="929"/>
      <c r="O831" s="388"/>
      <c r="P831" s="388"/>
      <c r="Q831" s="388"/>
      <c r="R831" s="465"/>
      <c r="S831" s="929"/>
      <c r="T831" s="466"/>
      <c r="U831" s="929"/>
      <c r="V831" s="929"/>
      <c r="W831" s="929"/>
      <c r="X831" s="474"/>
      <c r="Y831" s="474"/>
      <c r="Z831" s="474"/>
      <c r="AA831" s="474"/>
      <c r="AB831" s="474"/>
      <c r="AC831" s="388"/>
      <c r="AD831" s="464"/>
      <c r="AE831" s="465"/>
      <c r="AF831" s="388"/>
      <c r="AW831" s="471"/>
      <c r="AX831" s="471"/>
    </row>
    <row r="832" spans="1:50" ht="27" customHeight="1" x14ac:dyDescent="0.25">
      <c r="A832" s="462"/>
      <c r="H832" s="929"/>
      <c r="I832" s="388"/>
      <c r="J832" s="929"/>
      <c r="K832" s="388"/>
      <c r="L832" s="929"/>
      <c r="M832" s="388"/>
      <c r="N832" s="929"/>
      <c r="O832" s="388"/>
      <c r="P832" s="388"/>
      <c r="Q832" s="388"/>
      <c r="R832" s="465"/>
      <c r="S832" s="929"/>
      <c r="T832" s="466"/>
      <c r="U832" s="929"/>
      <c r="V832" s="929"/>
      <c r="W832" s="929"/>
      <c r="X832" s="474"/>
      <c r="Y832" s="474"/>
      <c r="Z832" s="474"/>
      <c r="AA832" s="474"/>
      <c r="AB832" s="474"/>
      <c r="AC832" s="388"/>
      <c r="AD832" s="464"/>
      <c r="AE832" s="465"/>
      <c r="AF832" s="388"/>
      <c r="AW832" s="471"/>
      <c r="AX832" s="471"/>
    </row>
    <row r="833" spans="1:50" ht="27" customHeight="1" x14ac:dyDescent="0.25">
      <c r="A833" s="462"/>
      <c r="H833" s="929"/>
      <c r="I833" s="388"/>
      <c r="J833" s="929"/>
      <c r="K833" s="388"/>
      <c r="L833" s="929"/>
      <c r="M833" s="388"/>
      <c r="N833" s="929"/>
      <c r="O833" s="388"/>
      <c r="P833" s="388"/>
      <c r="Q833" s="388"/>
      <c r="R833" s="465"/>
      <c r="S833" s="929"/>
      <c r="T833" s="466"/>
      <c r="U833" s="929"/>
      <c r="V833" s="929"/>
      <c r="W833" s="929"/>
      <c r="X833" s="474"/>
      <c r="Y833" s="474"/>
      <c r="Z833" s="474"/>
      <c r="AA833" s="474"/>
      <c r="AB833" s="474"/>
      <c r="AC833" s="388"/>
      <c r="AD833" s="464"/>
      <c r="AE833" s="465"/>
      <c r="AF833" s="388"/>
      <c r="AW833" s="471"/>
      <c r="AX833" s="471"/>
    </row>
    <row r="834" spans="1:50" ht="27" customHeight="1" x14ac:dyDescent="0.25">
      <c r="A834" s="462"/>
      <c r="H834" s="929"/>
      <c r="I834" s="388"/>
      <c r="J834" s="929"/>
      <c r="K834" s="388"/>
      <c r="L834" s="929"/>
      <c r="M834" s="388"/>
      <c r="N834" s="929"/>
      <c r="O834" s="388"/>
      <c r="P834" s="388"/>
      <c r="Q834" s="388"/>
      <c r="R834" s="465"/>
      <c r="S834" s="929"/>
      <c r="T834" s="466"/>
      <c r="U834" s="929"/>
      <c r="V834" s="929"/>
      <c r="W834" s="929"/>
      <c r="X834" s="474"/>
      <c r="Y834" s="474"/>
      <c r="Z834" s="474"/>
      <c r="AA834" s="474"/>
      <c r="AB834" s="474"/>
      <c r="AC834" s="388"/>
      <c r="AD834" s="464"/>
      <c r="AE834" s="465"/>
      <c r="AF834" s="388"/>
      <c r="AW834" s="471"/>
      <c r="AX834" s="471"/>
    </row>
    <row r="835" spans="1:50" ht="27" customHeight="1" x14ac:dyDescent="0.25">
      <c r="A835" s="462"/>
      <c r="H835" s="929"/>
      <c r="I835" s="388"/>
      <c r="J835" s="929"/>
      <c r="K835" s="388"/>
      <c r="L835" s="929"/>
      <c r="M835" s="388"/>
      <c r="N835" s="929"/>
      <c r="O835" s="388"/>
      <c r="P835" s="388"/>
      <c r="Q835" s="388"/>
      <c r="R835" s="465"/>
      <c r="S835" s="929"/>
      <c r="T835" s="466"/>
      <c r="U835" s="929"/>
      <c r="V835" s="929"/>
      <c r="W835" s="929"/>
      <c r="X835" s="474"/>
      <c r="Y835" s="474"/>
      <c r="Z835" s="474"/>
      <c r="AA835" s="474"/>
      <c r="AB835" s="474"/>
      <c r="AC835" s="388"/>
      <c r="AD835" s="464"/>
      <c r="AE835" s="465"/>
      <c r="AF835" s="388"/>
      <c r="AW835" s="471"/>
      <c r="AX835" s="471"/>
    </row>
    <row r="836" spans="1:50" ht="27" customHeight="1" x14ac:dyDescent="0.25">
      <c r="A836" s="462"/>
      <c r="H836" s="929"/>
      <c r="I836" s="388"/>
      <c r="J836" s="929"/>
      <c r="K836" s="388"/>
      <c r="L836" s="929"/>
      <c r="M836" s="388"/>
      <c r="N836" s="929"/>
      <c r="O836" s="388"/>
      <c r="P836" s="388"/>
      <c r="Q836" s="388"/>
      <c r="R836" s="465"/>
      <c r="S836" s="929"/>
      <c r="T836" s="466"/>
      <c r="U836" s="929"/>
      <c r="V836" s="929"/>
      <c r="W836" s="929"/>
      <c r="X836" s="474"/>
      <c r="Y836" s="474"/>
      <c r="Z836" s="474"/>
      <c r="AA836" s="474"/>
      <c r="AB836" s="474"/>
      <c r="AC836" s="388"/>
      <c r="AD836" s="464"/>
      <c r="AE836" s="465"/>
      <c r="AF836" s="388"/>
      <c r="AW836" s="471"/>
      <c r="AX836" s="471"/>
    </row>
    <row r="837" spans="1:50" ht="27" customHeight="1" x14ac:dyDescent="0.25">
      <c r="A837" s="462"/>
      <c r="H837" s="929"/>
      <c r="I837" s="388"/>
      <c r="J837" s="929"/>
      <c r="K837" s="388"/>
      <c r="L837" s="929"/>
      <c r="M837" s="388"/>
      <c r="N837" s="929"/>
      <c r="O837" s="388"/>
      <c r="P837" s="388"/>
      <c r="Q837" s="388"/>
      <c r="R837" s="465"/>
      <c r="S837" s="929"/>
      <c r="T837" s="466"/>
      <c r="U837" s="929"/>
      <c r="V837" s="929"/>
      <c r="W837" s="929"/>
      <c r="X837" s="474"/>
      <c r="Y837" s="474"/>
      <c r="Z837" s="474"/>
      <c r="AA837" s="474"/>
      <c r="AB837" s="474"/>
      <c r="AC837" s="388"/>
      <c r="AD837" s="464"/>
      <c r="AE837" s="465"/>
      <c r="AF837" s="388"/>
      <c r="AW837" s="471"/>
      <c r="AX837" s="471"/>
    </row>
    <row r="838" spans="1:50" ht="27" customHeight="1" x14ac:dyDescent="0.25">
      <c r="A838" s="462"/>
      <c r="H838" s="929"/>
      <c r="I838" s="388"/>
      <c r="J838" s="929"/>
      <c r="K838" s="388"/>
      <c r="L838" s="929"/>
      <c r="M838" s="388"/>
      <c r="N838" s="929"/>
      <c r="O838" s="388"/>
      <c r="P838" s="388"/>
      <c r="Q838" s="388"/>
      <c r="R838" s="465"/>
      <c r="S838" s="929"/>
      <c r="T838" s="466"/>
      <c r="U838" s="929"/>
      <c r="V838" s="929"/>
      <c r="W838" s="929"/>
      <c r="X838" s="474"/>
      <c r="Y838" s="474"/>
      <c r="Z838" s="474"/>
      <c r="AA838" s="474"/>
      <c r="AB838" s="474"/>
      <c r="AC838" s="388"/>
      <c r="AD838" s="464"/>
      <c r="AE838" s="465"/>
      <c r="AF838" s="388"/>
      <c r="AW838" s="471"/>
      <c r="AX838" s="471"/>
    </row>
    <row r="839" spans="1:50" ht="27" customHeight="1" x14ac:dyDescent="0.25">
      <c r="A839" s="462"/>
      <c r="H839" s="929"/>
      <c r="I839" s="388"/>
      <c r="J839" s="929"/>
      <c r="K839" s="388"/>
      <c r="L839" s="929"/>
      <c r="M839" s="388"/>
      <c r="N839" s="929"/>
      <c r="O839" s="388"/>
      <c r="P839" s="388"/>
      <c r="Q839" s="388"/>
      <c r="R839" s="465"/>
      <c r="S839" s="929"/>
      <c r="T839" s="466"/>
      <c r="U839" s="929"/>
      <c r="V839" s="929"/>
      <c r="W839" s="929"/>
      <c r="X839" s="474"/>
      <c r="Y839" s="474"/>
      <c r="Z839" s="474"/>
      <c r="AA839" s="474"/>
      <c r="AB839" s="474"/>
      <c r="AC839" s="388"/>
      <c r="AD839" s="464"/>
      <c r="AE839" s="465"/>
      <c r="AF839" s="388"/>
      <c r="AW839" s="471"/>
      <c r="AX839" s="471"/>
    </row>
    <row r="840" spans="1:50" ht="27" customHeight="1" x14ac:dyDescent="0.25">
      <c r="A840" s="462"/>
      <c r="H840" s="929"/>
      <c r="I840" s="388"/>
      <c r="J840" s="929"/>
      <c r="K840" s="388"/>
      <c r="L840" s="929"/>
      <c r="M840" s="388"/>
      <c r="N840" s="929"/>
      <c r="O840" s="388"/>
      <c r="P840" s="388"/>
      <c r="Q840" s="388"/>
      <c r="R840" s="465"/>
      <c r="S840" s="929"/>
      <c r="T840" s="466"/>
      <c r="U840" s="929"/>
      <c r="V840" s="929"/>
      <c r="W840" s="929"/>
      <c r="X840" s="474"/>
      <c r="Y840" s="474"/>
      <c r="Z840" s="474"/>
      <c r="AA840" s="474"/>
      <c r="AB840" s="474"/>
      <c r="AC840" s="388"/>
      <c r="AD840" s="464"/>
      <c r="AE840" s="465"/>
      <c r="AF840" s="388"/>
      <c r="AW840" s="471"/>
      <c r="AX840" s="471"/>
    </row>
    <row r="841" spans="1:50" ht="27" customHeight="1" x14ac:dyDescent="0.25">
      <c r="A841" s="462"/>
      <c r="H841" s="929"/>
      <c r="I841" s="388"/>
      <c r="J841" s="929"/>
      <c r="K841" s="388"/>
      <c r="L841" s="929"/>
      <c r="M841" s="388"/>
      <c r="N841" s="929"/>
      <c r="O841" s="388"/>
      <c r="P841" s="388"/>
      <c r="Q841" s="388"/>
      <c r="R841" s="465"/>
      <c r="S841" s="929"/>
      <c r="T841" s="466"/>
      <c r="U841" s="929"/>
      <c r="V841" s="929"/>
      <c r="W841" s="929"/>
      <c r="X841" s="474"/>
      <c r="Y841" s="474"/>
      <c r="Z841" s="474"/>
      <c r="AA841" s="474"/>
      <c r="AB841" s="474"/>
      <c r="AC841" s="388"/>
      <c r="AD841" s="464"/>
      <c r="AE841" s="465"/>
      <c r="AF841" s="388"/>
      <c r="AW841" s="471"/>
      <c r="AX841" s="471"/>
    </row>
    <row r="842" spans="1:50" ht="27" customHeight="1" x14ac:dyDescent="0.25">
      <c r="A842" s="462"/>
      <c r="H842" s="929"/>
      <c r="I842" s="388"/>
      <c r="J842" s="929"/>
      <c r="K842" s="388"/>
      <c r="L842" s="929"/>
      <c r="M842" s="388"/>
      <c r="N842" s="929"/>
      <c r="O842" s="388"/>
      <c r="P842" s="388"/>
      <c r="Q842" s="388"/>
      <c r="R842" s="465"/>
      <c r="S842" s="929"/>
      <c r="T842" s="466"/>
      <c r="U842" s="929"/>
      <c r="V842" s="929"/>
      <c r="W842" s="929"/>
      <c r="X842" s="474"/>
      <c r="Y842" s="474"/>
      <c r="Z842" s="474"/>
      <c r="AA842" s="474"/>
      <c r="AB842" s="474"/>
      <c r="AC842" s="388"/>
      <c r="AD842" s="464"/>
      <c r="AE842" s="465"/>
      <c r="AF842" s="388"/>
      <c r="AW842" s="471"/>
      <c r="AX842" s="471"/>
    </row>
    <row r="843" spans="1:50" ht="27" customHeight="1" x14ac:dyDescent="0.25">
      <c r="A843" s="462"/>
      <c r="H843" s="929"/>
      <c r="I843" s="388"/>
      <c r="J843" s="929"/>
      <c r="K843" s="388"/>
      <c r="L843" s="929"/>
      <c r="M843" s="388"/>
      <c r="N843" s="929"/>
      <c r="O843" s="388"/>
      <c r="P843" s="388"/>
      <c r="Q843" s="388"/>
      <c r="R843" s="465"/>
      <c r="S843" s="929"/>
      <c r="T843" s="466"/>
      <c r="U843" s="929"/>
      <c r="V843" s="929"/>
      <c r="W843" s="929"/>
      <c r="X843" s="474"/>
      <c r="Y843" s="474"/>
      <c r="Z843" s="474"/>
      <c r="AA843" s="474"/>
      <c r="AB843" s="474"/>
      <c r="AC843" s="388"/>
      <c r="AD843" s="464"/>
      <c r="AE843" s="465"/>
      <c r="AF843" s="388"/>
      <c r="AW843" s="471"/>
      <c r="AX843" s="471"/>
    </row>
    <row r="844" spans="1:50" ht="27" customHeight="1" x14ac:dyDescent="0.25">
      <c r="A844" s="462"/>
      <c r="H844" s="929"/>
      <c r="I844" s="388"/>
      <c r="J844" s="929"/>
      <c r="K844" s="388"/>
      <c r="L844" s="929"/>
      <c r="M844" s="388"/>
      <c r="N844" s="929"/>
      <c r="O844" s="388"/>
      <c r="P844" s="388"/>
      <c r="Q844" s="388"/>
      <c r="R844" s="465"/>
      <c r="S844" s="929"/>
      <c r="T844" s="466"/>
      <c r="U844" s="929"/>
      <c r="V844" s="929"/>
      <c r="W844" s="929"/>
      <c r="X844" s="474"/>
      <c r="Y844" s="474"/>
      <c r="Z844" s="474"/>
      <c r="AA844" s="474"/>
      <c r="AB844" s="474"/>
      <c r="AC844" s="388"/>
      <c r="AD844" s="464"/>
      <c r="AE844" s="465"/>
      <c r="AF844" s="388"/>
      <c r="AW844" s="471"/>
      <c r="AX844" s="471"/>
    </row>
    <row r="845" spans="1:50" ht="27" customHeight="1" x14ac:dyDescent="0.25">
      <c r="A845" s="462"/>
      <c r="H845" s="929"/>
      <c r="I845" s="388"/>
      <c r="J845" s="929"/>
      <c r="K845" s="388"/>
      <c r="L845" s="929"/>
      <c r="M845" s="388"/>
      <c r="N845" s="929"/>
      <c r="O845" s="388"/>
      <c r="P845" s="388"/>
      <c r="Q845" s="388"/>
      <c r="R845" s="465"/>
      <c r="S845" s="929"/>
      <c r="T845" s="466"/>
      <c r="U845" s="929"/>
      <c r="V845" s="929"/>
      <c r="W845" s="929"/>
      <c r="X845" s="474"/>
      <c r="Y845" s="474"/>
      <c r="Z845" s="474"/>
      <c r="AA845" s="474"/>
      <c r="AB845" s="474"/>
      <c r="AC845" s="388"/>
      <c r="AD845" s="464"/>
      <c r="AE845" s="465"/>
      <c r="AF845" s="388"/>
      <c r="AW845" s="471"/>
      <c r="AX845" s="471"/>
    </row>
    <row r="846" spans="1:50" ht="27" customHeight="1" x14ac:dyDescent="0.25">
      <c r="A846" s="462"/>
      <c r="H846" s="929"/>
      <c r="I846" s="388"/>
      <c r="J846" s="929"/>
      <c r="K846" s="388"/>
      <c r="L846" s="929"/>
      <c r="M846" s="388"/>
      <c r="N846" s="929"/>
      <c r="O846" s="388"/>
      <c r="P846" s="388"/>
      <c r="Q846" s="388"/>
      <c r="R846" s="465"/>
      <c r="S846" s="929"/>
      <c r="T846" s="466"/>
      <c r="U846" s="929"/>
      <c r="V846" s="929"/>
      <c r="W846" s="929"/>
      <c r="X846" s="474"/>
      <c r="Y846" s="474"/>
      <c r="Z846" s="474"/>
      <c r="AA846" s="474"/>
      <c r="AB846" s="474"/>
      <c r="AC846" s="388"/>
      <c r="AD846" s="464"/>
      <c r="AE846" s="465"/>
      <c r="AF846" s="388"/>
      <c r="AW846" s="471"/>
      <c r="AX846" s="471"/>
    </row>
    <row r="847" spans="1:50" ht="27" customHeight="1" x14ac:dyDescent="0.25">
      <c r="A847" s="462"/>
      <c r="H847" s="929"/>
      <c r="I847" s="388"/>
      <c r="J847" s="929"/>
      <c r="K847" s="388"/>
      <c r="L847" s="929"/>
      <c r="M847" s="388"/>
      <c r="N847" s="929"/>
      <c r="O847" s="388"/>
      <c r="P847" s="388"/>
      <c r="Q847" s="388"/>
      <c r="R847" s="465"/>
      <c r="S847" s="929"/>
      <c r="T847" s="466"/>
      <c r="U847" s="929"/>
      <c r="V847" s="929"/>
      <c r="W847" s="929"/>
      <c r="X847" s="474"/>
      <c r="Y847" s="474"/>
      <c r="Z847" s="474"/>
      <c r="AA847" s="474"/>
      <c r="AB847" s="474"/>
      <c r="AC847" s="388"/>
      <c r="AD847" s="464"/>
      <c r="AE847" s="465"/>
      <c r="AF847" s="388"/>
      <c r="AW847" s="471"/>
      <c r="AX847" s="471"/>
    </row>
    <row r="848" spans="1:50" ht="27" customHeight="1" x14ac:dyDescent="0.25">
      <c r="A848" s="462"/>
      <c r="H848" s="929"/>
      <c r="I848" s="388"/>
      <c r="J848" s="929"/>
      <c r="K848" s="388"/>
      <c r="L848" s="929"/>
      <c r="M848" s="388"/>
      <c r="N848" s="929"/>
      <c r="O848" s="388"/>
      <c r="P848" s="388"/>
      <c r="Q848" s="388"/>
      <c r="R848" s="465"/>
      <c r="S848" s="929"/>
      <c r="T848" s="466"/>
      <c r="U848" s="929"/>
      <c r="V848" s="929"/>
      <c r="W848" s="929"/>
      <c r="X848" s="474"/>
      <c r="Y848" s="474"/>
      <c r="Z848" s="474"/>
      <c r="AA848" s="474"/>
      <c r="AB848" s="474"/>
      <c r="AC848" s="388"/>
      <c r="AD848" s="464"/>
      <c r="AE848" s="465"/>
      <c r="AF848" s="388"/>
      <c r="AW848" s="471"/>
      <c r="AX848" s="471"/>
    </row>
    <row r="849" spans="1:50" ht="27" customHeight="1" x14ac:dyDescent="0.25">
      <c r="A849" s="462"/>
      <c r="H849" s="929"/>
      <c r="I849" s="388"/>
      <c r="J849" s="929"/>
      <c r="K849" s="388"/>
      <c r="L849" s="929"/>
      <c r="M849" s="388"/>
      <c r="N849" s="929"/>
      <c r="O849" s="388"/>
      <c r="P849" s="388"/>
      <c r="Q849" s="388"/>
      <c r="R849" s="465"/>
      <c r="S849" s="929"/>
      <c r="T849" s="466"/>
      <c r="U849" s="929"/>
      <c r="V849" s="929"/>
      <c r="W849" s="929"/>
      <c r="X849" s="474"/>
      <c r="Y849" s="474"/>
      <c r="Z849" s="474"/>
      <c r="AA849" s="474"/>
      <c r="AB849" s="474"/>
      <c r="AC849" s="388"/>
      <c r="AD849" s="464"/>
      <c r="AE849" s="465"/>
      <c r="AF849" s="388"/>
      <c r="AW849" s="471"/>
      <c r="AX849" s="471"/>
    </row>
    <row r="850" spans="1:50" ht="27" customHeight="1" x14ac:dyDescent="0.25">
      <c r="A850" s="462"/>
      <c r="H850" s="929"/>
      <c r="I850" s="388"/>
      <c r="J850" s="929"/>
      <c r="K850" s="388"/>
      <c r="L850" s="929"/>
      <c r="M850" s="388"/>
      <c r="N850" s="929"/>
      <c r="O850" s="388"/>
      <c r="P850" s="388"/>
      <c r="Q850" s="388"/>
      <c r="R850" s="465"/>
      <c r="S850" s="929"/>
      <c r="T850" s="466"/>
      <c r="U850" s="929"/>
      <c r="V850" s="929"/>
      <c r="W850" s="929"/>
      <c r="X850" s="474"/>
      <c r="Y850" s="474"/>
      <c r="Z850" s="474"/>
      <c r="AA850" s="474"/>
      <c r="AB850" s="474"/>
      <c r="AC850" s="388"/>
      <c r="AD850" s="464"/>
      <c r="AE850" s="465"/>
      <c r="AF850" s="388"/>
      <c r="AW850" s="471"/>
      <c r="AX850" s="471"/>
    </row>
    <row r="851" spans="1:50" ht="27" customHeight="1" x14ac:dyDescent="0.25">
      <c r="A851" s="462"/>
      <c r="H851" s="929"/>
      <c r="I851" s="388"/>
      <c r="J851" s="929"/>
      <c r="K851" s="388"/>
      <c r="L851" s="929"/>
      <c r="M851" s="388"/>
      <c r="N851" s="929"/>
      <c r="O851" s="388"/>
      <c r="P851" s="388"/>
      <c r="Q851" s="388"/>
      <c r="R851" s="465"/>
      <c r="S851" s="929"/>
      <c r="T851" s="466"/>
      <c r="U851" s="929"/>
      <c r="V851" s="929"/>
      <c r="W851" s="929"/>
      <c r="X851" s="474"/>
      <c r="Y851" s="474"/>
      <c r="Z851" s="474"/>
      <c r="AA851" s="474"/>
      <c r="AB851" s="474"/>
      <c r="AC851" s="388"/>
      <c r="AD851" s="464"/>
      <c r="AE851" s="465"/>
      <c r="AF851" s="388"/>
      <c r="AW851" s="471"/>
      <c r="AX851" s="471"/>
    </row>
    <row r="852" spans="1:50" ht="27" customHeight="1" x14ac:dyDescent="0.25">
      <c r="A852" s="462"/>
      <c r="H852" s="929"/>
      <c r="I852" s="388"/>
      <c r="J852" s="929"/>
      <c r="K852" s="388"/>
      <c r="L852" s="929"/>
      <c r="M852" s="388"/>
      <c r="N852" s="929"/>
      <c r="O852" s="388"/>
      <c r="P852" s="388"/>
      <c r="Q852" s="388"/>
      <c r="R852" s="465"/>
      <c r="S852" s="929"/>
      <c r="T852" s="466"/>
      <c r="U852" s="929"/>
      <c r="V852" s="929"/>
      <c r="W852" s="929"/>
      <c r="X852" s="474"/>
      <c r="Y852" s="474"/>
      <c r="Z852" s="474"/>
      <c r="AA852" s="474"/>
      <c r="AB852" s="474"/>
      <c r="AC852" s="388"/>
      <c r="AD852" s="464"/>
      <c r="AE852" s="465"/>
      <c r="AF852" s="388"/>
      <c r="AW852" s="471"/>
      <c r="AX852" s="471"/>
    </row>
    <row r="853" spans="1:50" ht="27" customHeight="1" x14ac:dyDescent="0.25">
      <c r="A853" s="462"/>
      <c r="H853" s="929"/>
      <c r="I853" s="388"/>
      <c r="J853" s="929"/>
      <c r="K853" s="388"/>
      <c r="L853" s="929"/>
      <c r="M853" s="388"/>
      <c r="N853" s="929"/>
      <c r="O853" s="388"/>
      <c r="P853" s="388"/>
      <c r="Q853" s="388"/>
      <c r="R853" s="465"/>
      <c r="S853" s="929"/>
      <c r="T853" s="466"/>
      <c r="U853" s="929"/>
      <c r="V853" s="929"/>
      <c r="W853" s="929"/>
      <c r="X853" s="474"/>
      <c r="Y853" s="474"/>
      <c r="Z853" s="474"/>
      <c r="AA853" s="474"/>
      <c r="AB853" s="474"/>
      <c r="AC853" s="388"/>
      <c r="AD853" s="464"/>
      <c r="AE853" s="465"/>
      <c r="AF853" s="388"/>
      <c r="AW853" s="471"/>
      <c r="AX853" s="471"/>
    </row>
    <row r="854" spans="1:50" ht="27" customHeight="1" x14ac:dyDescent="0.25">
      <c r="A854" s="462"/>
      <c r="H854" s="929"/>
      <c r="I854" s="388"/>
      <c r="J854" s="929"/>
      <c r="K854" s="388"/>
      <c r="L854" s="929"/>
      <c r="M854" s="388"/>
      <c r="N854" s="929"/>
      <c r="O854" s="388"/>
      <c r="P854" s="388"/>
      <c r="Q854" s="388"/>
      <c r="R854" s="465"/>
      <c r="S854" s="929"/>
      <c r="T854" s="466"/>
      <c r="U854" s="929"/>
      <c r="V854" s="929"/>
      <c r="W854" s="929"/>
      <c r="X854" s="474"/>
      <c r="Y854" s="474"/>
      <c r="Z854" s="474"/>
      <c r="AA854" s="474"/>
      <c r="AB854" s="474"/>
      <c r="AC854" s="388"/>
      <c r="AD854" s="464"/>
      <c r="AE854" s="465"/>
      <c r="AF854" s="388"/>
      <c r="AW854" s="471"/>
      <c r="AX854" s="471"/>
    </row>
    <row r="855" spans="1:50" ht="27" customHeight="1" x14ac:dyDescent="0.25">
      <c r="A855" s="462"/>
      <c r="H855" s="929"/>
      <c r="I855" s="388"/>
      <c r="J855" s="929"/>
      <c r="K855" s="388"/>
      <c r="L855" s="929"/>
      <c r="M855" s="388"/>
      <c r="N855" s="929"/>
      <c r="O855" s="388"/>
      <c r="P855" s="388"/>
      <c r="Q855" s="388"/>
      <c r="R855" s="465"/>
      <c r="S855" s="929"/>
      <c r="T855" s="466"/>
      <c r="U855" s="929"/>
      <c r="V855" s="929"/>
      <c r="W855" s="929"/>
      <c r="X855" s="474"/>
      <c r="Y855" s="474"/>
      <c r="Z855" s="474"/>
      <c r="AA855" s="474"/>
      <c r="AB855" s="474"/>
      <c r="AC855" s="388"/>
      <c r="AD855" s="464"/>
      <c r="AE855" s="465"/>
      <c r="AF855" s="388"/>
      <c r="AW855" s="471"/>
      <c r="AX855" s="471"/>
    </row>
    <row r="856" spans="1:50" ht="27" customHeight="1" x14ac:dyDescent="0.25">
      <c r="A856" s="462"/>
      <c r="H856" s="929"/>
      <c r="I856" s="388"/>
      <c r="J856" s="929"/>
      <c r="K856" s="388"/>
      <c r="L856" s="929"/>
      <c r="M856" s="388"/>
      <c r="N856" s="929"/>
      <c r="O856" s="388"/>
      <c r="P856" s="388"/>
      <c r="Q856" s="388"/>
      <c r="R856" s="465"/>
      <c r="S856" s="929"/>
      <c r="T856" s="466"/>
      <c r="U856" s="929"/>
      <c r="V856" s="929"/>
      <c r="W856" s="929"/>
      <c r="X856" s="474"/>
      <c r="Y856" s="474"/>
      <c r="Z856" s="474"/>
      <c r="AA856" s="474"/>
      <c r="AB856" s="474"/>
      <c r="AC856" s="388"/>
      <c r="AD856" s="464"/>
      <c r="AE856" s="465"/>
      <c r="AF856" s="388"/>
      <c r="AW856" s="471"/>
      <c r="AX856" s="471"/>
    </row>
    <row r="857" spans="1:50" ht="27" customHeight="1" x14ac:dyDescent="0.25">
      <c r="A857" s="462"/>
      <c r="H857" s="929"/>
      <c r="I857" s="388"/>
      <c r="J857" s="929"/>
      <c r="K857" s="388"/>
      <c r="L857" s="929"/>
      <c r="M857" s="388"/>
      <c r="N857" s="929"/>
      <c r="O857" s="388"/>
      <c r="P857" s="388"/>
      <c r="Q857" s="388"/>
      <c r="R857" s="465"/>
      <c r="S857" s="929"/>
      <c r="T857" s="466"/>
      <c r="U857" s="929"/>
      <c r="V857" s="929"/>
      <c r="W857" s="929"/>
      <c r="X857" s="474"/>
      <c r="Y857" s="474"/>
      <c r="Z857" s="474"/>
      <c r="AA857" s="474"/>
      <c r="AB857" s="474"/>
      <c r="AC857" s="388"/>
      <c r="AD857" s="464"/>
      <c r="AE857" s="465"/>
      <c r="AF857" s="388"/>
      <c r="AW857" s="471"/>
      <c r="AX857" s="471"/>
    </row>
    <row r="858" spans="1:50" ht="27" customHeight="1" x14ac:dyDescent="0.25">
      <c r="A858" s="462"/>
      <c r="H858" s="929"/>
      <c r="I858" s="388"/>
      <c r="J858" s="929"/>
      <c r="K858" s="388"/>
      <c r="L858" s="929"/>
      <c r="M858" s="388"/>
      <c r="N858" s="929"/>
      <c r="O858" s="388"/>
      <c r="P858" s="388"/>
      <c r="Q858" s="388"/>
      <c r="R858" s="465"/>
      <c r="S858" s="929"/>
      <c r="T858" s="466"/>
      <c r="U858" s="929"/>
      <c r="V858" s="929"/>
      <c r="W858" s="929"/>
      <c r="X858" s="474"/>
      <c r="Y858" s="474"/>
      <c r="Z858" s="474"/>
      <c r="AA858" s="474"/>
      <c r="AB858" s="474"/>
      <c r="AC858" s="388"/>
      <c r="AD858" s="464"/>
      <c r="AE858" s="465"/>
      <c r="AF858" s="388"/>
      <c r="AW858" s="471"/>
      <c r="AX858" s="471"/>
    </row>
    <row r="859" spans="1:50" ht="27" customHeight="1" x14ac:dyDescent="0.25">
      <c r="A859" s="462"/>
      <c r="H859" s="929"/>
      <c r="I859" s="388"/>
      <c r="J859" s="929"/>
      <c r="K859" s="388"/>
      <c r="L859" s="929"/>
      <c r="M859" s="388"/>
      <c r="N859" s="929"/>
      <c r="O859" s="388"/>
      <c r="P859" s="388"/>
      <c r="Q859" s="388"/>
      <c r="R859" s="465"/>
      <c r="S859" s="929"/>
      <c r="T859" s="466"/>
      <c r="U859" s="929"/>
      <c r="V859" s="929"/>
      <c r="W859" s="929"/>
      <c r="X859" s="474"/>
      <c r="Y859" s="474"/>
      <c r="Z859" s="474"/>
      <c r="AA859" s="474"/>
      <c r="AB859" s="474"/>
      <c r="AC859" s="388"/>
      <c r="AD859" s="464"/>
      <c r="AE859" s="465"/>
      <c r="AF859" s="388"/>
      <c r="AW859" s="471"/>
      <c r="AX859" s="471"/>
    </row>
    <row r="860" spans="1:50" ht="27" customHeight="1" x14ac:dyDescent="0.25">
      <c r="A860" s="462"/>
      <c r="H860" s="929"/>
      <c r="I860" s="388"/>
      <c r="J860" s="929"/>
      <c r="K860" s="388"/>
      <c r="L860" s="929"/>
      <c r="M860" s="388"/>
      <c r="N860" s="929"/>
      <c r="O860" s="388"/>
      <c r="P860" s="388"/>
      <c r="Q860" s="388"/>
      <c r="R860" s="465"/>
      <c r="S860" s="929"/>
      <c r="T860" s="466"/>
      <c r="U860" s="929"/>
      <c r="V860" s="929"/>
      <c r="W860" s="929"/>
      <c r="X860" s="474"/>
      <c r="Y860" s="474"/>
      <c r="Z860" s="474"/>
      <c r="AA860" s="474"/>
      <c r="AB860" s="474"/>
      <c r="AC860" s="388"/>
      <c r="AD860" s="464"/>
      <c r="AE860" s="465"/>
      <c r="AF860" s="388"/>
      <c r="AW860" s="471"/>
      <c r="AX860" s="471"/>
    </row>
    <row r="861" spans="1:50" ht="27" customHeight="1" x14ac:dyDescent="0.25">
      <c r="A861" s="462"/>
      <c r="H861" s="929"/>
      <c r="I861" s="388"/>
      <c r="J861" s="929"/>
      <c r="K861" s="388"/>
      <c r="L861" s="929"/>
      <c r="M861" s="388"/>
      <c r="N861" s="929"/>
      <c r="O861" s="388"/>
      <c r="P861" s="388"/>
      <c r="Q861" s="388"/>
      <c r="R861" s="465"/>
      <c r="S861" s="929"/>
      <c r="T861" s="466"/>
      <c r="U861" s="929"/>
      <c r="V861" s="929"/>
      <c r="W861" s="929"/>
      <c r="X861" s="474"/>
      <c r="Y861" s="474"/>
      <c r="Z861" s="474"/>
      <c r="AA861" s="474"/>
      <c r="AB861" s="474"/>
      <c r="AC861" s="388"/>
      <c r="AD861" s="464"/>
      <c r="AE861" s="465"/>
      <c r="AF861" s="388"/>
      <c r="AW861" s="471"/>
      <c r="AX861" s="471"/>
    </row>
    <row r="862" spans="1:50" ht="27" customHeight="1" x14ac:dyDescent="0.25">
      <c r="A862" s="462"/>
      <c r="H862" s="929"/>
      <c r="I862" s="388"/>
      <c r="J862" s="929"/>
      <c r="K862" s="388"/>
      <c r="L862" s="929"/>
      <c r="M862" s="388"/>
      <c r="N862" s="929"/>
      <c r="O862" s="388"/>
      <c r="P862" s="388"/>
      <c r="Q862" s="388"/>
      <c r="R862" s="465"/>
      <c r="S862" s="929"/>
      <c r="T862" s="466"/>
      <c r="U862" s="929"/>
      <c r="V862" s="929"/>
      <c r="W862" s="929"/>
      <c r="X862" s="474"/>
      <c r="Y862" s="474"/>
      <c r="Z862" s="474"/>
      <c r="AA862" s="474"/>
      <c r="AB862" s="474"/>
      <c r="AC862" s="388"/>
      <c r="AD862" s="464"/>
      <c r="AE862" s="465"/>
      <c r="AF862" s="388"/>
      <c r="AW862" s="471"/>
      <c r="AX862" s="471"/>
    </row>
    <row r="863" spans="1:50" ht="27" customHeight="1" x14ac:dyDescent="0.25">
      <c r="A863" s="462"/>
      <c r="H863" s="929"/>
      <c r="I863" s="388"/>
      <c r="J863" s="929"/>
      <c r="K863" s="388"/>
      <c r="L863" s="929"/>
      <c r="M863" s="388"/>
      <c r="N863" s="929"/>
      <c r="O863" s="388"/>
      <c r="P863" s="388"/>
      <c r="Q863" s="388"/>
      <c r="R863" s="465"/>
      <c r="S863" s="929"/>
      <c r="T863" s="466"/>
      <c r="U863" s="929"/>
      <c r="V863" s="929"/>
      <c r="W863" s="929"/>
      <c r="X863" s="474"/>
      <c r="Y863" s="474"/>
      <c r="Z863" s="474"/>
      <c r="AA863" s="474"/>
      <c r="AB863" s="474"/>
      <c r="AC863" s="388"/>
      <c r="AD863" s="464"/>
      <c r="AE863" s="465"/>
      <c r="AF863" s="388"/>
      <c r="AW863" s="471"/>
      <c r="AX863" s="471"/>
    </row>
    <row r="864" spans="1:50" ht="27" customHeight="1" x14ac:dyDescent="0.25">
      <c r="A864" s="462"/>
      <c r="H864" s="929"/>
      <c r="I864" s="388"/>
      <c r="J864" s="929"/>
      <c r="K864" s="388"/>
      <c r="L864" s="929"/>
      <c r="M864" s="388"/>
      <c r="N864" s="929"/>
      <c r="O864" s="388"/>
      <c r="P864" s="388"/>
      <c r="Q864" s="388"/>
      <c r="R864" s="465"/>
      <c r="S864" s="929"/>
      <c r="T864" s="466"/>
      <c r="U864" s="929"/>
      <c r="V864" s="929"/>
      <c r="W864" s="929"/>
      <c r="X864" s="474"/>
      <c r="Y864" s="474"/>
      <c r="Z864" s="474"/>
      <c r="AA864" s="474"/>
      <c r="AB864" s="474"/>
      <c r="AC864" s="388"/>
      <c r="AD864" s="464"/>
      <c r="AE864" s="465"/>
      <c r="AF864" s="388"/>
      <c r="AW864" s="471"/>
      <c r="AX864" s="471"/>
    </row>
    <row r="865" spans="1:50" ht="27" customHeight="1" x14ac:dyDescent="0.25">
      <c r="A865" s="462"/>
      <c r="H865" s="929"/>
      <c r="I865" s="388"/>
      <c r="J865" s="929"/>
      <c r="K865" s="388"/>
      <c r="L865" s="929"/>
      <c r="M865" s="388"/>
      <c r="N865" s="929"/>
      <c r="O865" s="388"/>
      <c r="P865" s="388"/>
      <c r="Q865" s="388"/>
      <c r="R865" s="465"/>
      <c r="S865" s="929"/>
      <c r="T865" s="466"/>
      <c r="U865" s="929"/>
      <c r="V865" s="929"/>
      <c r="W865" s="929"/>
      <c r="X865" s="474"/>
      <c r="Y865" s="474"/>
      <c r="Z865" s="474"/>
      <c r="AA865" s="474"/>
      <c r="AB865" s="474"/>
      <c r="AC865" s="388"/>
      <c r="AD865" s="464"/>
      <c r="AE865" s="465"/>
      <c r="AF865" s="388"/>
      <c r="AW865" s="471"/>
      <c r="AX865" s="471"/>
    </row>
    <row r="866" spans="1:50" ht="27" customHeight="1" x14ac:dyDescent="0.25">
      <c r="A866" s="462"/>
      <c r="H866" s="929"/>
      <c r="I866" s="388"/>
      <c r="J866" s="929"/>
      <c r="K866" s="388"/>
      <c r="L866" s="929"/>
      <c r="M866" s="388"/>
      <c r="N866" s="929"/>
      <c r="O866" s="388"/>
      <c r="P866" s="388"/>
      <c r="Q866" s="388"/>
      <c r="R866" s="465"/>
      <c r="S866" s="929"/>
      <c r="T866" s="466"/>
      <c r="U866" s="929"/>
      <c r="V866" s="929"/>
      <c r="W866" s="929"/>
      <c r="X866" s="474"/>
      <c r="Y866" s="474"/>
      <c r="Z866" s="474"/>
      <c r="AA866" s="474"/>
      <c r="AB866" s="474"/>
      <c r="AC866" s="388"/>
      <c r="AD866" s="464"/>
      <c r="AE866" s="465"/>
      <c r="AF866" s="388"/>
      <c r="AW866" s="471"/>
      <c r="AX866" s="471"/>
    </row>
    <row r="867" spans="1:50" ht="27" customHeight="1" x14ac:dyDescent="0.25">
      <c r="A867" s="462"/>
      <c r="H867" s="929"/>
      <c r="I867" s="388"/>
      <c r="J867" s="929"/>
      <c r="K867" s="388"/>
      <c r="L867" s="929"/>
      <c r="M867" s="388"/>
      <c r="N867" s="929"/>
      <c r="O867" s="388"/>
      <c r="P867" s="388"/>
      <c r="Q867" s="388"/>
      <c r="R867" s="465"/>
      <c r="S867" s="929"/>
      <c r="T867" s="466"/>
      <c r="U867" s="929"/>
      <c r="V867" s="929"/>
      <c r="W867" s="929"/>
      <c r="X867" s="474"/>
      <c r="Y867" s="474"/>
      <c r="Z867" s="474"/>
      <c r="AA867" s="474"/>
      <c r="AB867" s="474"/>
      <c r="AC867" s="388"/>
      <c r="AD867" s="464"/>
      <c r="AE867" s="465"/>
      <c r="AF867" s="388"/>
      <c r="AW867" s="471"/>
      <c r="AX867" s="471"/>
    </row>
    <row r="868" spans="1:50" ht="27" customHeight="1" x14ac:dyDescent="0.25">
      <c r="A868" s="462"/>
      <c r="H868" s="929"/>
      <c r="I868" s="388"/>
      <c r="J868" s="929"/>
      <c r="K868" s="388"/>
      <c r="L868" s="929"/>
      <c r="M868" s="388"/>
      <c r="N868" s="929"/>
      <c r="O868" s="388"/>
      <c r="P868" s="388"/>
      <c r="Q868" s="388"/>
      <c r="R868" s="465"/>
      <c r="S868" s="929"/>
      <c r="T868" s="466"/>
      <c r="U868" s="929"/>
      <c r="V868" s="929"/>
      <c r="W868" s="929"/>
      <c r="X868" s="474"/>
      <c r="Y868" s="474"/>
      <c r="Z868" s="474"/>
      <c r="AA868" s="474"/>
      <c r="AB868" s="474"/>
      <c r="AC868" s="388"/>
      <c r="AD868" s="464"/>
      <c r="AE868" s="465"/>
      <c r="AF868" s="388"/>
      <c r="AW868" s="471"/>
      <c r="AX868" s="471"/>
    </row>
    <row r="869" spans="1:50" ht="27" customHeight="1" x14ac:dyDescent="0.25">
      <c r="A869" s="462"/>
      <c r="H869" s="929"/>
      <c r="I869" s="388"/>
      <c r="J869" s="929"/>
      <c r="K869" s="388"/>
      <c r="L869" s="929"/>
      <c r="M869" s="388"/>
      <c r="N869" s="929"/>
      <c r="O869" s="388"/>
      <c r="P869" s="388"/>
      <c r="Q869" s="388"/>
      <c r="R869" s="465"/>
      <c r="S869" s="929"/>
      <c r="T869" s="466"/>
      <c r="U869" s="929"/>
      <c r="V869" s="929"/>
      <c r="W869" s="929"/>
      <c r="X869" s="474"/>
      <c r="Y869" s="474"/>
      <c r="Z869" s="474"/>
      <c r="AA869" s="474"/>
      <c r="AB869" s="474"/>
      <c r="AC869" s="388"/>
      <c r="AD869" s="464"/>
      <c r="AE869" s="465"/>
      <c r="AF869" s="388"/>
      <c r="AW869" s="471"/>
      <c r="AX869" s="471"/>
    </row>
    <row r="870" spans="1:50" ht="27" customHeight="1" x14ac:dyDescent="0.25">
      <c r="A870" s="462"/>
      <c r="H870" s="929"/>
      <c r="I870" s="388"/>
      <c r="J870" s="929"/>
      <c r="K870" s="388"/>
      <c r="L870" s="929"/>
      <c r="M870" s="388"/>
      <c r="N870" s="929"/>
      <c r="O870" s="388"/>
      <c r="P870" s="388"/>
      <c r="Q870" s="388"/>
      <c r="R870" s="465"/>
      <c r="S870" s="929"/>
      <c r="T870" s="466"/>
      <c r="U870" s="929"/>
      <c r="V870" s="929"/>
      <c r="W870" s="929"/>
      <c r="X870" s="474"/>
      <c r="Y870" s="474"/>
      <c r="Z870" s="474"/>
      <c r="AA870" s="474"/>
      <c r="AB870" s="474"/>
      <c r="AC870" s="388"/>
      <c r="AD870" s="464"/>
      <c r="AE870" s="465"/>
      <c r="AF870" s="388"/>
      <c r="AW870" s="471"/>
      <c r="AX870" s="471"/>
    </row>
    <row r="871" spans="1:50" ht="27" customHeight="1" x14ac:dyDescent="0.25">
      <c r="A871" s="462"/>
      <c r="H871" s="929"/>
      <c r="I871" s="388"/>
      <c r="J871" s="929"/>
      <c r="K871" s="388"/>
      <c r="L871" s="929"/>
      <c r="M871" s="388"/>
      <c r="N871" s="929"/>
      <c r="O871" s="388"/>
      <c r="P871" s="388"/>
      <c r="Q871" s="388"/>
      <c r="R871" s="465"/>
      <c r="S871" s="929"/>
      <c r="T871" s="466"/>
      <c r="U871" s="929"/>
      <c r="V871" s="929"/>
      <c r="W871" s="929"/>
      <c r="X871" s="474"/>
      <c r="Y871" s="474"/>
      <c r="Z871" s="474"/>
      <c r="AA871" s="474"/>
      <c r="AB871" s="474"/>
      <c r="AC871" s="388"/>
      <c r="AD871" s="464"/>
      <c r="AE871" s="465"/>
      <c r="AF871" s="388"/>
      <c r="AW871" s="471"/>
      <c r="AX871" s="471"/>
    </row>
    <row r="872" spans="1:50" ht="27" customHeight="1" x14ac:dyDescent="0.25">
      <c r="A872" s="462"/>
      <c r="H872" s="929"/>
      <c r="I872" s="388"/>
      <c r="J872" s="929"/>
      <c r="K872" s="388"/>
      <c r="L872" s="929"/>
      <c r="M872" s="388"/>
      <c r="N872" s="929"/>
      <c r="O872" s="388"/>
      <c r="P872" s="388"/>
      <c r="Q872" s="388"/>
      <c r="R872" s="465"/>
      <c r="S872" s="929"/>
      <c r="T872" s="466"/>
      <c r="U872" s="929"/>
      <c r="V872" s="929"/>
      <c r="W872" s="929"/>
      <c r="X872" s="474"/>
      <c r="Y872" s="474"/>
      <c r="Z872" s="474"/>
      <c r="AA872" s="474"/>
      <c r="AB872" s="474"/>
      <c r="AC872" s="388"/>
      <c r="AD872" s="464"/>
      <c r="AE872" s="465"/>
      <c r="AF872" s="388"/>
      <c r="AW872" s="471"/>
      <c r="AX872" s="471"/>
    </row>
    <row r="873" spans="1:50" ht="27" customHeight="1" x14ac:dyDescent="0.25">
      <c r="A873" s="462"/>
      <c r="H873" s="929"/>
      <c r="I873" s="388"/>
      <c r="J873" s="929"/>
      <c r="K873" s="388"/>
      <c r="L873" s="929"/>
      <c r="M873" s="388"/>
      <c r="N873" s="929"/>
      <c r="O873" s="388"/>
      <c r="P873" s="388"/>
      <c r="Q873" s="388"/>
      <c r="R873" s="465"/>
      <c r="S873" s="929"/>
      <c r="T873" s="466"/>
      <c r="U873" s="929"/>
      <c r="V873" s="929"/>
      <c r="W873" s="929"/>
      <c r="X873" s="474"/>
      <c r="Y873" s="474"/>
      <c r="Z873" s="474"/>
      <c r="AA873" s="474"/>
      <c r="AB873" s="474"/>
      <c r="AC873" s="388"/>
      <c r="AD873" s="464"/>
      <c r="AE873" s="465"/>
      <c r="AF873" s="388"/>
      <c r="AW873" s="471"/>
      <c r="AX873" s="471"/>
    </row>
    <row r="874" spans="1:50" ht="27" customHeight="1" x14ac:dyDescent="0.25">
      <c r="A874" s="462"/>
      <c r="H874" s="929"/>
      <c r="I874" s="388"/>
      <c r="J874" s="929"/>
      <c r="K874" s="388"/>
      <c r="L874" s="929"/>
      <c r="M874" s="388"/>
      <c r="N874" s="929"/>
      <c r="O874" s="388"/>
      <c r="P874" s="388"/>
      <c r="Q874" s="388"/>
      <c r="R874" s="465"/>
      <c r="S874" s="929"/>
      <c r="T874" s="466"/>
      <c r="U874" s="929"/>
      <c r="V874" s="929"/>
      <c r="W874" s="929"/>
      <c r="X874" s="474"/>
      <c r="Y874" s="474"/>
      <c r="Z874" s="474"/>
      <c r="AA874" s="474"/>
      <c r="AB874" s="474"/>
      <c r="AC874" s="388"/>
      <c r="AD874" s="464"/>
      <c r="AE874" s="465"/>
      <c r="AF874" s="388"/>
      <c r="AW874" s="471"/>
      <c r="AX874" s="471"/>
    </row>
    <row r="875" spans="1:50" ht="27" customHeight="1" x14ac:dyDescent="0.25">
      <c r="A875" s="462"/>
      <c r="H875" s="929"/>
      <c r="I875" s="388"/>
      <c r="J875" s="929"/>
      <c r="K875" s="388"/>
      <c r="L875" s="929"/>
      <c r="M875" s="388"/>
      <c r="N875" s="929"/>
      <c r="O875" s="388"/>
      <c r="P875" s="388"/>
      <c r="Q875" s="388"/>
      <c r="R875" s="465"/>
      <c r="S875" s="929"/>
      <c r="T875" s="466"/>
      <c r="U875" s="929"/>
      <c r="V875" s="929"/>
      <c r="W875" s="929"/>
      <c r="X875" s="474"/>
      <c r="Y875" s="474"/>
      <c r="Z875" s="474"/>
      <c r="AA875" s="474"/>
      <c r="AB875" s="474"/>
      <c r="AC875" s="388"/>
      <c r="AD875" s="464"/>
      <c r="AE875" s="465"/>
      <c r="AF875" s="388"/>
      <c r="AW875" s="471"/>
      <c r="AX875" s="471"/>
    </row>
    <row r="876" spans="1:50" ht="27" customHeight="1" x14ac:dyDescent="0.25">
      <c r="A876" s="462"/>
      <c r="H876" s="929"/>
      <c r="I876" s="388"/>
      <c r="J876" s="929"/>
      <c r="K876" s="388"/>
      <c r="L876" s="929"/>
      <c r="M876" s="388"/>
      <c r="N876" s="929"/>
      <c r="O876" s="388"/>
      <c r="P876" s="388"/>
      <c r="Q876" s="388"/>
      <c r="R876" s="465"/>
      <c r="S876" s="929"/>
      <c r="T876" s="466"/>
      <c r="U876" s="929"/>
      <c r="V876" s="929"/>
      <c r="W876" s="929"/>
      <c r="X876" s="474"/>
      <c r="Y876" s="474"/>
      <c r="Z876" s="474"/>
      <c r="AA876" s="474"/>
      <c r="AB876" s="474"/>
      <c r="AC876" s="388"/>
      <c r="AD876" s="464"/>
      <c r="AE876" s="465"/>
      <c r="AF876" s="388"/>
      <c r="AW876" s="471"/>
      <c r="AX876" s="471"/>
    </row>
    <row r="877" spans="1:50" ht="27" customHeight="1" x14ac:dyDescent="0.25">
      <c r="A877" s="462"/>
      <c r="H877" s="929"/>
      <c r="I877" s="388"/>
      <c r="J877" s="929"/>
      <c r="K877" s="388"/>
      <c r="L877" s="929"/>
      <c r="M877" s="388"/>
      <c r="N877" s="929"/>
      <c r="O877" s="388"/>
      <c r="P877" s="388"/>
      <c r="Q877" s="388"/>
      <c r="R877" s="465"/>
      <c r="S877" s="929"/>
      <c r="T877" s="466"/>
      <c r="U877" s="929"/>
      <c r="V877" s="929"/>
      <c r="W877" s="929"/>
      <c r="X877" s="474"/>
      <c r="Y877" s="474"/>
      <c r="Z877" s="474"/>
      <c r="AA877" s="474"/>
      <c r="AB877" s="474"/>
      <c r="AC877" s="388"/>
      <c r="AD877" s="464"/>
      <c r="AE877" s="465"/>
      <c r="AF877" s="388"/>
      <c r="AW877" s="471"/>
      <c r="AX877" s="471"/>
    </row>
    <row r="878" spans="1:50" ht="27" customHeight="1" x14ac:dyDescent="0.25">
      <c r="A878" s="462"/>
      <c r="H878" s="929"/>
      <c r="I878" s="388"/>
      <c r="J878" s="929"/>
      <c r="K878" s="388"/>
      <c r="L878" s="929"/>
      <c r="M878" s="388"/>
      <c r="N878" s="929"/>
      <c r="O878" s="388"/>
      <c r="P878" s="388"/>
      <c r="Q878" s="388"/>
      <c r="R878" s="465"/>
      <c r="S878" s="929"/>
      <c r="T878" s="466"/>
      <c r="U878" s="929"/>
      <c r="V878" s="929"/>
      <c r="W878" s="929"/>
      <c r="X878" s="474"/>
      <c r="Y878" s="474"/>
      <c r="Z878" s="474"/>
      <c r="AA878" s="474"/>
      <c r="AB878" s="474"/>
      <c r="AC878" s="388"/>
      <c r="AD878" s="464"/>
      <c r="AE878" s="465"/>
      <c r="AF878" s="388"/>
      <c r="AW878" s="471"/>
      <c r="AX878" s="471"/>
    </row>
    <row r="879" spans="1:50" ht="27" customHeight="1" x14ac:dyDescent="0.25">
      <c r="A879" s="462"/>
      <c r="H879" s="929"/>
      <c r="I879" s="388"/>
      <c r="J879" s="929"/>
      <c r="K879" s="388"/>
      <c r="L879" s="929"/>
      <c r="M879" s="388"/>
      <c r="N879" s="929"/>
      <c r="O879" s="388"/>
      <c r="P879" s="388"/>
      <c r="Q879" s="388"/>
      <c r="R879" s="465"/>
      <c r="S879" s="929"/>
      <c r="T879" s="466"/>
      <c r="U879" s="929"/>
      <c r="V879" s="929"/>
      <c r="W879" s="929"/>
      <c r="X879" s="474"/>
      <c r="Y879" s="474"/>
      <c r="Z879" s="474"/>
      <c r="AA879" s="474"/>
      <c r="AB879" s="474"/>
      <c r="AC879" s="388"/>
      <c r="AD879" s="464"/>
      <c r="AE879" s="465"/>
      <c r="AF879" s="388"/>
      <c r="AW879" s="471"/>
      <c r="AX879" s="471"/>
    </row>
    <row r="880" spans="1:50" ht="27" customHeight="1" x14ac:dyDescent="0.25">
      <c r="A880" s="462"/>
      <c r="H880" s="929"/>
      <c r="I880" s="388"/>
      <c r="J880" s="929"/>
      <c r="K880" s="388"/>
      <c r="L880" s="929"/>
      <c r="M880" s="388"/>
      <c r="N880" s="929"/>
      <c r="O880" s="388"/>
      <c r="P880" s="388"/>
      <c r="Q880" s="388"/>
      <c r="R880" s="465"/>
      <c r="S880" s="929"/>
      <c r="T880" s="466"/>
      <c r="U880" s="929"/>
      <c r="V880" s="929"/>
      <c r="W880" s="929"/>
      <c r="X880" s="474"/>
      <c r="Y880" s="474"/>
      <c r="Z880" s="474"/>
      <c r="AA880" s="474"/>
      <c r="AB880" s="474"/>
      <c r="AC880" s="388"/>
      <c r="AD880" s="464"/>
      <c r="AE880" s="465"/>
      <c r="AF880" s="388"/>
      <c r="AW880" s="471"/>
      <c r="AX880" s="471"/>
    </row>
    <row r="881" spans="1:50" ht="27" customHeight="1" x14ac:dyDescent="0.25">
      <c r="A881" s="462"/>
      <c r="H881" s="929"/>
      <c r="I881" s="388"/>
      <c r="J881" s="929"/>
      <c r="K881" s="388"/>
      <c r="L881" s="929"/>
      <c r="M881" s="388"/>
      <c r="N881" s="929"/>
      <c r="O881" s="388"/>
      <c r="P881" s="388"/>
      <c r="Q881" s="388"/>
      <c r="R881" s="465"/>
      <c r="S881" s="929"/>
      <c r="T881" s="466"/>
      <c r="U881" s="929"/>
      <c r="V881" s="929"/>
      <c r="W881" s="929"/>
      <c r="X881" s="474"/>
      <c r="Y881" s="474"/>
      <c r="Z881" s="474"/>
      <c r="AA881" s="474"/>
      <c r="AB881" s="474"/>
      <c r="AC881" s="388"/>
      <c r="AD881" s="464"/>
      <c r="AE881" s="465"/>
      <c r="AF881" s="388"/>
      <c r="AW881" s="471"/>
      <c r="AX881" s="471"/>
    </row>
    <row r="882" spans="1:50" ht="27" customHeight="1" x14ac:dyDescent="0.25">
      <c r="A882" s="462"/>
      <c r="H882" s="929"/>
      <c r="I882" s="388"/>
      <c r="J882" s="929"/>
      <c r="K882" s="388"/>
      <c r="L882" s="929"/>
      <c r="M882" s="388"/>
      <c r="N882" s="929"/>
      <c r="O882" s="388"/>
      <c r="P882" s="388"/>
      <c r="Q882" s="388"/>
      <c r="R882" s="465"/>
      <c r="S882" s="929"/>
      <c r="T882" s="466"/>
      <c r="U882" s="929"/>
      <c r="V882" s="929"/>
      <c r="W882" s="929"/>
      <c r="X882" s="474"/>
      <c r="Y882" s="474"/>
      <c r="Z882" s="474"/>
      <c r="AA882" s="474"/>
      <c r="AB882" s="474"/>
      <c r="AC882" s="388"/>
      <c r="AD882" s="464"/>
      <c r="AE882" s="465"/>
      <c r="AF882" s="388"/>
      <c r="AW882" s="471"/>
      <c r="AX882" s="471"/>
    </row>
    <row r="883" spans="1:50" ht="27" customHeight="1" x14ac:dyDescent="0.25">
      <c r="A883" s="462"/>
      <c r="H883" s="929"/>
      <c r="I883" s="388"/>
      <c r="J883" s="929"/>
      <c r="K883" s="388"/>
      <c r="L883" s="929"/>
      <c r="M883" s="388"/>
      <c r="N883" s="929"/>
      <c r="O883" s="388"/>
      <c r="P883" s="388"/>
      <c r="Q883" s="388"/>
      <c r="R883" s="465"/>
      <c r="S883" s="929"/>
      <c r="T883" s="466"/>
      <c r="U883" s="929"/>
      <c r="V883" s="929"/>
      <c r="W883" s="929"/>
      <c r="X883" s="474"/>
      <c r="Y883" s="474"/>
      <c r="Z883" s="474"/>
      <c r="AA883" s="474"/>
      <c r="AB883" s="474"/>
      <c r="AC883" s="388"/>
      <c r="AD883" s="464"/>
      <c r="AE883" s="465"/>
      <c r="AF883" s="388"/>
      <c r="AW883" s="471"/>
      <c r="AX883" s="471"/>
    </row>
    <row r="884" spans="1:50" ht="27" customHeight="1" x14ac:dyDescent="0.25">
      <c r="A884" s="462"/>
      <c r="H884" s="929"/>
      <c r="I884" s="388"/>
      <c r="J884" s="929"/>
      <c r="K884" s="388"/>
      <c r="L884" s="929"/>
      <c r="M884" s="388"/>
      <c r="N884" s="929"/>
      <c r="O884" s="388"/>
      <c r="P884" s="388"/>
      <c r="Q884" s="388"/>
      <c r="R884" s="465"/>
      <c r="S884" s="929"/>
      <c r="T884" s="466"/>
      <c r="U884" s="929"/>
      <c r="V884" s="929"/>
      <c r="W884" s="929"/>
      <c r="X884" s="474"/>
      <c r="Y884" s="474"/>
      <c r="Z884" s="474"/>
      <c r="AA884" s="474"/>
      <c r="AB884" s="474"/>
      <c r="AC884" s="388"/>
      <c r="AD884" s="464"/>
      <c r="AE884" s="465"/>
      <c r="AF884" s="388"/>
      <c r="AW884" s="471"/>
      <c r="AX884" s="471"/>
    </row>
    <row r="885" spans="1:50" ht="27" customHeight="1" x14ac:dyDescent="0.25">
      <c r="A885" s="462"/>
      <c r="H885" s="929"/>
      <c r="I885" s="388"/>
      <c r="J885" s="929"/>
      <c r="K885" s="388"/>
      <c r="L885" s="929"/>
      <c r="M885" s="388"/>
      <c r="N885" s="929"/>
      <c r="O885" s="388"/>
      <c r="P885" s="388"/>
      <c r="Q885" s="388"/>
      <c r="R885" s="465"/>
      <c r="S885" s="929"/>
      <c r="T885" s="466"/>
      <c r="U885" s="929"/>
      <c r="V885" s="929"/>
      <c r="W885" s="929"/>
      <c r="X885" s="474"/>
      <c r="Y885" s="474"/>
      <c r="Z885" s="474"/>
      <c r="AA885" s="474"/>
      <c r="AB885" s="474"/>
      <c r="AC885" s="388"/>
      <c r="AD885" s="464"/>
      <c r="AE885" s="465"/>
      <c r="AF885" s="388"/>
      <c r="AW885" s="471"/>
      <c r="AX885" s="471"/>
    </row>
    <row r="886" spans="1:50" ht="27" customHeight="1" x14ac:dyDescent="0.25">
      <c r="A886" s="462"/>
      <c r="H886" s="929"/>
      <c r="I886" s="388"/>
      <c r="J886" s="929"/>
      <c r="K886" s="388"/>
      <c r="L886" s="929"/>
      <c r="M886" s="388"/>
      <c r="N886" s="929"/>
      <c r="O886" s="388"/>
      <c r="P886" s="388"/>
      <c r="Q886" s="388"/>
      <c r="R886" s="465"/>
      <c r="S886" s="929"/>
      <c r="T886" s="466"/>
      <c r="U886" s="929"/>
      <c r="V886" s="929"/>
      <c r="W886" s="929"/>
      <c r="X886" s="474"/>
      <c r="Y886" s="474"/>
      <c r="Z886" s="474"/>
      <c r="AA886" s="474"/>
      <c r="AB886" s="474"/>
      <c r="AC886" s="388"/>
      <c r="AD886" s="464"/>
      <c r="AE886" s="465"/>
      <c r="AF886" s="388"/>
      <c r="AW886" s="471"/>
      <c r="AX886" s="471"/>
    </row>
    <row r="887" spans="1:50" ht="27" customHeight="1" x14ac:dyDescent="0.25">
      <c r="A887" s="462"/>
      <c r="H887" s="929"/>
      <c r="I887" s="388"/>
      <c r="J887" s="929"/>
      <c r="K887" s="388"/>
      <c r="L887" s="929"/>
      <c r="M887" s="388"/>
      <c r="N887" s="929"/>
      <c r="O887" s="388"/>
      <c r="P887" s="388"/>
      <c r="Q887" s="388"/>
      <c r="R887" s="465"/>
      <c r="S887" s="929"/>
      <c r="T887" s="466"/>
      <c r="U887" s="929"/>
      <c r="V887" s="929"/>
      <c r="W887" s="929"/>
      <c r="X887" s="474"/>
      <c r="Y887" s="474"/>
      <c r="Z887" s="474"/>
      <c r="AA887" s="474"/>
      <c r="AB887" s="474"/>
      <c r="AC887" s="388"/>
      <c r="AD887" s="464"/>
      <c r="AE887" s="465"/>
      <c r="AF887" s="388"/>
      <c r="AW887" s="471"/>
      <c r="AX887" s="471"/>
    </row>
    <row r="888" spans="1:50" ht="27" customHeight="1" x14ac:dyDescent="0.25">
      <c r="A888" s="462"/>
      <c r="H888" s="929"/>
      <c r="I888" s="388"/>
      <c r="J888" s="929"/>
      <c r="K888" s="388"/>
      <c r="L888" s="929"/>
      <c r="M888" s="388"/>
      <c r="N888" s="929"/>
      <c r="O888" s="388"/>
      <c r="P888" s="388"/>
      <c r="Q888" s="388"/>
      <c r="R888" s="465"/>
      <c r="S888" s="929"/>
      <c r="T888" s="466"/>
      <c r="U888" s="929"/>
      <c r="V888" s="929"/>
      <c r="W888" s="929"/>
      <c r="X888" s="474"/>
      <c r="Y888" s="474"/>
      <c r="Z888" s="474"/>
      <c r="AA888" s="474"/>
      <c r="AB888" s="474"/>
      <c r="AC888" s="388"/>
      <c r="AD888" s="464"/>
      <c r="AE888" s="465"/>
      <c r="AF888" s="388"/>
      <c r="AW888" s="471"/>
      <c r="AX888" s="471"/>
    </row>
    <row r="889" spans="1:50" ht="27" customHeight="1" x14ac:dyDescent="0.25">
      <c r="A889" s="462"/>
      <c r="H889" s="929"/>
      <c r="I889" s="388"/>
      <c r="J889" s="929"/>
      <c r="K889" s="388"/>
      <c r="L889" s="929"/>
      <c r="M889" s="388"/>
      <c r="N889" s="929"/>
      <c r="O889" s="388"/>
      <c r="P889" s="388"/>
      <c r="Q889" s="388"/>
      <c r="R889" s="465"/>
      <c r="S889" s="929"/>
      <c r="T889" s="466"/>
      <c r="U889" s="929"/>
      <c r="V889" s="929"/>
      <c r="W889" s="929"/>
      <c r="X889" s="474"/>
      <c r="Y889" s="474"/>
      <c r="Z889" s="474"/>
      <c r="AA889" s="474"/>
      <c r="AB889" s="474"/>
      <c r="AC889" s="388"/>
      <c r="AD889" s="464"/>
      <c r="AE889" s="465"/>
      <c r="AF889" s="388"/>
      <c r="AW889" s="471"/>
      <c r="AX889" s="471"/>
    </row>
    <row r="890" spans="1:50" ht="27" customHeight="1" x14ac:dyDescent="0.25">
      <c r="A890" s="462"/>
      <c r="H890" s="929"/>
      <c r="I890" s="388"/>
      <c r="J890" s="929"/>
      <c r="K890" s="388"/>
      <c r="L890" s="929"/>
      <c r="M890" s="388"/>
      <c r="N890" s="929"/>
      <c r="O890" s="388"/>
      <c r="P890" s="388"/>
      <c r="Q890" s="388"/>
      <c r="R890" s="465"/>
      <c r="S890" s="929"/>
      <c r="T890" s="466"/>
      <c r="U890" s="929"/>
      <c r="V890" s="929"/>
      <c r="W890" s="929"/>
      <c r="X890" s="474"/>
      <c r="Y890" s="474"/>
      <c r="Z890" s="474"/>
      <c r="AA890" s="474"/>
      <c r="AB890" s="474"/>
      <c r="AC890" s="388"/>
      <c r="AD890" s="464"/>
      <c r="AE890" s="465"/>
      <c r="AF890" s="388"/>
      <c r="AW890" s="471"/>
      <c r="AX890" s="471"/>
    </row>
    <row r="891" spans="1:50" ht="27" customHeight="1" x14ac:dyDescent="0.25">
      <c r="A891" s="462"/>
      <c r="H891" s="929"/>
      <c r="I891" s="388"/>
      <c r="J891" s="929"/>
      <c r="K891" s="388"/>
      <c r="L891" s="929"/>
      <c r="M891" s="388"/>
      <c r="N891" s="929"/>
      <c r="O891" s="388"/>
      <c r="P891" s="388"/>
      <c r="Q891" s="388"/>
      <c r="R891" s="465"/>
      <c r="S891" s="929"/>
      <c r="T891" s="466"/>
      <c r="U891" s="929"/>
      <c r="V891" s="929"/>
      <c r="W891" s="929"/>
      <c r="X891" s="474"/>
      <c r="Y891" s="474"/>
      <c r="Z891" s="474"/>
      <c r="AA891" s="474"/>
      <c r="AB891" s="474"/>
      <c r="AC891" s="388"/>
      <c r="AD891" s="464"/>
      <c r="AE891" s="465"/>
      <c r="AF891" s="388"/>
      <c r="AW891" s="471"/>
      <c r="AX891" s="471"/>
    </row>
    <row r="892" spans="1:50" ht="27" customHeight="1" x14ac:dyDescent="0.25">
      <c r="A892" s="462"/>
      <c r="H892" s="929"/>
      <c r="I892" s="388"/>
      <c r="J892" s="929"/>
      <c r="K892" s="388"/>
      <c r="L892" s="929"/>
      <c r="M892" s="388"/>
      <c r="N892" s="929"/>
      <c r="O892" s="388"/>
      <c r="P892" s="388"/>
      <c r="Q892" s="388"/>
      <c r="R892" s="465"/>
      <c r="S892" s="929"/>
      <c r="T892" s="466"/>
      <c r="U892" s="929"/>
      <c r="V892" s="929"/>
      <c r="W892" s="929"/>
      <c r="X892" s="474"/>
      <c r="Y892" s="474"/>
      <c r="Z892" s="474"/>
      <c r="AA892" s="474"/>
      <c r="AB892" s="474"/>
      <c r="AC892" s="388"/>
      <c r="AD892" s="464"/>
      <c r="AE892" s="465"/>
      <c r="AF892" s="388"/>
      <c r="AW892" s="471"/>
      <c r="AX892" s="471"/>
    </row>
    <row r="893" spans="1:50" ht="27" customHeight="1" x14ac:dyDescent="0.25">
      <c r="A893" s="462"/>
      <c r="H893" s="929"/>
      <c r="I893" s="388"/>
      <c r="J893" s="929"/>
      <c r="K893" s="388"/>
      <c r="L893" s="929"/>
      <c r="M893" s="388"/>
      <c r="N893" s="929"/>
      <c r="O893" s="388"/>
      <c r="P893" s="388"/>
      <c r="Q893" s="388"/>
      <c r="R893" s="465"/>
      <c r="S893" s="929"/>
      <c r="T893" s="466"/>
      <c r="U893" s="929"/>
      <c r="V893" s="929"/>
      <c r="W893" s="929"/>
      <c r="X893" s="474"/>
      <c r="Y893" s="474"/>
      <c r="Z893" s="474"/>
      <c r="AA893" s="474"/>
      <c r="AB893" s="474"/>
      <c r="AC893" s="388"/>
      <c r="AD893" s="464"/>
      <c r="AE893" s="465"/>
      <c r="AF893" s="388"/>
      <c r="AW893" s="471"/>
      <c r="AX893" s="471"/>
    </row>
    <row r="894" spans="1:50" ht="27" customHeight="1" x14ac:dyDescent="0.25">
      <c r="A894" s="462"/>
      <c r="H894" s="929"/>
      <c r="I894" s="388"/>
      <c r="J894" s="929"/>
      <c r="K894" s="388"/>
      <c r="L894" s="929"/>
      <c r="M894" s="388"/>
      <c r="N894" s="929"/>
      <c r="O894" s="388"/>
      <c r="P894" s="388"/>
      <c r="Q894" s="388"/>
      <c r="R894" s="465"/>
      <c r="S894" s="929"/>
      <c r="T894" s="466"/>
      <c r="U894" s="929"/>
      <c r="V894" s="929"/>
      <c r="W894" s="929"/>
      <c r="X894" s="474"/>
      <c r="Y894" s="474"/>
      <c r="Z894" s="474"/>
      <c r="AA894" s="474"/>
      <c r="AB894" s="474"/>
      <c r="AC894" s="388"/>
      <c r="AD894" s="464"/>
      <c r="AE894" s="465"/>
      <c r="AF894" s="388"/>
      <c r="AW894" s="471"/>
      <c r="AX894" s="471"/>
    </row>
    <row r="895" spans="1:50" ht="27" customHeight="1" x14ac:dyDescent="0.25">
      <c r="A895" s="462"/>
      <c r="H895" s="929"/>
      <c r="I895" s="388"/>
      <c r="J895" s="929"/>
      <c r="K895" s="388"/>
      <c r="L895" s="929"/>
      <c r="M895" s="388"/>
      <c r="N895" s="929"/>
      <c r="O895" s="388"/>
      <c r="P895" s="388"/>
      <c r="Q895" s="388"/>
      <c r="R895" s="465"/>
      <c r="S895" s="929"/>
      <c r="T895" s="466"/>
      <c r="U895" s="929"/>
      <c r="V895" s="929"/>
      <c r="W895" s="929"/>
      <c r="X895" s="474"/>
      <c r="Y895" s="474"/>
      <c r="Z895" s="474"/>
      <c r="AA895" s="474"/>
      <c r="AB895" s="474"/>
      <c r="AC895" s="388"/>
      <c r="AD895" s="464"/>
      <c r="AE895" s="465"/>
      <c r="AF895" s="388"/>
      <c r="AW895" s="471"/>
      <c r="AX895" s="471"/>
    </row>
    <row r="896" spans="1:50" ht="27" customHeight="1" x14ac:dyDescent="0.25">
      <c r="A896" s="462"/>
      <c r="H896" s="929"/>
      <c r="I896" s="388"/>
      <c r="J896" s="929"/>
      <c r="K896" s="388"/>
      <c r="L896" s="929"/>
      <c r="M896" s="388"/>
      <c r="N896" s="929"/>
      <c r="O896" s="388"/>
      <c r="P896" s="388"/>
      <c r="Q896" s="388"/>
      <c r="R896" s="465"/>
      <c r="S896" s="929"/>
      <c r="T896" s="466"/>
      <c r="U896" s="929"/>
      <c r="V896" s="929"/>
      <c r="W896" s="929"/>
      <c r="X896" s="474"/>
      <c r="Y896" s="474"/>
      <c r="Z896" s="474"/>
      <c r="AA896" s="474"/>
      <c r="AB896" s="474"/>
      <c r="AC896" s="388"/>
      <c r="AD896" s="464"/>
      <c r="AE896" s="465"/>
      <c r="AF896" s="388"/>
      <c r="AW896" s="471"/>
      <c r="AX896" s="471"/>
    </row>
    <row r="897" spans="1:50" ht="27" customHeight="1" x14ac:dyDescent="0.25">
      <c r="A897" s="462"/>
      <c r="H897" s="929"/>
      <c r="I897" s="388"/>
      <c r="J897" s="929"/>
      <c r="K897" s="388"/>
      <c r="L897" s="929"/>
      <c r="M897" s="388"/>
      <c r="N897" s="929"/>
      <c r="O897" s="388"/>
      <c r="P897" s="388"/>
      <c r="Q897" s="388"/>
      <c r="R897" s="465"/>
      <c r="S897" s="929"/>
      <c r="T897" s="466"/>
      <c r="U897" s="929"/>
      <c r="V897" s="929"/>
      <c r="W897" s="929"/>
      <c r="X897" s="474"/>
      <c r="Y897" s="474"/>
      <c r="Z897" s="474"/>
      <c r="AA897" s="474"/>
      <c r="AB897" s="474"/>
      <c r="AC897" s="388"/>
      <c r="AD897" s="464"/>
      <c r="AE897" s="465"/>
      <c r="AF897" s="388"/>
      <c r="AW897" s="471"/>
      <c r="AX897" s="471"/>
    </row>
    <row r="898" spans="1:50" ht="27" customHeight="1" x14ac:dyDescent="0.25">
      <c r="A898" s="462"/>
      <c r="H898" s="929"/>
      <c r="I898" s="388"/>
      <c r="J898" s="929"/>
      <c r="K898" s="388"/>
      <c r="L898" s="929"/>
      <c r="M898" s="388"/>
      <c r="N898" s="929"/>
      <c r="O898" s="388"/>
      <c r="P898" s="388"/>
      <c r="Q898" s="388"/>
      <c r="R898" s="465"/>
      <c r="S898" s="929"/>
      <c r="T898" s="466"/>
      <c r="U898" s="929"/>
      <c r="V898" s="929"/>
      <c r="W898" s="929"/>
      <c r="X898" s="474"/>
      <c r="Y898" s="474"/>
      <c r="Z898" s="474"/>
      <c r="AA898" s="474"/>
      <c r="AB898" s="474"/>
      <c r="AC898" s="388"/>
      <c r="AD898" s="464"/>
      <c r="AE898" s="465"/>
      <c r="AF898" s="388"/>
      <c r="AW898" s="471"/>
      <c r="AX898" s="471"/>
    </row>
    <row r="899" spans="1:50" ht="27" customHeight="1" x14ac:dyDescent="0.25">
      <c r="A899" s="462"/>
      <c r="H899" s="929"/>
      <c r="I899" s="388"/>
      <c r="J899" s="929"/>
      <c r="K899" s="388"/>
      <c r="L899" s="929"/>
      <c r="M899" s="388"/>
      <c r="N899" s="929"/>
      <c r="O899" s="388"/>
      <c r="P899" s="388"/>
      <c r="Q899" s="388"/>
      <c r="R899" s="465"/>
      <c r="S899" s="929"/>
      <c r="T899" s="466"/>
      <c r="U899" s="929"/>
      <c r="V899" s="929"/>
      <c r="W899" s="929"/>
      <c r="X899" s="474"/>
      <c r="Y899" s="474"/>
      <c r="Z899" s="474"/>
      <c r="AA899" s="474"/>
      <c r="AB899" s="474"/>
      <c r="AC899" s="388"/>
      <c r="AD899" s="464"/>
      <c r="AE899" s="465"/>
      <c r="AF899" s="388"/>
      <c r="AW899" s="471"/>
      <c r="AX899" s="471"/>
    </row>
    <row r="900" spans="1:50" ht="27" customHeight="1" x14ac:dyDescent="0.25">
      <c r="A900" s="462"/>
      <c r="H900" s="929"/>
      <c r="I900" s="388"/>
      <c r="J900" s="929"/>
      <c r="K900" s="388"/>
      <c r="L900" s="929"/>
      <c r="M900" s="388"/>
      <c r="N900" s="929"/>
      <c r="O900" s="388"/>
      <c r="P900" s="388"/>
      <c r="Q900" s="388"/>
      <c r="R900" s="465"/>
      <c r="S900" s="929"/>
      <c r="T900" s="466"/>
      <c r="U900" s="929"/>
      <c r="V900" s="929"/>
      <c r="W900" s="929"/>
      <c r="X900" s="474"/>
      <c r="Y900" s="474"/>
      <c r="Z900" s="474"/>
      <c r="AA900" s="474"/>
      <c r="AB900" s="474"/>
      <c r="AC900" s="388"/>
      <c r="AD900" s="464"/>
      <c r="AE900" s="465"/>
      <c r="AF900" s="388"/>
      <c r="AW900" s="471"/>
      <c r="AX900" s="471"/>
    </row>
    <row r="901" spans="1:50" ht="27" customHeight="1" x14ac:dyDescent="0.25">
      <c r="A901" s="462"/>
      <c r="H901" s="929"/>
      <c r="I901" s="388"/>
      <c r="J901" s="929"/>
      <c r="K901" s="388"/>
      <c r="L901" s="929"/>
      <c r="M901" s="388"/>
      <c r="N901" s="929"/>
      <c r="O901" s="388"/>
      <c r="P901" s="388"/>
      <c r="Q901" s="388"/>
      <c r="R901" s="465"/>
      <c r="S901" s="929"/>
      <c r="T901" s="466"/>
      <c r="U901" s="929"/>
      <c r="V901" s="929"/>
      <c r="W901" s="929"/>
      <c r="X901" s="474"/>
      <c r="Y901" s="474"/>
      <c r="Z901" s="474"/>
      <c r="AA901" s="474"/>
      <c r="AB901" s="474"/>
      <c r="AC901" s="388"/>
      <c r="AD901" s="464"/>
      <c r="AE901" s="465"/>
      <c r="AF901" s="388"/>
      <c r="AW901" s="471"/>
      <c r="AX901" s="471"/>
    </row>
    <row r="902" spans="1:50" ht="27" customHeight="1" x14ac:dyDescent="0.25">
      <c r="A902" s="462"/>
      <c r="H902" s="929"/>
      <c r="I902" s="388"/>
      <c r="J902" s="929"/>
      <c r="K902" s="388"/>
      <c r="L902" s="929"/>
      <c r="M902" s="388"/>
      <c r="N902" s="929"/>
      <c r="O902" s="388"/>
      <c r="P902" s="388"/>
      <c r="Q902" s="388"/>
      <c r="R902" s="465"/>
      <c r="S902" s="929"/>
      <c r="T902" s="466"/>
      <c r="U902" s="929"/>
      <c r="V902" s="929"/>
      <c r="W902" s="929"/>
      <c r="X902" s="474"/>
      <c r="Y902" s="474"/>
      <c r="Z902" s="474"/>
      <c r="AA902" s="474"/>
      <c r="AB902" s="474"/>
      <c r="AC902" s="388"/>
      <c r="AD902" s="464"/>
      <c r="AE902" s="465"/>
      <c r="AF902" s="388"/>
      <c r="AW902" s="471"/>
      <c r="AX902" s="471"/>
    </row>
    <row r="903" spans="1:50" ht="27" customHeight="1" x14ac:dyDescent="0.25">
      <c r="A903" s="462"/>
      <c r="H903" s="929"/>
      <c r="I903" s="388"/>
      <c r="J903" s="929"/>
      <c r="K903" s="388"/>
      <c r="L903" s="929"/>
      <c r="M903" s="388"/>
      <c r="N903" s="929"/>
      <c r="O903" s="388"/>
      <c r="P903" s="388"/>
      <c r="Q903" s="388"/>
      <c r="R903" s="465"/>
      <c r="S903" s="929"/>
      <c r="T903" s="466"/>
      <c r="U903" s="929"/>
      <c r="V903" s="929"/>
      <c r="W903" s="929"/>
      <c r="X903" s="474"/>
      <c r="Y903" s="474"/>
      <c r="Z903" s="474"/>
      <c r="AA903" s="474"/>
      <c r="AB903" s="474"/>
      <c r="AC903" s="388"/>
      <c r="AD903" s="464"/>
      <c r="AE903" s="465"/>
      <c r="AF903" s="388"/>
      <c r="AW903" s="471"/>
      <c r="AX903" s="471"/>
    </row>
    <row r="904" spans="1:50" ht="27" customHeight="1" x14ac:dyDescent="0.25">
      <c r="A904" s="462"/>
      <c r="H904" s="929"/>
      <c r="I904" s="388"/>
      <c r="J904" s="929"/>
      <c r="K904" s="388"/>
      <c r="L904" s="929"/>
      <c r="M904" s="388"/>
      <c r="N904" s="929"/>
      <c r="O904" s="388"/>
      <c r="P904" s="388"/>
      <c r="Q904" s="388"/>
      <c r="R904" s="465"/>
      <c r="S904" s="929"/>
      <c r="T904" s="466"/>
      <c r="U904" s="929"/>
      <c r="V904" s="929"/>
      <c r="W904" s="929"/>
      <c r="X904" s="474"/>
      <c r="Y904" s="474"/>
      <c r="Z904" s="474"/>
      <c r="AA904" s="474"/>
      <c r="AB904" s="474"/>
      <c r="AC904" s="388"/>
      <c r="AD904" s="464"/>
      <c r="AE904" s="465"/>
      <c r="AF904" s="388"/>
      <c r="AW904" s="471"/>
      <c r="AX904" s="471"/>
    </row>
    <row r="905" spans="1:50" ht="27" customHeight="1" x14ac:dyDescent="0.25">
      <c r="A905" s="462"/>
      <c r="H905" s="929"/>
      <c r="I905" s="388"/>
      <c r="J905" s="929"/>
      <c r="K905" s="388"/>
      <c r="L905" s="929"/>
      <c r="M905" s="388"/>
      <c r="N905" s="929"/>
      <c r="O905" s="388"/>
      <c r="P905" s="388"/>
      <c r="Q905" s="388"/>
      <c r="R905" s="465"/>
      <c r="S905" s="929"/>
      <c r="T905" s="466"/>
      <c r="U905" s="929"/>
      <c r="V905" s="929"/>
      <c r="W905" s="929"/>
      <c r="X905" s="474"/>
      <c r="Y905" s="474"/>
      <c r="Z905" s="474"/>
      <c r="AA905" s="474"/>
      <c r="AB905" s="474"/>
      <c r="AC905" s="388"/>
      <c r="AD905" s="464"/>
      <c r="AE905" s="465"/>
      <c r="AF905" s="388"/>
      <c r="AW905" s="471"/>
      <c r="AX905" s="471"/>
    </row>
    <row r="906" spans="1:50" ht="27" customHeight="1" x14ac:dyDescent="0.25">
      <c r="A906" s="462"/>
      <c r="H906" s="929"/>
      <c r="I906" s="388"/>
      <c r="J906" s="929"/>
      <c r="K906" s="388"/>
      <c r="L906" s="929"/>
      <c r="M906" s="388"/>
      <c r="N906" s="929"/>
      <c r="O906" s="388"/>
      <c r="P906" s="388"/>
      <c r="Q906" s="388"/>
      <c r="R906" s="465"/>
      <c r="S906" s="929"/>
      <c r="T906" s="466"/>
      <c r="U906" s="929"/>
      <c r="V906" s="929"/>
      <c r="W906" s="929"/>
      <c r="X906" s="474"/>
      <c r="Y906" s="474"/>
      <c r="Z906" s="474"/>
      <c r="AA906" s="474"/>
      <c r="AB906" s="474"/>
      <c r="AC906" s="388"/>
      <c r="AD906" s="464"/>
      <c r="AE906" s="465"/>
      <c r="AF906" s="388"/>
      <c r="AW906" s="471"/>
      <c r="AX906" s="471"/>
    </row>
    <row r="907" spans="1:50" ht="27" customHeight="1" x14ac:dyDescent="0.25">
      <c r="A907" s="462"/>
      <c r="H907" s="929"/>
      <c r="I907" s="388"/>
      <c r="J907" s="929"/>
      <c r="K907" s="388"/>
      <c r="L907" s="929"/>
      <c r="M907" s="388"/>
      <c r="N907" s="929"/>
      <c r="O907" s="388"/>
      <c r="P907" s="388"/>
      <c r="Q907" s="388"/>
      <c r="R907" s="465"/>
      <c r="S907" s="929"/>
      <c r="T907" s="466"/>
      <c r="U907" s="929"/>
      <c r="V907" s="929"/>
      <c r="W907" s="929"/>
      <c r="X907" s="474"/>
      <c r="Y907" s="474"/>
      <c r="Z907" s="474"/>
      <c r="AA907" s="474"/>
      <c r="AB907" s="474"/>
      <c r="AC907" s="388"/>
      <c r="AD907" s="464"/>
      <c r="AE907" s="465"/>
      <c r="AF907" s="388"/>
      <c r="AW907" s="471"/>
      <c r="AX907" s="471"/>
    </row>
    <row r="908" spans="1:50" ht="27" customHeight="1" x14ac:dyDescent="0.25">
      <c r="A908" s="462"/>
      <c r="H908" s="929"/>
      <c r="I908" s="388"/>
      <c r="J908" s="929"/>
      <c r="K908" s="388"/>
      <c r="L908" s="929"/>
      <c r="M908" s="388"/>
      <c r="N908" s="929"/>
      <c r="O908" s="388"/>
      <c r="P908" s="388"/>
      <c r="Q908" s="388"/>
      <c r="R908" s="465"/>
      <c r="S908" s="929"/>
      <c r="T908" s="466"/>
      <c r="U908" s="929"/>
      <c r="V908" s="929"/>
      <c r="W908" s="929"/>
      <c r="X908" s="474"/>
      <c r="Y908" s="474"/>
      <c r="Z908" s="474"/>
      <c r="AA908" s="474"/>
      <c r="AB908" s="474"/>
      <c r="AC908" s="388"/>
      <c r="AD908" s="464"/>
      <c r="AE908" s="465"/>
      <c r="AF908" s="388"/>
      <c r="AW908" s="471"/>
      <c r="AX908" s="471"/>
    </row>
    <row r="909" spans="1:50" ht="27" customHeight="1" x14ac:dyDescent="0.25">
      <c r="A909" s="462"/>
      <c r="H909" s="929"/>
      <c r="I909" s="388"/>
      <c r="J909" s="929"/>
      <c r="K909" s="388"/>
      <c r="L909" s="929"/>
      <c r="M909" s="388"/>
      <c r="N909" s="929"/>
      <c r="O909" s="388"/>
      <c r="P909" s="388"/>
      <c r="Q909" s="388"/>
      <c r="R909" s="465"/>
      <c r="S909" s="929"/>
      <c r="T909" s="466"/>
      <c r="U909" s="929"/>
      <c r="V909" s="929"/>
      <c r="W909" s="929"/>
      <c r="X909" s="474"/>
      <c r="Y909" s="474"/>
      <c r="Z909" s="474"/>
      <c r="AA909" s="474"/>
      <c r="AB909" s="474"/>
      <c r="AC909" s="388"/>
      <c r="AD909" s="464"/>
      <c r="AE909" s="465"/>
      <c r="AF909" s="388"/>
      <c r="AW909" s="471"/>
      <c r="AX909" s="471"/>
    </row>
    <row r="910" spans="1:50" ht="27" customHeight="1" x14ac:dyDescent="0.25">
      <c r="A910" s="462"/>
      <c r="H910" s="929"/>
      <c r="I910" s="388"/>
      <c r="J910" s="929"/>
      <c r="K910" s="388"/>
      <c r="L910" s="929"/>
      <c r="M910" s="388"/>
      <c r="N910" s="929"/>
      <c r="O910" s="388"/>
      <c r="P910" s="388"/>
      <c r="Q910" s="388"/>
      <c r="R910" s="465"/>
      <c r="S910" s="929"/>
      <c r="T910" s="466"/>
      <c r="U910" s="929"/>
      <c r="V910" s="929"/>
      <c r="W910" s="929"/>
      <c r="X910" s="474"/>
      <c r="Y910" s="474"/>
      <c r="Z910" s="474"/>
      <c r="AA910" s="474"/>
      <c r="AB910" s="474"/>
      <c r="AC910" s="388"/>
      <c r="AD910" s="464"/>
      <c r="AE910" s="465"/>
      <c r="AF910" s="388"/>
      <c r="AW910" s="471"/>
      <c r="AX910" s="471"/>
    </row>
    <row r="911" spans="1:50" ht="27" customHeight="1" x14ac:dyDescent="0.25">
      <c r="A911" s="462"/>
      <c r="H911" s="929"/>
      <c r="I911" s="388"/>
      <c r="J911" s="929"/>
      <c r="K911" s="388"/>
      <c r="L911" s="929"/>
      <c r="M911" s="388"/>
      <c r="N911" s="929"/>
      <c r="O911" s="388"/>
      <c r="P911" s="388"/>
      <c r="Q911" s="388"/>
      <c r="R911" s="465"/>
      <c r="S911" s="929"/>
      <c r="T911" s="466"/>
      <c r="U911" s="929"/>
      <c r="V911" s="929"/>
      <c r="W911" s="929"/>
      <c r="X911" s="474"/>
      <c r="Y911" s="474"/>
      <c r="Z911" s="474"/>
      <c r="AA911" s="474"/>
      <c r="AB911" s="474"/>
      <c r="AC911" s="388"/>
      <c r="AD911" s="464"/>
      <c r="AE911" s="465"/>
      <c r="AF911" s="388"/>
      <c r="AW911" s="471"/>
      <c r="AX911" s="471"/>
    </row>
    <row r="912" spans="1:50" ht="27" customHeight="1" x14ac:dyDescent="0.25">
      <c r="A912" s="462"/>
      <c r="H912" s="929"/>
      <c r="I912" s="388"/>
      <c r="J912" s="929"/>
      <c r="K912" s="388"/>
      <c r="L912" s="929"/>
      <c r="M912" s="388"/>
      <c r="N912" s="929"/>
      <c r="O912" s="388"/>
      <c r="P912" s="388"/>
      <c r="Q912" s="388"/>
      <c r="R912" s="465"/>
      <c r="S912" s="929"/>
      <c r="T912" s="466"/>
      <c r="U912" s="929"/>
      <c r="V912" s="929"/>
      <c r="W912" s="929"/>
      <c r="X912" s="474"/>
      <c r="Y912" s="474"/>
      <c r="Z912" s="474"/>
      <c r="AA912" s="474"/>
      <c r="AB912" s="474"/>
      <c r="AC912" s="388"/>
      <c r="AD912" s="464"/>
      <c r="AE912" s="465"/>
      <c r="AF912" s="388"/>
      <c r="AW912" s="471"/>
      <c r="AX912" s="471"/>
    </row>
    <row r="913" spans="1:50" ht="27" customHeight="1" x14ac:dyDescent="0.25">
      <c r="A913" s="462"/>
      <c r="H913" s="929"/>
      <c r="I913" s="388"/>
      <c r="J913" s="929"/>
      <c r="K913" s="388"/>
      <c r="L913" s="929"/>
      <c r="M913" s="388"/>
      <c r="N913" s="929"/>
      <c r="O913" s="388"/>
      <c r="P913" s="388"/>
      <c r="Q913" s="388"/>
      <c r="R913" s="465"/>
      <c r="S913" s="929"/>
      <c r="T913" s="466"/>
      <c r="U913" s="929"/>
      <c r="V913" s="929"/>
      <c r="W913" s="929"/>
      <c r="X913" s="474"/>
      <c r="Y913" s="474"/>
      <c r="Z913" s="474"/>
      <c r="AA913" s="474"/>
      <c r="AB913" s="474"/>
      <c r="AC913" s="388"/>
      <c r="AD913" s="464"/>
      <c r="AE913" s="465"/>
      <c r="AF913" s="388"/>
      <c r="AW913" s="471"/>
      <c r="AX913" s="471"/>
    </row>
    <row r="914" spans="1:50" ht="27" customHeight="1" x14ac:dyDescent="0.25">
      <c r="A914" s="462"/>
      <c r="H914" s="929"/>
      <c r="I914" s="388"/>
      <c r="J914" s="929"/>
      <c r="K914" s="388"/>
      <c r="L914" s="929"/>
      <c r="M914" s="388"/>
      <c r="N914" s="929"/>
      <c r="O914" s="388"/>
      <c r="P914" s="388"/>
      <c r="Q914" s="388"/>
      <c r="R914" s="465"/>
      <c r="S914" s="929"/>
      <c r="T914" s="466"/>
      <c r="U914" s="929"/>
      <c r="V914" s="929"/>
      <c r="W914" s="929"/>
      <c r="X914" s="474"/>
      <c r="Y914" s="474"/>
      <c r="Z914" s="474"/>
      <c r="AA914" s="474"/>
      <c r="AB914" s="474"/>
      <c r="AC914" s="388"/>
      <c r="AD914" s="464"/>
      <c r="AE914" s="465"/>
      <c r="AF914" s="388"/>
      <c r="AW914" s="471"/>
      <c r="AX914" s="471"/>
    </row>
    <row r="915" spans="1:50" ht="27" customHeight="1" x14ac:dyDescent="0.25">
      <c r="A915" s="462"/>
      <c r="H915" s="929"/>
      <c r="I915" s="388"/>
      <c r="J915" s="929"/>
      <c r="K915" s="388"/>
      <c r="L915" s="929"/>
      <c r="M915" s="388"/>
      <c r="N915" s="929"/>
      <c r="O915" s="388"/>
      <c r="P915" s="388"/>
      <c r="Q915" s="388"/>
      <c r="R915" s="465"/>
      <c r="S915" s="929"/>
      <c r="T915" s="466"/>
      <c r="U915" s="929"/>
      <c r="V915" s="929"/>
      <c r="W915" s="929"/>
      <c r="X915" s="474"/>
      <c r="Y915" s="474"/>
      <c r="Z915" s="474"/>
      <c r="AA915" s="474"/>
      <c r="AB915" s="474"/>
      <c r="AC915" s="388"/>
      <c r="AD915" s="464"/>
      <c r="AE915" s="465"/>
      <c r="AF915" s="388"/>
      <c r="AW915" s="471"/>
      <c r="AX915" s="471"/>
    </row>
    <row r="916" spans="1:50" ht="27" customHeight="1" x14ac:dyDescent="0.25">
      <c r="A916" s="462"/>
      <c r="H916" s="929"/>
      <c r="I916" s="388"/>
      <c r="J916" s="929"/>
      <c r="K916" s="388"/>
      <c r="L916" s="929"/>
      <c r="M916" s="388"/>
      <c r="N916" s="929"/>
      <c r="O916" s="388"/>
      <c r="P916" s="388"/>
      <c r="Q916" s="388"/>
      <c r="R916" s="465"/>
      <c r="S916" s="929"/>
      <c r="T916" s="466"/>
      <c r="U916" s="929"/>
      <c r="V916" s="929"/>
      <c r="W916" s="929"/>
      <c r="X916" s="474"/>
      <c r="Y916" s="474"/>
      <c r="Z916" s="474"/>
      <c r="AA916" s="474"/>
      <c r="AB916" s="474"/>
      <c r="AC916" s="388"/>
      <c r="AD916" s="464"/>
      <c r="AE916" s="465"/>
      <c r="AF916" s="388"/>
      <c r="AW916" s="471"/>
      <c r="AX916" s="471"/>
    </row>
    <row r="917" spans="1:50" ht="27" customHeight="1" x14ac:dyDescent="0.25">
      <c r="A917" s="462"/>
      <c r="H917" s="929"/>
      <c r="I917" s="388"/>
      <c r="J917" s="929"/>
      <c r="K917" s="388"/>
      <c r="L917" s="929"/>
      <c r="M917" s="388"/>
      <c r="N917" s="929"/>
      <c r="O917" s="388"/>
      <c r="P917" s="388"/>
      <c r="Q917" s="388"/>
      <c r="R917" s="465"/>
      <c r="S917" s="929"/>
      <c r="T917" s="466"/>
      <c r="U917" s="929"/>
      <c r="V917" s="929"/>
      <c r="W917" s="929"/>
      <c r="X917" s="474"/>
      <c r="Y917" s="474"/>
      <c r="Z917" s="474"/>
      <c r="AA917" s="474"/>
      <c r="AB917" s="474"/>
      <c r="AC917" s="388"/>
      <c r="AD917" s="464"/>
      <c r="AE917" s="465"/>
      <c r="AF917" s="388"/>
      <c r="AW917" s="471"/>
      <c r="AX917" s="471"/>
    </row>
    <row r="918" spans="1:50" ht="27" customHeight="1" x14ac:dyDescent="0.25">
      <c r="A918" s="462"/>
      <c r="H918" s="929"/>
      <c r="I918" s="388"/>
      <c r="J918" s="929"/>
      <c r="K918" s="388"/>
      <c r="L918" s="929"/>
      <c r="M918" s="388"/>
      <c r="N918" s="929"/>
      <c r="O918" s="388"/>
      <c r="P918" s="388"/>
      <c r="Q918" s="388"/>
      <c r="R918" s="465"/>
      <c r="S918" s="929"/>
      <c r="T918" s="466"/>
      <c r="U918" s="929"/>
      <c r="V918" s="929"/>
      <c r="W918" s="929"/>
      <c r="X918" s="474"/>
      <c r="Y918" s="474"/>
      <c r="Z918" s="474"/>
      <c r="AA918" s="474"/>
      <c r="AB918" s="474"/>
      <c r="AC918" s="388"/>
      <c r="AD918" s="464"/>
      <c r="AE918" s="465"/>
      <c r="AF918" s="388"/>
      <c r="AW918" s="471"/>
      <c r="AX918" s="471"/>
    </row>
    <row r="919" spans="1:50" ht="27" customHeight="1" x14ac:dyDescent="0.25">
      <c r="A919" s="462"/>
      <c r="H919" s="929"/>
      <c r="I919" s="388"/>
      <c r="J919" s="929"/>
      <c r="K919" s="388"/>
      <c r="L919" s="929"/>
      <c r="M919" s="388"/>
      <c r="N919" s="929"/>
      <c r="O919" s="388"/>
      <c r="P919" s="388"/>
      <c r="Q919" s="388"/>
      <c r="R919" s="465"/>
      <c r="S919" s="929"/>
      <c r="T919" s="466"/>
      <c r="U919" s="929"/>
      <c r="V919" s="929"/>
      <c r="W919" s="929"/>
      <c r="X919" s="474"/>
      <c r="Y919" s="474"/>
      <c r="Z919" s="474"/>
      <c r="AA919" s="474"/>
      <c r="AB919" s="474"/>
      <c r="AC919" s="388"/>
      <c r="AD919" s="464"/>
      <c r="AE919" s="465"/>
      <c r="AF919" s="388"/>
      <c r="AW919" s="471"/>
      <c r="AX919" s="471"/>
    </row>
    <row r="920" spans="1:50" ht="27" customHeight="1" x14ac:dyDescent="0.25">
      <c r="A920" s="462"/>
      <c r="H920" s="929"/>
      <c r="I920" s="388"/>
      <c r="J920" s="929"/>
      <c r="K920" s="388"/>
      <c r="L920" s="929"/>
      <c r="M920" s="388"/>
      <c r="N920" s="929"/>
      <c r="O920" s="388"/>
      <c r="P920" s="388"/>
      <c r="Q920" s="388"/>
      <c r="R920" s="465"/>
      <c r="S920" s="929"/>
      <c r="T920" s="466"/>
      <c r="U920" s="929"/>
      <c r="V920" s="929"/>
      <c r="W920" s="929"/>
      <c r="X920" s="474"/>
      <c r="Y920" s="474"/>
      <c r="Z920" s="474"/>
      <c r="AA920" s="474"/>
      <c r="AB920" s="474"/>
      <c r="AC920" s="388"/>
      <c r="AD920" s="464"/>
      <c r="AE920" s="465"/>
      <c r="AF920" s="388"/>
      <c r="AW920" s="471"/>
      <c r="AX920" s="471"/>
    </row>
    <row r="921" spans="1:50" ht="27" customHeight="1" x14ac:dyDescent="0.25">
      <c r="A921" s="462"/>
      <c r="H921" s="929"/>
      <c r="I921" s="388"/>
      <c r="J921" s="929"/>
      <c r="K921" s="388"/>
      <c r="L921" s="929"/>
      <c r="M921" s="388"/>
      <c r="N921" s="929"/>
      <c r="O921" s="388"/>
      <c r="P921" s="388"/>
      <c r="Q921" s="388"/>
      <c r="R921" s="465"/>
      <c r="S921" s="929"/>
      <c r="T921" s="466"/>
      <c r="U921" s="929"/>
      <c r="V921" s="929"/>
      <c r="W921" s="929"/>
      <c r="X921" s="474"/>
      <c r="Y921" s="474"/>
      <c r="Z921" s="474"/>
      <c r="AA921" s="474"/>
      <c r="AB921" s="474"/>
      <c r="AC921" s="388"/>
      <c r="AD921" s="464"/>
      <c r="AE921" s="465"/>
      <c r="AF921" s="388"/>
      <c r="AW921" s="471"/>
      <c r="AX921" s="471"/>
    </row>
    <row r="922" spans="1:50" ht="27" customHeight="1" x14ac:dyDescent="0.25">
      <c r="A922" s="462"/>
      <c r="H922" s="929"/>
      <c r="I922" s="388"/>
      <c r="J922" s="929"/>
      <c r="K922" s="388"/>
      <c r="L922" s="929"/>
      <c r="M922" s="388"/>
      <c r="N922" s="929"/>
      <c r="O922" s="388"/>
      <c r="P922" s="388"/>
      <c r="Q922" s="388"/>
      <c r="R922" s="465"/>
      <c r="S922" s="929"/>
      <c r="T922" s="466"/>
      <c r="U922" s="929"/>
      <c r="V922" s="929"/>
      <c r="W922" s="929"/>
      <c r="X922" s="474"/>
      <c r="Y922" s="474"/>
      <c r="Z922" s="474"/>
      <c r="AA922" s="474"/>
      <c r="AB922" s="474"/>
      <c r="AC922" s="388"/>
      <c r="AD922" s="464"/>
      <c r="AE922" s="465"/>
      <c r="AF922" s="388"/>
      <c r="AW922" s="471"/>
      <c r="AX922" s="471"/>
    </row>
    <row r="923" spans="1:50" ht="27" customHeight="1" x14ac:dyDescent="0.25">
      <c r="A923" s="462"/>
      <c r="H923" s="929"/>
      <c r="I923" s="388"/>
      <c r="J923" s="929"/>
      <c r="K923" s="388"/>
      <c r="L923" s="929"/>
      <c r="M923" s="388"/>
      <c r="N923" s="929"/>
      <c r="O923" s="388"/>
      <c r="P923" s="388"/>
      <c r="Q923" s="388"/>
      <c r="R923" s="465"/>
      <c r="S923" s="929"/>
      <c r="T923" s="466"/>
      <c r="U923" s="929"/>
      <c r="V923" s="929"/>
      <c r="W923" s="929"/>
      <c r="X923" s="474"/>
      <c r="Y923" s="474"/>
      <c r="Z923" s="474"/>
      <c r="AA923" s="474"/>
      <c r="AB923" s="474"/>
      <c r="AC923" s="388"/>
      <c r="AD923" s="464"/>
      <c r="AE923" s="465"/>
      <c r="AF923" s="388"/>
      <c r="AW923" s="471"/>
      <c r="AX923" s="471"/>
    </row>
    <row r="924" spans="1:50" ht="27" customHeight="1" x14ac:dyDescent="0.25">
      <c r="A924" s="462"/>
      <c r="H924" s="929"/>
      <c r="I924" s="388"/>
      <c r="J924" s="929"/>
      <c r="K924" s="388"/>
      <c r="L924" s="929"/>
      <c r="M924" s="388"/>
      <c r="N924" s="929"/>
      <c r="O924" s="388"/>
      <c r="P924" s="388"/>
      <c r="Q924" s="388"/>
      <c r="R924" s="465"/>
      <c r="S924" s="929"/>
      <c r="T924" s="466"/>
      <c r="U924" s="929"/>
      <c r="V924" s="929"/>
      <c r="W924" s="929"/>
      <c r="X924" s="474"/>
      <c r="Y924" s="474"/>
      <c r="Z924" s="474"/>
      <c r="AA924" s="474"/>
      <c r="AB924" s="474"/>
      <c r="AC924" s="388"/>
      <c r="AD924" s="464"/>
      <c r="AE924" s="465"/>
      <c r="AF924" s="388"/>
      <c r="AW924" s="471"/>
      <c r="AX924" s="471"/>
    </row>
    <row r="925" spans="1:50" ht="27" customHeight="1" x14ac:dyDescent="0.25">
      <c r="A925" s="462"/>
      <c r="H925" s="929"/>
      <c r="I925" s="388"/>
      <c r="J925" s="929"/>
      <c r="K925" s="388"/>
      <c r="L925" s="929"/>
      <c r="M925" s="388"/>
      <c r="N925" s="929"/>
      <c r="O925" s="388"/>
      <c r="P925" s="388"/>
      <c r="Q925" s="388"/>
      <c r="R925" s="465"/>
      <c r="S925" s="929"/>
      <c r="T925" s="466"/>
      <c r="U925" s="929"/>
      <c r="V925" s="929"/>
      <c r="W925" s="929"/>
      <c r="X925" s="474"/>
      <c r="Y925" s="474"/>
      <c r="Z925" s="474"/>
      <c r="AA925" s="474"/>
      <c r="AB925" s="474"/>
      <c r="AC925" s="388"/>
      <c r="AD925" s="464"/>
      <c r="AE925" s="465"/>
      <c r="AF925" s="388"/>
      <c r="AW925" s="471"/>
      <c r="AX925" s="471"/>
    </row>
    <row r="926" spans="1:50" ht="27" customHeight="1" x14ac:dyDescent="0.25">
      <c r="A926" s="462"/>
      <c r="H926" s="929"/>
      <c r="I926" s="388"/>
      <c r="J926" s="929"/>
      <c r="K926" s="388"/>
      <c r="L926" s="929"/>
      <c r="M926" s="388"/>
      <c r="N926" s="929"/>
      <c r="O926" s="388"/>
      <c r="P926" s="388"/>
      <c r="Q926" s="388"/>
      <c r="R926" s="465"/>
      <c r="S926" s="929"/>
      <c r="T926" s="466"/>
      <c r="U926" s="929"/>
      <c r="V926" s="929"/>
      <c r="W926" s="929"/>
      <c r="X926" s="474"/>
      <c r="Y926" s="474"/>
      <c r="Z926" s="474"/>
      <c r="AA926" s="474"/>
      <c r="AB926" s="474"/>
      <c r="AC926" s="388"/>
      <c r="AD926" s="464"/>
      <c r="AE926" s="465"/>
      <c r="AF926" s="388"/>
      <c r="AW926" s="471"/>
      <c r="AX926" s="471"/>
    </row>
    <row r="927" spans="1:50" ht="27" customHeight="1" x14ac:dyDescent="0.25">
      <c r="A927" s="462"/>
      <c r="H927" s="929"/>
      <c r="I927" s="388"/>
      <c r="J927" s="929"/>
      <c r="K927" s="388"/>
      <c r="L927" s="929"/>
      <c r="M927" s="388"/>
      <c r="N927" s="929"/>
      <c r="O927" s="388"/>
      <c r="P927" s="388"/>
      <c r="Q927" s="388"/>
      <c r="R927" s="465"/>
      <c r="S927" s="929"/>
      <c r="T927" s="466"/>
      <c r="U927" s="929"/>
      <c r="V927" s="929"/>
      <c r="W927" s="929"/>
      <c r="X927" s="474"/>
      <c r="Y927" s="474"/>
      <c r="Z927" s="474"/>
      <c r="AA927" s="474"/>
      <c r="AB927" s="474"/>
      <c r="AC927" s="388"/>
      <c r="AD927" s="464"/>
      <c r="AE927" s="465"/>
      <c r="AF927" s="388"/>
      <c r="AW927" s="471"/>
      <c r="AX927" s="471"/>
    </row>
    <row r="928" spans="1:50" ht="27" customHeight="1" x14ac:dyDescent="0.25">
      <c r="A928" s="462"/>
      <c r="H928" s="929"/>
      <c r="I928" s="388"/>
      <c r="J928" s="929"/>
      <c r="K928" s="388"/>
      <c r="L928" s="929"/>
      <c r="M928" s="388"/>
      <c r="N928" s="929"/>
      <c r="O928" s="388"/>
      <c r="P928" s="388"/>
      <c r="Q928" s="388"/>
      <c r="R928" s="465"/>
      <c r="S928" s="929"/>
      <c r="T928" s="466"/>
      <c r="U928" s="929"/>
      <c r="V928" s="929"/>
      <c r="W928" s="929"/>
      <c r="X928" s="474"/>
      <c r="Y928" s="474"/>
      <c r="Z928" s="474"/>
      <c r="AA928" s="474"/>
      <c r="AB928" s="474"/>
      <c r="AC928" s="388"/>
      <c r="AD928" s="464"/>
      <c r="AE928" s="465"/>
      <c r="AF928" s="388"/>
      <c r="AW928" s="471"/>
      <c r="AX928" s="471"/>
    </row>
    <row r="929" spans="1:50" ht="27" customHeight="1" x14ac:dyDescent="0.25">
      <c r="A929" s="462"/>
      <c r="H929" s="929"/>
      <c r="I929" s="388"/>
      <c r="J929" s="929"/>
      <c r="K929" s="388"/>
      <c r="L929" s="929"/>
      <c r="M929" s="388"/>
      <c r="N929" s="929"/>
      <c r="O929" s="388"/>
      <c r="P929" s="388"/>
      <c r="Q929" s="388"/>
      <c r="R929" s="465"/>
      <c r="S929" s="929"/>
      <c r="T929" s="466"/>
      <c r="U929" s="929"/>
      <c r="V929" s="929"/>
      <c r="W929" s="929"/>
      <c r="X929" s="474"/>
      <c r="Y929" s="474"/>
      <c r="Z929" s="474"/>
      <c r="AA929" s="474"/>
      <c r="AB929" s="474"/>
      <c r="AC929" s="388"/>
      <c r="AD929" s="464"/>
      <c r="AE929" s="465"/>
      <c r="AF929" s="388"/>
      <c r="AW929" s="471"/>
      <c r="AX929" s="471"/>
    </row>
    <row r="930" spans="1:50" ht="27" customHeight="1" x14ac:dyDescent="0.25">
      <c r="A930" s="462"/>
      <c r="H930" s="929"/>
      <c r="I930" s="388"/>
      <c r="J930" s="929"/>
      <c r="K930" s="388"/>
      <c r="L930" s="929"/>
      <c r="M930" s="388"/>
      <c r="N930" s="929"/>
      <c r="O930" s="388"/>
      <c r="P930" s="388"/>
      <c r="Q930" s="388"/>
      <c r="R930" s="465"/>
      <c r="S930" s="929"/>
      <c r="T930" s="466"/>
      <c r="U930" s="929"/>
      <c r="V930" s="929"/>
      <c r="W930" s="929"/>
      <c r="X930" s="474"/>
      <c r="Y930" s="474"/>
      <c r="Z930" s="474"/>
      <c r="AA930" s="474"/>
      <c r="AB930" s="474"/>
      <c r="AC930" s="388"/>
      <c r="AD930" s="464"/>
      <c r="AE930" s="465"/>
      <c r="AF930" s="388"/>
      <c r="AW930" s="471"/>
      <c r="AX930" s="471"/>
    </row>
    <row r="931" spans="1:50" ht="27" customHeight="1" x14ac:dyDescent="0.25">
      <c r="A931" s="462"/>
      <c r="H931" s="929"/>
      <c r="I931" s="388"/>
      <c r="J931" s="929"/>
      <c r="K931" s="388"/>
      <c r="L931" s="929"/>
      <c r="M931" s="388"/>
      <c r="N931" s="929"/>
      <c r="O931" s="388"/>
      <c r="P931" s="388"/>
      <c r="Q931" s="388"/>
      <c r="R931" s="465"/>
      <c r="S931" s="929"/>
      <c r="T931" s="466"/>
      <c r="U931" s="929"/>
      <c r="V931" s="929"/>
      <c r="W931" s="929"/>
      <c r="X931" s="474"/>
      <c r="Y931" s="474"/>
      <c r="Z931" s="474"/>
      <c r="AA931" s="474"/>
      <c r="AB931" s="474"/>
      <c r="AC931" s="388"/>
      <c r="AD931" s="464"/>
      <c r="AE931" s="465"/>
      <c r="AF931" s="388"/>
      <c r="AW931" s="471"/>
      <c r="AX931" s="471"/>
    </row>
    <row r="932" spans="1:50" ht="27" customHeight="1" x14ac:dyDescent="0.25">
      <c r="A932" s="462"/>
      <c r="H932" s="929"/>
      <c r="I932" s="388"/>
      <c r="J932" s="929"/>
      <c r="K932" s="388"/>
      <c r="L932" s="929"/>
      <c r="M932" s="388"/>
      <c r="N932" s="929"/>
      <c r="O932" s="388"/>
      <c r="P932" s="388"/>
      <c r="Q932" s="388"/>
      <c r="R932" s="465"/>
      <c r="S932" s="929"/>
      <c r="T932" s="466"/>
      <c r="U932" s="929"/>
      <c r="V932" s="929"/>
      <c r="W932" s="929"/>
      <c r="X932" s="474"/>
      <c r="Y932" s="474"/>
      <c r="Z932" s="474"/>
      <c r="AA932" s="474"/>
      <c r="AB932" s="474"/>
      <c r="AC932" s="388"/>
      <c r="AD932" s="464"/>
      <c r="AE932" s="465"/>
      <c r="AF932" s="388"/>
      <c r="AW932" s="471"/>
      <c r="AX932" s="471"/>
    </row>
    <row r="933" spans="1:50" ht="27" customHeight="1" x14ac:dyDescent="0.25">
      <c r="A933" s="462"/>
      <c r="H933" s="929"/>
      <c r="I933" s="388"/>
      <c r="J933" s="929"/>
      <c r="K933" s="388"/>
      <c r="L933" s="929"/>
      <c r="M933" s="388"/>
      <c r="N933" s="929"/>
      <c r="O933" s="388"/>
      <c r="P933" s="388"/>
      <c r="Q933" s="388"/>
      <c r="R933" s="465"/>
      <c r="S933" s="929"/>
      <c r="T933" s="466"/>
      <c r="U933" s="929"/>
      <c r="V933" s="929"/>
      <c r="W933" s="929"/>
      <c r="X933" s="474"/>
      <c r="Y933" s="474"/>
      <c r="Z933" s="474"/>
      <c r="AA933" s="474"/>
      <c r="AB933" s="474"/>
      <c r="AC933" s="388"/>
      <c r="AD933" s="464"/>
      <c r="AE933" s="465"/>
      <c r="AF933" s="388"/>
      <c r="AW933" s="471"/>
      <c r="AX933" s="471"/>
    </row>
    <row r="934" spans="1:50" ht="27" customHeight="1" x14ac:dyDescent="0.25">
      <c r="A934" s="462"/>
      <c r="H934" s="929"/>
      <c r="I934" s="388"/>
      <c r="J934" s="929"/>
      <c r="K934" s="388"/>
      <c r="L934" s="929"/>
      <c r="M934" s="388"/>
      <c r="N934" s="929"/>
      <c r="O934" s="388"/>
      <c r="P934" s="388"/>
      <c r="Q934" s="388"/>
      <c r="R934" s="465"/>
      <c r="S934" s="929"/>
      <c r="T934" s="466"/>
      <c r="U934" s="929"/>
      <c r="V934" s="929"/>
      <c r="W934" s="929"/>
      <c r="X934" s="474"/>
      <c r="Y934" s="474"/>
      <c r="Z934" s="474"/>
      <c r="AA934" s="474"/>
      <c r="AB934" s="474"/>
      <c r="AC934" s="388"/>
      <c r="AD934" s="464"/>
      <c r="AE934" s="465"/>
      <c r="AF934" s="388"/>
      <c r="AW934" s="471"/>
      <c r="AX934" s="471"/>
    </row>
    <row r="935" spans="1:50" ht="27" customHeight="1" x14ac:dyDescent="0.25">
      <c r="A935" s="462"/>
      <c r="H935" s="929"/>
      <c r="I935" s="388"/>
      <c r="J935" s="929"/>
      <c r="K935" s="388"/>
      <c r="L935" s="929"/>
      <c r="M935" s="388"/>
      <c r="N935" s="929"/>
      <c r="O935" s="388"/>
      <c r="P935" s="388"/>
      <c r="Q935" s="388"/>
      <c r="R935" s="465"/>
      <c r="S935" s="929"/>
      <c r="T935" s="466"/>
      <c r="U935" s="929"/>
      <c r="V935" s="929"/>
      <c r="W935" s="929"/>
      <c r="X935" s="474"/>
      <c r="Y935" s="474"/>
      <c r="Z935" s="474"/>
      <c r="AA935" s="474"/>
      <c r="AB935" s="474"/>
      <c r="AC935" s="388"/>
      <c r="AD935" s="464"/>
      <c r="AE935" s="465"/>
      <c r="AF935" s="388"/>
      <c r="AW935" s="471"/>
      <c r="AX935" s="471"/>
    </row>
    <row r="936" spans="1:50" ht="27" customHeight="1" x14ac:dyDescent="0.25">
      <c r="A936" s="462"/>
      <c r="H936" s="929"/>
      <c r="I936" s="388"/>
      <c r="J936" s="929"/>
      <c r="K936" s="388"/>
      <c r="L936" s="929"/>
      <c r="M936" s="388"/>
      <c r="N936" s="929"/>
      <c r="O936" s="388"/>
      <c r="P936" s="388"/>
      <c r="Q936" s="388"/>
      <c r="R936" s="465"/>
      <c r="S936" s="929"/>
      <c r="T936" s="466"/>
      <c r="U936" s="929"/>
      <c r="V936" s="929"/>
      <c r="W936" s="929"/>
      <c r="X936" s="474"/>
      <c r="Y936" s="474"/>
      <c r="Z936" s="474"/>
      <c r="AA936" s="474"/>
      <c r="AB936" s="474"/>
      <c r="AC936" s="388"/>
      <c r="AD936" s="464"/>
      <c r="AE936" s="465"/>
      <c r="AF936" s="388"/>
      <c r="AW936" s="471"/>
      <c r="AX936" s="471"/>
    </row>
    <row r="937" spans="1:50" ht="27" customHeight="1" x14ac:dyDescent="0.25">
      <c r="A937" s="462"/>
      <c r="H937" s="929"/>
      <c r="I937" s="388"/>
      <c r="J937" s="929"/>
      <c r="K937" s="388"/>
      <c r="L937" s="929"/>
      <c r="M937" s="388"/>
      <c r="N937" s="929"/>
      <c r="O937" s="388"/>
      <c r="P937" s="388"/>
      <c r="Q937" s="388"/>
      <c r="R937" s="465"/>
      <c r="S937" s="929"/>
      <c r="T937" s="466"/>
      <c r="U937" s="929"/>
      <c r="V937" s="929"/>
      <c r="W937" s="929"/>
      <c r="X937" s="474"/>
      <c r="Y937" s="474"/>
      <c r="Z937" s="474"/>
      <c r="AA937" s="474"/>
      <c r="AB937" s="474"/>
      <c r="AC937" s="388"/>
      <c r="AD937" s="464"/>
      <c r="AE937" s="465"/>
      <c r="AF937" s="388"/>
      <c r="AW937" s="471"/>
      <c r="AX937" s="471"/>
    </row>
    <row r="938" spans="1:50" ht="27" customHeight="1" x14ac:dyDescent="0.25">
      <c r="A938" s="462"/>
      <c r="H938" s="929"/>
      <c r="I938" s="388"/>
      <c r="J938" s="929"/>
      <c r="K938" s="388"/>
      <c r="L938" s="929"/>
      <c r="M938" s="388"/>
      <c r="N938" s="929"/>
      <c r="O938" s="388"/>
      <c r="P938" s="388"/>
      <c r="Q938" s="388"/>
      <c r="R938" s="465"/>
      <c r="S938" s="929"/>
      <c r="T938" s="466"/>
      <c r="U938" s="929"/>
      <c r="V938" s="929"/>
      <c r="W938" s="929"/>
      <c r="X938" s="474"/>
      <c r="Y938" s="474"/>
      <c r="Z938" s="474"/>
      <c r="AA938" s="474"/>
      <c r="AB938" s="474"/>
      <c r="AC938" s="388"/>
      <c r="AD938" s="464"/>
      <c r="AE938" s="465"/>
      <c r="AF938" s="388"/>
      <c r="AW938" s="471"/>
      <c r="AX938" s="471"/>
    </row>
    <row r="939" spans="1:50" ht="27" customHeight="1" x14ac:dyDescent="0.25">
      <c r="A939" s="462"/>
      <c r="H939" s="929"/>
      <c r="I939" s="388"/>
      <c r="J939" s="929"/>
      <c r="K939" s="388"/>
      <c r="L939" s="929"/>
      <c r="M939" s="388"/>
      <c r="N939" s="929"/>
      <c r="O939" s="388"/>
      <c r="P939" s="388"/>
      <c r="Q939" s="388"/>
      <c r="R939" s="465"/>
      <c r="S939" s="929"/>
      <c r="T939" s="466"/>
      <c r="U939" s="929"/>
      <c r="V939" s="929"/>
      <c r="W939" s="929"/>
      <c r="X939" s="474"/>
      <c r="Y939" s="474"/>
      <c r="Z939" s="474"/>
      <c r="AA939" s="474"/>
      <c r="AB939" s="474"/>
      <c r="AC939" s="388"/>
      <c r="AD939" s="464"/>
      <c r="AE939" s="465"/>
      <c r="AF939" s="388"/>
      <c r="AW939" s="471"/>
      <c r="AX939" s="471"/>
    </row>
    <row r="940" spans="1:50" ht="27" customHeight="1" x14ac:dyDescent="0.25">
      <c r="A940" s="462"/>
      <c r="H940" s="929"/>
      <c r="I940" s="388"/>
      <c r="J940" s="929"/>
      <c r="K940" s="388"/>
      <c r="L940" s="929"/>
      <c r="M940" s="388"/>
      <c r="N940" s="929"/>
      <c r="O940" s="388"/>
      <c r="P940" s="388"/>
      <c r="Q940" s="388"/>
      <c r="R940" s="465"/>
      <c r="S940" s="929"/>
      <c r="T940" s="466"/>
      <c r="U940" s="929"/>
      <c r="V940" s="929"/>
      <c r="W940" s="929"/>
      <c r="X940" s="474"/>
      <c r="Y940" s="474"/>
      <c r="Z940" s="474"/>
      <c r="AA940" s="474"/>
      <c r="AB940" s="474"/>
      <c r="AC940" s="388"/>
      <c r="AD940" s="464"/>
      <c r="AE940" s="465"/>
      <c r="AF940" s="388"/>
      <c r="AW940" s="471"/>
      <c r="AX940" s="471"/>
    </row>
    <row r="941" spans="1:50" ht="27" customHeight="1" x14ac:dyDescent="0.25">
      <c r="A941" s="462"/>
      <c r="H941" s="929"/>
      <c r="I941" s="388"/>
      <c r="J941" s="929"/>
      <c r="K941" s="388"/>
      <c r="L941" s="929"/>
      <c r="M941" s="388"/>
      <c r="N941" s="929"/>
      <c r="O941" s="388"/>
      <c r="P941" s="388"/>
      <c r="Q941" s="388"/>
      <c r="R941" s="465"/>
      <c r="S941" s="929"/>
      <c r="T941" s="466"/>
      <c r="U941" s="929"/>
      <c r="V941" s="929"/>
      <c r="W941" s="929"/>
      <c r="X941" s="474"/>
      <c r="Y941" s="474"/>
      <c r="Z941" s="474"/>
      <c r="AA941" s="474"/>
      <c r="AB941" s="474"/>
      <c r="AC941" s="388"/>
      <c r="AD941" s="464"/>
      <c r="AE941" s="465"/>
      <c r="AF941" s="388"/>
      <c r="AW941" s="471"/>
      <c r="AX941" s="471"/>
    </row>
    <row r="942" spans="1:50" ht="27" customHeight="1" x14ac:dyDescent="0.25">
      <c r="A942" s="462"/>
      <c r="H942" s="929"/>
      <c r="I942" s="388"/>
      <c r="J942" s="929"/>
      <c r="K942" s="388"/>
      <c r="L942" s="929"/>
      <c r="M942" s="388"/>
      <c r="N942" s="929"/>
      <c r="O942" s="388"/>
      <c r="P942" s="388"/>
      <c r="Q942" s="388"/>
      <c r="R942" s="465"/>
      <c r="S942" s="929"/>
      <c r="T942" s="466"/>
      <c r="U942" s="929"/>
      <c r="V942" s="929"/>
      <c r="W942" s="929"/>
      <c r="X942" s="474"/>
      <c r="Y942" s="474"/>
      <c r="Z942" s="474"/>
      <c r="AA942" s="474"/>
      <c r="AB942" s="474"/>
      <c r="AC942" s="388"/>
      <c r="AD942" s="464"/>
      <c r="AE942" s="465"/>
      <c r="AF942" s="388"/>
      <c r="AW942" s="471"/>
      <c r="AX942" s="471"/>
    </row>
    <row r="943" spans="1:50" ht="27" customHeight="1" x14ac:dyDescent="0.25">
      <c r="A943" s="462"/>
      <c r="H943" s="929"/>
      <c r="I943" s="388"/>
      <c r="J943" s="929"/>
      <c r="K943" s="388"/>
      <c r="L943" s="929"/>
      <c r="M943" s="388"/>
      <c r="N943" s="929"/>
      <c r="O943" s="388"/>
      <c r="P943" s="388"/>
      <c r="Q943" s="388"/>
      <c r="R943" s="465"/>
      <c r="S943" s="929"/>
      <c r="T943" s="466"/>
      <c r="U943" s="929"/>
      <c r="V943" s="929"/>
      <c r="W943" s="929"/>
      <c r="X943" s="474"/>
      <c r="Y943" s="474"/>
      <c r="Z943" s="474"/>
      <c r="AA943" s="474"/>
      <c r="AB943" s="474"/>
      <c r="AC943" s="388"/>
      <c r="AD943" s="464"/>
      <c r="AE943" s="465"/>
      <c r="AF943" s="388"/>
      <c r="AW943" s="471"/>
      <c r="AX943" s="471"/>
    </row>
    <row r="944" spans="1:50" ht="27" customHeight="1" x14ac:dyDescent="0.25">
      <c r="A944" s="462"/>
      <c r="H944" s="929"/>
      <c r="I944" s="388"/>
      <c r="J944" s="929"/>
      <c r="K944" s="388"/>
      <c r="L944" s="929"/>
      <c r="M944" s="388"/>
      <c r="N944" s="929"/>
      <c r="O944" s="388"/>
      <c r="P944" s="388"/>
      <c r="Q944" s="388"/>
      <c r="R944" s="465"/>
      <c r="S944" s="929"/>
      <c r="T944" s="466"/>
      <c r="U944" s="929"/>
      <c r="V944" s="929"/>
      <c r="W944" s="929"/>
      <c r="X944" s="474"/>
      <c r="Y944" s="474"/>
      <c r="Z944" s="474"/>
      <c r="AA944" s="474"/>
      <c r="AB944" s="474"/>
      <c r="AC944" s="388"/>
      <c r="AD944" s="464"/>
      <c r="AE944" s="465"/>
      <c r="AF944" s="388"/>
      <c r="AW944" s="471"/>
      <c r="AX944" s="471"/>
    </row>
    <row r="945" spans="1:50" ht="27" customHeight="1" x14ac:dyDescent="0.25">
      <c r="A945" s="462"/>
      <c r="H945" s="929"/>
      <c r="I945" s="388"/>
      <c r="J945" s="929"/>
      <c r="K945" s="388"/>
      <c r="L945" s="929"/>
      <c r="M945" s="388"/>
      <c r="N945" s="929"/>
      <c r="O945" s="388"/>
      <c r="P945" s="388"/>
      <c r="Q945" s="388"/>
      <c r="R945" s="465"/>
      <c r="S945" s="929"/>
      <c r="T945" s="466"/>
      <c r="U945" s="929"/>
      <c r="V945" s="929"/>
      <c r="W945" s="929"/>
      <c r="X945" s="474"/>
      <c r="Y945" s="474"/>
      <c r="Z945" s="474"/>
      <c r="AA945" s="474"/>
      <c r="AB945" s="474"/>
      <c r="AC945" s="388"/>
      <c r="AD945" s="464"/>
      <c r="AE945" s="465"/>
      <c r="AF945" s="388"/>
      <c r="AW945" s="471"/>
      <c r="AX945" s="471"/>
    </row>
    <row r="946" spans="1:50" ht="27" customHeight="1" x14ac:dyDescent="0.25">
      <c r="A946" s="462"/>
      <c r="H946" s="929"/>
      <c r="I946" s="388"/>
      <c r="J946" s="929"/>
      <c r="K946" s="388"/>
      <c r="L946" s="929"/>
      <c r="M946" s="388"/>
      <c r="N946" s="929"/>
      <c r="O946" s="388"/>
      <c r="P946" s="388"/>
      <c r="Q946" s="388"/>
      <c r="R946" s="465"/>
      <c r="S946" s="929"/>
      <c r="T946" s="466"/>
      <c r="U946" s="929"/>
      <c r="V946" s="929"/>
      <c r="W946" s="929"/>
      <c r="X946" s="474"/>
      <c r="Y946" s="474"/>
      <c r="Z946" s="474"/>
      <c r="AA946" s="474"/>
      <c r="AB946" s="474"/>
      <c r="AC946" s="388"/>
      <c r="AD946" s="464"/>
      <c r="AE946" s="465"/>
      <c r="AF946" s="388"/>
      <c r="AW946" s="471"/>
      <c r="AX946" s="471"/>
    </row>
    <row r="947" spans="1:50" ht="27" customHeight="1" x14ac:dyDescent="0.25">
      <c r="A947" s="462"/>
      <c r="H947" s="929"/>
      <c r="I947" s="388"/>
      <c r="J947" s="929"/>
      <c r="K947" s="388"/>
      <c r="L947" s="929"/>
      <c r="M947" s="388"/>
      <c r="N947" s="929"/>
      <c r="O947" s="388"/>
      <c r="P947" s="388"/>
      <c r="Q947" s="388"/>
      <c r="R947" s="465"/>
      <c r="S947" s="929"/>
      <c r="T947" s="466"/>
      <c r="U947" s="929"/>
      <c r="V947" s="929"/>
      <c r="W947" s="929"/>
      <c r="X947" s="474"/>
      <c r="Y947" s="474"/>
      <c r="Z947" s="474"/>
      <c r="AA947" s="474"/>
      <c r="AB947" s="474"/>
      <c r="AC947" s="388"/>
      <c r="AD947" s="464"/>
      <c r="AE947" s="465"/>
      <c r="AF947" s="388"/>
      <c r="AW947" s="471"/>
      <c r="AX947" s="471"/>
    </row>
    <row r="948" spans="1:50" ht="27" customHeight="1" x14ac:dyDescent="0.25">
      <c r="A948" s="462"/>
      <c r="H948" s="929"/>
      <c r="I948" s="388"/>
      <c r="J948" s="929"/>
      <c r="K948" s="388"/>
      <c r="L948" s="929"/>
      <c r="M948" s="388"/>
      <c r="N948" s="929"/>
      <c r="O948" s="388"/>
      <c r="P948" s="388"/>
      <c r="Q948" s="388"/>
      <c r="R948" s="465"/>
      <c r="S948" s="929"/>
      <c r="T948" s="466"/>
      <c r="U948" s="929"/>
      <c r="V948" s="929"/>
      <c r="W948" s="929"/>
      <c r="X948" s="474"/>
      <c r="Y948" s="474"/>
      <c r="Z948" s="474"/>
      <c r="AA948" s="474"/>
      <c r="AB948" s="474"/>
      <c r="AC948" s="388"/>
      <c r="AD948" s="464"/>
      <c r="AE948" s="465"/>
      <c r="AF948" s="388"/>
      <c r="AW948" s="471"/>
      <c r="AX948" s="471"/>
    </row>
    <row r="949" spans="1:50" ht="27" customHeight="1" x14ac:dyDescent="0.25">
      <c r="A949" s="462"/>
      <c r="H949" s="929"/>
      <c r="I949" s="388"/>
      <c r="J949" s="929"/>
      <c r="K949" s="388"/>
      <c r="L949" s="929"/>
      <c r="M949" s="388"/>
      <c r="N949" s="929"/>
      <c r="O949" s="388"/>
      <c r="P949" s="388"/>
      <c r="Q949" s="388"/>
      <c r="R949" s="465"/>
      <c r="S949" s="929"/>
      <c r="T949" s="466"/>
      <c r="U949" s="929"/>
      <c r="V949" s="929"/>
      <c r="W949" s="929"/>
      <c r="X949" s="474"/>
      <c r="Y949" s="474"/>
      <c r="Z949" s="474"/>
      <c r="AA949" s="474"/>
      <c r="AB949" s="474"/>
      <c r="AC949" s="388"/>
      <c r="AD949" s="464"/>
      <c r="AE949" s="465"/>
      <c r="AF949" s="388"/>
      <c r="AW949" s="471"/>
      <c r="AX949" s="471"/>
    </row>
    <row r="950" spans="1:50" ht="27" customHeight="1" x14ac:dyDescent="0.25">
      <c r="A950" s="462"/>
      <c r="H950" s="929"/>
      <c r="I950" s="388"/>
      <c r="J950" s="929"/>
      <c r="K950" s="388"/>
      <c r="L950" s="929"/>
      <c r="M950" s="388"/>
      <c r="N950" s="929"/>
      <c r="O950" s="388"/>
      <c r="P950" s="388"/>
      <c r="Q950" s="388"/>
      <c r="R950" s="465"/>
      <c r="S950" s="929"/>
      <c r="T950" s="466"/>
      <c r="U950" s="929"/>
      <c r="V950" s="929"/>
      <c r="W950" s="929"/>
      <c r="X950" s="474"/>
      <c r="Y950" s="474"/>
      <c r="Z950" s="474"/>
      <c r="AA950" s="474"/>
      <c r="AB950" s="474"/>
      <c r="AC950" s="388"/>
      <c r="AD950" s="464"/>
      <c r="AE950" s="465"/>
      <c r="AF950" s="388"/>
      <c r="AW950" s="471"/>
      <c r="AX950" s="471"/>
    </row>
    <row r="951" spans="1:50" ht="27" customHeight="1" x14ac:dyDescent="0.25">
      <c r="A951" s="462"/>
      <c r="H951" s="929"/>
      <c r="I951" s="388"/>
      <c r="J951" s="929"/>
      <c r="K951" s="388"/>
      <c r="L951" s="929"/>
      <c r="M951" s="388"/>
      <c r="N951" s="929"/>
      <c r="O951" s="388"/>
      <c r="P951" s="388"/>
      <c r="Q951" s="388"/>
      <c r="R951" s="465"/>
      <c r="S951" s="929"/>
      <c r="T951" s="466"/>
      <c r="U951" s="929"/>
      <c r="V951" s="929"/>
      <c r="W951" s="929"/>
      <c r="X951" s="474"/>
      <c r="Y951" s="474"/>
      <c r="Z951" s="474"/>
      <c r="AA951" s="474"/>
      <c r="AB951" s="474"/>
      <c r="AC951" s="388"/>
      <c r="AD951" s="464"/>
      <c r="AE951" s="465"/>
      <c r="AF951" s="388"/>
      <c r="AW951" s="471"/>
      <c r="AX951" s="471"/>
    </row>
    <row r="952" spans="1:50" ht="27" customHeight="1" x14ac:dyDescent="0.25">
      <c r="A952" s="462"/>
      <c r="H952" s="929"/>
      <c r="I952" s="388"/>
      <c r="J952" s="929"/>
      <c r="K952" s="388"/>
      <c r="L952" s="929"/>
      <c r="M952" s="388"/>
      <c r="N952" s="929"/>
      <c r="O952" s="388"/>
      <c r="P952" s="388"/>
      <c r="Q952" s="388"/>
      <c r="R952" s="465"/>
      <c r="S952" s="929"/>
      <c r="T952" s="466"/>
      <c r="U952" s="929"/>
      <c r="V952" s="929"/>
      <c r="W952" s="929"/>
      <c r="X952" s="474"/>
      <c r="Y952" s="474"/>
      <c r="Z952" s="474"/>
      <c r="AA952" s="474"/>
      <c r="AB952" s="474"/>
      <c r="AC952" s="388"/>
      <c r="AD952" s="464"/>
      <c r="AE952" s="465"/>
      <c r="AF952" s="388"/>
      <c r="AW952" s="471"/>
      <c r="AX952" s="471"/>
    </row>
    <row r="953" spans="1:50" ht="27" customHeight="1" x14ac:dyDescent="0.25">
      <c r="A953" s="462"/>
      <c r="H953" s="929"/>
      <c r="I953" s="388"/>
      <c r="J953" s="929"/>
      <c r="K953" s="388"/>
      <c r="L953" s="929"/>
      <c r="M953" s="388"/>
      <c r="N953" s="929"/>
      <c r="O953" s="388"/>
      <c r="P953" s="388"/>
      <c r="Q953" s="388"/>
      <c r="R953" s="465"/>
      <c r="S953" s="929"/>
      <c r="T953" s="466"/>
      <c r="U953" s="929"/>
      <c r="V953" s="929"/>
      <c r="W953" s="929"/>
      <c r="X953" s="474"/>
      <c r="Y953" s="474"/>
      <c r="Z953" s="474"/>
      <c r="AA953" s="474"/>
      <c r="AB953" s="474"/>
      <c r="AC953" s="388"/>
      <c r="AD953" s="464"/>
      <c r="AE953" s="465"/>
      <c r="AF953" s="388"/>
      <c r="AW953" s="471"/>
      <c r="AX953" s="471"/>
    </row>
    <row r="954" spans="1:50" ht="27" customHeight="1" x14ac:dyDescent="0.25">
      <c r="A954" s="462"/>
      <c r="H954" s="929"/>
      <c r="I954" s="388"/>
      <c r="J954" s="929"/>
      <c r="K954" s="388"/>
      <c r="L954" s="929"/>
      <c r="M954" s="388"/>
      <c r="N954" s="929"/>
      <c r="O954" s="388"/>
      <c r="P954" s="388"/>
      <c r="Q954" s="388"/>
      <c r="R954" s="465"/>
      <c r="S954" s="929"/>
      <c r="T954" s="466"/>
      <c r="U954" s="929"/>
      <c r="V954" s="929"/>
      <c r="W954" s="929"/>
      <c r="X954" s="474"/>
      <c r="Y954" s="474"/>
      <c r="Z954" s="474"/>
      <c r="AA954" s="474"/>
      <c r="AB954" s="474"/>
      <c r="AC954" s="388"/>
      <c r="AD954" s="464"/>
      <c r="AE954" s="465"/>
      <c r="AF954" s="388"/>
      <c r="AW954" s="471"/>
      <c r="AX954" s="471"/>
    </row>
    <row r="955" spans="1:50" ht="27" customHeight="1" x14ac:dyDescent="0.25">
      <c r="A955" s="462"/>
      <c r="H955" s="929"/>
      <c r="I955" s="388"/>
      <c r="J955" s="929"/>
      <c r="K955" s="388"/>
      <c r="L955" s="929"/>
      <c r="M955" s="388"/>
      <c r="N955" s="929"/>
      <c r="O955" s="388"/>
      <c r="P955" s="388"/>
      <c r="Q955" s="388"/>
      <c r="R955" s="465"/>
      <c r="S955" s="929"/>
      <c r="T955" s="466"/>
      <c r="U955" s="929"/>
      <c r="V955" s="929"/>
      <c r="W955" s="929"/>
      <c r="X955" s="474"/>
      <c r="Y955" s="474"/>
      <c r="Z955" s="474"/>
      <c r="AA955" s="474"/>
      <c r="AB955" s="474"/>
      <c r="AC955" s="388"/>
      <c r="AD955" s="464"/>
      <c r="AE955" s="465"/>
      <c r="AF955" s="388"/>
      <c r="AW955" s="471"/>
      <c r="AX955" s="471"/>
    </row>
    <row r="956" spans="1:50" ht="27" customHeight="1" x14ac:dyDescent="0.25">
      <c r="A956" s="462"/>
      <c r="H956" s="929"/>
      <c r="I956" s="388"/>
      <c r="J956" s="929"/>
      <c r="K956" s="388"/>
      <c r="L956" s="929"/>
      <c r="M956" s="388"/>
      <c r="N956" s="929"/>
      <c r="O956" s="388"/>
      <c r="P956" s="388"/>
      <c r="Q956" s="388"/>
      <c r="R956" s="465"/>
      <c r="S956" s="929"/>
      <c r="T956" s="466"/>
      <c r="U956" s="929"/>
      <c r="V956" s="929"/>
      <c r="W956" s="929"/>
      <c r="X956" s="474"/>
      <c r="Y956" s="474"/>
      <c r="Z956" s="474"/>
      <c r="AA956" s="474"/>
      <c r="AB956" s="474"/>
      <c r="AC956" s="388"/>
      <c r="AD956" s="464"/>
      <c r="AE956" s="465"/>
      <c r="AF956" s="388"/>
      <c r="AW956" s="471"/>
      <c r="AX956" s="471"/>
    </row>
    <row r="957" spans="1:50" ht="27" customHeight="1" x14ac:dyDescent="0.25">
      <c r="A957" s="462"/>
      <c r="H957" s="929"/>
      <c r="I957" s="388"/>
      <c r="J957" s="929"/>
      <c r="K957" s="388"/>
      <c r="L957" s="929"/>
      <c r="M957" s="388"/>
      <c r="N957" s="929"/>
      <c r="O957" s="388"/>
      <c r="P957" s="388"/>
      <c r="Q957" s="388"/>
      <c r="R957" s="465"/>
      <c r="S957" s="929"/>
      <c r="T957" s="466"/>
      <c r="U957" s="929"/>
      <c r="V957" s="929"/>
      <c r="W957" s="929"/>
      <c r="X957" s="474"/>
      <c r="Y957" s="474"/>
      <c r="Z957" s="474"/>
      <c r="AA957" s="474"/>
      <c r="AB957" s="474"/>
      <c r="AC957" s="388"/>
      <c r="AD957" s="464"/>
      <c r="AE957" s="465"/>
      <c r="AF957" s="388"/>
      <c r="AW957" s="471"/>
      <c r="AX957" s="471"/>
    </row>
    <row r="958" spans="1:50" ht="27" customHeight="1" x14ac:dyDescent="0.25">
      <c r="A958" s="462"/>
      <c r="H958" s="929"/>
      <c r="I958" s="388"/>
      <c r="J958" s="929"/>
      <c r="K958" s="388"/>
      <c r="L958" s="929"/>
      <c r="M958" s="388"/>
      <c r="N958" s="929"/>
      <c r="O958" s="388"/>
      <c r="P958" s="388"/>
      <c r="Q958" s="388"/>
      <c r="R958" s="465"/>
      <c r="S958" s="929"/>
      <c r="T958" s="466"/>
      <c r="U958" s="929"/>
      <c r="V958" s="929"/>
      <c r="W958" s="929"/>
      <c r="X958" s="474"/>
      <c r="Y958" s="474"/>
      <c r="Z958" s="474"/>
      <c r="AA958" s="474"/>
      <c r="AB958" s="474"/>
      <c r="AC958" s="388"/>
      <c r="AD958" s="464"/>
      <c r="AE958" s="465"/>
      <c r="AF958" s="388"/>
      <c r="AW958" s="471"/>
      <c r="AX958" s="471"/>
    </row>
    <row r="959" spans="1:50" ht="27" customHeight="1" x14ac:dyDescent="0.25">
      <c r="A959" s="462"/>
      <c r="H959" s="929"/>
      <c r="I959" s="388"/>
      <c r="J959" s="929"/>
      <c r="K959" s="388"/>
      <c r="L959" s="929"/>
      <c r="M959" s="388"/>
      <c r="N959" s="929"/>
      <c r="O959" s="388"/>
      <c r="P959" s="388"/>
      <c r="Q959" s="388"/>
      <c r="R959" s="465"/>
      <c r="S959" s="929"/>
      <c r="T959" s="466"/>
      <c r="U959" s="929"/>
      <c r="V959" s="929"/>
      <c r="W959" s="929"/>
      <c r="X959" s="474"/>
      <c r="Y959" s="474"/>
      <c r="Z959" s="474"/>
      <c r="AA959" s="474"/>
      <c r="AB959" s="474"/>
      <c r="AC959" s="388"/>
      <c r="AD959" s="464"/>
      <c r="AE959" s="465"/>
      <c r="AF959" s="388"/>
      <c r="AW959" s="471"/>
      <c r="AX959" s="471"/>
    </row>
    <row r="960" spans="1:50" ht="27" customHeight="1" x14ac:dyDescent="0.25">
      <c r="A960" s="462"/>
      <c r="H960" s="929"/>
      <c r="I960" s="388"/>
      <c r="J960" s="929"/>
      <c r="K960" s="388"/>
      <c r="L960" s="929"/>
      <c r="M960" s="388"/>
      <c r="N960" s="929"/>
      <c r="O960" s="388"/>
      <c r="P960" s="388"/>
      <c r="Q960" s="388"/>
      <c r="R960" s="465"/>
      <c r="S960" s="929"/>
      <c r="T960" s="466"/>
      <c r="U960" s="929"/>
      <c r="V960" s="929"/>
      <c r="W960" s="929"/>
      <c r="X960" s="474"/>
      <c r="Y960" s="474"/>
      <c r="Z960" s="474"/>
      <c r="AA960" s="474"/>
      <c r="AB960" s="474"/>
      <c r="AC960" s="388"/>
      <c r="AD960" s="464"/>
      <c r="AE960" s="465"/>
      <c r="AF960" s="388"/>
      <c r="AW960" s="471"/>
      <c r="AX960" s="471"/>
    </row>
    <row r="961" spans="1:50" ht="27" customHeight="1" x14ac:dyDescent="0.25">
      <c r="A961" s="462"/>
      <c r="H961" s="929"/>
      <c r="I961" s="388"/>
      <c r="J961" s="929"/>
      <c r="K961" s="388"/>
      <c r="L961" s="929"/>
      <c r="M961" s="388"/>
      <c r="N961" s="929"/>
      <c r="O961" s="388"/>
      <c r="P961" s="388"/>
      <c r="Q961" s="388"/>
      <c r="R961" s="465"/>
      <c r="S961" s="929"/>
      <c r="T961" s="466"/>
      <c r="U961" s="929"/>
      <c r="V961" s="929"/>
      <c r="W961" s="929"/>
      <c r="X961" s="474"/>
      <c r="Y961" s="474"/>
      <c r="Z961" s="474"/>
      <c r="AA961" s="474"/>
      <c r="AB961" s="474"/>
      <c r="AC961" s="388"/>
      <c r="AD961" s="464"/>
      <c r="AE961" s="465"/>
      <c r="AF961" s="388"/>
      <c r="AW961" s="471"/>
      <c r="AX961" s="471"/>
    </row>
    <row r="962" spans="1:50" ht="27" customHeight="1" x14ac:dyDescent="0.25">
      <c r="A962" s="462"/>
      <c r="H962" s="929"/>
      <c r="I962" s="388"/>
      <c r="J962" s="929"/>
      <c r="K962" s="388"/>
      <c r="L962" s="929"/>
      <c r="M962" s="388"/>
      <c r="N962" s="929"/>
      <c r="O962" s="388"/>
      <c r="P962" s="388"/>
      <c r="Q962" s="388"/>
      <c r="R962" s="465"/>
      <c r="S962" s="929"/>
      <c r="T962" s="466"/>
      <c r="U962" s="929"/>
      <c r="V962" s="929"/>
      <c r="W962" s="929"/>
      <c r="X962" s="474"/>
      <c r="Y962" s="474"/>
      <c r="Z962" s="474"/>
      <c r="AA962" s="474"/>
      <c r="AB962" s="474"/>
      <c r="AC962" s="388"/>
      <c r="AD962" s="464"/>
      <c r="AE962" s="465"/>
      <c r="AF962" s="388"/>
      <c r="AW962" s="471"/>
      <c r="AX962" s="471"/>
    </row>
    <row r="963" spans="1:50" ht="27" customHeight="1" x14ac:dyDescent="0.25">
      <c r="A963" s="462"/>
      <c r="H963" s="929"/>
      <c r="I963" s="388"/>
      <c r="J963" s="929"/>
      <c r="K963" s="388"/>
      <c r="L963" s="929"/>
      <c r="M963" s="388"/>
      <c r="N963" s="929"/>
      <c r="O963" s="388"/>
      <c r="P963" s="388"/>
      <c r="Q963" s="388"/>
      <c r="R963" s="465"/>
      <c r="S963" s="929"/>
      <c r="T963" s="466"/>
      <c r="U963" s="929"/>
      <c r="V963" s="929"/>
      <c r="W963" s="929"/>
      <c r="X963" s="474"/>
      <c r="Y963" s="474"/>
      <c r="Z963" s="474"/>
      <c r="AA963" s="474"/>
      <c r="AB963" s="474"/>
      <c r="AC963" s="388"/>
      <c r="AD963" s="464"/>
      <c r="AE963" s="465"/>
      <c r="AF963" s="388"/>
      <c r="AW963" s="471"/>
      <c r="AX963" s="471"/>
    </row>
    <row r="964" spans="1:50" ht="27" customHeight="1" x14ac:dyDescent="0.25">
      <c r="A964" s="462"/>
      <c r="H964" s="929"/>
      <c r="I964" s="388"/>
      <c r="J964" s="929"/>
      <c r="K964" s="388"/>
      <c r="L964" s="929"/>
      <c r="M964" s="388"/>
      <c r="N964" s="929"/>
      <c r="O964" s="388"/>
      <c r="P964" s="388"/>
      <c r="Q964" s="388"/>
      <c r="R964" s="465"/>
      <c r="S964" s="929"/>
      <c r="T964" s="466"/>
      <c r="U964" s="929"/>
      <c r="V964" s="929"/>
      <c r="W964" s="929"/>
      <c r="X964" s="474"/>
      <c r="Y964" s="474"/>
      <c r="Z964" s="474"/>
      <c r="AA964" s="474"/>
      <c r="AB964" s="474"/>
      <c r="AC964" s="388"/>
      <c r="AD964" s="464"/>
      <c r="AE964" s="465"/>
      <c r="AF964" s="388"/>
      <c r="AW964" s="471"/>
      <c r="AX964" s="471"/>
    </row>
    <row r="965" spans="1:50" ht="27" customHeight="1" x14ac:dyDescent="0.25">
      <c r="A965" s="462"/>
      <c r="H965" s="929"/>
      <c r="I965" s="388"/>
      <c r="J965" s="929"/>
      <c r="K965" s="388"/>
      <c r="L965" s="929"/>
      <c r="M965" s="388"/>
      <c r="N965" s="929"/>
      <c r="O965" s="388"/>
      <c r="P965" s="388"/>
      <c r="Q965" s="388"/>
      <c r="R965" s="465"/>
      <c r="S965" s="929"/>
      <c r="T965" s="466"/>
      <c r="U965" s="929"/>
      <c r="V965" s="929"/>
      <c r="W965" s="929"/>
      <c r="X965" s="474"/>
      <c r="Y965" s="474"/>
      <c r="Z965" s="474"/>
      <c r="AA965" s="474"/>
      <c r="AB965" s="474"/>
      <c r="AC965" s="388"/>
      <c r="AD965" s="464"/>
      <c r="AE965" s="465"/>
      <c r="AF965" s="388"/>
      <c r="AW965" s="471"/>
      <c r="AX965" s="471"/>
    </row>
    <row r="966" spans="1:50" ht="27" customHeight="1" x14ac:dyDescent="0.25">
      <c r="A966" s="462"/>
      <c r="H966" s="929"/>
      <c r="I966" s="388"/>
      <c r="J966" s="929"/>
      <c r="K966" s="388"/>
      <c r="L966" s="929"/>
      <c r="M966" s="388"/>
      <c r="N966" s="929"/>
      <c r="O966" s="388"/>
      <c r="P966" s="388"/>
      <c r="Q966" s="388"/>
      <c r="R966" s="465"/>
      <c r="S966" s="929"/>
      <c r="T966" s="466"/>
      <c r="U966" s="929"/>
      <c r="V966" s="929"/>
      <c r="W966" s="929"/>
      <c r="X966" s="474"/>
      <c r="Y966" s="474"/>
      <c r="Z966" s="474"/>
      <c r="AA966" s="474"/>
      <c r="AB966" s="474"/>
      <c r="AC966" s="388"/>
      <c r="AD966" s="464"/>
      <c r="AE966" s="465"/>
      <c r="AF966" s="388"/>
      <c r="AW966" s="471"/>
      <c r="AX966" s="471"/>
    </row>
    <row r="967" spans="1:50" ht="27" customHeight="1" x14ac:dyDescent="0.25">
      <c r="A967" s="462"/>
      <c r="H967" s="929"/>
      <c r="I967" s="388"/>
      <c r="J967" s="929"/>
      <c r="K967" s="388"/>
      <c r="L967" s="929"/>
      <c r="M967" s="388"/>
      <c r="N967" s="929"/>
      <c r="O967" s="388"/>
      <c r="P967" s="388"/>
      <c r="Q967" s="388"/>
      <c r="R967" s="465"/>
      <c r="S967" s="929"/>
      <c r="T967" s="466"/>
      <c r="U967" s="929"/>
      <c r="V967" s="929"/>
      <c r="W967" s="929"/>
      <c r="X967" s="474"/>
      <c r="Y967" s="474"/>
      <c r="Z967" s="474"/>
      <c r="AA967" s="474"/>
      <c r="AB967" s="474"/>
      <c r="AC967" s="388"/>
      <c r="AD967" s="464"/>
      <c r="AE967" s="465"/>
      <c r="AF967" s="388"/>
      <c r="AW967" s="471"/>
      <c r="AX967" s="471"/>
    </row>
    <row r="968" spans="1:50" ht="27" customHeight="1" x14ac:dyDescent="0.25">
      <c r="A968" s="462"/>
      <c r="H968" s="929"/>
      <c r="I968" s="388"/>
      <c r="J968" s="929"/>
      <c r="K968" s="388"/>
      <c r="L968" s="929"/>
      <c r="M968" s="388"/>
      <c r="N968" s="929"/>
      <c r="O968" s="388"/>
      <c r="P968" s="388"/>
      <c r="Q968" s="388"/>
      <c r="R968" s="465"/>
      <c r="S968" s="929"/>
      <c r="T968" s="466"/>
      <c r="U968" s="929"/>
      <c r="V968" s="929"/>
      <c r="W968" s="929"/>
      <c r="X968" s="474"/>
      <c r="Y968" s="474"/>
      <c r="Z968" s="474"/>
      <c r="AA968" s="474"/>
      <c r="AB968" s="474"/>
      <c r="AC968" s="388"/>
      <c r="AD968" s="464"/>
      <c r="AE968" s="465"/>
      <c r="AF968" s="388"/>
      <c r="AW968" s="471"/>
      <c r="AX968" s="471"/>
    </row>
    <row r="969" spans="1:50" ht="27" customHeight="1" x14ac:dyDescent="0.25">
      <c r="A969" s="462"/>
      <c r="H969" s="929"/>
      <c r="I969" s="388"/>
      <c r="J969" s="929"/>
      <c r="K969" s="388"/>
      <c r="L969" s="929"/>
      <c r="M969" s="388"/>
      <c r="N969" s="929"/>
      <c r="O969" s="388"/>
      <c r="P969" s="388"/>
      <c r="Q969" s="388"/>
      <c r="R969" s="465"/>
      <c r="S969" s="929"/>
      <c r="T969" s="466"/>
      <c r="U969" s="929"/>
      <c r="V969" s="929"/>
      <c r="W969" s="929"/>
      <c r="X969" s="474"/>
      <c r="Y969" s="474"/>
      <c r="Z969" s="474"/>
      <c r="AA969" s="474"/>
      <c r="AB969" s="474"/>
      <c r="AC969" s="388"/>
      <c r="AD969" s="464"/>
      <c r="AE969" s="465"/>
      <c r="AF969" s="388"/>
      <c r="AW969" s="471"/>
      <c r="AX969" s="471"/>
    </row>
    <row r="970" spans="1:50" ht="27" customHeight="1" x14ac:dyDescent="0.25">
      <c r="A970" s="462"/>
      <c r="H970" s="929"/>
      <c r="I970" s="388"/>
      <c r="J970" s="929"/>
      <c r="K970" s="388"/>
      <c r="L970" s="929"/>
      <c r="M970" s="388"/>
      <c r="N970" s="929"/>
      <c r="O970" s="388"/>
      <c r="P970" s="388"/>
      <c r="Q970" s="388"/>
      <c r="R970" s="465"/>
      <c r="S970" s="929"/>
      <c r="T970" s="466"/>
      <c r="U970" s="929"/>
      <c r="V970" s="929"/>
      <c r="W970" s="929"/>
      <c r="X970" s="474"/>
      <c r="Y970" s="474"/>
      <c r="Z970" s="474"/>
      <c r="AA970" s="474"/>
      <c r="AB970" s="474"/>
      <c r="AC970" s="388"/>
      <c r="AD970" s="464"/>
      <c r="AE970" s="465"/>
      <c r="AF970" s="388"/>
      <c r="AW970" s="471"/>
      <c r="AX970" s="471"/>
    </row>
    <row r="971" spans="1:50" ht="27" customHeight="1" x14ac:dyDescent="0.25">
      <c r="A971" s="462"/>
      <c r="H971" s="929"/>
      <c r="I971" s="388"/>
      <c r="J971" s="929"/>
      <c r="K971" s="388"/>
      <c r="L971" s="929"/>
      <c r="M971" s="388"/>
      <c r="N971" s="929"/>
      <c r="O971" s="388"/>
      <c r="P971" s="388"/>
      <c r="Q971" s="388"/>
      <c r="R971" s="465"/>
      <c r="S971" s="929"/>
      <c r="T971" s="466"/>
      <c r="U971" s="929"/>
      <c r="V971" s="929"/>
      <c r="W971" s="929"/>
      <c r="X971" s="474"/>
      <c r="Y971" s="474"/>
      <c r="Z971" s="474"/>
      <c r="AA971" s="474"/>
      <c r="AB971" s="474"/>
      <c r="AC971" s="388"/>
      <c r="AD971" s="464"/>
      <c r="AE971" s="465"/>
      <c r="AF971" s="388"/>
      <c r="AW971" s="471"/>
      <c r="AX971" s="471"/>
    </row>
    <row r="972" spans="1:50" ht="27" customHeight="1" x14ac:dyDescent="0.25">
      <c r="A972" s="462"/>
      <c r="H972" s="929"/>
      <c r="I972" s="388"/>
      <c r="J972" s="929"/>
      <c r="K972" s="388"/>
      <c r="L972" s="929"/>
      <c r="M972" s="388"/>
      <c r="N972" s="929"/>
      <c r="O972" s="388"/>
      <c r="P972" s="388"/>
      <c r="Q972" s="388"/>
      <c r="R972" s="465"/>
      <c r="S972" s="929"/>
      <c r="T972" s="466"/>
      <c r="U972" s="929"/>
      <c r="V972" s="929"/>
      <c r="W972" s="929"/>
      <c r="X972" s="474"/>
      <c r="Y972" s="474"/>
      <c r="Z972" s="474"/>
      <c r="AA972" s="474"/>
      <c r="AB972" s="474"/>
      <c r="AC972" s="388"/>
      <c r="AD972" s="464"/>
      <c r="AE972" s="465"/>
      <c r="AF972" s="388"/>
      <c r="AW972" s="471"/>
      <c r="AX972" s="471"/>
    </row>
    <row r="973" spans="1:50" ht="27" customHeight="1" x14ac:dyDescent="0.25">
      <c r="A973" s="462"/>
      <c r="H973" s="929"/>
      <c r="I973" s="388"/>
      <c r="J973" s="929"/>
      <c r="K973" s="388"/>
      <c r="L973" s="929"/>
      <c r="M973" s="388"/>
      <c r="N973" s="929"/>
      <c r="O973" s="388"/>
      <c r="P973" s="388"/>
      <c r="Q973" s="388"/>
      <c r="R973" s="465"/>
      <c r="S973" s="929"/>
      <c r="T973" s="466"/>
      <c r="U973" s="929"/>
      <c r="V973" s="929"/>
      <c r="W973" s="929"/>
      <c r="X973" s="474"/>
      <c r="Y973" s="474"/>
      <c r="Z973" s="474"/>
      <c r="AA973" s="474"/>
      <c r="AB973" s="474"/>
      <c r="AC973" s="388"/>
      <c r="AD973" s="464"/>
      <c r="AE973" s="465"/>
      <c r="AF973" s="388"/>
      <c r="AW973" s="471"/>
      <c r="AX973" s="471"/>
    </row>
    <row r="974" spans="1:50" ht="27" customHeight="1" x14ac:dyDescent="0.25">
      <c r="A974" s="462"/>
      <c r="H974" s="929"/>
      <c r="I974" s="388"/>
      <c r="J974" s="929"/>
      <c r="K974" s="388"/>
      <c r="L974" s="929"/>
      <c r="M974" s="388"/>
      <c r="N974" s="929"/>
      <c r="O974" s="388"/>
      <c r="P974" s="388"/>
      <c r="Q974" s="388"/>
      <c r="R974" s="465"/>
      <c r="S974" s="929"/>
      <c r="T974" s="466"/>
      <c r="U974" s="929"/>
      <c r="V974" s="929"/>
      <c r="W974" s="929"/>
      <c r="X974" s="474"/>
      <c r="Y974" s="474"/>
      <c r="Z974" s="474"/>
      <c r="AA974" s="474"/>
      <c r="AB974" s="474"/>
      <c r="AC974" s="388"/>
      <c r="AD974" s="464"/>
      <c r="AE974" s="465"/>
      <c r="AF974" s="388"/>
      <c r="AW974" s="471"/>
      <c r="AX974" s="471"/>
    </row>
    <row r="975" spans="1:50" ht="27" customHeight="1" x14ac:dyDescent="0.25">
      <c r="A975" s="462"/>
      <c r="H975" s="929"/>
      <c r="I975" s="388"/>
      <c r="J975" s="929"/>
      <c r="K975" s="388"/>
      <c r="L975" s="929"/>
      <c r="M975" s="388"/>
      <c r="N975" s="929"/>
      <c r="O975" s="388"/>
      <c r="P975" s="388"/>
      <c r="Q975" s="388"/>
      <c r="R975" s="465"/>
      <c r="S975" s="929"/>
      <c r="T975" s="466"/>
      <c r="U975" s="929"/>
      <c r="V975" s="929"/>
      <c r="W975" s="929"/>
      <c r="X975" s="474"/>
      <c r="Y975" s="474"/>
      <c r="Z975" s="474"/>
      <c r="AA975" s="474"/>
      <c r="AB975" s="474"/>
      <c r="AC975" s="388"/>
      <c r="AD975" s="464"/>
      <c r="AE975" s="465"/>
      <c r="AF975" s="388"/>
      <c r="AW975" s="471"/>
      <c r="AX975" s="471"/>
    </row>
    <row r="976" spans="1:50" ht="27" customHeight="1" x14ac:dyDescent="0.25">
      <c r="A976" s="462"/>
      <c r="H976" s="929"/>
      <c r="I976" s="388"/>
      <c r="J976" s="929"/>
      <c r="K976" s="388"/>
      <c r="L976" s="929"/>
      <c r="M976" s="388"/>
      <c r="N976" s="929"/>
      <c r="O976" s="388"/>
      <c r="P976" s="388"/>
      <c r="Q976" s="388"/>
      <c r="R976" s="465"/>
      <c r="S976" s="929"/>
      <c r="T976" s="466"/>
      <c r="U976" s="929"/>
      <c r="V976" s="929"/>
      <c r="W976" s="929"/>
      <c r="X976" s="474"/>
      <c r="Y976" s="474"/>
      <c r="Z976" s="474"/>
      <c r="AA976" s="474"/>
      <c r="AB976" s="474"/>
      <c r="AC976" s="388"/>
      <c r="AD976" s="464"/>
      <c r="AE976" s="465"/>
      <c r="AF976" s="388"/>
      <c r="AW976" s="471"/>
      <c r="AX976" s="471"/>
    </row>
    <row r="977" spans="1:50" ht="27" customHeight="1" x14ac:dyDescent="0.25">
      <c r="A977" s="462"/>
      <c r="H977" s="929"/>
      <c r="I977" s="388"/>
      <c r="J977" s="929"/>
      <c r="K977" s="388"/>
      <c r="L977" s="929"/>
      <c r="M977" s="388"/>
      <c r="N977" s="929"/>
      <c r="O977" s="388"/>
      <c r="P977" s="388"/>
      <c r="Q977" s="388"/>
      <c r="R977" s="465"/>
      <c r="S977" s="929"/>
      <c r="T977" s="466"/>
      <c r="U977" s="929"/>
      <c r="V977" s="929"/>
      <c r="W977" s="929"/>
      <c r="X977" s="474"/>
      <c r="Y977" s="474"/>
      <c r="Z977" s="474"/>
      <c r="AA977" s="474"/>
      <c r="AB977" s="474"/>
      <c r="AC977" s="388"/>
      <c r="AD977" s="464"/>
      <c r="AE977" s="465"/>
      <c r="AF977" s="388"/>
      <c r="AW977" s="471"/>
      <c r="AX977" s="471"/>
    </row>
    <row r="978" spans="1:50" ht="27" customHeight="1" x14ac:dyDescent="0.25">
      <c r="A978" s="462"/>
      <c r="H978" s="929"/>
      <c r="I978" s="388"/>
      <c r="J978" s="929"/>
      <c r="K978" s="388"/>
      <c r="L978" s="929"/>
      <c r="M978" s="388"/>
      <c r="N978" s="929"/>
      <c r="O978" s="388"/>
      <c r="P978" s="388"/>
      <c r="Q978" s="388"/>
      <c r="R978" s="465"/>
      <c r="S978" s="929"/>
      <c r="T978" s="466"/>
      <c r="U978" s="929"/>
      <c r="V978" s="929"/>
      <c r="W978" s="929"/>
      <c r="X978" s="474"/>
      <c r="Y978" s="474"/>
      <c r="Z978" s="474"/>
      <c r="AA978" s="474"/>
      <c r="AB978" s="474"/>
      <c r="AC978" s="388"/>
      <c r="AD978" s="464"/>
      <c r="AE978" s="465"/>
      <c r="AF978" s="388"/>
      <c r="AW978" s="471"/>
      <c r="AX978" s="471"/>
    </row>
    <row r="979" spans="1:50" ht="27" customHeight="1" x14ac:dyDescent="0.25">
      <c r="A979" s="462"/>
      <c r="H979" s="929"/>
      <c r="I979" s="388"/>
      <c r="J979" s="929"/>
      <c r="K979" s="388"/>
      <c r="L979" s="929"/>
      <c r="M979" s="388"/>
      <c r="N979" s="929"/>
      <c r="O979" s="388"/>
      <c r="P979" s="388"/>
      <c r="Q979" s="388"/>
      <c r="R979" s="465"/>
      <c r="S979" s="929"/>
      <c r="T979" s="466"/>
      <c r="U979" s="929"/>
      <c r="V979" s="929"/>
      <c r="W979" s="929"/>
      <c r="X979" s="474"/>
      <c r="Y979" s="474"/>
      <c r="Z979" s="474"/>
      <c r="AA979" s="474"/>
      <c r="AB979" s="474"/>
      <c r="AC979" s="388"/>
      <c r="AD979" s="464"/>
      <c r="AE979" s="465"/>
      <c r="AF979" s="388"/>
      <c r="AW979" s="471"/>
      <c r="AX979" s="471"/>
    </row>
    <row r="980" spans="1:50" ht="27" customHeight="1" x14ac:dyDescent="0.25">
      <c r="A980" s="462"/>
      <c r="H980" s="929"/>
      <c r="I980" s="388"/>
      <c r="J980" s="929"/>
      <c r="K980" s="388"/>
      <c r="L980" s="929"/>
      <c r="M980" s="388"/>
      <c r="N980" s="929"/>
      <c r="O980" s="388"/>
      <c r="P980" s="388"/>
      <c r="Q980" s="388"/>
      <c r="R980" s="465"/>
      <c r="S980" s="929"/>
      <c r="T980" s="466"/>
      <c r="U980" s="929"/>
      <c r="V980" s="929"/>
      <c r="W980" s="929"/>
      <c r="X980" s="474"/>
      <c r="Y980" s="474"/>
      <c r="Z980" s="474"/>
      <c r="AA980" s="474"/>
      <c r="AB980" s="474"/>
      <c r="AC980" s="388"/>
      <c r="AD980" s="464"/>
      <c r="AE980" s="465"/>
      <c r="AF980" s="388"/>
      <c r="AW980" s="471"/>
      <c r="AX980" s="471"/>
    </row>
    <row r="981" spans="1:50" ht="27" customHeight="1" x14ac:dyDescent="0.25">
      <c r="A981" s="462"/>
      <c r="H981" s="929"/>
      <c r="I981" s="388"/>
      <c r="J981" s="929"/>
      <c r="K981" s="388"/>
      <c r="L981" s="929"/>
      <c r="M981" s="388"/>
      <c r="N981" s="929"/>
      <c r="O981" s="388"/>
      <c r="P981" s="388"/>
      <c r="Q981" s="388"/>
      <c r="R981" s="465"/>
      <c r="S981" s="929"/>
      <c r="T981" s="466"/>
      <c r="U981" s="929"/>
      <c r="V981" s="929"/>
      <c r="W981" s="929"/>
      <c r="X981" s="474"/>
      <c r="Y981" s="474"/>
      <c r="Z981" s="474"/>
      <c r="AA981" s="474"/>
      <c r="AB981" s="474"/>
      <c r="AC981" s="388"/>
      <c r="AD981" s="464"/>
      <c r="AE981" s="465"/>
      <c r="AF981" s="388"/>
      <c r="AW981" s="471"/>
      <c r="AX981" s="471"/>
    </row>
    <row r="982" spans="1:50" ht="27" customHeight="1" x14ac:dyDescent="0.25">
      <c r="A982" s="462"/>
      <c r="H982" s="929"/>
      <c r="I982" s="388"/>
      <c r="J982" s="929"/>
      <c r="K982" s="388"/>
      <c r="L982" s="929"/>
      <c r="M982" s="388"/>
      <c r="N982" s="929"/>
      <c r="O982" s="388"/>
      <c r="P982" s="388"/>
      <c r="Q982" s="388"/>
      <c r="R982" s="465"/>
      <c r="S982" s="929"/>
      <c r="T982" s="466"/>
      <c r="U982" s="929"/>
      <c r="V982" s="929"/>
      <c r="W982" s="929"/>
      <c r="X982" s="474"/>
      <c r="Y982" s="474"/>
      <c r="Z982" s="474"/>
      <c r="AA982" s="474"/>
      <c r="AB982" s="474"/>
      <c r="AC982" s="388"/>
      <c r="AD982" s="464"/>
      <c r="AE982" s="465"/>
      <c r="AF982" s="388"/>
      <c r="AW982" s="471"/>
      <c r="AX982" s="471"/>
    </row>
    <row r="983" spans="1:50" ht="27" customHeight="1" x14ac:dyDescent="0.25">
      <c r="A983" s="462"/>
      <c r="H983" s="929"/>
      <c r="I983" s="388"/>
      <c r="J983" s="929"/>
      <c r="K983" s="388"/>
      <c r="L983" s="929"/>
      <c r="M983" s="388"/>
      <c r="N983" s="929"/>
      <c r="O983" s="388"/>
      <c r="P983" s="388"/>
      <c r="Q983" s="388"/>
      <c r="R983" s="465"/>
      <c r="S983" s="929"/>
      <c r="T983" s="466"/>
      <c r="U983" s="929"/>
      <c r="V983" s="929"/>
      <c r="W983" s="929"/>
      <c r="X983" s="474"/>
      <c r="Y983" s="474"/>
      <c r="Z983" s="474"/>
      <c r="AA983" s="474"/>
      <c r="AB983" s="474"/>
      <c r="AC983" s="388"/>
      <c r="AD983" s="464"/>
      <c r="AE983" s="465"/>
      <c r="AF983" s="388"/>
      <c r="AW983" s="471"/>
      <c r="AX983" s="471"/>
    </row>
    <row r="984" spans="1:50" ht="27" customHeight="1" x14ac:dyDescent="0.25">
      <c r="A984" s="462"/>
      <c r="H984" s="929"/>
      <c r="I984" s="388"/>
      <c r="J984" s="929"/>
      <c r="K984" s="388"/>
      <c r="L984" s="929"/>
      <c r="M984" s="388"/>
      <c r="N984" s="929"/>
      <c r="O984" s="388"/>
      <c r="P984" s="388"/>
      <c r="Q984" s="388"/>
      <c r="R984" s="465"/>
      <c r="S984" s="929"/>
      <c r="T984" s="466"/>
      <c r="U984" s="929"/>
      <c r="V984" s="929"/>
      <c r="W984" s="929"/>
      <c r="X984" s="474"/>
      <c r="Y984" s="474"/>
      <c r="Z984" s="474"/>
      <c r="AA984" s="474"/>
      <c r="AB984" s="474"/>
      <c r="AC984" s="388"/>
      <c r="AD984" s="464"/>
      <c r="AE984" s="465"/>
      <c r="AF984" s="388"/>
      <c r="AW984" s="471"/>
      <c r="AX984" s="471"/>
    </row>
    <row r="985" spans="1:50" ht="27" customHeight="1" x14ac:dyDescent="0.25">
      <c r="A985" s="462"/>
      <c r="H985" s="929"/>
      <c r="I985" s="388"/>
      <c r="J985" s="929"/>
      <c r="K985" s="388"/>
      <c r="L985" s="929"/>
      <c r="M985" s="388"/>
      <c r="N985" s="929"/>
      <c r="O985" s="388"/>
      <c r="P985" s="388"/>
      <c r="Q985" s="388"/>
      <c r="R985" s="465"/>
      <c r="S985" s="929"/>
      <c r="T985" s="466"/>
      <c r="U985" s="929"/>
      <c r="V985" s="929"/>
      <c r="W985" s="929"/>
      <c r="X985" s="474"/>
      <c r="Y985" s="474"/>
      <c r="Z985" s="474"/>
      <c r="AA985" s="474"/>
      <c r="AB985" s="474"/>
      <c r="AC985" s="388"/>
      <c r="AD985" s="464"/>
      <c r="AE985" s="465"/>
      <c r="AF985" s="388"/>
      <c r="AW985" s="471"/>
      <c r="AX985" s="471"/>
    </row>
    <row r="986" spans="1:50" ht="27" customHeight="1" x14ac:dyDescent="0.25">
      <c r="A986" s="462"/>
      <c r="H986" s="929"/>
      <c r="I986" s="388"/>
      <c r="J986" s="929"/>
      <c r="K986" s="388"/>
      <c r="L986" s="929"/>
      <c r="M986" s="388"/>
      <c r="N986" s="929"/>
      <c r="O986" s="388"/>
      <c r="P986" s="388"/>
      <c r="Q986" s="388"/>
      <c r="R986" s="465"/>
      <c r="S986" s="929"/>
      <c r="T986" s="466"/>
      <c r="U986" s="929"/>
      <c r="V986" s="929"/>
      <c r="W986" s="929"/>
      <c r="X986" s="474"/>
      <c r="Y986" s="474"/>
      <c r="Z986" s="474"/>
      <c r="AA986" s="474"/>
      <c r="AB986" s="474"/>
      <c r="AC986" s="388"/>
      <c r="AD986" s="464"/>
      <c r="AE986" s="465"/>
      <c r="AF986" s="388"/>
      <c r="AW986" s="471"/>
      <c r="AX986" s="471"/>
    </row>
    <row r="987" spans="1:50" ht="27" customHeight="1" x14ac:dyDescent="0.25">
      <c r="A987" s="462"/>
      <c r="H987" s="929"/>
      <c r="I987" s="388"/>
      <c r="J987" s="929"/>
      <c r="K987" s="388"/>
      <c r="L987" s="929"/>
      <c r="M987" s="388"/>
      <c r="N987" s="929"/>
      <c r="O987" s="388"/>
      <c r="P987" s="388"/>
      <c r="Q987" s="388"/>
      <c r="R987" s="465"/>
      <c r="S987" s="929"/>
      <c r="T987" s="466"/>
      <c r="U987" s="929"/>
      <c r="V987" s="929"/>
      <c r="W987" s="929"/>
      <c r="X987" s="474"/>
      <c r="Y987" s="474"/>
      <c r="Z987" s="474"/>
      <c r="AA987" s="474"/>
      <c r="AB987" s="474"/>
      <c r="AC987" s="388"/>
      <c r="AD987" s="464"/>
      <c r="AE987" s="465"/>
      <c r="AF987" s="388"/>
      <c r="AW987" s="471"/>
      <c r="AX987" s="471"/>
    </row>
    <row r="988" spans="1:50" ht="27" customHeight="1" x14ac:dyDescent="0.25">
      <c r="A988" s="462"/>
      <c r="H988" s="929"/>
      <c r="I988" s="388"/>
      <c r="J988" s="929"/>
      <c r="K988" s="388"/>
      <c r="L988" s="929"/>
      <c r="M988" s="388"/>
      <c r="N988" s="929"/>
      <c r="O988" s="388"/>
      <c r="P988" s="388"/>
      <c r="Q988" s="388"/>
      <c r="R988" s="465"/>
      <c r="S988" s="929"/>
      <c r="T988" s="466"/>
      <c r="U988" s="929"/>
      <c r="V988" s="929"/>
      <c r="W988" s="929"/>
      <c r="X988" s="474"/>
      <c r="Y988" s="474"/>
      <c r="Z988" s="474"/>
      <c r="AA988" s="474"/>
      <c r="AB988" s="474"/>
      <c r="AC988" s="388"/>
      <c r="AD988" s="464"/>
      <c r="AE988" s="465"/>
      <c r="AF988" s="388"/>
      <c r="AW988" s="471"/>
      <c r="AX988" s="471"/>
    </row>
    <row r="989" spans="1:50" ht="27" customHeight="1" x14ac:dyDescent="0.25">
      <c r="A989" s="462"/>
      <c r="H989" s="929"/>
      <c r="I989" s="388"/>
      <c r="J989" s="929"/>
      <c r="K989" s="388"/>
      <c r="L989" s="929"/>
      <c r="M989" s="388"/>
      <c r="N989" s="929"/>
      <c r="O989" s="388"/>
      <c r="P989" s="388"/>
      <c r="Q989" s="388"/>
      <c r="R989" s="465"/>
      <c r="S989" s="929"/>
      <c r="T989" s="466"/>
      <c r="U989" s="929"/>
      <c r="V989" s="929"/>
      <c r="W989" s="929"/>
      <c r="X989" s="474"/>
      <c r="Y989" s="474"/>
      <c r="Z989" s="474"/>
      <c r="AA989" s="474"/>
      <c r="AB989" s="474"/>
      <c r="AC989" s="388"/>
      <c r="AD989" s="464"/>
      <c r="AE989" s="465"/>
      <c r="AF989" s="388"/>
      <c r="AW989" s="471"/>
      <c r="AX989" s="471"/>
    </row>
    <row r="990" spans="1:50" ht="27" customHeight="1" x14ac:dyDescent="0.25">
      <c r="A990" s="462"/>
      <c r="H990" s="929"/>
      <c r="I990" s="388"/>
      <c r="J990" s="929"/>
      <c r="K990" s="388"/>
      <c r="L990" s="929"/>
      <c r="M990" s="388"/>
      <c r="N990" s="929"/>
      <c r="O990" s="388"/>
      <c r="P990" s="388"/>
      <c r="Q990" s="388"/>
      <c r="R990" s="465"/>
      <c r="S990" s="929"/>
      <c r="T990" s="466"/>
      <c r="U990" s="929"/>
      <c r="V990" s="929"/>
      <c r="W990" s="929"/>
      <c r="X990" s="474"/>
      <c r="Y990" s="474"/>
      <c r="Z990" s="474"/>
      <c r="AA990" s="474"/>
      <c r="AB990" s="474"/>
      <c r="AC990" s="388"/>
      <c r="AD990" s="464"/>
      <c r="AE990" s="465"/>
      <c r="AF990" s="388"/>
      <c r="AW990" s="471"/>
      <c r="AX990" s="471"/>
    </row>
    <row r="991" spans="1:50" ht="27" customHeight="1" x14ac:dyDescent="0.25">
      <c r="A991" s="462"/>
      <c r="H991" s="929"/>
      <c r="I991" s="388"/>
      <c r="J991" s="929"/>
      <c r="K991" s="388"/>
      <c r="L991" s="929"/>
      <c r="M991" s="388"/>
      <c r="N991" s="929"/>
      <c r="O991" s="388"/>
      <c r="P991" s="388"/>
      <c r="Q991" s="388"/>
      <c r="R991" s="465"/>
      <c r="S991" s="929"/>
      <c r="T991" s="466"/>
      <c r="U991" s="929"/>
      <c r="V991" s="929"/>
      <c r="W991" s="929"/>
      <c r="X991" s="474"/>
      <c r="Y991" s="474"/>
      <c r="Z991" s="474"/>
      <c r="AA991" s="474"/>
      <c r="AB991" s="474"/>
      <c r="AC991" s="388"/>
      <c r="AD991" s="464"/>
      <c r="AE991" s="465"/>
      <c r="AF991" s="388"/>
      <c r="AW991" s="471"/>
      <c r="AX991" s="471"/>
    </row>
    <row r="992" spans="1:50" ht="27" customHeight="1" x14ac:dyDescent="0.25">
      <c r="A992" s="462"/>
      <c r="H992" s="929"/>
      <c r="I992" s="388"/>
      <c r="J992" s="929"/>
      <c r="K992" s="388"/>
      <c r="L992" s="929"/>
      <c r="M992" s="388"/>
      <c r="N992" s="929"/>
      <c r="O992" s="388"/>
      <c r="P992" s="388"/>
      <c r="Q992" s="388"/>
      <c r="R992" s="465"/>
      <c r="S992" s="929"/>
      <c r="T992" s="466"/>
      <c r="U992" s="929"/>
      <c r="V992" s="929"/>
      <c r="W992" s="929"/>
      <c r="X992" s="474"/>
      <c r="Y992" s="474"/>
      <c r="Z992" s="474"/>
      <c r="AA992" s="474"/>
      <c r="AB992" s="474"/>
      <c r="AC992" s="388"/>
      <c r="AD992" s="464"/>
      <c r="AE992" s="465"/>
      <c r="AF992" s="388"/>
      <c r="AW992" s="471"/>
      <c r="AX992" s="471"/>
    </row>
    <row r="993" spans="1:50" ht="27" customHeight="1" x14ac:dyDescent="0.25">
      <c r="A993" s="462"/>
      <c r="H993" s="929"/>
      <c r="I993" s="388"/>
      <c r="J993" s="929"/>
      <c r="K993" s="388"/>
      <c r="L993" s="929"/>
      <c r="M993" s="388"/>
      <c r="N993" s="929"/>
      <c r="O993" s="388"/>
      <c r="P993" s="388"/>
      <c r="Q993" s="388"/>
      <c r="R993" s="465"/>
      <c r="S993" s="929"/>
      <c r="T993" s="466"/>
      <c r="U993" s="929"/>
      <c r="V993" s="929"/>
      <c r="W993" s="929"/>
      <c r="X993" s="474"/>
      <c r="Y993" s="474"/>
      <c r="Z993" s="474"/>
      <c r="AA993" s="474"/>
      <c r="AB993" s="474"/>
      <c r="AC993" s="388"/>
      <c r="AD993" s="464"/>
      <c r="AE993" s="465"/>
      <c r="AF993" s="388"/>
      <c r="AW993" s="471"/>
      <c r="AX993" s="471"/>
    </row>
    <row r="994" spans="1:50" ht="27" customHeight="1" x14ac:dyDescent="0.25">
      <c r="A994" s="462"/>
      <c r="H994" s="929"/>
      <c r="I994" s="388"/>
      <c r="J994" s="929"/>
      <c r="K994" s="388"/>
      <c r="L994" s="929"/>
      <c r="M994" s="388"/>
      <c r="N994" s="929"/>
      <c r="O994" s="388"/>
      <c r="P994" s="388"/>
      <c r="Q994" s="388"/>
      <c r="R994" s="465"/>
      <c r="S994" s="929"/>
      <c r="T994" s="466"/>
      <c r="U994" s="929"/>
      <c r="V994" s="929"/>
      <c r="W994" s="929"/>
      <c r="X994" s="474"/>
      <c r="Y994" s="474"/>
      <c r="Z994" s="474"/>
      <c r="AA994" s="474"/>
      <c r="AB994" s="474"/>
      <c r="AC994" s="388"/>
      <c r="AD994" s="464"/>
      <c r="AE994" s="465"/>
      <c r="AF994" s="388"/>
      <c r="AW994" s="471"/>
      <c r="AX994" s="471"/>
    </row>
    <row r="995" spans="1:50" ht="27" customHeight="1" x14ac:dyDescent="0.25">
      <c r="A995" s="462"/>
      <c r="H995" s="929"/>
      <c r="I995" s="388"/>
      <c r="J995" s="929"/>
      <c r="K995" s="388"/>
      <c r="L995" s="929"/>
      <c r="M995" s="388"/>
      <c r="N995" s="929"/>
      <c r="O995" s="388"/>
      <c r="P995" s="388"/>
      <c r="Q995" s="388"/>
      <c r="R995" s="465"/>
      <c r="S995" s="929"/>
      <c r="T995" s="466"/>
      <c r="U995" s="929"/>
      <c r="V995" s="929"/>
      <c r="W995" s="929"/>
      <c r="X995" s="474"/>
      <c r="Y995" s="474"/>
      <c r="Z995" s="474"/>
      <c r="AA995" s="474"/>
      <c r="AB995" s="474"/>
      <c r="AC995" s="388"/>
      <c r="AD995" s="464"/>
      <c r="AE995" s="465"/>
      <c r="AF995" s="388"/>
      <c r="AW995" s="471"/>
      <c r="AX995" s="471"/>
    </row>
    <row r="996" spans="1:50" ht="27" customHeight="1" x14ac:dyDescent="0.25">
      <c r="A996" s="462"/>
      <c r="H996" s="929"/>
      <c r="I996" s="388"/>
      <c r="J996" s="929"/>
      <c r="K996" s="388"/>
      <c r="L996" s="929"/>
      <c r="M996" s="388"/>
      <c r="N996" s="929"/>
      <c r="O996" s="388"/>
      <c r="P996" s="388"/>
      <c r="Q996" s="388"/>
      <c r="R996" s="465"/>
      <c r="S996" s="929"/>
      <c r="T996" s="466"/>
      <c r="U996" s="929"/>
      <c r="V996" s="929"/>
      <c r="W996" s="929"/>
      <c r="X996" s="474"/>
      <c r="Y996" s="474"/>
      <c r="Z996" s="474"/>
      <c r="AA996" s="474"/>
      <c r="AB996" s="474"/>
      <c r="AC996" s="388"/>
      <c r="AD996" s="464"/>
      <c r="AE996" s="465"/>
      <c r="AF996" s="388"/>
      <c r="AW996" s="471"/>
      <c r="AX996" s="471"/>
    </row>
    <row r="997" spans="1:50" ht="27" customHeight="1" x14ac:dyDescent="0.25">
      <c r="A997" s="462"/>
      <c r="H997" s="929"/>
      <c r="I997" s="388"/>
      <c r="J997" s="929"/>
      <c r="K997" s="388"/>
      <c r="L997" s="929"/>
      <c r="M997" s="388"/>
      <c r="N997" s="929"/>
      <c r="O997" s="388"/>
      <c r="P997" s="388"/>
      <c r="Q997" s="388"/>
      <c r="R997" s="465"/>
      <c r="S997" s="929"/>
      <c r="T997" s="466"/>
      <c r="U997" s="929"/>
      <c r="V997" s="929"/>
      <c r="W997" s="929"/>
      <c r="X997" s="474"/>
      <c r="Y997" s="474"/>
      <c r="Z997" s="474"/>
      <c r="AA997" s="474"/>
      <c r="AB997" s="474"/>
      <c r="AC997" s="388"/>
      <c r="AD997" s="464"/>
      <c r="AE997" s="465"/>
      <c r="AF997" s="388"/>
      <c r="AW997" s="471"/>
      <c r="AX997" s="471"/>
    </row>
    <row r="998" spans="1:50" ht="27" customHeight="1" x14ac:dyDescent="0.25">
      <c r="A998" s="462"/>
      <c r="H998" s="929"/>
      <c r="I998" s="388"/>
      <c r="J998" s="929"/>
      <c r="K998" s="388"/>
      <c r="L998" s="929"/>
      <c r="M998" s="388"/>
      <c r="N998" s="929"/>
      <c r="O998" s="388"/>
      <c r="P998" s="388"/>
      <c r="Q998" s="388"/>
      <c r="R998" s="465"/>
      <c r="S998" s="929"/>
      <c r="T998" s="466"/>
      <c r="U998" s="929"/>
      <c r="V998" s="929"/>
      <c r="W998" s="929"/>
      <c r="X998" s="474"/>
      <c r="Y998" s="474"/>
      <c r="Z998" s="474"/>
      <c r="AA998" s="474"/>
      <c r="AB998" s="474"/>
      <c r="AC998" s="388"/>
      <c r="AD998" s="464"/>
      <c r="AE998" s="465"/>
      <c r="AF998" s="388"/>
      <c r="AW998" s="471"/>
      <c r="AX998" s="471"/>
    </row>
    <row r="999" spans="1:50" ht="27" customHeight="1" x14ac:dyDescent="0.25">
      <c r="A999" s="462"/>
      <c r="H999" s="929"/>
      <c r="I999" s="388"/>
      <c r="J999" s="929"/>
      <c r="K999" s="388"/>
      <c r="L999" s="929"/>
      <c r="M999" s="388"/>
      <c r="N999" s="929"/>
      <c r="O999" s="388"/>
      <c r="P999" s="388"/>
      <c r="Q999" s="388"/>
      <c r="R999" s="465"/>
      <c r="S999" s="929"/>
      <c r="T999" s="466"/>
      <c r="U999" s="929"/>
      <c r="V999" s="929"/>
      <c r="W999" s="929"/>
      <c r="X999" s="474"/>
      <c r="Y999" s="474"/>
      <c r="Z999" s="474"/>
      <c r="AA999" s="474"/>
      <c r="AB999" s="474"/>
      <c r="AC999" s="388"/>
      <c r="AD999" s="464"/>
      <c r="AE999" s="465"/>
      <c r="AF999" s="388"/>
      <c r="AW999" s="471"/>
      <c r="AX999" s="471"/>
    </row>
    <row r="1000" spans="1:50" ht="27" customHeight="1" x14ac:dyDescent="0.25">
      <c r="A1000" s="462"/>
      <c r="H1000" s="929"/>
      <c r="I1000" s="388"/>
      <c r="J1000" s="929"/>
      <c r="K1000" s="388"/>
      <c r="L1000" s="929"/>
      <c r="M1000" s="388"/>
      <c r="N1000" s="929"/>
      <c r="O1000" s="388"/>
      <c r="P1000" s="388"/>
      <c r="Q1000" s="388"/>
      <c r="R1000" s="465"/>
      <c r="S1000" s="929"/>
      <c r="T1000" s="466"/>
      <c r="U1000" s="929"/>
      <c r="V1000" s="929"/>
      <c r="W1000" s="929"/>
      <c r="X1000" s="474"/>
      <c r="Y1000" s="474"/>
      <c r="Z1000" s="474"/>
      <c r="AA1000" s="474"/>
      <c r="AB1000" s="474"/>
      <c r="AC1000" s="388"/>
      <c r="AD1000" s="464"/>
      <c r="AE1000" s="465"/>
      <c r="AF1000" s="388"/>
      <c r="AW1000" s="471"/>
      <c r="AX1000" s="471"/>
    </row>
    <row r="1001" spans="1:50" ht="27" customHeight="1" x14ac:dyDescent="0.25">
      <c r="A1001" s="462"/>
      <c r="H1001" s="929"/>
      <c r="I1001" s="388"/>
      <c r="J1001" s="929"/>
      <c r="K1001" s="388"/>
      <c r="L1001" s="929"/>
      <c r="M1001" s="388"/>
      <c r="N1001" s="929"/>
      <c r="O1001" s="388"/>
      <c r="P1001" s="388"/>
      <c r="Q1001" s="388"/>
      <c r="R1001" s="465"/>
      <c r="S1001" s="929"/>
      <c r="T1001" s="466"/>
      <c r="U1001" s="929"/>
      <c r="V1001" s="929"/>
      <c r="W1001" s="929"/>
      <c r="X1001" s="474"/>
      <c r="Y1001" s="474"/>
      <c r="Z1001" s="474"/>
      <c r="AA1001" s="474"/>
      <c r="AB1001" s="474"/>
      <c r="AC1001" s="388"/>
      <c r="AD1001" s="464"/>
      <c r="AE1001" s="465"/>
      <c r="AF1001" s="388"/>
      <c r="AW1001" s="471"/>
      <c r="AX1001" s="471"/>
    </row>
    <row r="1002" spans="1:50" ht="27" customHeight="1" x14ac:dyDescent="0.25">
      <c r="A1002" s="462"/>
      <c r="H1002" s="929"/>
      <c r="I1002" s="388"/>
      <c r="J1002" s="929"/>
      <c r="K1002" s="388"/>
      <c r="L1002" s="929"/>
      <c r="M1002" s="388"/>
      <c r="N1002" s="929"/>
      <c r="O1002" s="388"/>
      <c r="P1002" s="388"/>
      <c r="Q1002" s="388"/>
      <c r="R1002" s="465"/>
      <c r="S1002" s="929"/>
      <c r="T1002" s="466"/>
      <c r="U1002" s="929"/>
      <c r="V1002" s="929"/>
      <c r="W1002" s="929"/>
      <c r="X1002" s="474"/>
      <c r="Y1002" s="474"/>
      <c r="Z1002" s="474"/>
      <c r="AA1002" s="474"/>
      <c r="AB1002" s="474"/>
      <c r="AC1002" s="388"/>
      <c r="AD1002" s="464"/>
      <c r="AE1002" s="465"/>
      <c r="AF1002" s="388"/>
      <c r="AW1002" s="471"/>
      <c r="AX1002" s="471"/>
    </row>
    <row r="1003" spans="1:50" ht="27" customHeight="1" x14ac:dyDescent="0.25">
      <c r="A1003" s="462"/>
      <c r="H1003" s="929"/>
      <c r="I1003" s="388"/>
      <c r="J1003" s="929"/>
      <c r="K1003" s="388"/>
      <c r="L1003" s="929"/>
      <c r="M1003" s="388"/>
      <c r="N1003" s="929"/>
      <c r="O1003" s="388"/>
      <c r="P1003" s="388"/>
      <c r="Q1003" s="388"/>
      <c r="R1003" s="465"/>
      <c r="S1003" s="929"/>
      <c r="T1003" s="466"/>
      <c r="U1003" s="929"/>
      <c r="V1003" s="929"/>
      <c r="W1003" s="929"/>
      <c r="X1003" s="474"/>
      <c r="Y1003" s="474"/>
      <c r="Z1003" s="474"/>
      <c r="AA1003" s="474"/>
      <c r="AB1003" s="474"/>
      <c r="AC1003" s="388"/>
      <c r="AD1003" s="464"/>
      <c r="AE1003" s="465"/>
      <c r="AF1003" s="388"/>
      <c r="AW1003" s="471"/>
      <c r="AX1003" s="471"/>
    </row>
    <row r="1004" spans="1:50" ht="27" customHeight="1" x14ac:dyDescent="0.25">
      <c r="A1004" s="462"/>
      <c r="H1004" s="929"/>
      <c r="I1004" s="388"/>
      <c r="J1004" s="929"/>
      <c r="K1004" s="388"/>
      <c r="L1004" s="929"/>
      <c r="M1004" s="388"/>
      <c r="N1004" s="929"/>
      <c r="O1004" s="388"/>
      <c r="P1004" s="388"/>
      <c r="Q1004" s="388"/>
      <c r="R1004" s="465"/>
      <c r="S1004" s="929"/>
      <c r="T1004" s="466"/>
      <c r="U1004" s="929"/>
      <c r="V1004" s="929"/>
      <c r="W1004" s="929"/>
      <c r="X1004" s="474"/>
      <c r="Y1004" s="474"/>
      <c r="Z1004" s="474"/>
      <c r="AA1004" s="474"/>
      <c r="AB1004" s="474"/>
      <c r="AC1004" s="388"/>
      <c r="AD1004" s="464"/>
      <c r="AE1004" s="465"/>
      <c r="AF1004" s="388"/>
      <c r="AW1004" s="471"/>
      <c r="AX1004" s="471"/>
    </row>
    <row r="1005" spans="1:50" ht="27" customHeight="1" x14ac:dyDescent="0.25">
      <c r="A1005" s="462"/>
      <c r="H1005" s="929"/>
      <c r="I1005" s="388"/>
      <c r="J1005" s="929"/>
      <c r="K1005" s="388"/>
      <c r="L1005" s="929"/>
      <c r="M1005" s="388"/>
      <c r="N1005" s="929"/>
      <c r="O1005" s="388"/>
      <c r="P1005" s="388"/>
      <c r="Q1005" s="388"/>
      <c r="R1005" s="465"/>
      <c r="S1005" s="929"/>
      <c r="T1005" s="466"/>
      <c r="U1005" s="929"/>
      <c r="V1005" s="929"/>
      <c r="W1005" s="929"/>
      <c r="X1005" s="474"/>
      <c r="Y1005" s="474"/>
      <c r="Z1005" s="474"/>
      <c r="AA1005" s="474"/>
      <c r="AB1005" s="474"/>
      <c r="AC1005" s="388"/>
      <c r="AD1005" s="464"/>
      <c r="AE1005" s="465"/>
      <c r="AF1005" s="388"/>
      <c r="AW1005" s="471"/>
      <c r="AX1005" s="471"/>
    </row>
    <row r="1006" spans="1:50" ht="27" customHeight="1" x14ac:dyDescent="0.25">
      <c r="A1006" s="462"/>
      <c r="H1006" s="929"/>
      <c r="I1006" s="388"/>
      <c r="J1006" s="929"/>
      <c r="K1006" s="388"/>
      <c r="L1006" s="929"/>
      <c r="M1006" s="388"/>
      <c r="N1006" s="929"/>
      <c r="O1006" s="388"/>
      <c r="P1006" s="388"/>
      <c r="Q1006" s="388"/>
      <c r="R1006" s="465"/>
      <c r="S1006" s="929"/>
      <c r="T1006" s="466"/>
      <c r="U1006" s="929"/>
      <c r="V1006" s="929"/>
      <c r="W1006" s="929"/>
      <c r="X1006" s="474"/>
      <c r="Y1006" s="474"/>
      <c r="Z1006" s="474"/>
      <c r="AA1006" s="474"/>
      <c r="AB1006" s="474"/>
      <c r="AC1006" s="388"/>
      <c r="AD1006" s="464"/>
      <c r="AE1006" s="465"/>
      <c r="AF1006" s="388"/>
      <c r="AW1006" s="471"/>
      <c r="AX1006" s="471"/>
    </row>
    <row r="1007" spans="1:50" ht="27" customHeight="1" x14ac:dyDescent="0.25">
      <c r="A1007" s="462"/>
      <c r="H1007" s="929"/>
      <c r="I1007" s="388"/>
      <c r="J1007" s="929"/>
      <c r="K1007" s="388"/>
      <c r="L1007" s="929"/>
      <c r="M1007" s="388"/>
      <c r="N1007" s="929"/>
      <c r="O1007" s="388"/>
      <c r="P1007" s="388"/>
      <c r="Q1007" s="388"/>
      <c r="R1007" s="465"/>
      <c r="S1007" s="929"/>
      <c r="T1007" s="466"/>
      <c r="U1007" s="929"/>
      <c r="V1007" s="929"/>
      <c r="W1007" s="929"/>
      <c r="X1007" s="474"/>
      <c r="Y1007" s="474"/>
      <c r="Z1007" s="474"/>
      <c r="AA1007" s="474"/>
      <c r="AB1007" s="474"/>
      <c r="AC1007" s="388"/>
      <c r="AD1007" s="464"/>
      <c r="AE1007" s="465"/>
      <c r="AF1007" s="388"/>
      <c r="AW1007" s="471"/>
      <c r="AX1007" s="471"/>
    </row>
    <row r="1008" spans="1:50" ht="27" customHeight="1" x14ac:dyDescent="0.25">
      <c r="A1008" s="462"/>
      <c r="H1008" s="929"/>
      <c r="I1008" s="388"/>
      <c r="J1008" s="929"/>
      <c r="K1008" s="388"/>
      <c r="L1008" s="929"/>
      <c r="M1008" s="388"/>
      <c r="N1008" s="929"/>
      <c r="O1008" s="388"/>
      <c r="P1008" s="388"/>
      <c r="Q1008" s="388"/>
      <c r="R1008" s="465"/>
      <c r="S1008" s="929"/>
      <c r="T1008" s="466"/>
      <c r="U1008" s="929"/>
      <c r="V1008" s="929"/>
      <c r="W1008" s="929"/>
      <c r="X1008" s="474"/>
      <c r="Y1008" s="474"/>
      <c r="Z1008" s="474"/>
      <c r="AA1008" s="474"/>
      <c r="AB1008" s="474"/>
      <c r="AC1008" s="388"/>
      <c r="AD1008" s="464"/>
      <c r="AE1008" s="465"/>
      <c r="AF1008" s="388"/>
      <c r="AW1008" s="471"/>
      <c r="AX1008" s="471"/>
    </row>
    <row r="1009" spans="1:50" ht="27" customHeight="1" x14ac:dyDescent="0.25">
      <c r="A1009" s="462"/>
      <c r="H1009" s="929"/>
      <c r="I1009" s="388"/>
      <c r="J1009" s="929"/>
      <c r="K1009" s="388"/>
      <c r="L1009" s="929"/>
      <c r="M1009" s="388"/>
      <c r="N1009" s="929"/>
      <c r="O1009" s="388"/>
      <c r="P1009" s="388"/>
      <c r="Q1009" s="388"/>
      <c r="R1009" s="465"/>
      <c r="S1009" s="929"/>
      <c r="T1009" s="466"/>
      <c r="U1009" s="929"/>
      <c r="V1009" s="929"/>
      <c r="W1009" s="929"/>
      <c r="X1009" s="474"/>
      <c r="Y1009" s="474"/>
      <c r="Z1009" s="474"/>
      <c r="AA1009" s="474"/>
      <c r="AB1009" s="474"/>
      <c r="AC1009" s="388"/>
      <c r="AD1009" s="464"/>
      <c r="AE1009" s="465"/>
      <c r="AF1009" s="388"/>
      <c r="AW1009" s="471"/>
      <c r="AX1009" s="471"/>
    </row>
    <row r="1010" spans="1:50" ht="27" customHeight="1" x14ac:dyDescent="0.25">
      <c r="A1010" s="462"/>
      <c r="H1010" s="929"/>
      <c r="I1010" s="388"/>
      <c r="J1010" s="929"/>
      <c r="K1010" s="388"/>
      <c r="L1010" s="929"/>
      <c r="M1010" s="388"/>
      <c r="N1010" s="929"/>
      <c r="O1010" s="388"/>
      <c r="P1010" s="388"/>
      <c r="Q1010" s="388"/>
      <c r="R1010" s="465"/>
      <c r="S1010" s="929"/>
      <c r="T1010" s="466"/>
      <c r="U1010" s="929"/>
      <c r="V1010" s="929"/>
      <c r="W1010" s="929"/>
      <c r="X1010" s="474"/>
      <c r="Y1010" s="474"/>
      <c r="Z1010" s="474"/>
      <c r="AA1010" s="474"/>
      <c r="AB1010" s="474"/>
      <c r="AC1010" s="388"/>
      <c r="AD1010" s="464"/>
      <c r="AE1010" s="465"/>
      <c r="AF1010" s="388"/>
      <c r="AW1010" s="471"/>
      <c r="AX1010" s="471"/>
    </row>
    <row r="1011" spans="1:50" ht="27" customHeight="1" x14ac:dyDescent="0.25">
      <c r="A1011" s="462"/>
      <c r="H1011" s="929"/>
      <c r="I1011" s="388"/>
      <c r="J1011" s="929"/>
      <c r="K1011" s="388"/>
      <c r="L1011" s="929"/>
      <c r="M1011" s="388"/>
      <c r="N1011" s="929"/>
      <c r="O1011" s="388"/>
      <c r="P1011" s="388"/>
      <c r="Q1011" s="388"/>
      <c r="R1011" s="465"/>
      <c r="S1011" s="929"/>
      <c r="T1011" s="466"/>
      <c r="U1011" s="929"/>
      <c r="V1011" s="929"/>
      <c r="W1011" s="929"/>
      <c r="X1011" s="474"/>
      <c r="Y1011" s="474"/>
      <c r="Z1011" s="474"/>
      <c r="AA1011" s="474"/>
      <c r="AB1011" s="474"/>
      <c r="AC1011" s="388"/>
      <c r="AD1011" s="464"/>
      <c r="AE1011" s="465"/>
      <c r="AF1011" s="388"/>
      <c r="AW1011" s="471"/>
      <c r="AX1011" s="471"/>
    </row>
    <row r="1012" spans="1:50" ht="27" customHeight="1" x14ac:dyDescent="0.25">
      <c r="A1012" s="462"/>
      <c r="H1012" s="929"/>
      <c r="I1012" s="388"/>
      <c r="J1012" s="929"/>
      <c r="K1012" s="388"/>
      <c r="L1012" s="929"/>
      <c r="M1012" s="388"/>
      <c r="N1012" s="929"/>
      <c r="O1012" s="388"/>
      <c r="P1012" s="388"/>
      <c r="Q1012" s="388"/>
      <c r="R1012" s="465"/>
      <c r="S1012" s="929"/>
      <c r="T1012" s="466"/>
      <c r="U1012" s="929"/>
      <c r="V1012" s="929"/>
      <c r="W1012" s="929"/>
      <c r="X1012" s="474"/>
      <c r="Y1012" s="474"/>
      <c r="Z1012" s="474"/>
      <c r="AA1012" s="474"/>
      <c r="AB1012" s="474"/>
      <c r="AC1012" s="388"/>
      <c r="AD1012" s="464"/>
      <c r="AE1012" s="465"/>
      <c r="AF1012" s="388"/>
      <c r="AW1012" s="471"/>
      <c r="AX1012" s="471"/>
    </row>
    <row r="1013" spans="1:50" ht="27" customHeight="1" x14ac:dyDescent="0.25">
      <c r="A1013" s="462"/>
      <c r="H1013" s="929"/>
      <c r="I1013" s="388"/>
      <c r="J1013" s="929"/>
      <c r="K1013" s="388"/>
      <c r="L1013" s="929"/>
      <c r="M1013" s="388"/>
      <c r="N1013" s="929"/>
      <c r="O1013" s="388"/>
      <c r="P1013" s="388"/>
      <c r="Q1013" s="388"/>
      <c r="R1013" s="465"/>
      <c r="S1013" s="929"/>
      <c r="T1013" s="466"/>
      <c r="U1013" s="929"/>
      <c r="V1013" s="929"/>
      <c r="W1013" s="929"/>
      <c r="X1013" s="474"/>
      <c r="Y1013" s="474"/>
      <c r="Z1013" s="474"/>
      <c r="AA1013" s="474"/>
      <c r="AB1013" s="474"/>
      <c r="AE1013" s="465"/>
      <c r="AF1013" s="388"/>
      <c r="AW1013" s="471"/>
      <c r="AX1013" s="471"/>
    </row>
    <row r="1014" spans="1:50" ht="27" customHeight="1" x14ac:dyDescent="0.25">
      <c r="A1014" s="462"/>
      <c r="H1014" s="929"/>
      <c r="I1014" s="388"/>
      <c r="J1014" s="929"/>
      <c r="K1014" s="388"/>
      <c r="L1014" s="929"/>
      <c r="M1014" s="388"/>
      <c r="N1014" s="929"/>
      <c r="O1014" s="388"/>
      <c r="P1014" s="388"/>
      <c r="Q1014" s="388"/>
      <c r="R1014" s="465"/>
      <c r="S1014" s="929"/>
      <c r="T1014" s="466"/>
      <c r="U1014" s="929"/>
      <c r="V1014" s="929"/>
      <c r="W1014" s="929"/>
      <c r="X1014" s="474"/>
      <c r="Y1014" s="474"/>
      <c r="Z1014" s="474"/>
      <c r="AA1014" s="474"/>
      <c r="AB1014" s="474"/>
      <c r="AE1014" s="465"/>
      <c r="AF1014" s="388"/>
      <c r="AW1014" s="471"/>
      <c r="AX1014" s="471"/>
    </row>
  </sheetData>
  <autoFilter ref="A14:BS127" xr:uid="{00000000-0009-0000-0000-000005000000}"/>
  <mergeCells count="34">
    <mergeCell ref="F139:G139"/>
    <mergeCell ref="H139:I139"/>
    <mergeCell ref="J139:K139"/>
    <mergeCell ref="F137:G137"/>
    <mergeCell ref="H137:I137"/>
    <mergeCell ref="J137:K137"/>
    <mergeCell ref="F138:G138"/>
    <mergeCell ref="H138:I138"/>
    <mergeCell ref="J138:K138"/>
    <mergeCell ref="K131:M131"/>
    <mergeCell ref="AY12:AY14"/>
    <mergeCell ref="AC13:AF13"/>
    <mergeCell ref="AG13:AH13"/>
    <mergeCell ref="AI13:AL13"/>
    <mergeCell ref="AM13:AR13"/>
    <mergeCell ref="AS13:AU13"/>
    <mergeCell ref="R12:X13"/>
    <mergeCell ref="AC12:AF12"/>
    <mergeCell ref="AG12:AU12"/>
    <mergeCell ref="AV12:AV14"/>
    <mergeCell ref="AW12:AW14"/>
    <mergeCell ref="AX12:AX14"/>
    <mergeCell ref="O12:Q13"/>
    <mergeCell ref="A12:B13"/>
    <mergeCell ref="C12:D13"/>
    <mergeCell ref="E12:F13"/>
    <mergeCell ref="G12:J13"/>
    <mergeCell ref="K12:N13"/>
    <mergeCell ref="A1:AW4"/>
    <mergeCell ref="R5:AY5"/>
    <mergeCell ref="A6:B11"/>
    <mergeCell ref="C6:AY6"/>
    <mergeCell ref="C7:AW10"/>
    <mergeCell ref="C11:AY11"/>
  </mergeCells>
  <conditionalFormatting sqref="AC87">
    <cfRule type="duplicateValues" dxfId="1" priority="2" stopIfTrue="1"/>
    <cfRule type="duplicateValues" dxfId="0" priority="3"/>
  </conditionalFormatting>
  <pageMargins left="0.7" right="0.7" top="0.75" bottom="0.75" header="0" footer="0"/>
  <pageSetup paperSize="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F491-DA87-4FA2-8B55-47E056AE457D}">
  <sheetPr>
    <tabColor theme="7" tint="0.59999389629810485"/>
  </sheetPr>
  <dimension ref="A1:BQ417"/>
  <sheetViews>
    <sheetView topLeftCell="N1" zoomScale="60" zoomScaleNormal="60" workbookViewId="0">
      <pane ySplit="10" topLeftCell="A11" activePane="bottomLeft" state="frozen"/>
      <selection activeCell="C1" sqref="C1"/>
      <selection pane="bottomLeft" activeCell="Z14" sqref="Z14"/>
    </sheetView>
  </sheetViews>
  <sheetFormatPr baseColWidth="10" defaultColWidth="11.42578125" defaultRowHeight="12.75" x14ac:dyDescent="0.2"/>
  <cols>
    <col min="1" max="1" width="10.28515625" style="81" customWidth="1"/>
    <col min="2" max="2" width="12.5703125" style="890" customWidth="1"/>
    <col min="3" max="3" width="11.42578125" style="81"/>
    <col min="4" max="4" width="11.42578125" style="890"/>
    <col min="5" max="5" width="11.42578125" style="81"/>
    <col min="6" max="6" width="15.5703125" style="890" customWidth="1"/>
    <col min="7" max="7" width="19.85546875" style="81" customWidth="1"/>
    <col min="8" max="8" width="28.85546875" style="890" customWidth="1"/>
    <col min="9" max="9" width="19.140625" style="81" customWidth="1"/>
    <col min="10" max="10" width="30.42578125" style="890" customWidth="1"/>
    <col min="11" max="11" width="16.140625" style="363" customWidth="1"/>
    <col min="12" max="12" width="23.7109375" style="939" customWidth="1"/>
    <col min="13" max="13" width="16.28515625" style="363" customWidth="1"/>
    <col min="14" max="14" width="26.140625" style="890" customWidth="1"/>
    <col min="15" max="15" width="15.5703125" style="81" customWidth="1"/>
    <col min="16" max="16" width="21.5703125" style="81" customWidth="1"/>
    <col min="17" max="17" width="13" style="81" customWidth="1"/>
    <col min="18" max="18" width="23" style="81" customWidth="1"/>
    <col min="19" max="19" width="28.5703125" style="890" customWidth="1"/>
    <col min="20" max="20" width="13.42578125" style="81" customWidth="1"/>
    <col min="21" max="21" width="38.42578125" style="890" customWidth="1"/>
    <col min="22" max="22" width="23.42578125" style="890" customWidth="1"/>
    <col min="23" max="23" width="27.85546875" style="890" customWidth="1"/>
    <col min="24" max="24" width="26" style="81" customWidth="1"/>
    <col min="25" max="28" width="21.5703125" style="81" customWidth="1"/>
    <col min="29" max="29" width="37.140625" style="349" customWidth="1"/>
    <col min="30" max="30" width="23.5703125" style="355" customWidth="1"/>
    <col min="31" max="31" width="11.42578125" style="81"/>
    <col min="32" max="32" width="24.5703125" style="81" customWidth="1"/>
    <col min="33" max="34" width="9.42578125" style="81" customWidth="1"/>
    <col min="35" max="35" width="9.28515625" style="81" customWidth="1"/>
    <col min="36" max="36" width="8.140625" style="81" bestFit="1" customWidth="1"/>
    <col min="37" max="37" width="9.42578125" style="81" customWidth="1"/>
    <col min="38" max="38" width="8.5703125" style="81" customWidth="1"/>
    <col min="39" max="39" width="6.85546875" style="81" bestFit="1" customWidth="1"/>
    <col min="40" max="40" width="8.140625" style="81" bestFit="1" customWidth="1"/>
    <col min="41" max="41" width="6.7109375" style="81" customWidth="1"/>
    <col min="42" max="42" width="6.42578125" style="81" customWidth="1"/>
    <col min="43" max="43" width="8.85546875" style="81" customWidth="1"/>
    <col min="44" max="44" width="6.5703125" style="81" customWidth="1"/>
    <col min="45" max="47" width="8.140625" style="81" bestFit="1" customWidth="1"/>
    <col min="48" max="48" width="13" style="81" bestFit="1" customWidth="1"/>
    <col min="49" max="49" width="14.28515625" style="81" customWidth="1"/>
    <col min="50" max="50" width="14.42578125" style="81" customWidth="1"/>
    <col min="51" max="51" width="15.140625" style="81" customWidth="1"/>
    <col min="52" max="16384" width="11.42578125" style="81"/>
  </cols>
  <sheetData>
    <row r="1" spans="1:69" hidden="1" x14ac:dyDescent="0.2">
      <c r="A1" s="1073"/>
      <c r="B1" s="1073"/>
      <c r="C1" s="1074" t="s">
        <v>0</v>
      </c>
      <c r="D1" s="1074"/>
      <c r="E1" s="1074"/>
      <c r="F1" s="1074"/>
      <c r="G1" s="1074"/>
      <c r="H1" s="1074"/>
      <c r="I1" s="1074"/>
      <c r="J1" s="1074"/>
      <c r="K1" s="1074"/>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1074"/>
      <c r="AO1" s="1074"/>
      <c r="AP1" s="1074"/>
      <c r="AQ1" s="1074"/>
      <c r="AR1" s="1074"/>
      <c r="AS1" s="1074"/>
      <c r="AT1" s="1074"/>
      <c r="AU1" s="1074"/>
      <c r="AV1" s="1074"/>
      <c r="AW1" s="1074"/>
    </row>
    <row r="2" spans="1:69" s="45" customFormat="1" hidden="1" x14ac:dyDescent="0.2">
      <c r="A2" s="1073"/>
      <c r="B2" s="1073"/>
      <c r="C2" s="980" t="s">
        <v>1805</v>
      </c>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2"/>
      <c r="AX2" s="2" t="s">
        <v>2</v>
      </c>
      <c r="AY2" s="2" t="s">
        <v>3</v>
      </c>
      <c r="AZ2" s="3"/>
      <c r="BA2" s="3"/>
      <c r="BB2" s="3"/>
      <c r="BC2" s="3"/>
      <c r="BD2" s="3"/>
      <c r="BE2" s="3"/>
      <c r="BF2" s="3"/>
      <c r="BG2" s="3"/>
      <c r="BH2" s="3"/>
      <c r="BI2" s="3"/>
      <c r="BJ2" s="3"/>
      <c r="BK2" s="3"/>
      <c r="BL2" s="3"/>
      <c r="BM2" s="3"/>
      <c r="BN2" s="3"/>
      <c r="BO2" s="3"/>
      <c r="BP2" s="3"/>
      <c r="BQ2" s="3"/>
    </row>
    <row r="3" spans="1:69" s="45" customFormat="1" hidden="1" x14ac:dyDescent="0.2">
      <c r="A3" s="1073"/>
      <c r="B3" s="1073"/>
      <c r="C3" s="983"/>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5"/>
      <c r="AX3" s="2" t="s">
        <v>4</v>
      </c>
      <c r="AY3" s="49">
        <v>11</v>
      </c>
      <c r="AZ3" s="3"/>
      <c r="BA3" s="3"/>
      <c r="BB3" s="3"/>
      <c r="BC3" s="3"/>
      <c r="BD3" s="3"/>
      <c r="BE3" s="3"/>
      <c r="BF3" s="3"/>
      <c r="BG3" s="3"/>
      <c r="BH3" s="3"/>
      <c r="BI3" s="3"/>
      <c r="BJ3" s="3"/>
      <c r="BK3" s="3"/>
      <c r="BL3" s="3"/>
      <c r="BM3" s="3"/>
      <c r="BN3" s="3"/>
      <c r="BO3" s="3"/>
      <c r="BP3" s="3"/>
      <c r="BQ3" s="3"/>
    </row>
    <row r="4" spans="1:69" s="45" customFormat="1" hidden="1" x14ac:dyDescent="0.2">
      <c r="A4" s="1073"/>
      <c r="B4" s="1073"/>
      <c r="C4" s="986"/>
      <c r="D4" s="987"/>
      <c r="E4" s="987"/>
      <c r="F4" s="987"/>
      <c r="G4" s="987"/>
      <c r="H4" s="987"/>
      <c r="I4" s="987"/>
      <c r="J4" s="987"/>
      <c r="K4" s="987"/>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c r="AT4" s="987"/>
      <c r="AU4" s="987"/>
      <c r="AV4" s="987"/>
      <c r="AW4" s="988"/>
      <c r="AX4" s="2" t="s">
        <v>5</v>
      </c>
      <c r="AY4" s="50">
        <v>44714</v>
      </c>
      <c r="AZ4" s="3"/>
      <c r="BA4" s="3"/>
      <c r="BB4" s="3"/>
      <c r="BC4" s="3"/>
      <c r="BD4" s="3"/>
      <c r="BE4" s="3"/>
      <c r="BF4" s="3"/>
      <c r="BG4" s="3"/>
      <c r="BH4" s="3"/>
      <c r="BI4" s="3"/>
      <c r="BJ4" s="3"/>
      <c r="BK4" s="3"/>
      <c r="BL4" s="3"/>
      <c r="BM4" s="3"/>
      <c r="BN4" s="3"/>
      <c r="BO4" s="3"/>
      <c r="BP4" s="3"/>
      <c r="BQ4" s="3"/>
    </row>
    <row r="5" spans="1:69" s="45" customFormat="1" hidden="1" x14ac:dyDescent="0.2">
      <c r="A5" s="1073"/>
      <c r="B5" s="1073"/>
      <c r="C5" s="989"/>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1"/>
      <c r="AX5" s="2" t="s">
        <v>6</v>
      </c>
      <c r="AY5" s="7" t="s">
        <v>7</v>
      </c>
      <c r="AZ5" s="3"/>
      <c r="BA5" s="3"/>
      <c r="BB5" s="3"/>
      <c r="BC5" s="3"/>
      <c r="BD5" s="3"/>
      <c r="BE5" s="3"/>
      <c r="BF5" s="3"/>
      <c r="BG5" s="3"/>
      <c r="BH5" s="3"/>
      <c r="BI5" s="3"/>
      <c r="BJ5" s="3"/>
      <c r="BK5" s="3"/>
      <c r="BL5" s="3"/>
      <c r="BM5" s="3"/>
      <c r="BN5" s="3"/>
      <c r="BO5" s="3"/>
      <c r="BP5" s="3"/>
      <c r="BQ5" s="3"/>
    </row>
    <row r="6" spans="1:69" s="45" customFormat="1" hidden="1" x14ac:dyDescent="0.2">
      <c r="A6" s="1073"/>
      <c r="B6" s="1073"/>
      <c r="C6" s="992" t="s">
        <v>1806</v>
      </c>
      <c r="D6" s="993"/>
      <c r="E6" s="993"/>
      <c r="F6" s="993"/>
      <c r="G6" s="993"/>
      <c r="H6" s="993"/>
      <c r="I6" s="993"/>
      <c r="J6" s="993"/>
      <c r="K6" s="993"/>
      <c r="L6" s="993"/>
      <c r="M6" s="993"/>
      <c r="N6" s="993"/>
      <c r="O6" s="993"/>
      <c r="P6" s="993"/>
      <c r="Q6" s="993"/>
      <c r="R6" s="993"/>
      <c r="S6" s="993"/>
      <c r="T6" s="993"/>
      <c r="U6" s="993"/>
      <c r="V6" s="993"/>
      <c r="W6" s="993"/>
      <c r="X6" s="993"/>
      <c r="Y6" s="993"/>
      <c r="Z6" s="993"/>
      <c r="AA6" s="993"/>
      <c r="AB6" s="993"/>
      <c r="AC6" s="993"/>
      <c r="AD6" s="993"/>
      <c r="AE6" s="993"/>
      <c r="AF6" s="993"/>
      <c r="AG6" s="993"/>
      <c r="AH6" s="993"/>
      <c r="AI6" s="993"/>
      <c r="AJ6" s="993"/>
      <c r="AK6" s="993"/>
      <c r="AL6" s="993"/>
      <c r="AM6" s="993"/>
      <c r="AN6" s="993"/>
      <c r="AO6" s="993"/>
      <c r="AP6" s="993"/>
      <c r="AQ6" s="993"/>
      <c r="AR6" s="993"/>
      <c r="AS6" s="993"/>
      <c r="AT6" s="993"/>
      <c r="AU6" s="993"/>
      <c r="AV6" s="993"/>
      <c r="AW6" s="993"/>
      <c r="AX6" s="52"/>
      <c r="AY6" s="53"/>
      <c r="AZ6" s="3"/>
      <c r="BA6" s="3"/>
      <c r="BB6" s="3"/>
      <c r="BC6" s="3"/>
      <c r="BD6" s="3"/>
      <c r="BE6" s="3"/>
      <c r="BF6" s="3"/>
      <c r="BG6" s="3"/>
      <c r="BH6" s="3"/>
      <c r="BI6" s="3"/>
      <c r="BJ6" s="3"/>
      <c r="BK6" s="3"/>
      <c r="BL6" s="3"/>
      <c r="BM6" s="3"/>
      <c r="BN6" s="3"/>
      <c r="BO6" s="3"/>
      <c r="BP6" s="3"/>
      <c r="BQ6" s="3"/>
    </row>
    <row r="7" spans="1:69" s="45" customFormat="1" hidden="1" x14ac:dyDescent="0.2">
      <c r="A7" s="1074"/>
      <c r="B7" s="1074"/>
      <c r="C7" s="54"/>
      <c r="D7" s="891"/>
      <c r="E7" s="54"/>
      <c r="F7" s="891"/>
      <c r="G7" s="54"/>
      <c r="H7" s="891"/>
      <c r="I7" s="54"/>
      <c r="J7" s="891"/>
      <c r="K7" s="309"/>
      <c r="L7" s="935"/>
      <c r="M7" s="309"/>
      <c r="N7" s="891"/>
      <c r="O7" s="54"/>
      <c r="P7" s="54"/>
      <c r="Q7" s="54"/>
      <c r="R7" s="54"/>
      <c r="S7" s="891"/>
      <c r="T7" s="54"/>
      <c r="U7" s="891"/>
      <c r="V7" s="891"/>
      <c r="W7" s="891"/>
      <c r="X7" s="54"/>
      <c r="Y7" s="54"/>
      <c r="Z7" s="54"/>
      <c r="AA7" s="54"/>
      <c r="AB7" s="54"/>
      <c r="AC7" s="77"/>
      <c r="AD7" s="54"/>
      <c r="AE7" s="54"/>
      <c r="AF7" s="54"/>
      <c r="AG7" s="54"/>
      <c r="AH7" s="54"/>
      <c r="AI7" s="54"/>
      <c r="AJ7" s="54"/>
      <c r="AK7" s="54"/>
      <c r="AL7" s="54"/>
      <c r="AM7" s="54"/>
      <c r="AN7" s="54"/>
      <c r="AO7" s="54"/>
      <c r="AP7" s="54"/>
      <c r="AQ7" s="54"/>
      <c r="AR7" s="54"/>
      <c r="AS7" s="54"/>
      <c r="AT7" s="54"/>
      <c r="AU7" s="54"/>
      <c r="AV7" s="54"/>
      <c r="AW7" s="54"/>
      <c r="AX7" s="54"/>
      <c r="AY7" s="55"/>
      <c r="AZ7" s="3"/>
      <c r="BA7" s="3"/>
      <c r="BB7" s="3"/>
      <c r="BC7" s="3"/>
      <c r="BD7" s="3"/>
      <c r="BE7" s="3"/>
      <c r="BF7" s="3"/>
      <c r="BG7" s="3"/>
      <c r="BH7" s="3"/>
      <c r="BI7" s="3"/>
      <c r="BJ7" s="3"/>
      <c r="BK7" s="3"/>
      <c r="BL7" s="3"/>
      <c r="BM7" s="3"/>
      <c r="BN7" s="3"/>
      <c r="BO7" s="3"/>
      <c r="BP7" s="3"/>
      <c r="BQ7" s="3"/>
    </row>
    <row r="8" spans="1:69" ht="26.25" customHeight="1" x14ac:dyDescent="0.2">
      <c r="A8" s="966" t="s">
        <v>9</v>
      </c>
      <c r="B8" s="967"/>
      <c r="C8" s="966" t="s">
        <v>10</v>
      </c>
      <c r="D8" s="967"/>
      <c r="E8" s="966" t="s">
        <v>11</v>
      </c>
      <c r="F8" s="967"/>
      <c r="G8" s="966" t="s">
        <v>12</v>
      </c>
      <c r="H8" s="970"/>
      <c r="I8" s="970"/>
      <c r="J8" s="967"/>
      <c r="K8" s="1067" t="s">
        <v>13</v>
      </c>
      <c r="L8" s="1068"/>
      <c r="M8" s="1068"/>
      <c r="N8" s="1069"/>
      <c r="O8" s="1067" t="s">
        <v>14</v>
      </c>
      <c r="P8" s="1068"/>
      <c r="Q8" s="1069"/>
      <c r="R8" s="1008" t="s">
        <v>15</v>
      </c>
      <c r="S8" s="1008"/>
      <c r="T8" s="1008"/>
      <c r="U8" s="1008"/>
      <c r="V8" s="1008"/>
      <c r="W8" s="1008"/>
      <c r="X8" s="1008"/>
      <c r="Y8" s="281"/>
      <c r="Z8" s="281"/>
      <c r="AA8" s="281"/>
      <c r="AB8" s="281"/>
      <c r="AC8" s="310"/>
      <c r="AD8" s="311"/>
      <c r="AE8" s="82"/>
      <c r="AF8" s="83"/>
      <c r="AG8" s="1002" t="s">
        <v>16</v>
      </c>
      <c r="AH8" s="1003"/>
      <c r="AI8" s="1003"/>
      <c r="AJ8" s="1003"/>
      <c r="AK8" s="1003"/>
      <c r="AL8" s="1003"/>
      <c r="AM8" s="1003"/>
      <c r="AN8" s="1003"/>
      <c r="AO8" s="1003"/>
      <c r="AP8" s="1003"/>
      <c r="AQ8" s="1003"/>
      <c r="AR8" s="1003"/>
      <c r="AS8" s="1003"/>
      <c r="AT8" s="1003"/>
      <c r="AU8" s="1003"/>
      <c r="AV8" s="1004"/>
      <c r="AW8" s="994" t="s">
        <v>17</v>
      </c>
      <c r="AX8" s="994" t="s">
        <v>18</v>
      </c>
      <c r="AY8" s="994" t="s">
        <v>19</v>
      </c>
    </row>
    <row r="9" spans="1:69" s="46" customFormat="1" x14ac:dyDescent="0.2">
      <c r="A9" s="968"/>
      <c r="B9" s="969"/>
      <c r="C9" s="968"/>
      <c r="D9" s="969"/>
      <c r="E9" s="968"/>
      <c r="F9" s="969"/>
      <c r="G9" s="968"/>
      <c r="H9" s="971"/>
      <c r="I9" s="971"/>
      <c r="J9" s="969"/>
      <c r="K9" s="1070"/>
      <c r="L9" s="1071"/>
      <c r="M9" s="1071"/>
      <c r="N9" s="1072"/>
      <c r="O9" s="1070"/>
      <c r="P9" s="1071"/>
      <c r="Q9" s="1072"/>
      <c r="R9" s="1009"/>
      <c r="S9" s="1009"/>
      <c r="T9" s="1009"/>
      <c r="U9" s="1009"/>
      <c r="V9" s="1009"/>
      <c r="W9" s="1009"/>
      <c r="X9" s="1009"/>
      <c r="Y9" s="282"/>
      <c r="Z9" s="282"/>
      <c r="AA9" s="282"/>
      <c r="AB9" s="282"/>
      <c r="AC9" s="997" t="s">
        <v>20</v>
      </c>
      <c r="AD9" s="997"/>
      <c r="AE9" s="997"/>
      <c r="AF9" s="997"/>
      <c r="AG9" s="997" t="s">
        <v>21</v>
      </c>
      <c r="AH9" s="1075"/>
      <c r="AI9" s="999" t="s">
        <v>22</v>
      </c>
      <c r="AJ9" s="1075"/>
      <c r="AK9" s="1075"/>
      <c r="AL9" s="1075"/>
      <c r="AM9" s="1000" t="s">
        <v>23</v>
      </c>
      <c r="AN9" s="1075"/>
      <c r="AO9" s="1075"/>
      <c r="AP9" s="1075"/>
      <c r="AQ9" s="1075"/>
      <c r="AR9" s="1075"/>
      <c r="AS9" s="999" t="s">
        <v>24</v>
      </c>
      <c r="AT9" s="1075"/>
      <c r="AU9" s="1075"/>
      <c r="AV9" s="1001" t="s">
        <v>25</v>
      </c>
      <c r="AW9" s="995"/>
      <c r="AX9" s="995"/>
      <c r="AY9" s="995"/>
      <c r="AZ9" s="14"/>
      <c r="BA9" s="14"/>
      <c r="BB9" s="14"/>
      <c r="BC9" s="14"/>
      <c r="BD9" s="14"/>
      <c r="BE9" s="14"/>
      <c r="BF9" s="14"/>
      <c r="BG9" s="14"/>
      <c r="BH9" s="14"/>
      <c r="BI9" s="14"/>
      <c r="BJ9" s="14"/>
      <c r="BK9" s="14"/>
      <c r="BL9" s="14"/>
      <c r="BM9" s="14"/>
      <c r="BN9" s="14"/>
    </row>
    <row r="10" spans="1:69" s="47" customFormat="1" ht="81.75" customHeight="1" x14ac:dyDescent="0.2">
      <c r="A10" s="16" t="s">
        <v>26</v>
      </c>
      <c r="B10" s="877" t="s">
        <v>27</v>
      </c>
      <c r="C10" s="16" t="s">
        <v>26</v>
      </c>
      <c r="D10" s="877" t="s">
        <v>27</v>
      </c>
      <c r="E10" s="17" t="s">
        <v>26</v>
      </c>
      <c r="F10" s="877" t="s">
        <v>27</v>
      </c>
      <c r="G10" s="18" t="s">
        <v>28</v>
      </c>
      <c r="H10" s="878" t="s">
        <v>29</v>
      </c>
      <c r="I10" s="312" t="s">
        <v>30</v>
      </c>
      <c r="J10" s="878" t="s">
        <v>31</v>
      </c>
      <c r="K10" s="786" t="s">
        <v>28</v>
      </c>
      <c r="L10" s="936" t="s">
        <v>32</v>
      </c>
      <c r="M10" s="786" t="s">
        <v>33</v>
      </c>
      <c r="N10" s="878" t="s">
        <v>34</v>
      </c>
      <c r="O10" s="18" t="s">
        <v>35</v>
      </c>
      <c r="P10" s="18" t="s">
        <v>36</v>
      </c>
      <c r="Q10" s="18" t="s">
        <v>37</v>
      </c>
      <c r="R10" s="285" t="s">
        <v>38</v>
      </c>
      <c r="S10" s="877" t="s">
        <v>39</v>
      </c>
      <c r="T10" s="19" t="s">
        <v>40</v>
      </c>
      <c r="U10" s="877" t="s">
        <v>41</v>
      </c>
      <c r="V10" s="877" t="s">
        <v>42</v>
      </c>
      <c r="W10" s="877" t="s">
        <v>43</v>
      </c>
      <c r="X10" s="20" t="s">
        <v>44</v>
      </c>
      <c r="Y10" s="660" t="s">
        <v>45</v>
      </c>
      <c r="Z10" s="659" t="s">
        <v>46</v>
      </c>
      <c r="AA10" s="659" t="s">
        <v>47</v>
      </c>
      <c r="AB10" s="660" t="s">
        <v>48</v>
      </c>
      <c r="AC10" s="313" t="s">
        <v>49</v>
      </c>
      <c r="AD10" s="17" t="s">
        <v>50</v>
      </c>
      <c r="AE10" s="17" t="s">
        <v>51</v>
      </c>
      <c r="AF10" s="17" t="s">
        <v>52</v>
      </c>
      <c r="AG10" s="21" t="s">
        <v>53</v>
      </c>
      <c r="AH10" s="22" t="s">
        <v>54</v>
      </c>
      <c r="AI10" s="21" t="s">
        <v>55</v>
      </c>
      <c r="AJ10" s="21" t="s">
        <v>56</v>
      </c>
      <c r="AK10" s="21" t="s">
        <v>57</v>
      </c>
      <c r="AL10" s="21" t="s">
        <v>58</v>
      </c>
      <c r="AM10" s="21" t="s">
        <v>59</v>
      </c>
      <c r="AN10" s="21" t="s">
        <v>60</v>
      </c>
      <c r="AO10" s="21" t="s">
        <v>61</v>
      </c>
      <c r="AP10" s="21" t="s">
        <v>62</v>
      </c>
      <c r="AQ10" s="21" t="s">
        <v>63</v>
      </c>
      <c r="AR10" s="21" t="s">
        <v>64</v>
      </c>
      <c r="AS10" s="21" t="s">
        <v>65</v>
      </c>
      <c r="AT10" s="21" t="s">
        <v>66</v>
      </c>
      <c r="AU10" s="21" t="s">
        <v>67</v>
      </c>
      <c r="AV10" s="1001"/>
      <c r="AW10" s="996"/>
      <c r="AX10" s="996"/>
      <c r="AY10" s="996"/>
      <c r="AZ10" s="14"/>
      <c r="BA10" s="14"/>
      <c r="BB10" s="14"/>
      <c r="BC10" s="14"/>
      <c r="BD10" s="14"/>
      <c r="BE10" s="14"/>
      <c r="BF10" s="14"/>
      <c r="BG10" s="14"/>
      <c r="BH10" s="14"/>
      <c r="BI10" s="14"/>
      <c r="BJ10" s="14"/>
      <c r="BK10" s="14"/>
      <c r="BL10" s="14"/>
      <c r="BM10" s="14"/>
      <c r="BN10" s="14"/>
    </row>
    <row r="11" spans="1:69" s="47" customFormat="1" ht="155.25" customHeight="1" x14ac:dyDescent="0.2">
      <c r="A11" s="23">
        <v>1</v>
      </c>
      <c r="B11" s="34" t="s">
        <v>315</v>
      </c>
      <c r="C11" s="793">
        <v>19</v>
      </c>
      <c r="D11" s="792" t="s">
        <v>517</v>
      </c>
      <c r="E11" s="793">
        <v>1903</v>
      </c>
      <c r="F11" s="792" t="s">
        <v>1807</v>
      </c>
      <c r="G11" s="794">
        <v>1903009</v>
      </c>
      <c r="H11" s="792" t="s">
        <v>1808</v>
      </c>
      <c r="I11" s="793">
        <v>1903009</v>
      </c>
      <c r="J11" s="792" t="s">
        <v>1809</v>
      </c>
      <c r="K11" s="795">
        <v>190300900</v>
      </c>
      <c r="L11" s="792" t="s">
        <v>1810</v>
      </c>
      <c r="M11" s="796">
        <v>190300900</v>
      </c>
      <c r="N11" s="792" t="s">
        <v>1811</v>
      </c>
      <c r="O11" s="314">
        <v>960</v>
      </c>
      <c r="P11" s="794"/>
      <c r="Q11" s="314">
        <f>+O11+P11</f>
        <v>960</v>
      </c>
      <c r="R11" s="797">
        <v>2020003630116</v>
      </c>
      <c r="S11" s="792" t="s">
        <v>1812</v>
      </c>
      <c r="T11" s="208">
        <f>SUM($X$11:$X$13)/SUM($X$11:$X$31)</f>
        <v>0.11985248924400738</v>
      </c>
      <c r="U11" s="792" t="s">
        <v>1813</v>
      </c>
      <c r="V11" s="792" t="s">
        <v>1814</v>
      </c>
      <c r="W11" s="792" t="s">
        <v>1815</v>
      </c>
      <c r="X11" s="315">
        <v>22000000</v>
      </c>
      <c r="Y11" s="707"/>
      <c r="Z11" s="707"/>
      <c r="AA11" s="707"/>
      <c r="AB11" s="707">
        <f>X11-Y11+Z11-AA11</f>
        <v>22000000</v>
      </c>
      <c r="AC11" s="798" t="s">
        <v>1816</v>
      </c>
      <c r="AD11" s="799"/>
      <c r="AE11" s="72">
        <v>61</v>
      </c>
      <c r="AF11" s="28" t="s">
        <v>1817</v>
      </c>
      <c r="AG11" s="793">
        <v>289394</v>
      </c>
      <c r="AH11" s="793">
        <v>279112</v>
      </c>
      <c r="AI11" s="793">
        <v>63164</v>
      </c>
      <c r="AJ11" s="793">
        <v>45607</v>
      </c>
      <c r="AK11" s="793">
        <v>365607</v>
      </c>
      <c r="AL11" s="793">
        <v>75612</v>
      </c>
      <c r="AM11" s="793">
        <v>2145</v>
      </c>
      <c r="AN11" s="793">
        <v>12718</v>
      </c>
      <c r="AO11" s="793">
        <v>26</v>
      </c>
      <c r="AP11" s="793">
        <v>37</v>
      </c>
      <c r="AQ11" s="793" t="s">
        <v>1818</v>
      </c>
      <c r="AR11" s="793" t="s">
        <v>1819</v>
      </c>
      <c r="AS11" s="793">
        <v>78</v>
      </c>
      <c r="AT11" s="793">
        <v>16897</v>
      </c>
      <c r="AU11" s="793">
        <v>852</v>
      </c>
      <c r="AV11" s="793">
        <v>568506</v>
      </c>
      <c r="AW11" s="800">
        <v>45293</v>
      </c>
      <c r="AX11" s="800">
        <v>45657</v>
      </c>
      <c r="AY11" s="793" t="s">
        <v>1820</v>
      </c>
      <c r="AZ11" s="15"/>
      <c r="BA11" s="15"/>
      <c r="BB11" s="15"/>
      <c r="BC11" s="15"/>
      <c r="BD11" s="15"/>
      <c r="BE11" s="15"/>
      <c r="BF11" s="15"/>
      <c r="BG11" s="15"/>
      <c r="BH11" s="15"/>
      <c r="BI11" s="15"/>
      <c r="BJ11" s="15"/>
      <c r="BK11" s="15"/>
      <c r="BL11" s="15"/>
      <c r="BM11" s="15"/>
      <c r="BN11" s="15"/>
    </row>
    <row r="12" spans="1:69" s="47" customFormat="1" ht="76.5" x14ac:dyDescent="0.2">
      <c r="A12" s="23">
        <v>1</v>
      </c>
      <c r="B12" s="34" t="s">
        <v>315</v>
      </c>
      <c r="C12" s="793">
        <v>19</v>
      </c>
      <c r="D12" s="792" t="s">
        <v>517</v>
      </c>
      <c r="E12" s="793">
        <v>1903</v>
      </c>
      <c r="F12" s="792" t="s">
        <v>1807</v>
      </c>
      <c r="G12" s="794">
        <v>1903009</v>
      </c>
      <c r="H12" s="792" t="s">
        <v>1810</v>
      </c>
      <c r="I12" s="793">
        <v>1903009</v>
      </c>
      <c r="J12" s="792" t="s">
        <v>1809</v>
      </c>
      <c r="K12" s="795">
        <v>190300900</v>
      </c>
      <c r="L12" s="792" t="s">
        <v>1808</v>
      </c>
      <c r="M12" s="796">
        <v>190300900</v>
      </c>
      <c r="N12" s="792" t="s">
        <v>1811</v>
      </c>
      <c r="O12" s="314">
        <v>960</v>
      </c>
      <c r="P12" s="794"/>
      <c r="Q12" s="314">
        <f>+O12+P12</f>
        <v>960</v>
      </c>
      <c r="R12" s="797">
        <v>2020003630116</v>
      </c>
      <c r="S12" s="792" t="s">
        <v>1812</v>
      </c>
      <c r="T12" s="208">
        <f>SUM($X$11:$X$13)/SUM($X$11:$X$31)</f>
        <v>0.11985248924400738</v>
      </c>
      <c r="U12" s="792" t="s">
        <v>1813</v>
      </c>
      <c r="V12" s="792" t="s">
        <v>1814</v>
      </c>
      <c r="W12" s="792" t="s">
        <v>1821</v>
      </c>
      <c r="X12" s="315">
        <v>22000000</v>
      </c>
      <c r="Y12" s="707"/>
      <c r="Z12" s="707"/>
      <c r="AA12" s="707"/>
      <c r="AB12" s="707">
        <f>X12-Y12+Z12-AA12</f>
        <v>22000000</v>
      </c>
      <c r="AC12" s="798" t="s">
        <v>1816</v>
      </c>
      <c r="AD12" s="799"/>
      <c r="AE12" s="72">
        <v>61</v>
      </c>
      <c r="AF12" s="28" t="s">
        <v>1817</v>
      </c>
      <c r="AG12" s="793">
        <v>289394</v>
      </c>
      <c r="AH12" s="793">
        <v>279112</v>
      </c>
      <c r="AI12" s="793">
        <v>63164</v>
      </c>
      <c r="AJ12" s="793">
        <v>45607</v>
      </c>
      <c r="AK12" s="793">
        <v>365607</v>
      </c>
      <c r="AL12" s="793">
        <v>75612</v>
      </c>
      <c r="AM12" s="793">
        <v>2145</v>
      </c>
      <c r="AN12" s="793">
        <v>12718</v>
      </c>
      <c r="AO12" s="793">
        <v>26</v>
      </c>
      <c r="AP12" s="793">
        <v>37</v>
      </c>
      <c r="AQ12" s="793" t="s">
        <v>1818</v>
      </c>
      <c r="AR12" s="793" t="s">
        <v>1819</v>
      </c>
      <c r="AS12" s="793">
        <v>78</v>
      </c>
      <c r="AT12" s="793">
        <v>16897</v>
      </c>
      <c r="AU12" s="793">
        <v>852</v>
      </c>
      <c r="AV12" s="793">
        <v>568506</v>
      </c>
      <c r="AW12" s="800">
        <v>45293</v>
      </c>
      <c r="AX12" s="800">
        <v>45657</v>
      </c>
      <c r="AY12" s="793" t="s">
        <v>1820</v>
      </c>
      <c r="AZ12" s="15"/>
      <c r="BA12" s="15"/>
      <c r="BB12" s="15"/>
      <c r="BC12" s="15"/>
      <c r="BD12" s="15"/>
      <c r="BE12" s="15"/>
      <c r="BF12" s="15"/>
      <c r="BG12" s="15"/>
      <c r="BH12" s="15"/>
      <c r="BI12" s="15"/>
      <c r="BJ12" s="15"/>
      <c r="BK12" s="15"/>
      <c r="BL12" s="15"/>
      <c r="BM12" s="15"/>
      <c r="BN12" s="15"/>
    </row>
    <row r="13" spans="1:69" s="47" customFormat="1" ht="127.5" x14ac:dyDescent="0.2">
      <c r="A13" s="23">
        <v>1</v>
      </c>
      <c r="B13" s="34" t="s">
        <v>315</v>
      </c>
      <c r="C13" s="793">
        <v>19</v>
      </c>
      <c r="D13" s="792" t="s">
        <v>517</v>
      </c>
      <c r="E13" s="793">
        <v>1903</v>
      </c>
      <c r="F13" s="792" t="s">
        <v>1807</v>
      </c>
      <c r="G13" s="794">
        <v>1903009</v>
      </c>
      <c r="H13" s="792" t="s">
        <v>1808</v>
      </c>
      <c r="I13" s="793">
        <v>1903009</v>
      </c>
      <c r="J13" s="792" t="s">
        <v>1809</v>
      </c>
      <c r="K13" s="795">
        <v>190300900</v>
      </c>
      <c r="L13" s="792" t="s">
        <v>1810</v>
      </c>
      <c r="M13" s="796">
        <v>190300900</v>
      </c>
      <c r="N13" s="792" t="s">
        <v>1811</v>
      </c>
      <c r="O13" s="314">
        <v>960</v>
      </c>
      <c r="P13" s="794"/>
      <c r="Q13" s="314">
        <f>+O13+P13</f>
        <v>960</v>
      </c>
      <c r="R13" s="797">
        <v>2020003630116</v>
      </c>
      <c r="S13" s="792" t="s">
        <v>1812</v>
      </c>
      <c r="T13" s="208">
        <f>SUM($X$11:$X$13)/SUM($X$11:$X$31)</f>
        <v>0.11985248924400738</v>
      </c>
      <c r="U13" s="792" t="s">
        <v>1813</v>
      </c>
      <c r="V13" s="792" t="s">
        <v>1814</v>
      </c>
      <c r="W13" s="792" t="s">
        <v>1822</v>
      </c>
      <c r="X13" s="315">
        <v>34000000</v>
      </c>
      <c r="Y13" s="707"/>
      <c r="Z13" s="707"/>
      <c r="AA13" s="707"/>
      <c r="AB13" s="707">
        <f>X13-Y13+Z13-AA13</f>
        <v>34000000</v>
      </c>
      <c r="AC13" s="798" t="s">
        <v>1816</v>
      </c>
      <c r="AD13" s="799"/>
      <c r="AE13" s="72">
        <v>61</v>
      </c>
      <c r="AF13" s="28" t="s">
        <v>1817</v>
      </c>
      <c r="AG13" s="793">
        <v>289394</v>
      </c>
      <c r="AH13" s="793">
        <v>279112</v>
      </c>
      <c r="AI13" s="793">
        <v>63164</v>
      </c>
      <c r="AJ13" s="793">
        <v>45607</v>
      </c>
      <c r="AK13" s="793">
        <v>365607</v>
      </c>
      <c r="AL13" s="793">
        <v>75612</v>
      </c>
      <c r="AM13" s="793">
        <v>2145</v>
      </c>
      <c r="AN13" s="793">
        <v>12718</v>
      </c>
      <c r="AO13" s="793">
        <v>26</v>
      </c>
      <c r="AP13" s="793">
        <v>37</v>
      </c>
      <c r="AQ13" s="793" t="s">
        <v>1818</v>
      </c>
      <c r="AR13" s="793" t="s">
        <v>1819</v>
      </c>
      <c r="AS13" s="793">
        <v>78</v>
      </c>
      <c r="AT13" s="793">
        <v>16897</v>
      </c>
      <c r="AU13" s="793">
        <v>852</v>
      </c>
      <c r="AV13" s="793">
        <v>568506</v>
      </c>
      <c r="AW13" s="800">
        <v>45293</v>
      </c>
      <c r="AX13" s="800">
        <v>45657</v>
      </c>
      <c r="AY13" s="793" t="s">
        <v>1820</v>
      </c>
      <c r="AZ13" s="15"/>
      <c r="BA13" s="15"/>
      <c r="BB13" s="15"/>
      <c r="BC13" s="15"/>
      <c r="BD13" s="15"/>
      <c r="BE13" s="15"/>
      <c r="BF13" s="15"/>
      <c r="BG13" s="15"/>
      <c r="BH13" s="15"/>
      <c r="BI13" s="15"/>
      <c r="BJ13" s="15"/>
      <c r="BK13" s="15"/>
      <c r="BL13" s="15"/>
      <c r="BM13" s="15"/>
      <c r="BN13" s="15"/>
    </row>
    <row r="14" spans="1:69" s="47" customFormat="1" ht="63.75" x14ac:dyDescent="0.2">
      <c r="A14" s="23">
        <v>1</v>
      </c>
      <c r="B14" s="34" t="s">
        <v>315</v>
      </c>
      <c r="C14" s="793">
        <v>19</v>
      </c>
      <c r="D14" s="792" t="s">
        <v>517</v>
      </c>
      <c r="E14" s="793">
        <v>1903</v>
      </c>
      <c r="F14" s="792" t="s">
        <v>1807</v>
      </c>
      <c r="G14" s="794">
        <v>1903031</v>
      </c>
      <c r="H14" s="792" t="s">
        <v>1823</v>
      </c>
      <c r="I14" s="51">
        <v>1903031</v>
      </c>
      <c r="J14" s="792" t="s">
        <v>1823</v>
      </c>
      <c r="K14" s="801">
        <v>190303100</v>
      </c>
      <c r="L14" s="792" t="s">
        <v>1824</v>
      </c>
      <c r="M14" s="801">
        <v>190303100</v>
      </c>
      <c r="N14" s="792" t="s">
        <v>1825</v>
      </c>
      <c r="O14" s="317">
        <v>12</v>
      </c>
      <c r="P14" s="794"/>
      <c r="Q14" s="317">
        <v>12</v>
      </c>
      <c r="R14" s="797">
        <v>2020003630116</v>
      </c>
      <c r="S14" s="792" t="s">
        <v>1812</v>
      </c>
      <c r="T14" s="208">
        <f>SUM($X$14:$X$15)/SUM($X$11:$X$31)</f>
        <v>0.11800860479409957</v>
      </c>
      <c r="U14" s="792" t="s">
        <v>1813</v>
      </c>
      <c r="V14" s="792" t="s">
        <v>1814</v>
      </c>
      <c r="W14" s="792" t="s">
        <v>1826</v>
      </c>
      <c r="X14" s="315">
        <v>40000000</v>
      </c>
      <c r="Y14" s="707">
        <f>16200000</f>
        <v>16200000</v>
      </c>
      <c r="Z14" s="707"/>
      <c r="AA14" s="707"/>
      <c r="AB14" s="707">
        <f>X14-Y14+Z14-AA14</f>
        <v>23800000</v>
      </c>
      <c r="AC14" s="798" t="s">
        <v>1827</v>
      </c>
      <c r="AD14" s="799"/>
      <c r="AE14" s="72">
        <v>61</v>
      </c>
      <c r="AF14" s="28" t="s">
        <v>1817</v>
      </c>
      <c r="AG14" s="793">
        <v>289394</v>
      </c>
      <c r="AH14" s="793">
        <v>279112</v>
      </c>
      <c r="AI14" s="793">
        <v>63164</v>
      </c>
      <c r="AJ14" s="793">
        <v>45607</v>
      </c>
      <c r="AK14" s="793">
        <v>365607</v>
      </c>
      <c r="AL14" s="793">
        <v>75612</v>
      </c>
      <c r="AM14" s="793">
        <v>2145</v>
      </c>
      <c r="AN14" s="793">
        <v>12718</v>
      </c>
      <c r="AO14" s="793">
        <v>26</v>
      </c>
      <c r="AP14" s="793">
        <v>37</v>
      </c>
      <c r="AQ14" s="793" t="s">
        <v>1818</v>
      </c>
      <c r="AR14" s="793" t="s">
        <v>1819</v>
      </c>
      <c r="AS14" s="793">
        <v>78</v>
      </c>
      <c r="AT14" s="793">
        <v>16897</v>
      </c>
      <c r="AU14" s="793">
        <v>852</v>
      </c>
      <c r="AV14" s="793">
        <v>568506</v>
      </c>
      <c r="AW14" s="800">
        <v>45293</v>
      </c>
      <c r="AX14" s="800">
        <v>45657</v>
      </c>
      <c r="AY14" s="793" t="s">
        <v>1820</v>
      </c>
      <c r="AZ14" s="15"/>
      <c r="BA14" s="15"/>
      <c r="BB14" s="15"/>
      <c r="BC14" s="15"/>
      <c r="BD14" s="15"/>
      <c r="BE14" s="15"/>
      <c r="BF14" s="15"/>
      <c r="BG14" s="15"/>
      <c r="BH14" s="15"/>
      <c r="BI14" s="15"/>
      <c r="BJ14" s="15"/>
      <c r="BK14" s="15"/>
      <c r="BL14" s="15"/>
      <c r="BM14" s="15"/>
      <c r="BN14" s="15"/>
    </row>
    <row r="15" spans="1:69" s="47" customFormat="1" ht="114.75" x14ac:dyDescent="0.2">
      <c r="A15" s="23">
        <v>1</v>
      </c>
      <c r="B15" s="34" t="s">
        <v>315</v>
      </c>
      <c r="C15" s="793">
        <v>19</v>
      </c>
      <c r="D15" s="792" t="s">
        <v>517</v>
      </c>
      <c r="E15" s="793">
        <v>1903</v>
      </c>
      <c r="F15" s="792" t="s">
        <v>1807</v>
      </c>
      <c r="G15" s="794">
        <v>1903031</v>
      </c>
      <c r="H15" s="792" t="s">
        <v>1828</v>
      </c>
      <c r="I15" s="51">
        <v>1903031</v>
      </c>
      <c r="J15" s="792" t="s">
        <v>1823</v>
      </c>
      <c r="K15" s="795">
        <v>190303100</v>
      </c>
      <c r="L15" s="792" t="s">
        <v>1825</v>
      </c>
      <c r="M15" s="801">
        <v>190303100</v>
      </c>
      <c r="N15" s="792" t="s">
        <v>1825</v>
      </c>
      <c r="O15" s="317">
        <v>12</v>
      </c>
      <c r="P15" s="794"/>
      <c r="Q15" s="317">
        <v>12</v>
      </c>
      <c r="R15" s="797">
        <v>2020003630116</v>
      </c>
      <c r="S15" s="792" t="s">
        <v>1812</v>
      </c>
      <c r="T15" s="208">
        <f>SUM($X$14:$X$15)/SUM($X$11:$X$31)</f>
        <v>0.11800860479409957</v>
      </c>
      <c r="U15" s="792" t="s">
        <v>1813</v>
      </c>
      <c r="V15" s="792" t="s">
        <v>1814</v>
      </c>
      <c r="W15" s="792" t="s">
        <v>1829</v>
      </c>
      <c r="X15" s="315">
        <v>36800000</v>
      </c>
      <c r="Y15" s="707"/>
      <c r="Z15" s="707"/>
      <c r="AA15" s="707"/>
      <c r="AB15" s="707">
        <f t="shared" ref="AB15:AB78" si="0">X15-Y15+Z15-AA15</f>
        <v>36800000</v>
      </c>
      <c r="AC15" s="798" t="s">
        <v>1827</v>
      </c>
      <c r="AD15" s="799"/>
      <c r="AE15" s="72">
        <v>61</v>
      </c>
      <c r="AF15" s="28" t="s">
        <v>1817</v>
      </c>
      <c r="AG15" s="793">
        <v>289394</v>
      </c>
      <c r="AH15" s="793">
        <v>279112</v>
      </c>
      <c r="AI15" s="793">
        <v>63164</v>
      </c>
      <c r="AJ15" s="793">
        <v>45607</v>
      </c>
      <c r="AK15" s="793">
        <v>365607</v>
      </c>
      <c r="AL15" s="793">
        <v>75612</v>
      </c>
      <c r="AM15" s="793">
        <v>2145</v>
      </c>
      <c r="AN15" s="793">
        <v>12718</v>
      </c>
      <c r="AO15" s="793">
        <v>26</v>
      </c>
      <c r="AP15" s="793">
        <v>37</v>
      </c>
      <c r="AQ15" s="793" t="s">
        <v>1818</v>
      </c>
      <c r="AR15" s="793" t="s">
        <v>1819</v>
      </c>
      <c r="AS15" s="793">
        <v>78</v>
      </c>
      <c r="AT15" s="793">
        <v>16897</v>
      </c>
      <c r="AU15" s="793">
        <v>852</v>
      </c>
      <c r="AV15" s="793">
        <v>568506</v>
      </c>
      <c r="AW15" s="800">
        <v>45293</v>
      </c>
      <c r="AX15" s="800">
        <v>45657</v>
      </c>
      <c r="AY15" s="793" t="s">
        <v>1820</v>
      </c>
      <c r="AZ15" s="15"/>
      <c r="BA15" s="15"/>
      <c r="BB15" s="15"/>
      <c r="BC15" s="15"/>
      <c r="BD15" s="15"/>
      <c r="BE15" s="15"/>
      <c r="BF15" s="15"/>
      <c r="BG15" s="15"/>
      <c r="BH15" s="15"/>
      <c r="BI15" s="15"/>
      <c r="BJ15" s="15"/>
      <c r="BK15" s="15"/>
      <c r="BL15" s="15"/>
      <c r="BM15" s="15"/>
      <c r="BN15" s="15"/>
    </row>
    <row r="16" spans="1:69" s="47" customFormat="1" ht="63.75" x14ac:dyDescent="0.2">
      <c r="A16" s="23">
        <v>1</v>
      </c>
      <c r="B16" s="34" t="s">
        <v>315</v>
      </c>
      <c r="C16" s="793">
        <v>19</v>
      </c>
      <c r="D16" s="792" t="s">
        <v>517</v>
      </c>
      <c r="E16" s="793">
        <v>1903</v>
      </c>
      <c r="F16" s="792" t="s">
        <v>1807</v>
      </c>
      <c r="G16" s="794">
        <v>1903023</v>
      </c>
      <c r="H16" s="792" t="s">
        <v>1830</v>
      </c>
      <c r="I16" s="51">
        <v>1903023</v>
      </c>
      <c r="J16" s="792" t="s">
        <v>1831</v>
      </c>
      <c r="K16" s="795">
        <v>190302300</v>
      </c>
      <c r="L16" s="792" t="s">
        <v>1832</v>
      </c>
      <c r="M16" s="801">
        <v>190302300</v>
      </c>
      <c r="N16" s="792" t="s">
        <v>1833</v>
      </c>
      <c r="O16" s="794">
        <v>12</v>
      </c>
      <c r="P16" s="794"/>
      <c r="Q16" s="317">
        <v>12</v>
      </c>
      <c r="R16" s="797">
        <v>2020003630116</v>
      </c>
      <c r="S16" s="792" t="s">
        <v>1812</v>
      </c>
      <c r="T16" s="208">
        <f>SUM($X$16:$X$17)/SUM($X$11:$X$31)</f>
        <v>6.1462814996926858E-2</v>
      </c>
      <c r="U16" s="792" t="s">
        <v>1813</v>
      </c>
      <c r="V16" s="792" t="s">
        <v>1814</v>
      </c>
      <c r="W16" s="792" t="s">
        <v>1834</v>
      </c>
      <c r="X16" s="315">
        <v>20000000</v>
      </c>
      <c r="Y16" s="707"/>
      <c r="Z16" s="707"/>
      <c r="AA16" s="707"/>
      <c r="AB16" s="707">
        <f t="shared" si="0"/>
        <v>20000000</v>
      </c>
      <c r="AC16" s="798" t="s">
        <v>1835</v>
      </c>
      <c r="AD16" s="799"/>
      <c r="AE16" s="72">
        <v>61</v>
      </c>
      <c r="AF16" s="28" t="s">
        <v>1817</v>
      </c>
      <c r="AG16" s="793">
        <v>289394</v>
      </c>
      <c r="AH16" s="793">
        <v>279112</v>
      </c>
      <c r="AI16" s="793">
        <v>63164</v>
      </c>
      <c r="AJ16" s="793">
        <v>45607</v>
      </c>
      <c r="AK16" s="793">
        <v>365607</v>
      </c>
      <c r="AL16" s="793">
        <v>75612</v>
      </c>
      <c r="AM16" s="793">
        <v>2145</v>
      </c>
      <c r="AN16" s="793">
        <v>12718</v>
      </c>
      <c r="AO16" s="793">
        <v>26</v>
      </c>
      <c r="AP16" s="793">
        <v>37</v>
      </c>
      <c r="AQ16" s="793" t="s">
        <v>1818</v>
      </c>
      <c r="AR16" s="793" t="s">
        <v>1819</v>
      </c>
      <c r="AS16" s="793">
        <v>78</v>
      </c>
      <c r="AT16" s="793">
        <v>16897</v>
      </c>
      <c r="AU16" s="793">
        <v>852</v>
      </c>
      <c r="AV16" s="793">
        <v>568506</v>
      </c>
      <c r="AW16" s="800">
        <v>45293</v>
      </c>
      <c r="AX16" s="800">
        <v>45657</v>
      </c>
      <c r="AY16" s="793" t="s">
        <v>1820</v>
      </c>
      <c r="AZ16" s="15"/>
      <c r="BA16" s="15"/>
      <c r="BB16" s="15"/>
      <c r="BC16" s="15"/>
      <c r="BD16" s="15"/>
      <c r="BE16" s="15"/>
      <c r="BF16" s="15"/>
      <c r="BG16" s="15"/>
      <c r="BH16" s="15"/>
      <c r="BI16" s="15"/>
      <c r="BJ16" s="15"/>
      <c r="BK16" s="15"/>
      <c r="BL16" s="15"/>
      <c r="BM16" s="15"/>
      <c r="BN16" s="15"/>
    </row>
    <row r="17" spans="1:66" s="47" customFormat="1" ht="114.75" x14ac:dyDescent="0.2">
      <c r="A17" s="23">
        <v>1</v>
      </c>
      <c r="B17" s="34" t="s">
        <v>315</v>
      </c>
      <c r="C17" s="793">
        <v>19</v>
      </c>
      <c r="D17" s="792" t="s">
        <v>517</v>
      </c>
      <c r="E17" s="793">
        <v>1903</v>
      </c>
      <c r="F17" s="792" t="s">
        <v>1807</v>
      </c>
      <c r="G17" s="794">
        <v>1903023</v>
      </c>
      <c r="H17" s="792" t="s">
        <v>1830</v>
      </c>
      <c r="I17" s="51">
        <v>1903023</v>
      </c>
      <c r="J17" s="792" t="s">
        <v>1831</v>
      </c>
      <c r="K17" s="795">
        <v>190302300</v>
      </c>
      <c r="L17" s="792" t="s">
        <v>1832</v>
      </c>
      <c r="M17" s="801">
        <v>190302300</v>
      </c>
      <c r="N17" s="792" t="s">
        <v>1833</v>
      </c>
      <c r="O17" s="317">
        <v>12</v>
      </c>
      <c r="P17" s="794"/>
      <c r="Q17" s="317">
        <v>12</v>
      </c>
      <c r="R17" s="797">
        <v>2020003630116</v>
      </c>
      <c r="S17" s="792" t="s">
        <v>1812</v>
      </c>
      <c r="T17" s="208">
        <f>SUM($X$16:$X$17)/SUM($X$11:$X$31)</f>
        <v>6.1462814996926858E-2</v>
      </c>
      <c r="U17" s="792" t="s">
        <v>1813</v>
      </c>
      <c r="V17" s="792" t="s">
        <v>1814</v>
      </c>
      <c r="W17" s="792" t="s">
        <v>1836</v>
      </c>
      <c r="X17" s="315">
        <v>20000000</v>
      </c>
      <c r="Y17" s="707"/>
      <c r="Z17" s="707"/>
      <c r="AA17" s="707"/>
      <c r="AB17" s="707">
        <f t="shared" si="0"/>
        <v>20000000</v>
      </c>
      <c r="AC17" s="798" t="s">
        <v>1835</v>
      </c>
      <c r="AD17" s="799"/>
      <c r="AE17" s="72">
        <v>61</v>
      </c>
      <c r="AF17" s="28" t="s">
        <v>1817</v>
      </c>
      <c r="AG17" s="793">
        <v>289394</v>
      </c>
      <c r="AH17" s="793">
        <v>279112</v>
      </c>
      <c r="AI17" s="793">
        <v>63164</v>
      </c>
      <c r="AJ17" s="793">
        <v>45607</v>
      </c>
      <c r="AK17" s="793">
        <v>365607</v>
      </c>
      <c r="AL17" s="793">
        <v>75612</v>
      </c>
      <c r="AM17" s="793">
        <v>2145</v>
      </c>
      <c r="AN17" s="793">
        <v>12718</v>
      </c>
      <c r="AO17" s="793">
        <v>26</v>
      </c>
      <c r="AP17" s="793">
        <v>37</v>
      </c>
      <c r="AQ17" s="793" t="s">
        <v>1818</v>
      </c>
      <c r="AR17" s="793" t="s">
        <v>1819</v>
      </c>
      <c r="AS17" s="793">
        <v>78</v>
      </c>
      <c r="AT17" s="793">
        <v>16897</v>
      </c>
      <c r="AU17" s="793">
        <v>852</v>
      </c>
      <c r="AV17" s="793">
        <v>568506</v>
      </c>
      <c r="AW17" s="800">
        <v>45293</v>
      </c>
      <c r="AX17" s="800">
        <v>45657</v>
      </c>
      <c r="AY17" s="793" t="s">
        <v>1820</v>
      </c>
      <c r="AZ17" s="15"/>
      <c r="BA17" s="15"/>
      <c r="BB17" s="15"/>
      <c r="BC17" s="15"/>
      <c r="BD17" s="15"/>
      <c r="BE17" s="15"/>
      <c r="BF17" s="15"/>
      <c r="BG17" s="15"/>
      <c r="BH17" s="15"/>
      <c r="BI17" s="15"/>
      <c r="BJ17" s="15"/>
      <c r="BK17" s="15"/>
      <c r="BL17" s="15"/>
      <c r="BM17" s="15"/>
      <c r="BN17" s="15"/>
    </row>
    <row r="18" spans="1:66" s="47" customFormat="1" ht="114.75" x14ac:dyDescent="0.2">
      <c r="A18" s="23">
        <v>1</v>
      </c>
      <c r="B18" s="34" t="s">
        <v>315</v>
      </c>
      <c r="C18" s="793">
        <v>19</v>
      </c>
      <c r="D18" s="792" t="s">
        <v>517</v>
      </c>
      <c r="E18" s="793">
        <v>1903</v>
      </c>
      <c r="F18" s="792" t="s">
        <v>1807</v>
      </c>
      <c r="G18" s="794">
        <v>1903050</v>
      </c>
      <c r="H18" s="792" t="s">
        <v>1837</v>
      </c>
      <c r="I18" s="51">
        <v>1903050</v>
      </c>
      <c r="J18" s="792" t="s">
        <v>1838</v>
      </c>
      <c r="K18" s="795">
        <v>190305000</v>
      </c>
      <c r="L18" s="792" t="s">
        <v>1839</v>
      </c>
      <c r="M18" s="801">
        <v>190305000</v>
      </c>
      <c r="N18" s="792" t="s">
        <v>1840</v>
      </c>
      <c r="O18" s="317">
        <v>12</v>
      </c>
      <c r="P18" s="794"/>
      <c r="Q18" s="317">
        <v>12</v>
      </c>
      <c r="R18" s="797">
        <v>2020003630116</v>
      </c>
      <c r="S18" s="792" t="s">
        <v>1812</v>
      </c>
      <c r="T18" s="208">
        <f>SUM($X$18:$X$19)/SUM($X$11:$X$31)</f>
        <v>7.3755377996312238E-2</v>
      </c>
      <c r="U18" s="792" t="s">
        <v>1813</v>
      </c>
      <c r="V18" s="792" t="s">
        <v>1814</v>
      </c>
      <c r="W18" s="792" t="s">
        <v>1841</v>
      </c>
      <c r="X18" s="315">
        <v>24000000</v>
      </c>
      <c r="Y18" s="707"/>
      <c r="Z18" s="707"/>
      <c r="AA18" s="707"/>
      <c r="AB18" s="707">
        <f t="shared" si="0"/>
        <v>24000000</v>
      </c>
      <c r="AC18" s="798" t="s">
        <v>1842</v>
      </c>
      <c r="AD18" s="799"/>
      <c r="AE18" s="72">
        <v>61</v>
      </c>
      <c r="AF18" s="28" t="s">
        <v>1817</v>
      </c>
      <c r="AG18" s="793">
        <v>289394</v>
      </c>
      <c r="AH18" s="793">
        <v>279112</v>
      </c>
      <c r="AI18" s="793">
        <v>63164</v>
      </c>
      <c r="AJ18" s="793">
        <v>45607</v>
      </c>
      <c r="AK18" s="793">
        <v>365607</v>
      </c>
      <c r="AL18" s="793">
        <v>75612</v>
      </c>
      <c r="AM18" s="793">
        <v>2145</v>
      </c>
      <c r="AN18" s="793">
        <v>12718</v>
      </c>
      <c r="AO18" s="793">
        <v>26</v>
      </c>
      <c r="AP18" s="793">
        <v>37</v>
      </c>
      <c r="AQ18" s="793" t="s">
        <v>1818</v>
      </c>
      <c r="AR18" s="793" t="s">
        <v>1819</v>
      </c>
      <c r="AS18" s="793">
        <v>78</v>
      </c>
      <c r="AT18" s="793">
        <v>16897</v>
      </c>
      <c r="AU18" s="793">
        <v>852</v>
      </c>
      <c r="AV18" s="793">
        <v>568506</v>
      </c>
      <c r="AW18" s="800">
        <v>45293</v>
      </c>
      <c r="AX18" s="800">
        <v>45657</v>
      </c>
      <c r="AY18" s="793" t="s">
        <v>1820</v>
      </c>
      <c r="AZ18" s="15"/>
      <c r="BA18" s="15"/>
      <c r="BB18" s="15"/>
      <c r="BC18" s="15"/>
      <c r="BD18" s="15"/>
      <c r="BE18" s="15"/>
      <c r="BF18" s="15"/>
      <c r="BG18" s="15"/>
      <c r="BH18" s="15"/>
      <c r="BI18" s="15"/>
      <c r="BJ18" s="15"/>
      <c r="BK18" s="15"/>
      <c r="BL18" s="15"/>
      <c r="BM18" s="15"/>
      <c r="BN18" s="15"/>
    </row>
    <row r="19" spans="1:66" s="47" customFormat="1" ht="114.75" x14ac:dyDescent="0.2">
      <c r="A19" s="23">
        <v>1</v>
      </c>
      <c r="B19" s="34" t="s">
        <v>315</v>
      </c>
      <c r="C19" s="793">
        <v>19</v>
      </c>
      <c r="D19" s="792" t="s">
        <v>517</v>
      </c>
      <c r="E19" s="793">
        <v>1903</v>
      </c>
      <c r="F19" s="792" t="s">
        <v>1807</v>
      </c>
      <c r="G19" s="794">
        <v>1903050</v>
      </c>
      <c r="H19" s="792" t="s">
        <v>1837</v>
      </c>
      <c r="I19" s="51">
        <v>1903050</v>
      </c>
      <c r="J19" s="792" t="s">
        <v>1838</v>
      </c>
      <c r="K19" s="795">
        <v>190305000</v>
      </c>
      <c r="L19" s="792" t="s">
        <v>1843</v>
      </c>
      <c r="M19" s="801">
        <v>190305000</v>
      </c>
      <c r="N19" s="792" t="s">
        <v>1840</v>
      </c>
      <c r="O19" s="317">
        <v>12</v>
      </c>
      <c r="P19" s="794"/>
      <c r="Q19" s="317">
        <v>12</v>
      </c>
      <c r="R19" s="797">
        <v>2020003630116</v>
      </c>
      <c r="S19" s="792" t="s">
        <v>1812</v>
      </c>
      <c r="T19" s="208">
        <f>SUM($X$18:$X$19)/SUM($X$11:$X$31)</f>
        <v>7.3755377996312238E-2</v>
      </c>
      <c r="U19" s="792" t="s">
        <v>1813</v>
      </c>
      <c r="V19" s="792" t="s">
        <v>1814</v>
      </c>
      <c r="W19" s="792" t="s">
        <v>1844</v>
      </c>
      <c r="X19" s="802">
        <v>24000000</v>
      </c>
      <c r="Y19" s="803"/>
      <c r="Z19" s="803"/>
      <c r="AA19" s="803"/>
      <c r="AB19" s="707">
        <f t="shared" si="0"/>
        <v>24000000</v>
      </c>
      <c r="AC19" s="798" t="s">
        <v>1842</v>
      </c>
      <c r="AD19" s="799"/>
      <c r="AE19" s="72">
        <v>61</v>
      </c>
      <c r="AF19" s="28" t="s">
        <v>1817</v>
      </c>
      <c r="AG19" s="793">
        <v>289394</v>
      </c>
      <c r="AH19" s="793">
        <v>279112</v>
      </c>
      <c r="AI19" s="793">
        <v>63164</v>
      </c>
      <c r="AJ19" s="793">
        <v>45607</v>
      </c>
      <c r="AK19" s="793">
        <v>365607</v>
      </c>
      <c r="AL19" s="793">
        <v>75612</v>
      </c>
      <c r="AM19" s="793">
        <v>2145</v>
      </c>
      <c r="AN19" s="793">
        <v>12718</v>
      </c>
      <c r="AO19" s="793">
        <v>26</v>
      </c>
      <c r="AP19" s="793">
        <v>37</v>
      </c>
      <c r="AQ19" s="793" t="s">
        <v>1818</v>
      </c>
      <c r="AR19" s="793" t="s">
        <v>1819</v>
      </c>
      <c r="AS19" s="793">
        <v>78</v>
      </c>
      <c r="AT19" s="793">
        <v>16897</v>
      </c>
      <c r="AU19" s="793">
        <v>852</v>
      </c>
      <c r="AV19" s="793">
        <v>568506</v>
      </c>
      <c r="AW19" s="800">
        <v>45293</v>
      </c>
      <c r="AX19" s="800">
        <v>45657</v>
      </c>
      <c r="AY19" s="793" t="s">
        <v>1820</v>
      </c>
      <c r="AZ19" s="15"/>
      <c r="BA19" s="15"/>
      <c r="BB19" s="15"/>
      <c r="BC19" s="15"/>
      <c r="BD19" s="15"/>
      <c r="BE19" s="15"/>
      <c r="BF19" s="15"/>
      <c r="BG19" s="15"/>
      <c r="BH19" s="15"/>
      <c r="BI19" s="15"/>
      <c r="BJ19" s="15"/>
      <c r="BK19" s="15"/>
      <c r="BL19" s="15"/>
      <c r="BM19" s="15"/>
      <c r="BN19" s="15"/>
    </row>
    <row r="20" spans="1:66" s="47" customFormat="1" ht="114.75" x14ac:dyDescent="0.2">
      <c r="A20" s="23">
        <v>1</v>
      </c>
      <c r="B20" s="34" t="s">
        <v>315</v>
      </c>
      <c r="C20" s="793">
        <v>19</v>
      </c>
      <c r="D20" s="792" t="s">
        <v>517</v>
      </c>
      <c r="E20" s="793">
        <v>1903</v>
      </c>
      <c r="F20" s="792" t="s">
        <v>1807</v>
      </c>
      <c r="G20" s="794" t="s">
        <v>70</v>
      </c>
      <c r="H20" s="792" t="s">
        <v>1845</v>
      </c>
      <c r="I20" s="51">
        <v>1903038</v>
      </c>
      <c r="J20" s="792" t="s">
        <v>1846</v>
      </c>
      <c r="K20" s="794" t="s">
        <v>70</v>
      </c>
      <c r="L20" s="792" t="s">
        <v>1847</v>
      </c>
      <c r="M20" s="801">
        <v>190303801</v>
      </c>
      <c r="N20" s="792" t="s">
        <v>1848</v>
      </c>
      <c r="O20" s="804">
        <v>1</v>
      </c>
      <c r="P20" s="805"/>
      <c r="Q20" s="804">
        <v>1</v>
      </c>
      <c r="R20" s="797">
        <v>2020003630116</v>
      </c>
      <c r="S20" s="792" t="s">
        <v>1812</v>
      </c>
      <c r="T20" s="208">
        <f>SUM($X$20:$X$28)/SUM($X$11:$X$31)</f>
        <v>0.4625076828518746</v>
      </c>
      <c r="U20" s="792" t="s">
        <v>1813</v>
      </c>
      <c r="V20" s="792" t="s">
        <v>1814</v>
      </c>
      <c r="W20" s="792" t="s">
        <v>1849</v>
      </c>
      <c r="X20" s="315">
        <v>2000000</v>
      </c>
      <c r="Y20" s="707"/>
      <c r="Z20" s="707"/>
      <c r="AA20" s="707"/>
      <c r="AB20" s="707">
        <f t="shared" si="0"/>
        <v>2000000</v>
      </c>
      <c r="AC20" s="798" t="s">
        <v>1850</v>
      </c>
      <c r="AD20" s="799"/>
      <c r="AE20" s="72">
        <v>63</v>
      </c>
      <c r="AF20" s="28" t="s">
        <v>1851</v>
      </c>
      <c r="AG20" s="793">
        <v>289394</v>
      </c>
      <c r="AH20" s="793">
        <v>279112</v>
      </c>
      <c r="AI20" s="793">
        <v>63164</v>
      </c>
      <c r="AJ20" s="793">
        <v>45607</v>
      </c>
      <c r="AK20" s="793">
        <v>365607</v>
      </c>
      <c r="AL20" s="793">
        <v>75612</v>
      </c>
      <c r="AM20" s="793">
        <v>2145</v>
      </c>
      <c r="AN20" s="793">
        <v>12718</v>
      </c>
      <c r="AO20" s="793">
        <v>26</v>
      </c>
      <c r="AP20" s="793">
        <v>37</v>
      </c>
      <c r="AQ20" s="793" t="s">
        <v>1818</v>
      </c>
      <c r="AR20" s="793" t="s">
        <v>1819</v>
      </c>
      <c r="AS20" s="793">
        <v>78</v>
      </c>
      <c r="AT20" s="793">
        <v>16897</v>
      </c>
      <c r="AU20" s="793">
        <v>852</v>
      </c>
      <c r="AV20" s="793">
        <v>568506</v>
      </c>
      <c r="AW20" s="800">
        <v>45293</v>
      </c>
      <c r="AX20" s="800">
        <v>45657</v>
      </c>
      <c r="AY20" s="793" t="s">
        <v>1820</v>
      </c>
      <c r="AZ20" s="15"/>
      <c r="BA20" s="15"/>
      <c r="BB20" s="15"/>
      <c r="BC20" s="15"/>
      <c r="BD20" s="15"/>
      <c r="BE20" s="15"/>
      <c r="BF20" s="15"/>
      <c r="BG20" s="15"/>
      <c r="BH20" s="15"/>
      <c r="BI20" s="15"/>
      <c r="BJ20" s="15"/>
      <c r="BK20" s="15"/>
      <c r="BL20" s="15"/>
      <c r="BM20" s="15"/>
      <c r="BN20" s="15"/>
    </row>
    <row r="21" spans="1:66" s="47" customFormat="1" ht="89.25" x14ac:dyDescent="0.2">
      <c r="A21" s="23">
        <v>1</v>
      </c>
      <c r="B21" s="34" t="s">
        <v>315</v>
      </c>
      <c r="C21" s="793">
        <v>19</v>
      </c>
      <c r="D21" s="792" t="s">
        <v>517</v>
      </c>
      <c r="E21" s="793">
        <v>1903</v>
      </c>
      <c r="F21" s="792" t="s">
        <v>1807</v>
      </c>
      <c r="G21" s="794" t="s">
        <v>70</v>
      </c>
      <c r="H21" s="792" t="s">
        <v>1852</v>
      </c>
      <c r="I21" s="51">
        <v>1903038</v>
      </c>
      <c r="J21" s="792" t="s">
        <v>1846</v>
      </c>
      <c r="K21" s="794" t="s">
        <v>70</v>
      </c>
      <c r="L21" s="792" t="s">
        <v>1847</v>
      </c>
      <c r="M21" s="801">
        <v>190303801</v>
      </c>
      <c r="N21" s="792" t="s">
        <v>1848</v>
      </c>
      <c r="O21" s="804">
        <v>1</v>
      </c>
      <c r="P21" s="805"/>
      <c r="Q21" s="804">
        <v>1</v>
      </c>
      <c r="R21" s="797">
        <v>2020003630116</v>
      </c>
      <c r="S21" s="792" t="s">
        <v>1812</v>
      </c>
      <c r="T21" s="208">
        <f t="shared" ref="T21:T28" si="1">SUM($X$20:$X$28)/SUM($X$11:$X$31)</f>
        <v>0.4625076828518746</v>
      </c>
      <c r="U21" s="792" t="s">
        <v>1813</v>
      </c>
      <c r="V21" s="792" t="s">
        <v>1853</v>
      </c>
      <c r="W21" s="792" t="s">
        <v>1854</v>
      </c>
      <c r="X21" s="315">
        <v>30000000</v>
      </c>
      <c r="Y21" s="315">
        <v>30000000</v>
      </c>
      <c r="Z21" s="707"/>
      <c r="AA21" s="707"/>
      <c r="AB21" s="707">
        <f t="shared" si="0"/>
        <v>0</v>
      </c>
      <c r="AC21" s="798" t="s">
        <v>1850</v>
      </c>
      <c r="AD21" s="799"/>
      <c r="AE21" s="72">
        <v>63</v>
      </c>
      <c r="AF21" s="28" t="s">
        <v>1851</v>
      </c>
      <c r="AG21" s="793">
        <v>289394</v>
      </c>
      <c r="AH21" s="793">
        <v>279112</v>
      </c>
      <c r="AI21" s="793">
        <v>63164</v>
      </c>
      <c r="AJ21" s="793">
        <v>45607</v>
      </c>
      <c r="AK21" s="793">
        <v>365607</v>
      </c>
      <c r="AL21" s="793">
        <v>75612</v>
      </c>
      <c r="AM21" s="793">
        <v>2145</v>
      </c>
      <c r="AN21" s="793">
        <v>12718</v>
      </c>
      <c r="AO21" s="793">
        <v>26</v>
      </c>
      <c r="AP21" s="793">
        <v>37</v>
      </c>
      <c r="AQ21" s="793" t="s">
        <v>1818</v>
      </c>
      <c r="AR21" s="793" t="s">
        <v>1819</v>
      </c>
      <c r="AS21" s="793">
        <v>78</v>
      </c>
      <c r="AT21" s="793">
        <v>16897</v>
      </c>
      <c r="AU21" s="793">
        <v>852</v>
      </c>
      <c r="AV21" s="793">
        <v>568506</v>
      </c>
      <c r="AW21" s="800">
        <v>45293</v>
      </c>
      <c r="AX21" s="800">
        <v>45657</v>
      </c>
      <c r="AY21" s="793" t="s">
        <v>1820</v>
      </c>
      <c r="AZ21" s="15"/>
      <c r="BA21" s="15"/>
      <c r="BB21" s="15"/>
      <c r="BC21" s="15"/>
      <c r="BD21" s="15"/>
      <c r="BE21" s="15"/>
      <c r="BF21" s="15"/>
      <c r="BG21" s="15"/>
      <c r="BH21" s="15"/>
      <c r="BI21" s="15"/>
      <c r="BJ21" s="15"/>
      <c r="BK21" s="15"/>
      <c r="BL21" s="15"/>
      <c r="BM21" s="15"/>
      <c r="BN21" s="15"/>
    </row>
    <row r="22" spans="1:66" s="47" customFormat="1" ht="89.25" x14ac:dyDescent="0.2">
      <c r="A22" s="23">
        <v>1</v>
      </c>
      <c r="B22" s="34" t="s">
        <v>315</v>
      </c>
      <c r="C22" s="793">
        <v>19</v>
      </c>
      <c r="D22" s="792" t="s">
        <v>517</v>
      </c>
      <c r="E22" s="793">
        <v>1903</v>
      </c>
      <c r="F22" s="792" t="s">
        <v>1807</v>
      </c>
      <c r="G22" s="794" t="s">
        <v>70</v>
      </c>
      <c r="H22" s="792" t="s">
        <v>1852</v>
      </c>
      <c r="I22" s="51">
        <v>1903038</v>
      </c>
      <c r="J22" s="792" t="s">
        <v>1846</v>
      </c>
      <c r="K22" s="794" t="s">
        <v>70</v>
      </c>
      <c r="L22" s="792" t="s">
        <v>1847</v>
      </c>
      <c r="M22" s="801">
        <v>190303801</v>
      </c>
      <c r="N22" s="792" t="s">
        <v>1848</v>
      </c>
      <c r="O22" s="804">
        <v>1</v>
      </c>
      <c r="P22" s="805"/>
      <c r="Q22" s="804">
        <v>1</v>
      </c>
      <c r="R22" s="797">
        <v>2020003630116</v>
      </c>
      <c r="S22" s="792" t="s">
        <v>1812</v>
      </c>
      <c r="T22" s="208">
        <f t="shared" si="1"/>
        <v>0.4625076828518746</v>
      </c>
      <c r="U22" s="792" t="s">
        <v>1813</v>
      </c>
      <c r="V22" s="792" t="s">
        <v>1853</v>
      </c>
      <c r="W22" s="792" t="s">
        <v>1855</v>
      </c>
      <c r="X22" s="315">
        <v>2000000</v>
      </c>
      <c r="Y22" s="707"/>
      <c r="Z22" s="707"/>
      <c r="AA22" s="707"/>
      <c r="AB22" s="707">
        <f t="shared" si="0"/>
        <v>2000000</v>
      </c>
      <c r="AC22" s="798" t="s">
        <v>1850</v>
      </c>
      <c r="AD22" s="799"/>
      <c r="AE22" s="72">
        <v>63</v>
      </c>
      <c r="AF22" s="28" t="s">
        <v>1851</v>
      </c>
      <c r="AG22" s="793">
        <v>289394</v>
      </c>
      <c r="AH22" s="793">
        <v>279112</v>
      </c>
      <c r="AI22" s="793">
        <v>63164</v>
      </c>
      <c r="AJ22" s="793">
        <v>45607</v>
      </c>
      <c r="AK22" s="793">
        <v>365607</v>
      </c>
      <c r="AL22" s="793">
        <v>75612</v>
      </c>
      <c r="AM22" s="793">
        <v>2145</v>
      </c>
      <c r="AN22" s="793">
        <v>12718</v>
      </c>
      <c r="AO22" s="793">
        <v>26</v>
      </c>
      <c r="AP22" s="793">
        <v>37</v>
      </c>
      <c r="AQ22" s="793" t="s">
        <v>1818</v>
      </c>
      <c r="AR22" s="793" t="s">
        <v>1819</v>
      </c>
      <c r="AS22" s="793">
        <v>78</v>
      </c>
      <c r="AT22" s="793">
        <v>16897</v>
      </c>
      <c r="AU22" s="793">
        <v>852</v>
      </c>
      <c r="AV22" s="793">
        <v>568506</v>
      </c>
      <c r="AW22" s="800">
        <v>45293</v>
      </c>
      <c r="AX22" s="800">
        <v>45657</v>
      </c>
      <c r="AY22" s="793" t="s">
        <v>1820</v>
      </c>
      <c r="AZ22" s="15"/>
      <c r="BA22" s="15"/>
      <c r="BB22" s="15"/>
      <c r="BC22" s="15"/>
      <c r="BD22" s="15"/>
      <c r="BE22" s="15"/>
      <c r="BF22" s="15"/>
      <c r="BG22" s="15"/>
      <c r="BH22" s="15"/>
      <c r="BI22" s="15"/>
      <c r="BJ22" s="15"/>
      <c r="BK22" s="15"/>
      <c r="BL22" s="15"/>
      <c r="BM22" s="15"/>
      <c r="BN22" s="15"/>
    </row>
    <row r="23" spans="1:66" s="47" customFormat="1" ht="114.75" x14ac:dyDescent="0.2">
      <c r="A23" s="23">
        <v>1</v>
      </c>
      <c r="B23" s="34" t="s">
        <v>315</v>
      </c>
      <c r="C23" s="793">
        <v>19</v>
      </c>
      <c r="D23" s="792" t="s">
        <v>517</v>
      </c>
      <c r="E23" s="793">
        <v>1903</v>
      </c>
      <c r="F23" s="792" t="s">
        <v>1807</v>
      </c>
      <c r="G23" s="794" t="s">
        <v>70</v>
      </c>
      <c r="H23" s="792" t="s">
        <v>1852</v>
      </c>
      <c r="I23" s="51">
        <v>1903038</v>
      </c>
      <c r="J23" s="792" t="s">
        <v>1846</v>
      </c>
      <c r="K23" s="794" t="s">
        <v>70</v>
      </c>
      <c r="L23" s="792" t="s">
        <v>1847</v>
      </c>
      <c r="M23" s="801">
        <v>190303801</v>
      </c>
      <c r="N23" s="792" t="s">
        <v>1848</v>
      </c>
      <c r="O23" s="804">
        <v>1</v>
      </c>
      <c r="P23" s="805"/>
      <c r="Q23" s="804">
        <v>1</v>
      </c>
      <c r="R23" s="797">
        <v>2020003630116</v>
      </c>
      <c r="S23" s="792" t="s">
        <v>1812</v>
      </c>
      <c r="T23" s="208">
        <f t="shared" si="1"/>
        <v>0.4625076828518746</v>
      </c>
      <c r="U23" s="792" t="s">
        <v>1813</v>
      </c>
      <c r="V23" s="792" t="s">
        <v>1853</v>
      </c>
      <c r="W23" s="792" t="s">
        <v>1856</v>
      </c>
      <c r="X23" s="315">
        <v>2000000</v>
      </c>
      <c r="Y23" s="707"/>
      <c r="Z23" s="707"/>
      <c r="AA23" s="707"/>
      <c r="AB23" s="707">
        <f t="shared" si="0"/>
        <v>2000000</v>
      </c>
      <c r="AC23" s="798" t="s">
        <v>1850</v>
      </c>
      <c r="AD23" s="799"/>
      <c r="AE23" s="72">
        <v>63</v>
      </c>
      <c r="AF23" s="28" t="s">
        <v>1851</v>
      </c>
      <c r="AG23" s="793">
        <v>289394</v>
      </c>
      <c r="AH23" s="793">
        <v>279112</v>
      </c>
      <c r="AI23" s="793">
        <v>63164</v>
      </c>
      <c r="AJ23" s="793">
        <v>45607</v>
      </c>
      <c r="AK23" s="793">
        <v>365607</v>
      </c>
      <c r="AL23" s="793">
        <v>75612</v>
      </c>
      <c r="AM23" s="793">
        <v>2145</v>
      </c>
      <c r="AN23" s="793">
        <v>12718</v>
      </c>
      <c r="AO23" s="793">
        <v>26</v>
      </c>
      <c r="AP23" s="793">
        <v>37</v>
      </c>
      <c r="AQ23" s="793" t="s">
        <v>1818</v>
      </c>
      <c r="AR23" s="793" t="s">
        <v>1819</v>
      </c>
      <c r="AS23" s="793">
        <v>78</v>
      </c>
      <c r="AT23" s="793">
        <v>16897</v>
      </c>
      <c r="AU23" s="793">
        <v>852</v>
      </c>
      <c r="AV23" s="793">
        <v>568506</v>
      </c>
      <c r="AW23" s="800">
        <v>45293</v>
      </c>
      <c r="AX23" s="800">
        <v>45657</v>
      </c>
      <c r="AY23" s="793" t="s">
        <v>1820</v>
      </c>
      <c r="AZ23" s="15"/>
      <c r="BA23" s="15"/>
      <c r="BB23" s="15"/>
      <c r="BC23" s="15"/>
      <c r="BD23" s="15"/>
      <c r="BE23" s="15"/>
      <c r="BF23" s="15"/>
      <c r="BG23" s="15"/>
      <c r="BH23" s="15"/>
      <c r="BI23" s="15"/>
      <c r="BJ23" s="15"/>
      <c r="BK23" s="15"/>
      <c r="BL23" s="15"/>
      <c r="BM23" s="15"/>
      <c r="BN23" s="15"/>
    </row>
    <row r="24" spans="1:66" s="47" customFormat="1" ht="89.25" x14ac:dyDescent="0.2">
      <c r="A24" s="23">
        <v>1</v>
      </c>
      <c r="B24" s="34" t="s">
        <v>315</v>
      </c>
      <c r="C24" s="793">
        <v>19</v>
      </c>
      <c r="D24" s="792" t="s">
        <v>517</v>
      </c>
      <c r="E24" s="793">
        <v>1903</v>
      </c>
      <c r="F24" s="792" t="s">
        <v>1807</v>
      </c>
      <c r="G24" s="794" t="s">
        <v>70</v>
      </c>
      <c r="H24" s="792" t="s">
        <v>1852</v>
      </c>
      <c r="I24" s="51">
        <v>1903038</v>
      </c>
      <c r="J24" s="792" t="s">
        <v>1846</v>
      </c>
      <c r="K24" s="794" t="s">
        <v>70</v>
      </c>
      <c r="L24" s="792" t="s">
        <v>1847</v>
      </c>
      <c r="M24" s="801">
        <v>190303801</v>
      </c>
      <c r="N24" s="792" t="s">
        <v>1848</v>
      </c>
      <c r="O24" s="804">
        <v>1</v>
      </c>
      <c r="P24" s="805"/>
      <c r="Q24" s="804">
        <v>1</v>
      </c>
      <c r="R24" s="797">
        <v>2020003630116</v>
      </c>
      <c r="S24" s="792" t="s">
        <v>1812</v>
      </c>
      <c r="T24" s="208">
        <f t="shared" si="1"/>
        <v>0.4625076828518746</v>
      </c>
      <c r="U24" s="792" t="s">
        <v>1813</v>
      </c>
      <c r="V24" s="792" t="s">
        <v>1853</v>
      </c>
      <c r="W24" s="792" t="s">
        <v>1857</v>
      </c>
      <c r="X24" s="315">
        <v>2000000</v>
      </c>
      <c r="Y24" s="707"/>
      <c r="Z24" s="707"/>
      <c r="AA24" s="707"/>
      <c r="AB24" s="707">
        <f t="shared" si="0"/>
        <v>2000000</v>
      </c>
      <c r="AC24" s="798" t="s">
        <v>1850</v>
      </c>
      <c r="AD24" s="799"/>
      <c r="AE24" s="72">
        <v>63</v>
      </c>
      <c r="AF24" s="28" t="s">
        <v>1851</v>
      </c>
      <c r="AG24" s="793">
        <v>289394</v>
      </c>
      <c r="AH24" s="793">
        <v>279112</v>
      </c>
      <c r="AI24" s="793">
        <v>63164</v>
      </c>
      <c r="AJ24" s="793">
        <v>45607</v>
      </c>
      <c r="AK24" s="793">
        <v>365607</v>
      </c>
      <c r="AL24" s="793">
        <v>75612</v>
      </c>
      <c r="AM24" s="793">
        <v>2145</v>
      </c>
      <c r="AN24" s="793">
        <v>12718</v>
      </c>
      <c r="AO24" s="793">
        <v>26</v>
      </c>
      <c r="AP24" s="793">
        <v>37</v>
      </c>
      <c r="AQ24" s="793" t="s">
        <v>1818</v>
      </c>
      <c r="AR24" s="793" t="s">
        <v>1819</v>
      </c>
      <c r="AS24" s="793">
        <v>78</v>
      </c>
      <c r="AT24" s="793">
        <v>16897</v>
      </c>
      <c r="AU24" s="793">
        <v>852</v>
      </c>
      <c r="AV24" s="793">
        <v>568506</v>
      </c>
      <c r="AW24" s="800">
        <v>45293</v>
      </c>
      <c r="AX24" s="800">
        <v>45657</v>
      </c>
      <c r="AY24" s="793" t="s">
        <v>1820</v>
      </c>
      <c r="AZ24" s="15"/>
      <c r="BA24" s="15"/>
      <c r="BB24" s="15"/>
      <c r="BC24" s="15"/>
      <c r="BD24" s="15"/>
      <c r="BE24" s="15"/>
      <c r="BF24" s="15"/>
      <c r="BG24" s="15"/>
      <c r="BH24" s="15"/>
      <c r="BI24" s="15"/>
      <c r="BJ24" s="15"/>
      <c r="BK24" s="15"/>
      <c r="BL24" s="15"/>
      <c r="BM24" s="15"/>
      <c r="BN24" s="15"/>
    </row>
    <row r="25" spans="1:66" s="47" customFormat="1" ht="89.25" x14ac:dyDescent="0.2">
      <c r="A25" s="23">
        <v>1</v>
      </c>
      <c r="B25" s="34" t="s">
        <v>315</v>
      </c>
      <c r="C25" s="793">
        <v>19</v>
      </c>
      <c r="D25" s="792" t="s">
        <v>517</v>
      </c>
      <c r="E25" s="793">
        <v>1903</v>
      </c>
      <c r="F25" s="792" t="s">
        <v>1807</v>
      </c>
      <c r="G25" s="794" t="s">
        <v>70</v>
      </c>
      <c r="H25" s="792" t="s">
        <v>1845</v>
      </c>
      <c r="I25" s="51">
        <v>1903038</v>
      </c>
      <c r="J25" s="792" t="s">
        <v>1846</v>
      </c>
      <c r="K25" s="794" t="s">
        <v>70</v>
      </c>
      <c r="L25" s="792" t="s">
        <v>1847</v>
      </c>
      <c r="M25" s="801">
        <v>190303801</v>
      </c>
      <c r="N25" s="792" t="s">
        <v>1848</v>
      </c>
      <c r="O25" s="804">
        <v>1</v>
      </c>
      <c r="P25" s="805"/>
      <c r="Q25" s="804">
        <v>1</v>
      </c>
      <c r="R25" s="797">
        <v>2020003630116</v>
      </c>
      <c r="S25" s="792" t="s">
        <v>1812</v>
      </c>
      <c r="T25" s="208">
        <f t="shared" si="1"/>
        <v>0.4625076828518746</v>
      </c>
      <c r="U25" s="792" t="s">
        <v>1813</v>
      </c>
      <c r="V25" s="792" t="s">
        <v>1853</v>
      </c>
      <c r="W25" s="792" t="s">
        <v>1858</v>
      </c>
      <c r="X25" s="315">
        <v>2000000</v>
      </c>
      <c r="Y25" s="707"/>
      <c r="Z25" s="707"/>
      <c r="AA25" s="707"/>
      <c r="AB25" s="707">
        <f t="shared" si="0"/>
        <v>2000000</v>
      </c>
      <c r="AC25" s="798" t="s">
        <v>1850</v>
      </c>
      <c r="AD25" s="799"/>
      <c r="AE25" s="72">
        <v>63</v>
      </c>
      <c r="AF25" s="28" t="s">
        <v>1851</v>
      </c>
      <c r="AG25" s="793">
        <v>289394</v>
      </c>
      <c r="AH25" s="793">
        <v>279112</v>
      </c>
      <c r="AI25" s="793">
        <v>63164</v>
      </c>
      <c r="AJ25" s="793">
        <v>45607</v>
      </c>
      <c r="AK25" s="793">
        <v>365607</v>
      </c>
      <c r="AL25" s="793">
        <v>75612</v>
      </c>
      <c r="AM25" s="793">
        <v>2145</v>
      </c>
      <c r="AN25" s="793">
        <v>12718</v>
      </c>
      <c r="AO25" s="793">
        <v>26</v>
      </c>
      <c r="AP25" s="793">
        <v>37</v>
      </c>
      <c r="AQ25" s="793" t="s">
        <v>1818</v>
      </c>
      <c r="AR25" s="793" t="s">
        <v>1819</v>
      </c>
      <c r="AS25" s="793">
        <v>78</v>
      </c>
      <c r="AT25" s="793">
        <v>16897</v>
      </c>
      <c r="AU25" s="793">
        <v>852</v>
      </c>
      <c r="AV25" s="793">
        <v>568506</v>
      </c>
      <c r="AW25" s="800">
        <v>45293</v>
      </c>
      <c r="AX25" s="800">
        <v>45657</v>
      </c>
      <c r="AY25" s="793" t="s">
        <v>1820</v>
      </c>
      <c r="AZ25" s="15"/>
      <c r="BA25" s="15"/>
      <c r="BB25" s="15"/>
      <c r="BC25" s="15"/>
      <c r="BD25" s="15"/>
      <c r="BE25" s="15"/>
      <c r="BF25" s="15"/>
      <c r="BG25" s="15"/>
      <c r="BH25" s="15"/>
      <c r="BI25" s="15"/>
      <c r="BJ25" s="15"/>
      <c r="BK25" s="15"/>
      <c r="BL25" s="15"/>
      <c r="BM25" s="15"/>
      <c r="BN25" s="15"/>
    </row>
    <row r="26" spans="1:66" s="47" customFormat="1" ht="89.25" x14ac:dyDescent="0.2">
      <c r="A26" s="23">
        <v>1</v>
      </c>
      <c r="B26" s="34" t="s">
        <v>315</v>
      </c>
      <c r="C26" s="793">
        <v>19</v>
      </c>
      <c r="D26" s="792" t="s">
        <v>517</v>
      </c>
      <c r="E26" s="793">
        <v>1903</v>
      </c>
      <c r="F26" s="792" t="s">
        <v>1807</v>
      </c>
      <c r="G26" s="794" t="s">
        <v>70</v>
      </c>
      <c r="H26" s="792" t="s">
        <v>1845</v>
      </c>
      <c r="I26" s="51">
        <v>1903038</v>
      </c>
      <c r="J26" s="792" t="s">
        <v>1846</v>
      </c>
      <c r="K26" s="794" t="s">
        <v>70</v>
      </c>
      <c r="L26" s="792" t="s">
        <v>1847</v>
      </c>
      <c r="M26" s="801">
        <v>190303801</v>
      </c>
      <c r="N26" s="792" t="s">
        <v>1848</v>
      </c>
      <c r="O26" s="804">
        <v>1</v>
      </c>
      <c r="P26" s="805"/>
      <c r="Q26" s="804">
        <v>1</v>
      </c>
      <c r="R26" s="797">
        <v>2020003630116</v>
      </c>
      <c r="S26" s="792" t="s">
        <v>1812</v>
      </c>
      <c r="T26" s="208">
        <f t="shared" si="1"/>
        <v>0.4625076828518746</v>
      </c>
      <c r="U26" s="792" t="s">
        <v>1813</v>
      </c>
      <c r="V26" s="792" t="s">
        <v>1853</v>
      </c>
      <c r="W26" s="792" t="s">
        <v>1859</v>
      </c>
      <c r="X26" s="315">
        <v>1000000</v>
      </c>
      <c r="Y26" s="707"/>
      <c r="Z26" s="707"/>
      <c r="AA26" s="707"/>
      <c r="AB26" s="707">
        <f t="shared" si="0"/>
        <v>1000000</v>
      </c>
      <c r="AC26" s="798" t="s">
        <v>1850</v>
      </c>
      <c r="AD26" s="799"/>
      <c r="AE26" s="72">
        <v>63</v>
      </c>
      <c r="AF26" s="28" t="s">
        <v>1851</v>
      </c>
      <c r="AG26" s="793">
        <v>289394</v>
      </c>
      <c r="AH26" s="793">
        <v>279112</v>
      </c>
      <c r="AI26" s="793">
        <v>63164</v>
      </c>
      <c r="AJ26" s="793">
        <v>45607</v>
      </c>
      <c r="AK26" s="793">
        <v>365607</v>
      </c>
      <c r="AL26" s="793">
        <v>75612</v>
      </c>
      <c r="AM26" s="793">
        <v>2145</v>
      </c>
      <c r="AN26" s="793">
        <v>12718</v>
      </c>
      <c r="AO26" s="793">
        <v>26</v>
      </c>
      <c r="AP26" s="793">
        <v>37</v>
      </c>
      <c r="AQ26" s="793" t="s">
        <v>1818</v>
      </c>
      <c r="AR26" s="793" t="s">
        <v>1819</v>
      </c>
      <c r="AS26" s="793">
        <v>78</v>
      </c>
      <c r="AT26" s="793">
        <v>16897</v>
      </c>
      <c r="AU26" s="793">
        <v>852</v>
      </c>
      <c r="AV26" s="793">
        <v>568506</v>
      </c>
      <c r="AW26" s="800">
        <v>45293</v>
      </c>
      <c r="AX26" s="800">
        <v>45657</v>
      </c>
      <c r="AY26" s="793" t="s">
        <v>1820</v>
      </c>
      <c r="AZ26" s="15"/>
      <c r="BA26" s="15"/>
      <c r="BB26" s="15"/>
      <c r="BC26" s="15"/>
      <c r="BD26" s="15"/>
      <c r="BE26" s="15"/>
      <c r="BF26" s="15"/>
      <c r="BG26" s="15"/>
      <c r="BH26" s="15"/>
      <c r="BI26" s="15"/>
      <c r="BJ26" s="15"/>
      <c r="BK26" s="15"/>
      <c r="BL26" s="15"/>
      <c r="BM26" s="15"/>
      <c r="BN26" s="15"/>
    </row>
    <row r="27" spans="1:66" s="47" customFormat="1" ht="89.25" x14ac:dyDescent="0.2">
      <c r="A27" s="23">
        <v>1</v>
      </c>
      <c r="B27" s="34" t="s">
        <v>315</v>
      </c>
      <c r="C27" s="793">
        <v>19</v>
      </c>
      <c r="D27" s="792" t="s">
        <v>517</v>
      </c>
      <c r="E27" s="793">
        <v>1903</v>
      </c>
      <c r="F27" s="792" t="s">
        <v>1807</v>
      </c>
      <c r="G27" s="794" t="s">
        <v>70</v>
      </c>
      <c r="H27" s="792" t="s">
        <v>1852</v>
      </c>
      <c r="I27" s="51">
        <v>1903038</v>
      </c>
      <c r="J27" s="792" t="s">
        <v>1846</v>
      </c>
      <c r="K27" s="794" t="s">
        <v>70</v>
      </c>
      <c r="L27" s="792" t="s">
        <v>1860</v>
      </c>
      <c r="M27" s="801">
        <v>190303801</v>
      </c>
      <c r="N27" s="792" t="s">
        <v>1848</v>
      </c>
      <c r="O27" s="804">
        <v>1</v>
      </c>
      <c r="P27" s="805"/>
      <c r="Q27" s="804">
        <v>1</v>
      </c>
      <c r="R27" s="797">
        <v>2020003630116</v>
      </c>
      <c r="S27" s="792" t="s">
        <v>1812</v>
      </c>
      <c r="T27" s="208">
        <f t="shared" si="1"/>
        <v>0.4625076828518746</v>
      </c>
      <c r="U27" s="792" t="s">
        <v>1813</v>
      </c>
      <c r="V27" s="792" t="s">
        <v>1853</v>
      </c>
      <c r="W27" s="792" t="s">
        <v>1861</v>
      </c>
      <c r="X27" s="707">
        <v>10000000</v>
      </c>
      <c r="Y27" s="707"/>
      <c r="Z27" s="707"/>
      <c r="AA27" s="707"/>
      <c r="AB27" s="707">
        <f t="shared" si="0"/>
        <v>10000000</v>
      </c>
      <c r="AC27" s="798" t="s">
        <v>1862</v>
      </c>
      <c r="AD27" s="799"/>
      <c r="AE27" s="72">
        <v>63</v>
      </c>
      <c r="AF27" s="28" t="s">
        <v>1851</v>
      </c>
      <c r="AG27" s="793">
        <v>289394</v>
      </c>
      <c r="AH27" s="793">
        <v>279112</v>
      </c>
      <c r="AI27" s="793">
        <v>63164</v>
      </c>
      <c r="AJ27" s="793">
        <v>45607</v>
      </c>
      <c r="AK27" s="793">
        <v>365607</v>
      </c>
      <c r="AL27" s="793">
        <v>75612</v>
      </c>
      <c r="AM27" s="793">
        <v>2145</v>
      </c>
      <c r="AN27" s="793">
        <v>12718</v>
      </c>
      <c r="AO27" s="793">
        <v>26</v>
      </c>
      <c r="AP27" s="793">
        <v>37</v>
      </c>
      <c r="AQ27" s="793" t="s">
        <v>1818</v>
      </c>
      <c r="AR27" s="793" t="s">
        <v>1819</v>
      </c>
      <c r="AS27" s="793">
        <v>78</v>
      </c>
      <c r="AT27" s="793">
        <v>16897</v>
      </c>
      <c r="AU27" s="793">
        <v>852</v>
      </c>
      <c r="AV27" s="793">
        <v>568506</v>
      </c>
      <c r="AW27" s="800">
        <v>45293</v>
      </c>
      <c r="AX27" s="800">
        <v>45657</v>
      </c>
      <c r="AY27" s="793" t="s">
        <v>1820</v>
      </c>
      <c r="AZ27" s="15"/>
      <c r="BA27" s="15"/>
      <c r="BB27" s="15"/>
      <c r="BC27" s="15"/>
      <c r="BD27" s="15"/>
      <c r="BE27" s="15"/>
      <c r="BF27" s="15"/>
      <c r="BG27" s="15"/>
      <c r="BH27" s="15"/>
      <c r="BI27" s="15"/>
      <c r="BJ27" s="15"/>
      <c r="BK27" s="15"/>
      <c r="BL27" s="15"/>
      <c r="BM27" s="15"/>
      <c r="BN27" s="15"/>
    </row>
    <row r="28" spans="1:66" s="47" customFormat="1" ht="89.25" x14ac:dyDescent="0.2">
      <c r="A28" s="23">
        <v>1</v>
      </c>
      <c r="B28" s="34" t="s">
        <v>315</v>
      </c>
      <c r="C28" s="793">
        <v>19</v>
      </c>
      <c r="D28" s="792" t="s">
        <v>517</v>
      </c>
      <c r="E28" s="793">
        <v>1903</v>
      </c>
      <c r="F28" s="792" t="s">
        <v>1807</v>
      </c>
      <c r="G28" s="794" t="s">
        <v>70</v>
      </c>
      <c r="H28" s="792" t="s">
        <v>1845</v>
      </c>
      <c r="I28" s="51">
        <v>1903038</v>
      </c>
      <c r="J28" s="792" t="s">
        <v>1846</v>
      </c>
      <c r="K28" s="794" t="s">
        <v>70</v>
      </c>
      <c r="L28" s="792" t="s">
        <v>1847</v>
      </c>
      <c r="M28" s="801">
        <v>190303801</v>
      </c>
      <c r="N28" s="792" t="s">
        <v>1848</v>
      </c>
      <c r="O28" s="804">
        <v>1</v>
      </c>
      <c r="P28" s="805"/>
      <c r="Q28" s="804">
        <v>1</v>
      </c>
      <c r="R28" s="797">
        <v>2020003630116</v>
      </c>
      <c r="S28" s="792" t="s">
        <v>1812</v>
      </c>
      <c r="T28" s="208">
        <f t="shared" si="1"/>
        <v>0.4625076828518746</v>
      </c>
      <c r="U28" s="792" t="s">
        <v>1813</v>
      </c>
      <c r="V28" s="792" t="s">
        <v>1853</v>
      </c>
      <c r="W28" s="806" t="s">
        <v>1863</v>
      </c>
      <c r="X28" s="718">
        <v>250000000</v>
      </c>
      <c r="Y28" s="718"/>
      <c r="Z28" s="718"/>
      <c r="AA28" s="718"/>
      <c r="AB28" s="707">
        <f t="shared" si="0"/>
        <v>250000000</v>
      </c>
      <c r="AC28" s="807" t="s">
        <v>1864</v>
      </c>
      <c r="AD28" s="51"/>
      <c r="AE28" s="72">
        <v>63</v>
      </c>
      <c r="AF28" s="28" t="s">
        <v>1851</v>
      </c>
      <c r="AG28" s="793">
        <v>289394</v>
      </c>
      <c r="AH28" s="793">
        <v>279112</v>
      </c>
      <c r="AI28" s="793">
        <v>63164</v>
      </c>
      <c r="AJ28" s="793">
        <v>45607</v>
      </c>
      <c r="AK28" s="793">
        <v>365607</v>
      </c>
      <c r="AL28" s="793">
        <v>75612</v>
      </c>
      <c r="AM28" s="793">
        <v>2145</v>
      </c>
      <c r="AN28" s="793">
        <v>12718</v>
      </c>
      <c r="AO28" s="793">
        <v>26</v>
      </c>
      <c r="AP28" s="793">
        <v>37</v>
      </c>
      <c r="AQ28" s="793" t="s">
        <v>1818</v>
      </c>
      <c r="AR28" s="793" t="s">
        <v>1819</v>
      </c>
      <c r="AS28" s="793">
        <v>78</v>
      </c>
      <c r="AT28" s="793">
        <v>16897</v>
      </c>
      <c r="AU28" s="793">
        <v>852</v>
      </c>
      <c r="AV28" s="793">
        <v>568506</v>
      </c>
      <c r="AW28" s="800">
        <v>45293</v>
      </c>
      <c r="AX28" s="800">
        <v>45657</v>
      </c>
      <c r="AY28" s="793" t="s">
        <v>1820</v>
      </c>
      <c r="AZ28" s="15"/>
      <c r="BA28" s="15"/>
      <c r="BB28" s="15"/>
      <c r="BC28" s="15"/>
      <c r="BD28" s="15"/>
      <c r="BE28" s="15"/>
      <c r="BF28" s="15"/>
      <c r="BG28" s="15"/>
      <c r="BH28" s="15"/>
      <c r="BI28" s="15"/>
      <c r="BJ28" s="15"/>
      <c r="BK28" s="15"/>
      <c r="BL28" s="15"/>
      <c r="BM28" s="15"/>
      <c r="BN28" s="15"/>
    </row>
    <row r="29" spans="1:66" s="47" customFormat="1" ht="127.5" x14ac:dyDescent="0.2">
      <c r="A29" s="23">
        <v>1</v>
      </c>
      <c r="B29" s="34" t="s">
        <v>315</v>
      </c>
      <c r="C29" s="793">
        <v>19</v>
      </c>
      <c r="D29" s="792" t="s">
        <v>517</v>
      </c>
      <c r="E29" s="793">
        <v>1903</v>
      </c>
      <c r="F29" s="792" t="s">
        <v>1807</v>
      </c>
      <c r="G29" s="794">
        <v>1903038</v>
      </c>
      <c r="H29" s="792" t="s">
        <v>1865</v>
      </c>
      <c r="I29" s="51">
        <v>1903038</v>
      </c>
      <c r="J29" s="792" t="s">
        <v>1846</v>
      </c>
      <c r="K29" s="795">
        <v>190303801</v>
      </c>
      <c r="L29" s="792" t="s">
        <v>1866</v>
      </c>
      <c r="M29" s="801">
        <v>190303801</v>
      </c>
      <c r="N29" s="792" t="s">
        <v>1867</v>
      </c>
      <c r="O29" s="804">
        <v>11</v>
      </c>
      <c r="P29" s="794"/>
      <c r="Q29" s="804">
        <v>11</v>
      </c>
      <c r="R29" s="797">
        <v>2020003630116</v>
      </c>
      <c r="S29" s="792" t="s">
        <v>1812</v>
      </c>
      <c r="T29" s="208">
        <f>SUM($X$29:$X$29)/SUM($X$11:$X$31)</f>
        <v>5.5316533497234172E-2</v>
      </c>
      <c r="U29" s="792" t="s">
        <v>1813</v>
      </c>
      <c r="V29" s="792" t="s">
        <v>1853</v>
      </c>
      <c r="W29" s="792" t="s">
        <v>1868</v>
      </c>
      <c r="X29" s="808">
        <v>36000000</v>
      </c>
      <c r="Y29" s="809"/>
      <c r="Z29" s="809"/>
      <c r="AA29" s="809"/>
      <c r="AB29" s="707">
        <f t="shared" si="0"/>
        <v>36000000</v>
      </c>
      <c r="AC29" s="810" t="s">
        <v>1869</v>
      </c>
      <c r="AD29" s="799"/>
      <c r="AE29" s="72">
        <v>61</v>
      </c>
      <c r="AF29" s="28" t="s">
        <v>1817</v>
      </c>
      <c r="AG29" s="793">
        <v>289394</v>
      </c>
      <c r="AH29" s="793">
        <v>279112</v>
      </c>
      <c r="AI29" s="793">
        <v>63164</v>
      </c>
      <c r="AJ29" s="793">
        <v>45607</v>
      </c>
      <c r="AK29" s="793">
        <v>365607</v>
      </c>
      <c r="AL29" s="793">
        <v>75612</v>
      </c>
      <c r="AM29" s="793">
        <v>2145</v>
      </c>
      <c r="AN29" s="793">
        <v>12718</v>
      </c>
      <c r="AO29" s="793">
        <v>26</v>
      </c>
      <c r="AP29" s="793">
        <v>37</v>
      </c>
      <c r="AQ29" s="793" t="s">
        <v>1818</v>
      </c>
      <c r="AR29" s="793" t="s">
        <v>1819</v>
      </c>
      <c r="AS29" s="793">
        <v>78</v>
      </c>
      <c r="AT29" s="793">
        <v>16897</v>
      </c>
      <c r="AU29" s="793">
        <v>852</v>
      </c>
      <c r="AV29" s="793">
        <v>568506</v>
      </c>
      <c r="AW29" s="800">
        <v>45293</v>
      </c>
      <c r="AX29" s="800">
        <v>45657</v>
      </c>
      <c r="AY29" s="793" t="s">
        <v>1820</v>
      </c>
      <c r="AZ29" s="15"/>
      <c r="BA29" s="15"/>
      <c r="BB29" s="15"/>
      <c r="BC29" s="15"/>
      <c r="BD29" s="15"/>
      <c r="BE29" s="15"/>
      <c r="BF29" s="15"/>
      <c r="BG29" s="15"/>
      <c r="BH29" s="15"/>
      <c r="BI29" s="15"/>
      <c r="BJ29" s="15"/>
      <c r="BK29" s="15"/>
      <c r="BL29" s="15"/>
      <c r="BM29" s="15"/>
      <c r="BN29" s="15"/>
    </row>
    <row r="30" spans="1:66" s="47" customFormat="1" ht="76.5" x14ac:dyDescent="0.2">
      <c r="A30" s="23">
        <v>1</v>
      </c>
      <c r="B30" s="34" t="s">
        <v>315</v>
      </c>
      <c r="C30" s="793">
        <v>19</v>
      </c>
      <c r="D30" s="811" t="s">
        <v>517</v>
      </c>
      <c r="E30" s="793">
        <v>1903</v>
      </c>
      <c r="F30" s="811" t="s">
        <v>1807</v>
      </c>
      <c r="G30" s="812">
        <v>1903027</v>
      </c>
      <c r="H30" s="811" t="s">
        <v>1870</v>
      </c>
      <c r="I30" s="813">
        <v>1903027</v>
      </c>
      <c r="J30" s="811" t="s">
        <v>1871</v>
      </c>
      <c r="K30" s="814">
        <v>190302700</v>
      </c>
      <c r="L30" s="811" t="s">
        <v>1872</v>
      </c>
      <c r="M30" s="815">
        <v>190302700</v>
      </c>
      <c r="N30" s="811" t="s">
        <v>1873</v>
      </c>
      <c r="O30" s="317">
        <v>5</v>
      </c>
      <c r="P30" s="812"/>
      <c r="Q30" s="317">
        <v>5</v>
      </c>
      <c r="R30" s="816">
        <v>2020003630116</v>
      </c>
      <c r="S30" s="811" t="s">
        <v>1812</v>
      </c>
      <c r="T30" s="208">
        <f>SUM($X$30:$X$30)/SUM($X$11:$X$31)</f>
        <v>3.5341118623232942E-2</v>
      </c>
      <c r="U30" s="811" t="s">
        <v>1813</v>
      </c>
      <c r="V30" s="811" t="s">
        <v>1853</v>
      </c>
      <c r="W30" s="811" t="s">
        <v>1874</v>
      </c>
      <c r="X30" s="817">
        <v>23000000</v>
      </c>
      <c r="Y30" s="817"/>
      <c r="Z30" s="817"/>
      <c r="AA30" s="817"/>
      <c r="AB30" s="707">
        <f t="shared" si="0"/>
        <v>23000000</v>
      </c>
      <c r="AC30" s="798" t="s">
        <v>1875</v>
      </c>
      <c r="AD30" s="818"/>
      <c r="AE30" s="819">
        <v>61</v>
      </c>
      <c r="AF30" s="28" t="s">
        <v>1817</v>
      </c>
      <c r="AG30" s="820">
        <v>289394</v>
      </c>
      <c r="AH30" s="820">
        <v>279112</v>
      </c>
      <c r="AI30" s="820">
        <v>63164</v>
      </c>
      <c r="AJ30" s="820">
        <v>45607</v>
      </c>
      <c r="AK30" s="820">
        <v>365607</v>
      </c>
      <c r="AL30" s="820">
        <v>75612</v>
      </c>
      <c r="AM30" s="820">
        <v>2145</v>
      </c>
      <c r="AN30" s="820">
        <v>12718</v>
      </c>
      <c r="AO30" s="820">
        <v>26</v>
      </c>
      <c r="AP30" s="820">
        <v>37</v>
      </c>
      <c r="AQ30" s="820" t="s">
        <v>1818</v>
      </c>
      <c r="AR30" s="820" t="s">
        <v>1819</v>
      </c>
      <c r="AS30" s="820">
        <v>78</v>
      </c>
      <c r="AT30" s="820">
        <v>16897</v>
      </c>
      <c r="AU30" s="820">
        <v>852</v>
      </c>
      <c r="AV30" s="820">
        <v>568506</v>
      </c>
      <c r="AW30" s="800">
        <v>45293</v>
      </c>
      <c r="AX30" s="800">
        <v>45657</v>
      </c>
      <c r="AY30" s="820" t="s">
        <v>1820</v>
      </c>
      <c r="AZ30" s="15"/>
      <c r="BA30" s="15"/>
      <c r="BB30" s="15"/>
      <c r="BC30" s="15"/>
      <c r="BD30" s="15"/>
      <c r="BE30" s="15"/>
      <c r="BF30" s="15"/>
      <c r="BG30" s="15"/>
      <c r="BH30" s="15"/>
      <c r="BI30" s="15"/>
      <c r="BJ30" s="15"/>
      <c r="BK30" s="15"/>
      <c r="BL30" s="15"/>
      <c r="BM30" s="15"/>
      <c r="BN30" s="15"/>
    </row>
    <row r="31" spans="1:66" s="47" customFormat="1" ht="127.5" x14ac:dyDescent="0.2">
      <c r="A31" s="23">
        <v>1</v>
      </c>
      <c r="B31" s="34" t="s">
        <v>315</v>
      </c>
      <c r="C31" s="793">
        <v>19</v>
      </c>
      <c r="D31" s="34" t="s">
        <v>517</v>
      </c>
      <c r="E31" s="793">
        <v>1903</v>
      </c>
      <c r="F31" s="34" t="s">
        <v>1807</v>
      </c>
      <c r="G31" s="794">
        <v>1903011</v>
      </c>
      <c r="H31" s="34" t="s">
        <v>1876</v>
      </c>
      <c r="I31" s="28">
        <v>1903011</v>
      </c>
      <c r="J31" s="34" t="s">
        <v>1877</v>
      </c>
      <c r="K31" s="795">
        <v>190301100</v>
      </c>
      <c r="L31" s="34" t="s">
        <v>1878</v>
      </c>
      <c r="M31" s="280">
        <v>190301100</v>
      </c>
      <c r="N31" s="34" t="s">
        <v>1878</v>
      </c>
      <c r="O31" s="317">
        <v>140</v>
      </c>
      <c r="P31" s="794"/>
      <c r="Q31" s="317">
        <v>140</v>
      </c>
      <c r="R31" s="79">
        <v>2020003630116</v>
      </c>
      <c r="S31" s="34" t="s">
        <v>1812</v>
      </c>
      <c r="T31" s="208">
        <f>SUM($X$31:$X$31)/SUM($X$11:$X$31)</f>
        <v>7.3755377996312238E-2</v>
      </c>
      <c r="U31" s="34" t="s">
        <v>1813</v>
      </c>
      <c r="V31" s="34" t="s">
        <v>1853</v>
      </c>
      <c r="W31" s="34" t="s">
        <v>1879</v>
      </c>
      <c r="X31" s="821">
        <v>48000000</v>
      </c>
      <c r="Y31" s="822"/>
      <c r="Z31" s="822"/>
      <c r="AA31" s="822"/>
      <c r="AB31" s="718">
        <f t="shared" si="0"/>
        <v>48000000</v>
      </c>
      <c r="AC31" s="823" t="s">
        <v>1880</v>
      </c>
      <c r="AD31" s="824"/>
      <c r="AE31" s="72">
        <v>61</v>
      </c>
      <c r="AF31" s="28" t="s">
        <v>1817</v>
      </c>
      <c r="AG31" s="320">
        <v>289394</v>
      </c>
      <c r="AH31" s="28">
        <v>279112</v>
      </c>
      <c r="AI31" s="28">
        <v>63164</v>
      </c>
      <c r="AJ31" s="28">
        <v>45607</v>
      </c>
      <c r="AK31" s="28">
        <v>365607</v>
      </c>
      <c r="AL31" s="28">
        <v>75612</v>
      </c>
      <c r="AM31" s="28">
        <v>2145</v>
      </c>
      <c r="AN31" s="28">
        <v>12718</v>
      </c>
      <c r="AO31" s="28">
        <v>26</v>
      </c>
      <c r="AP31" s="28">
        <v>37</v>
      </c>
      <c r="AQ31" s="28" t="s">
        <v>1818</v>
      </c>
      <c r="AR31" s="28" t="s">
        <v>1819</v>
      </c>
      <c r="AS31" s="28">
        <v>78</v>
      </c>
      <c r="AT31" s="28">
        <v>16897</v>
      </c>
      <c r="AU31" s="28">
        <v>852</v>
      </c>
      <c r="AV31" s="28">
        <v>568506</v>
      </c>
      <c r="AW31" s="800">
        <v>45293</v>
      </c>
      <c r="AX31" s="800">
        <v>45657</v>
      </c>
      <c r="AY31" s="28" t="s">
        <v>1820</v>
      </c>
      <c r="AZ31" s="15"/>
      <c r="BA31" s="15"/>
      <c r="BB31" s="15"/>
      <c r="BC31" s="15"/>
      <c r="BD31" s="15"/>
      <c r="BE31" s="15"/>
      <c r="BF31" s="15"/>
      <c r="BG31" s="15"/>
      <c r="BH31" s="15"/>
      <c r="BI31" s="15"/>
      <c r="BJ31" s="15"/>
      <c r="BK31" s="15"/>
      <c r="BL31" s="15"/>
      <c r="BM31" s="15"/>
      <c r="BN31" s="15"/>
    </row>
    <row r="32" spans="1:66" s="47" customFormat="1" ht="63.75" x14ac:dyDescent="0.2">
      <c r="A32" s="32">
        <v>1</v>
      </c>
      <c r="B32" s="34" t="s">
        <v>315</v>
      </c>
      <c r="C32" s="51">
        <v>19</v>
      </c>
      <c r="D32" s="825" t="s">
        <v>517</v>
      </c>
      <c r="E32" s="51">
        <v>1903</v>
      </c>
      <c r="F32" s="825" t="s">
        <v>1807</v>
      </c>
      <c r="G32" s="794">
        <v>1903001</v>
      </c>
      <c r="H32" s="825" t="s">
        <v>180</v>
      </c>
      <c r="I32" s="51">
        <v>1903001</v>
      </c>
      <c r="J32" s="825" t="s">
        <v>180</v>
      </c>
      <c r="K32" s="795">
        <v>190300100</v>
      </c>
      <c r="L32" s="825" t="s">
        <v>1881</v>
      </c>
      <c r="M32" s="801">
        <v>190300100</v>
      </c>
      <c r="N32" s="825" t="s">
        <v>1881</v>
      </c>
      <c r="O32" s="317">
        <v>2</v>
      </c>
      <c r="P32" s="794"/>
      <c r="Q32" s="317">
        <v>2</v>
      </c>
      <c r="R32" s="826">
        <v>2020003630117</v>
      </c>
      <c r="S32" s="825" t="s">
        <v>1882</v>
      </c>
      <c r="T32" s="208">
        <f>SUM($X$32:$X$33)/SUM($X$32:$X$42)</f>
        <v>0.36315543579227288</v>
      </c>
      <c r="U32" s="825" t="s">
        <v>1883</v>
      </c>
      <c r="V32" s="825" t="s">
        <v>1884</v>
      </c>
      <c r="W32" s="825" t="s">
        <v>1885</v>
      </c>
      <c r="X32" s="802">
        <v>54000000</v>
      </c>
      <c r="Y32" s="809"/>
      <c r="Z32" s="809"/>
      <c r="AA32" s="809"/>
      <c r="AB32" s="767">
        <f t="shared" si="0"/>
        <v>54000000</v>
      </c>
      <c r="AC32" s="798" t="s">
        <v>1886</v>
      </c>
      <c r="AD32" s="824"/>
      <c r="AE32" s="72">
        <v>61</v>
      </c>
      <c r="AF32" s="28" t="s">
        <v>1817</v>
      </c>
      <c r="AG32" s="827">
        <v>289394</v>
      </c>
      <c r="AH32" s="827">
        <v>279112</v>
      </c>
      <c r="AI32" s="827">
        <v>63164</v>
      </c>
      <c r="AJ32" s="827">
        <v>45607</v>
      </c>
      <c r="AK32" s="827">
        <v>365607</v>
      </c>
      <c r="AL32" s="827">
        <v>75612</v>
      </c>
      <c r="AM32" s="827">
        <v>2145</v>
      </c>
      <c r="AN32" s="827">
        <v>12718</v>
      </c>
      <c r="AO32" s="827">
        <v>26</v>
      </c>
      <c r="AP32" s="827">
        <v>37</v>
      </c>
      <c r="AQ32" s="827" t="s">
        <v>1818</v>
      </c>
      <c r="AR32" s="827" t="s">
        <v>1819</v>
      </c>
      <c r="AS32" s="827">
        <v>78</v>
      </c>
      <c r="AT32" s="827">
        <v>16897</v>
      </c>
      <c r="AU32" s="827">
        <v>852</v>
      </c>
      <c r="AV32" s="827">
        <v>568506</v>
      </c>
      <c r="AW32" s="800">
        <v>45293</v>
      </c>
      <c r="AX32" s="800">
        <v>45657</v>
      </c>
      <c r="AY32" s="51" t="s">
        <v>1820</v>
      </c>
      <c r="AZ32" s="15"/>
      <c r="BA32" s="15"/>
      <c r="BB32" s="15"/>
      <c r="BC32" s="15"/>
      <c r="BD32" s="15"/>
      <c r="BE32" s="15"/>
      <c r="BF32" s="15"/>
      <c r="BG32" s="15"/>
      <c r="BH32" s="15"/>
      <c r="BI32" s="15"/>
      <c r="BJ32" s="15"/>
      <c r="BK32" s="15"/>
      <c r="BL32" s="15"/>
      <c r="BM32" s="15"/>
      <c r="BN32" s="15"/>
    </row>
    <row r="33" spans="1:66" s="47" customFormat="1" ht="63.75" x14ac:dyDescent="0.2">
      <c r="A33" s="23">
        <v>1</v>
      </c>
      <c r="B33" s="34" t="s">
        <v>315</v>
      </c>
      <c r="C33" s="793">
        <v>19</v>
      </c>
      <c r="D33" s="34" t="s">
        <v>517</v>
      </c>
      <c r="E33" s="793">
        <v>1903</v>
      </c>
      <c r="F33" s="34" t="s">
        <v>1807</v>
      </c>
      <c r="G33" s="794">
        <v>1903001</v>
      </c>
      <c r="H33" s="34" t="s">
        <v>180</v>
      </c>
      <c r="I33" s="51">
        <v>1903001</v>
      </c>
      <c r="J33" s="34" t="s">
        <v>180</v>
      </c>
      <c r="K33" s="795">
        <v>190300100</v>
      </c>
      <c r="L33" s="34" t="s">
        <v>1881</v>
      </c>
      <c r="M33" s="801">
        <v>190300100</v>
      </c>
      <c r="N33" s="34" t="s">
        <v>1881</v>
      </c>
      <c r="O33" s="317">
        <v>2</v>
      </c>
      <c r="P33" s="794"/>
      <c r="Q33" s="317">
        <v>2</v>
      </c>
      <c r="R33" s="826">
        <v>2020003630117</v>
      </c>
      <c r="S33" s="34" t="s">
        <v>1882</v>
      </c>
      <c r="T33" s="208">
        <f>SUM($X$32:$X$33)/SUM($X$32:$X$42)</f>
        <v>0.36315543579227288</v>
      </c>
      <c r="U33" s="34" t="s">
        <v>1883</v>
      </c>
      <c r="V33" s="34" t="s">
        <v>1884</v>
      </c>
      <c r="W33" s="34" t="s">
        <v>1887</v>
      </c>
      <c r="X33" s="802">
        <v>54000000</v>
      </c>
      <c r="Y33" s="803"/>
      <c r="Z33" s="803"/>
      <c r="AA33" s="803"/>
      <c r="AB33" s="707">
        <f t="shared" si="0"/>
        <v>54000000</v>
      </c>
      <c r="AC33" s="798" t="s">
        <v>1886</v>
      </c>
      <c r="AD33" s="824"/>
      <c r="AE33" s="72">
        <v>61</v>
      </c>
      <c r="AF33" s="28" t="s">
        <v>1817</v>
      </c>
      <c r="AG33" s="827">
        <v>289394</v>
      </c>
      <c r="AH33" s="827">
        <v>279112</v>
      </c>
      <c r="AI33" s="827">
        <v>63164</v>
      </c>
      <c r="AJ33" s="827">
        <v>45607</v>
      </c>
      <c r="AK33" s="827">
        <v>365607</v>
      </c>
      <c r="AL33" s="827">
        <v>75612</v>
      </c>
      <c r="AM33" s="827">
        <v>2145</v>
      </c>
      <c r="AN33" s="827">
        <v>12718</v>
      </c>
      <c r="AO33" s="827">
        <v>26</v>
      </c>
      <c r="AP33" s="827">
        <v>37</v>
      </c>
      <c r="AQ33" s="827" t="s">
        <v>1818</v>
      </c>
      <c r="AR33" s="827" t="s">
        <v>1819</v>
      </c>
      <c r="AS33" s="827">
        <v>78</v>
      </c>
      <c r="AT33" s="827">
        <v>16897</v>
      </c>
      <c r="AU33" s="827">
        <v>852</v>
      </c>
      <c r="AV33" s="827">
        <v>568506</v>
      </c>
      <c r="AW33" s="800">
        <v>45293</v>
      </c>
      <c r="AX33" s="800">
        <v>45657</v>
      </c>
      <c r="AY33" s="51" t="s">
        <v>1820</v>
      </c>
      <c r="AZ33" s="15"/>
      <c r="BA33" s="15"/>
      <c r="BB33" s="15"/>
      <c r="BC33" s="15"/>
      <c r="BD33" s="15"/>
      <c r="BE33" s="15"/>
      <c r="BF33" s="15"/>
      <c r="BG33" s="15"/>
      <c r="BH33" s="15"/>
      <c r="BI33" s="15"/>
      <c r="BJ33" s="15"/>
      <c r="BK33" s="15"/>
      <c r="BL33" s="15"/>
      <c r="BM33" s="15"/>
      <c r="BN33" s="15"/>
    </row>
    <row r="34" spans="1:66" s="47" customFormat="1" ht="89.25" x14ac:dyDescent="0.2">
      <c r="A34" s="32">
        <v>1</v>
      </c>
      <c r="B34" s="34" t="s">
        <v>315</v>
      </c>
      <c r="C34" s="51">
        <v>19</v>
      </c>
      <c r="D34" s="825" t="s">
        <v>517</v>
      </c>
      <c r="E34" s="51">
        <v>1903</v>
      </c>
      <c r="F34" s="825" t="s">
        <v>1807</v>
      </c>
      <c r="G34" s="794">
        <v>1903015</v>
      </c>
      <c r="H34" s="825" t="s">
        <v>1888</v>
      </c>
      <c r="I34" s="51">
        <v>1903015</v>
      </c>
      <c r="J34" s="825" t="s">
        <v>1889</v>
      </c>
      <c r="K34" s="795">
        <v>190301500</v>
      </c>
      <c r="L34" s="825" t="s">
        <v>1890</v>
      </c>
      <c r="M34" s="801">
        <v>190301500</v>
      </c>
      <c r="N34" s="825" t="s">
        <v>1890</v>
      </c>
      <c r="O34" s="794">
        <v>12</v>
      </c>
      <c r="P34" s="794"/>
      <c r="Q34" s="794">
        <v>12</v>
      </c>
      <c r="R34" s="826">
        <v>2020003630117</v>
      </c>
      <c r="S34" s="825" t="s">
        <v>1882</v>
      </c>
      <c r="T34" s="208">
        <f>SUM($X$34:$X$42)/SUM($X$32:$X$42)</f>
        <v>0.63684456420772706</v>
      </c>
      <c r="U34" s="825" t="s">
        <v>1883</v>
      </c>
      <c r="V34" s="825" t="s">
        <v>1891</v>
      </c>
      <c r="W34" s="825" t="s">
        <v>1892</v>
      </c>
      <c r="X34" s="802">
        <v>20000000</v>
      </c>
      <c r="Y34" s="803"/>
      <c r="Z34" s="803"/>
      <c r="AA34" s="803"/>
      <c r="AB34" s="707">
        <f t="shared" si="0"/>
        <v>20000000</v>
      </c>
      <c r="AC34" s="798" t="s">
        <v>1893</v>
      </c>
      <c r="AD34" s="824"/>
      <c r="AE34" s="72">
        <v>61</v>
      </c>
      <c r="AF34" s="28" t="s">
        <v>1817</v>
      </c>
      <c r="AG34" s="827">
        <v>289394</v>
      </c>
      <c r="AH34" s="827">
        <v>279112</v>
      </c>
      <c r="AI34" s="827">
        <v>63164</v>
      </c>
      <c r="AJ34" s="827">
        <v>45607</v>
      </c>
      <c r="AK34" s="827">
        <v>365607</v>
      </c>
      <c r="AL34" s="827">
        <v>75612</v>
      </c>
      <c r="AM34" s="827">
        <v>2145</v>
      </c>
      <c r="AN34" s="827">
        <v>12718</v>
      </c>
      <c r="AO34" s="827">
        <v>26</v>
      </c>
      <c r="AP34" s="827">
        <v>37</v>
      </c>
      <c r="AQ34" s="827" t="s">
        <v>1818</v>
      </c>
      <c r="AR34" s="827" t="s">
        <v>1819</v>
      </c>
      <c r="AS34" s="827">
        <v>78</v>
      </c>
      <c r="AT34" s="827">
        <v>16897</v>
      </c>
      <c r="AU34" s="827">
        <v>852</v>
      </c>
      <c r="AV34" s="827">
        <v>568506</v>
      </c>
      <c r="AW34" s="800">
        <v>45293</v>
      </c>
      <c r="AX34" s="800">
        <v>45657</v>
      </c>
      <c r="AY34" s="793" t="s">
        <v>1820</v>
      </c>
      <c r="AZ34" s="15"/>
      <c r="BA34" s="15"/>
      <c r="BB34" s="15"/>
      <c r="BC34" s="15"/>
      <c r="BD34" s="15"/>
      <c r="BE34" s="15"/>
      <c r="BF34" s="15"/>
      <c r="BG34" s="15"/>
      <c r="BH34" s="15"/>
      <c r="BI34" s="15"/>
      <c r="BJ34" s="15"/>
      <c r="BK34" s="15"/>
      <c r="BL34" s="15"/>
      <c r="BM34" s="15"/>
      <c r="BN34" s="15"/>
    </row>
    <row r="35" spans="1:66" s="47" customFormat="1" ht="114.75" x14ac:dyDescent="0.2">
      <c r="A35" s="23">
        <v>1</v>
      </c>
      <c r="B35" s="34" t="s">
        <v>315</v>
      </c>
      <c r="C35" s="793">
        <v>19</v>
      </c>
      <c r="D35" s="34" t="s">
        <v>517</v>
      </c>
      <c r="E35" s="793">
        <v>1903</v>
      </c>
      <c r="F35" s="34" t="s">
        <v>1807</v>
      </c>
      <c r="G35" s="794">
        <v>1903015</v>
      </c>
      <c r="H35" s="34" t="s">
        <v>1888</v>
      </c>
      <c r="I35" s="51">
        <v>1903015</v>
      </c>
      <c r="J35" s="34" t="s">
        <v>1889</v>
      </c>
      <c r="K35" s="795">
        <v>190301500</v>
      </c>
      <c r="L35" s="34" t="s">
        <v>1890</v>
      </c>
      <c r="M35" s="801">
        <v>190301500</v>
      </c>
      <c r="N35" s="34" t="s">
        <v>1890</v>
      </c>
      <c r="O35" s="794">
        <v>12</v>
      </c>
      <c r="P35" s="794"/>
      <c r="Q35" s="794">
        <v>12</v>
      </c>
      <c r="R35" s="826">
        <v>2020003630117</v>
      </c>
      <c r="S35" s="34" t="s">
        <v>1882</v>
      </c>
      <c r="T35" s="208">
        <f t="shared" ref="T35:T42" si="2">SUM($X$34:$X$42)/SUM($X$32:$X$42)</f>
        <v>0.63684456420772706</v>
      </c>
      <c r="U35" s="34" t="s">
        <v>1883</v>
      </c>
      <c r="V35" s="34" t="s">
        <v>1891</v>
      </c>
      <c r="W35" s="34" t="s">
        <v>1894</v>
      </c>
      <c r="X35" s="802">
        <v>12500000</v>
      </c>
      <c r="Y35" s="803"/>
      <c r="Z35" s="803"/>
      <c r="AA35" s="803"/>
      <c r="AB35" s="707">
        <f t="shared" si="0"/>
        <v>12500000</v>
      </c>
      <c r="AC35" s="798" t="s">
        <v>1893</v>
      </c>
      <c r="AD35" s="824"/>
      <c r="AE35" s="72">
        <v>61</v>
      </c>
      <c r="AF35" s="28" t="s">
        <v>1817</v>
      </c>
      <c r="AG35" s="827">
        <v>289394</v>
      </c>
      <c r="AH35" s="827">
        <v>279112</v>
      </c>
      <c r="AI35" s="827">
        <v>63164</v>
      </c>
      <c r="AJ35" s="827">
        <v>45607</v>
      </c>
      <c r="AK35" s="827">
        <v>365607</v>
      </c>
      <c r="AL35" s="827">
        <v>75612</v>
      </c>
      <c r="AM35" s="827">
        <v>2145</v>
      </c>
      <c r="AN35" s="827">
        <v>12718</v>
      </c>
      <c r="AO35" s="827">
        <v>26</v>
      </c>
      <c r="AP35" s="827">
        <v>37</v>
      </c>
      <c r="AQ35" s="827" t="s">
        <v>1818</v>
      </c>
      <c r="AR35" s="827" t="s">
        <v>1819</v>
      </c>
      <c r="AS35" s="827">
        <v>78</v>
      </c>
      <c r="AT35" s="827">
        <v>16897</v>
      </c>
      <c r="AU35" s="827">
        <v>852</v>
      </c>
      <c r="AV35" s="827">
        <v>568506</v>
      </c>
      <c r="AW35" s="800">
        <v>45293</v>
      </c>
      <c r="AX35" s="800">
        <v>45657</v>
      </c>
      <c r="AY35" s="820" t="s">
        <v>1820</v>
      </c>
      <c r="AZ35" s="15"/>
      <c r="BA35" s="15"/>
      <c r="BB35" s="15"/>
      <c r="BC35" s="15"/>
      <c r="BD35" s="15"/>
      <c r="BE35" s="15"/>
      <c r="BF35" s="15"/>
      <c r="BG35" s="15"/>
      <c r="BH35" s="15"/>
      <c r="BI35" s="15"/>
      <c r="BJ35" s="15"/>
      <c r="BK35" s="15"/>
      <c r="BL35" s="15"/>
      <c r="BM35" s="15"/>
      <c r="BN35" s="15"/>
    </row>
    <row r="36" spans="1:66" s="47" customFormat="1" ht="204" x14ac:dyDescent="0.2">
      <c r="A36" s="32">
        <v>1</v>
      </c>
      <c r="B36" s="34" t="s">
        <v>315</v>
      </c>
      <c r="C36" s="51">
        <v>19</v>
      </c>
      <c r="D36" s="825" t="s">
        <v>517</v>
      </c>
      <c r="E36" s="51">
        <v>1903</v>
      </c>
      <c r="F36" s="825" t="s">
        <v>1807</v>
      </c>
      <c r="G36" s="794">
        <v>1903015</v>
      </c>
      <c r="H36" s="825" t="s">
        <v>1888</v>
      </c>
      <c r="I36" s="51">
        <v>1903015</v>
      </c>
      <c r="J36" s="825" t="s">
        <v>1889</v>
      </c>
      <c r="K36" s="795">
        <v>190301500</v>
      </c>
      <c r="L36" s="825" t="s">
        <v>1890</v>
      </c>
      <c r="M36" s="801">
        <v>190301500</v>
      </c>
      <c r="N36" s="825" t="s">
        <v>1890</v>
      </c>
      <c r="O36" s="794">
        <v>12</v>
      </c>
      <c r="P36" s="794"/>
      <c r="Q36" s="794">
        <v>12</v>
      </c>
      <c r="R36" s="826">
        <v>2020003630117</v>
      </c>
      <c r="S36" s="825" t="s">
        <v>1882</v>
      </c>
      <c r="T36" s="208">
        <f t="shared" si="2"/>
        <v>0.63684456420772706</v>
      </c>
      <c r="U36" s="825" t="s">
        <v>1883</v>
      </c>
      <c r="V36" s="825" t="s">
        <v>1891</v>
      </c>
      <c r="W36" s="825" t="s">
        <v>1895</v>
      </c>
      <c r="X36" s="802">
        <v>12500000</v>
      </c>
      <c r="Y36" s="803"/>
      <c r="Z36" s="803"/>
      <c r="AA36" s="803"/>
      <c r="AB36" s="707">
        <f t="shared" si="0"/>
        <v>12500000</v>
      </c>
      <c r="AC36" s="798" t="s">
        <v>1893</v>
      </c>
      <c r="AD36" s="824"/>
      <c r="AE36" s="72">
        <v>61</v>
      </c>
      <c r="AF36" s="28" t="s">
        <v>1817</v>
      </c>
      <c r="AG36" s="827">
        <v>289394</v>
      </c>
      <c r="AH36" s="827">
        <v>279112</v>
      </c>
      <c r="AI36" s="827">
        <v>63164</v>
      </c>
      <c r="AJ36" s="827">
        <v>45607</v>
      </c>
      <c r="AK36" s="827">
        <v>365607</v>
      </c>
      <c r="AL36" s="827">
        <v>75612</v>
      </c>
      <c r="AM36" s="827">
        <v>2145</v>
      </c>
      <c r="AN36" s="827">
        <v>12718</v>
      </c>
      <c r="AO36" s="827">
        <v>26</v>
      </c>
      <c r="AP36" s="827">
        <v>37</v>
      </c>
      <c r="AQ36" s="827" t="s">
        <v>1818</v>
      </c>
      <c r="AR36" s="827" t="s">
        <v>1819</v>
      </c>
      <c r="AS36" s="827">
        <v>78</v>
      </c>
      <c r="AT36" s="827">
        <v>16897</v>
      </c>
      <c r="AU36" s="827">
        <v>852</v>
      </c>
      <c r="AV36" s="827">
        <v>568506</v>
      </c>
      <c r="AW36" s="800">
        <v>45293</v>
      </c>
      <c r="AX36" s="800">
        <v>45657</v>
      </c>
      <c r="AY36" s="28" t="s">
        <v>1820</v>
      </c>
      <c r="AZ36" s="15"/>
      <c r="BA36" s="15"/>
      <c r="BB36" s="15"/>
      <c r="BC36" s="15"/>
      <c r="BD36" s="15"/>
      <c r="BE36" s="15"/>
      <c r="BF36" s="15"/>
      <c r="BG36" s="15"/>
      <c r="BH36" s="15"/>
      <c r="BI36" s="15"/>
      <c r="BJ36" s="15"/>
      <c r="BK36" s="15"/>
      <c r="BL36" s="15"/>
      <c r="BM36" s="15"/>
      <c r="BN36" s="15"/>
    </row>
    <row r="37" spans="1:66" s="47" customFormat="1" ht="76.5" x14ac:dyDescent="0.2">
      <c r="A37" s="23">
        <v>1</v>
      </c>
      <c r="B37" s="34" t="s">
        <v>315</v>
      </c>
      <c r="C37" s="793">
        <v>19</v>
      </c>
      <c r="D37" s="34" t="s">
        <v>517</v>
      </c>
      <c r="E37" s="793">
        <v>1903</v>
      </c>
      <c r="F37" s="34" t="s">
        <v>1807</v>
      </c>
      <c r="G37" s="794">
        <v>1903015</v>
      </c>
      <c r="H37" s="34" t="s">
        <v>1888</v>
      </c>
      <c r="I37" s="51">
        <v>1903015</v>
      </c>
      <c r="J37" s="34" t="s">
        <v>1889</v>
      </c>
      <c r="K37" s="795">
        <v>190301500</v>
      </c>
      <c r="L37" s="34" t="s">
        <v>1890</v>
      </c>
      <c r="M37" s="801">
        <v>190301500</v>
      </c>
      <c r="N37" s="34" t="s">
        <v>1890</v>
      </c>
      <c r="O37" s="794">
        <v>12</v>
      </c>
      <c r="P37" s="794"/>
      <c r="Q37" s="794">
        <v>12</v>
      </c>
      <c r="R37" s="826">
        <v>2020003630117</v>
      </c>
      <c r="S37" s="34" t="s">
        <v>1882</v>
      </c>
      <c r="T37" s="208">
        <f t="shared" si="2"/>
        <v>0.63684456420772706</v>
      </c>
      <c r="U37" s="34" t="s">
        <v>1883</v>
      </c>
      <c r="V37" s="34" t="s">
        <v>1891</v>
      </c>
      <c r="W37" s="34" t="s">
        <v>1896</v>
      </c>
      <c r="X37" s="802">
        <v>20000000</v>
      </c>
      <c r="Y37" s="803"/>
      <c r="Z37" s="803"/>
      <c r="AA37" s="803"/>
      <c r="AB37" s="707">
        <f t="shared" si="0"/>
        <v>20000000</v>
      </c>
      <c r="AC37" s="798" t="s">
        <v>1893</v>
      </c>
      <c r="AD37" s="824"/>
      <c r="AE37" s="72">
        <v>61</v>
      </c>
      <c r="AF37" s="28" t="s">
        <v>1817</v>
      </c>
      <c r="AG37" s="827">
        <v>289394</v>
      </c>
      <c r="AH37" s="827">
        <v>279112</v>
      </c>
      <c r="AI37" s="827">
        <v>63164</v>
      </c>
      <c r="AJ37" s="827">
        <v>45607</v>
      </c>
      <c r="AK37" s="827">
        <v>365607</v>
      </c>
      <c r="AL37" s="827">
        <v>75612</v>
      </c>
      <c r="AM37" s="827">
        <v>2145</v>
      </c>
      <c r="AN37" s="827">
        <v>12718</v>
      </c>
      <c r="AO37" s="827">
        <v>26</v>
      </c>
      <c r="AP37" s="827">
        <v>37</v>
      </c>
      <c r="AQ37" s="827" t="s">
        <v>1818</v>
      </c>
      <c r="AR37" s="827" t="s">
        <v>1819</v>
      </c>
      <c r="AS37" s="827">
        <v>78</v>
      </c>
      <c r="AT37" s="827">
        <v>16897</v>
      </c>
      <c r="AU37" s="827">
        <v>852</v>
      </c>
      <c r="AV37" s="827">
        <v>568506</v>
      </c>
      <c r="AW37" s="800">
        <v>45293</v>
      </c>
      <c r="AX37" s="800">
        <v>45657</v>
      </c>
      <c r="AY37" s="51" t="s">
        <v>1820</v>
      </c>
      <c r="AZ37" s="15"/>
      <c r="BA37" s="15"/>
      <c r="BB37" s="15"/>
      <c r="BC37" s="15"/>
      <c r="BD37" s="15"/>
      <c r="BE37" s="15"/>
      <c r="BF37" s="15"/>
      <c r="BG37" s="15"/>
      <c r="BH37" s="15"/>
      <c r="BI37" s="15"/>
      <c r="BJ37" s="15"/>
      <c r="BK37" s="15"/>
      <c r="BL37" s="15"/>
      <c r="BM37" s="15"/>
      <c r="BN37" s="15"/>
    </row>
    <row r="38" spans="1:66" s="47" customFormat="1" ht="165.75" x14ac:dyDescent="0.2">
      <c r="A38" s="32">
        <v>1</v>
      </c>
      <c r="B38" s="34" t="s">
        <v>315</v>
      </c>
      <c r="C38" s="51">
        <v>19</v>
      </c>
      <c r="D38" s="825" t="s">
        <v>517</v>
      </c>
      <c r="E38" s="51">
        <v>1903</v>
      </c>
      <c r="F38" s="825" t="s">
        <v>1807</v>
      </c>
      <c r="G38" s="794">
        <v>1903015</v>
      </c>
      <c r="H38" s="825" t="s">
        <v>1888</v>
      </c>
      <c r="I38" s="51">
        <v>1903015</v>
      </c>
      <c r="J38" s="825" t="s">
        <v>1889</v>
      </c>
      <c r="K38" s="795">
        <v>190301500</v>
      </c>
      <c r="L38" s="825" t="s">
        <v>1890</v>
      </c>
      <c r="M38" s="801">
        <v>190301500</v>
      </c>
      <c r="N38" s="825" t="s">
        <v>1890</v>
      </c>
      <c r="O38" s="794">
        <v>12</v>
      </c>
      <c r="P38" s="794"/>
      <c r="Q38" s="794">
        <v>12</v>
      </c>
      <c r="R38" s="826">
        <v>2020003630117</v>
      </c>
      <c r="S38" s="825" t="s">
        <v>1882</v>
      </c>
      <c r="T38" s="208">
        <f t="shared" si="2"/>
        <v>0.63684456420772706</v>
      </c>
      <c r="U38" s="825" t="s">
        <v>1883</v>
      </c>
      <c r="V38" s="825" t="s">
        <v>1891</v>
      </c>
      <c r="W38" s="825" t="s">
        <v>1897</v>
      </c>
      <c r="X38" s="802">
        <v>30000000</v>
      </c>
      <c r="Y38" s="803"/>
      <c r="Z38" s="803"/>
      <c r="AA38" s="803"/>
      <c r="AB38" s="707">
        <f t="shared" si="0"/>
        <v>30000000</v>
      </c>
      <c r="AC38" s="798" t="s">
        <v>1893</v>
      </c>
      <c r="AD38" s="824"/>
      <c r="AE38" s="72">
        <v>61</v>
      </c>
      <c r="AF38" s="28" t="s">
        <v>1817</v>
      </c>
      <c r="AG38" s="827">
        <v>289394</v>
      </c>
      <c r="AH38" s="827">
        <v>279112</v>
      </c>
      <c r="AI38" s="827">
        <v>63164</v>
      </c>
      <c r="AJ38" s="827">
        <v>45607</v>
      </c>
      <c r="AK38" s="827">
        <v>365607</v>
      </c>
      <c r="AL38" s="827">
        <v>75612</v>
      </c>
      <c r="AM38" s="827">
        <v>2145</v>
      </c>
      <c r="AN38" s="827">
        <v>12718</v>
      </c>
      <c r="AO38" s="827">
        <v>26</v>
      </c>
      <c r="AP38" s="827">
        <v>37</v>
      </c>
      <c r="AQ38" s="827" t="s">
        <v>1818</v>
      </c>
      <c r="AR38" s="827" t="s">
        <v>1819</v>
      </c>
      <c r="AS38" s="827">
        <v>78</v>
      </c>
      <c r="AT38" s="827">
        <v>16897</v>
      </c>
      <c r="AU38" s="827">
        <v>852</v>
      </c>
      <c r="AV38" s="827">
        <v>568506</v>
      </c>
      <c r="AW38" s="800">
        <v>45293</v>
      </c>
      <c r="AX38" s="800">
        <v>45657</v>
      </c>
      <c r="AY38" s="51" t="s">
        <v>1820</v>
      </c>
      <c r="AZ38" s="15"/>
      <c r="BA38" s="15"/>
      <c r="BB38" s="15"/>
      <c r="BC38" s="15"/>
      <c r="BD38" s="15"/>
      <c r="BE38" s="15"/>
      <c r="BF38" s="15"/>
      <c r="BG38" s="15"/>
      <c r="BH38" s="15"/>
      <c r="BI38" s="15"/>
      <c r="BJ38" s="15"/>
      <c r="BK38" s="15"/>
      <c r="BL38" s="15"/>
      <c r="BM38" s="15"/>
      <c r="BN38" s="15"/>
    </row>
    <row r="39" spans="1:66" s="47" customFormat="1" ht="89.25" x14ac:dyDescent="0.2">
      <c r="A39" s="23">
        <v>1</v>
      </c>
      <c r="B39" s="34" t="s">
        <v>315</v>
      </c>
      <c r="C39" s="793">
        <v>19</v>
      </c>
      <c r="D39" s="34" t="s">
        <v>517</v>
      </c>
      <c r="E39" s="793">
        <v>1903</v>
      </c>
      <c r="F39" s="34" t="s">
        <v>1807</v>
      </c>
      <c r="G39" s="794">
        <v>1903015</v>
      </c>
      <c r="H39" s="34" t="s">
        <v>1888</v>
      </c>
      <c r="I39" s="51">
        <v>1903015</v>
      </c>
      <c r="J39" s="34" t="s">
        <v>1889</v>
      </c>
      <c r="K39" s="795">
        <v>190301500</v>
      </c>
      <c r="L39" s="34" t="s">
        <v>1890</v>
      </c>
      <c r="M39" s="801">
        <v>190301500</v>
      </c>
      <c r="N39" s="34" t="s">
        <v>1890</v>
      </c>
      <c r="O39" s="794">
        <v>12</v>
      </c>
      <c r="P39" s="794"/>
      <c r="Q39" s="794">
        <v>12</v>
      </c>
      <c r="R39" s="826">
        <v>2020003630117</v>
      </c>
      <c r="S39" s="34" t="s">
        <v>1882</v>
      </c>
      <c r="T39" s="208">
        <f t="shared" si="2"/>
        <v>0.63684456420772706</v>
      </c>
      <c r="U39" s="34" t="s">
        <v>1883</v>
      </c>
      <c r="V39" s="34" t="s">
        <v>1891</v>
      </c>
      <c r="W39" s="34" t="s">
        <v>1898</v>
      </c>
      <c r="X39" s="802">
        <v>20000000</v>
      </c>
      <c r="Y39" s="803"/>
      <c r="Z39" s="803"/>
      <c r="AA39" s="803"/>
      <c r="AB39" s="707">
        <f t="shared" si="0"/>
        <v>20000000</v>
      </c>
      <c r="AC39" s="798" t="s">
        <v>1893</v>
      </c>
      <c r="AD39" s="824"/>
      <c r="AE39" s="72">
        <v>61</v>
      </c>
      <c r="AF39" s="28" t="s">
        <v>1817</v>
      </c>
      <c r="AG39" s="827">
        <v>289394</v>
      </c>
      <c r="AH39" s="827">
        <v>279112</v>
      </c>
      <c r="AI39" s="827">
        <v>63164</v>
      </c>
      <c r="AJ39" s="827">
        <v>45607</v>
      </c>
      <c r="AK39" s="827">
        <v>365607</v>
      </c>
      <c r="AL39" s="827">
        <v>75612</v>
      </c>
      <c r="AM39" s="827">
        <v>2145</v>
      </c>
      <c r="AN39" s="827">
        <v>12718</v>
      </c>
      <c r="AO39" s="827">
        <v>26</v>
      </c>
      <c r="AP39" s="827">
        <v>37</v>
      </c>
      <c r="AQ39" s="827" t="s">
        <v>1818</v>
      </c>
      <c r="AR39" s="827" t="s">
        <v>1819</v>
      </c>
      <c r="AS39" s="827">
        <v>78</v>
      </c>
      <c r="AT39" s="827">
        <v>16897</v>
      </c>
      <c r="AU39" s="827">
        <v>852</v>
      </c>
      <c r="AV39" s="827">
        <v>568506</v>
      </c>
      <c r="AW39" s="800">
        <v>45293</v>
      </c>
      <c r="AX39" s="800">
        <v>45657</v>
      </c>
      <c r="AY39" s="793" t="s">
        <v>1820</v>
      </c>
      <c r="AZ39" s="15"/>
      <c r="BA39" s="15"/>
      <c r="BB39" s="15"/>
      <c r="BC39" s="15"/>
      <c r="BD39" s="15"/>
      <c r="BE39" s="15"/>
      <c r="BF39" s="15"/>
      <c r="BG39" s="15"/>
      <c r="BH39" s="15"/>
      <c r="BI39" s="15"/>
      <c r="BJ39" s="15"/>
      <c r="BK39" s="15"/>
      <c r="BL39" s="15"/>
      <c r="BM39" s="15"/>
      <c r="BN39" s="15"/>
    </row>
    <row r="40" spans="1:66" s="47" customFormat="1" ht="63.75" x14ac:dyDescent="0.2">
      <c r="A40" s="32">
        <v>1</v>
      </c>
      <c r="B40" s="34" t="s">
        <v>315</v>
      </c>
      <c r="C40" s="51">
        <v>19</v>
      </c>
      <c r="D40" s="825" t="s">
        <v>517</v>
      </c>
      <c r="E40" s="51">
        <v>1903</v>
      </c>
      <c r="F40" s="825" t="s">
        <v>1807</v>
      </c>
      <c r="G40" s="794">
        <v>1903015</v>
      </c>
      <c r="H40" s="825" t="s">
        <v>1888</v>
      </c>
      <c r="I40" s="51">
        <v>1903015</v>
      </c>
      <c r="J40" s="825" t="s">
        <v>1889</v>
      </c>
      <c r="K40" s="795">
        <v>190301500</v>
      </c>
      <c r="L40" s="825" t="s">
        <v>1890</v>
      </c>
      <c r="M40" s="801">
        <v>190301500</v>
      </c>
      <c r="N40" s="825" t="s">
        <v>1890</v>
      </c>
      <c r="O40" s="794">
        <v>12</v>
      </c>
      <c r="P40" s="794"/>
      <c r="Q40" s="794">
        <v>12</v>
      </c>
      <c r="R40" s="826">
        <v>2020003630117</v>
      </c>
      <c r="S40" s="825" t="s">
        <v>1882</v>
      </c>
      <c r="T40" s="208">
        <f t="shared" si="2"/>
        <v>0.63684456420772706</v>
      </c>
      <c r="U40" s="825" t="s">
        <v>1883</v>
      </c>
      <c r="V40" s="825" t="s">
        <v>1891</v>
      </c>
      <c r="W40" s="825" t="s">
        <v>1899</v>
      </c>
      <c r="X40" s="802">
        <f>12500000+2000000</f>
        <v>14500000</v>
      </c>
      <c r="Y40" s="803"/>
      <c r="Z40" s="803"/>
      <c r="AA40" s="803"/>
      <c r="AB40" s="707">
        <f t="shared" si="0"/>
        <v>14500000</v>
      </c>
      <c r="AC40" s="798" t="s">
        <v>1893</v>
      </c>
      <c r="AD40" s="824"/>
      <c r="AE40" s="72">
        <v>61</v>
      </c>
      <c r="AF40" s="28" t="s">
        <v>1817</v>
      </c>
      <c r="AG40" s="827">
        <v>289394</v>
      </c>
      <c r="AH40" s="827">
        <v>279112</v>
      </c>
      <c r="AI40" s="827">
        <v>63164</v>
      </c>
      <c r="AJ40" s="827">
        <v>45607</v>
      </c>
      <c r="AK40" s="827">
        <v>365607</v>
      </c>
      <c r="AL40" s="827">
        <v>75612</v>
      </c>
      <c r="AM40" s="827">
        <v>2145</v>
      </c>
      <c r="AN40" s="827">
        <v>12718</v>
      </c>
      <c r="AO40" s="827">
        <v>26</v>
      </c>
      <c r="AP40" s="827">
        <v>37</v>
      </c>
      <c r="AQ40" s="827" t="s">
        <v>1818</v>
      </c>
      <c r="AR40" s="827" t="s">
        <v>1819</v>
      </c>
      <c r="AS40" s="827">
        <v>78</v>
      </c>
      <c r="AT40" s="827">
        <v>16897</v>
      </c>
      <c r="AU40" s="827">
        <v>852</v>
      </c>
      <c r="AV40" s="827">
        <v>568506</v>
      </c>
      <c r="AW40" s="800">
        <v>45293</v>
      </c>
      <c r="AX40" s="800">
        <v>45657</v>
      </c>
      <c r="AY40" s="820" t="s">
        <v>1820</v>
      </c>
      <c r="AZ40" s="15"/>
      <c r="BA40" s="15"/>
      <c r="BB40" s="15"/>
      <c r="BC40" s="15"/>
      <c r="BD40" s="15"/>
      <c r="BE40" s="15"/>
      <c r="BF40" s="15"/>
      <c r="BG40" s="15"/>
      <c r="BH40" s="15"/>
      <c r="BI40" s="15"/>
      <c r="BJ40" s="15"/>
      <c r="BK40" s="15"/>
      <c r="BL40" s="15"/>
      <c r="BM40" s="15"/>
      <c r="BN40" s="15"/>
    </row>
    <row r="41" spans="1:66" s="47" customFormat="1" ht="76.5" x14ac:dyDescent="0.2">
      <c r="A41" s="23">
        <v>1</v>
      </c>
      <c r="B41" s="34" t="s">
        <v>315</v>
      </c>
      <c r="C41" s="793">
        <v>19</v>
      </c>
      <c r="D41" s="34" t="s">
        <v>517</v>
      </c>
      <c r="E41" s="793">
        <v>1903</v>
      </c>
      <c r="F41" s="34" t="s">
        <v>1807</v>
      </c>
      <c r="G41" s="794">
        <v>1903015</v>
      </c>
      <c r="H41" s="34" t="s">
        <v>1888</v>
      </c>
      <c r="I41" s="51">
        <v>1903015</v>
      </c>
      <c r="J41" s="34" t="s">
        <v>1889</v>
      </c>
      <c r="K41" s="795">
        <v>190301500</v>
      </c>
      <c r="L41" s="34" t="s">
        <v>1890</v>
      </c>
      <c r="M41" s="801">
        <v>190301500</v>
      </c>
      <c r="N41" s="34" t="s">
        <v>1890</v>
      </c>
      <c r="O41" s="794">
        <v>12</v>
      </c>
      <c r="P41" s="794"/>
      <c r="Q41" s="794">
        <v>12</v>
      </c>
      <c r="R41" s="826">
        <v>2020003630117</v>
      </c>
      <c r="S41" s="34" t="s">
        <v>1882</v>
      </c>
      <c r="T41" s="208">
        <f t="shared" si="2"/>
        <v>0.63684456420772706</v>
      </c>
      <c r="U41" s="34" t="s">
        <v>1883</v>
      </c>
      <c r="V41" s="34" t="s">
        <v>1891</v>
      </c>
      <c r="W41" s="34" t="s">
        <v>1900</v>
      </c>
      <c r="X41" s="802">
        <v>20000000</v>
      </c>
      <c r="Y41" s="803"/>
      <c r="Z41" s="803"/>
      <c r="AA41" s="803"/>
      <c r="AB41" s="707">
        <f t="shared" si="0"/>
        <v>20000000</v>
      </c>
      <c r="AC41" s="798" t="s">
        <v>1901</v>
      </c>
      <c r="AD41" s="824"/>
      <c r="AE41" s="72">
        <v>61</v>
      </c>
      <c r="AF41" s="28" t="s">
        <v>1817</v>
      </c>
      <c r="AG41" s="827">
        <v>289394</v>
      </c>
      <c r="AH41" s="827">
        <v>279112</v>
      </c>
      <c r="AI41" s="827">
        <v>63164</v>
      </c>
      <c r="AJ41" s="827">
        <v>45607</v>
      </c>
      <c r="AK41" s="827">
        <v>365607</v>
      </c>
      <c r="AL41" s="827">
        <v>75612</v>
      </c>
      <c r="AM41" s="827">
        <v>2145</v>
      </c>
      <c r="AN41" s="827">
        <v>12718</v>
      </c>
      <c r="AO41" s="827">
        <v>26</v>
      </c>
      <c r="AP41" s="827">
        <v>37</v>
      </c>
      <c r="AQ41" s="827" t="s">
        <v>1818</v>
      </c>
      <c r="AR41" s="827" t="s">
        <v>1819</v>
      </c>
      <c r="AS41" s="827">
        <v>78</v>
      </c>
      <c r="AT41" s="827">
        <v>16897</v>
      </c>
      <c r="AU41" s="827">
        <v>852</v>
      </c>
      <c r="AV41" s="827">
        <v>568506</v>
      </c>
      <c r="AW41" s="800">
        <v>45293</v>
      </c>
      <c r="AX41" s="800">
        <v>45657</v>
      </c>
      <c r="AY41" s="28" t="s">
        <v>1820</v>
      </c>
      <c r="AZ41" s="15"/>
      <c r="BA41" s="15"/>
      <c r="BB41" s="15"/>
      <c r="BC41" s="15"/>
      <c r="BD41" s="15"/>
      <c r="BE41" s="15"/>
      <c r="BF41" s="15"/>
      <c r="BG41" s="15"/>
      <c r="BH41" s="15"/>
      <c r="BI41" s="15"/>
      <c r="BJ41" s="15"/>
      <c r="BK41" s="15"/>
      <c r="BL41" s="15"/>
      <c r="BM41" s="15"/>
      <c r="BN41" s="15"/>
    </row>
    <row r="42" spans="1:66" s="47" customFormat="1" ht="63.75" x14ac:dyDescent="0.2">
      <c r="A42" s="32">
        <v>1</v>
      </c>
      <c r="B42" s="34" t="s">
        <v>315</v>
      </c>
      <c r="C42" s="51">
        <v>19</v>
      </c>
      <c r="D42" s="825" t="s">
        <v>517</v>
      </c>
      <c r="E42" s="51">
        <v>1903</v>
      </c>
      <c r="F42" s="825" t="s">
        <v>1807</v>
      </c>
      <c r="G42" s="794">
        <v>1903015</v>
      </c>
      <c r="H42" s="825" t="s">
        <v>1888</v>
      </c>
      <c r="I42" s="51">
        <v>1903015</v>
      </c>
      <c r="J42" s="825" t="s">
        <v>1889</v>
      </c>
      <c r="K42" s="795">
        <v>190301500</v>
      </c>
      <c r="L42" s="825" t="s">
        <v>1890</v>
      </c>
      <c r="M42" s="801">
        <v>190301500</v>
      </c>
      <c r="N42" s="825" t="s">
        <v>1890</v>
      </c>
      <c r="O42" s="794">
        <v>12</v>
      </c>
      <c r="P42" s="794"/>
      <c r="Q42" s="794">
        <v>12</v>
      </c>
      <c r="R42" s="826">
        <v>2020003630117</v>
      </c>
      <c r="S42" s="825" t="s">
        <v>1882</v>
      </c>
      <c r="T42" s="208">
        <f t="shared" si="2"/>
        <v>0.63684456420772706</v>
      </c>
      <c r="U42" s="825" t="s">
        <v>1883</v>
      </c>
      <c r="V42" s="825" t="s">
        <v>1891</v>
      </c>
      <c r="W42" s="825" t="s">
        <v>1902</v>
      </c>
      <c r="X42" s="802">
        <f>20000000+19893318</f>
        <v>39893318</v>
      </c>
      <c r="Y42" s="803"/>
      <c r="Z42" s="803"/>
      <c r="AA42" s="803"/>
      <c r="AB42" s="707">
        <f t="shared" si="0"/>
        <v>39893318</v>
      </c>
      <c r="AC42" s="798" t="s">
        <v>1901</v>
      </c>
      <c r="AD42" s="824"/>
      <c r="AE42" s="72">
        <v>61</v>
      </c>
      <c r="AF42" s="28" t="s">
        <v>1817</v>
      </c>
      <c r="AG42" s="827">
        <v>289394</v>
      </c>
      <c r="AH42" s="827">
        <v>279112</v>
      </c>
      <c r="AI42" s="827">
        <v>63164</v>
      </c>
      <c r="AJ42" s="827">
        <v>45607</v>
      </c>
      <c r="AK42" s="827">
        <v>365607</v>
      </c>
      <c r="AL42" s="827">
        <v>75612</v>
      </c>
      <c r="AM42" s="827">
        <v>2145</v>
      </c>
      <c r="AN42" s="827">
        <v>12718</v>
      </c>
      <c r="AO42" s="827">
        <v>26</v>
      </c>
      <c r="AP42" s="827">
        <v>37</v>
      </c>
      <c r="AQ42" s="827" t="s">
        <v>1818</v>
      </c>
      <c r="AR42" s="827" t="s">
        <v>1819</v>
      </c>
      <c r="AS42" s="827">
        <v>78</v>
      </c>
      <c r="AT42" s="827">
        <v>16897</v>
      </c>
      <c r="AU42" s="827">
        <v>852</v>
      </c>
      <c r="AV42" s="827">
        <v>568506</v>
      </c>
      <c r="AW42" s="800">
        <v>45293</v>
      </c>
      <c r="AX42" s="800">
        <v>45657</v>
      </c>
      <c r="AY42" s="51" t="s">
        <v>1820</v>
      </c>
      <c r="AZ42" s="15"/>
      <c r="BA42" s="15"/>
      <c r="BB42" s="15"/>
      <c r="BC42" s="15"/>
      <c r="BD42" s="15"/>
      <c r="BE42" s="15"/>
      <c r="BF42" s="15"/>
      <c r="BG42" s="15"/>
      <c r="BH42" s="15"/>
      <c r="BI42" s="15"/>
      <c r="BJ42" s="15"/>
      <c r="BK42" s="15"/>
      <c r="BL42" s="15"/>
      <c r="BM42" s="15"/>
      <c r="BN42" s="15"/>
    </row>
    <row r="43" spans="1:66" s="47" customFormat="1" ht="69" customHeight="1" x14ac:dyDescent="0.2">
      <c r="A43" s="32">
        <v>1</v>
      </c>
      <c r="B43" s="34" t="s">
        <v>315</v>
      </c>
      <c r="C43" s="51">
        <v>19</v>
      </c>
      <c r="D43" s="825" t="s">
        <v>517</v>
      </c>
      <c r="E43" s="51">
        <v>1903</v>
      </c>
      <c r="F43" s="825" t="s">
        <v>1903</v>
      </c>
      <c r="G43" s="794">
        <v>1903012</v>
      </c>
      <c r="H43" s="825" t="s">
        <v>1904</v>
      </c>
      <c r="I43" s="51">
        <v>1903012</v>
      </c>
      <c r="J43" s="825" t="s">
        <v>1904</v>
      </c>
      <c r="K43" s="795">
        <v>190301200</v>
      </c>
      <c r="L43" s="825" t="s">
        <v>1905</v>
      </c>
      <c r="M43" s="801">
        <v>190301200</v>
      </c>
      <c r="N43" s="825" t="s">
        <v>1905</v>
      </c>
      <c r="O43" s="321">
        <v>4000</v>
      </c>
      <c r="P43" s="794"/>
      <c r="Q43" s="321">
        <v>4000</v>
      </c>
      <c r="R43" s="826">
        <v>2020003630118</v>
      </c>
      <c r="S43" s="825" t="s">
        <v>1906</v>
      </c>
      <c r="T43" s="208">
        <f>SUM($X$43:$X$52)/SUM($X$43:$X$58)</f>
        <v>0.81643873836390313</v>
      </c>
      <c r="U43" s="825" t="s">
        <v>1907</v>
      </c>
      <c r="V43" s="825" t="s">
        <v>1908</v>
      </c>
      <c r="W43" s="825" t="s">
        <v>1909</v>
      </c>
      <c r="X43" s="322">
        <v>360000000</v>
      </c>
      <c r="Y43" s="327"/>
      <c r="Z43" s="327"/>
      <c r="AA43" s="327"/>
      <c r="AB43" s="707">
        <f t="shared" si="0"/>
        <v>360000000</v>
      </c>
      <c r="AC43" s="798" t="s">
        <v>1910</v>
      </c>
      <c r="AD43" s="828"/>
      <c r="AE43" s="72">
        <v>61</v>
      </c>
      <c r="AF43" s="28" t="s">
        <v>1817</v>
      </c>
      <c r="AG43" s="51">
        <v>289394</v>
      </c>
      <c r="AH43" s="51">
        <v>279112</v>
      </c>
      <c r="AI43" s="51">
        <v>63164</v>
      </c>
      <c r="AJ43" s="51">
        <v>45607</v>
      </c>
      <c r="AK43" s="51">
        <v>365607</v>
      </c>
      <c r="AL43" s="51">
        <v>75612</v>
      </c>
      <c r="AM43" s="51">
        <v>2145</v>
      </c>
      <c r="AN43" s="51">
        <v>12718</v>
      </c>
      <c r="AO43" s="51">
        <v>26</v>
      </c>
      <c r="AP43" s="51">
        <v>37</v>
      </c>
      <c r="AQ43" s="51" t="s">
        <v>1818</v>
      </c>
      <c r="AR43" s="51" t="s">
        <v>1819</v>
      </c>
      <c r="AS43" s="51">
        <v>78</v>
      </c>
      <c r="AT43" s="51">
        <v>16897</v>
      </c>
      <c r="AU43" s="51">
        <v>852</v>
      </c>
      <c r="AV43" s="51">
        <v>568506</v>
      </c>
      <c r="AW43" s="800">
        <v>45293</v>
      </c>
      <c r="AX43" s="800">
        <v>45657</v>
      </c>
      <c r="AY43" s="793" t="s">
        <v>1820</v>
      </c>
      <c r="AZ43" s="15"/>
      <c r="BA43" s="15"/>
      <c r="BB43" s="15"/>
      <c r="BC43" s="15"/>
      <c r="BD43" s="15"/>
      <c r="BE43" s="15"/>
      <c r="BF43" s="15"/>
      <c r="BG43" s="15"/>
      <c r="BH43" s="15"/>
      <c r="BI43" s="15"/>
      <c r="BJ43" s="15"/>
      <c r="BK43" s="15"/>
      <c r="BL43" s="15"/>
      <c r="BM43" s="15"/>
      <c r="BN43" s="15"/>
    </row>
    <row r="44" spans="1:66" s="47" customFormat="1" ht="45.75" customHeight="1" x14ac:dyDescent="0.2">
      <c r="A44" s="32">
        <v>1</v>
      </c>
      <c r="B44" s="34" t="s">
        <v>315</v>
      </c>
      <c r="C44" s="51">
        <v>19</v>
      </c>
      <c r="D44" s="825" t="s">
        <v>517</v>
      </c>
      <c r="E44" s="51">
        <v>1903</v>
      </c>
      <c r="F44" s="825" t="s">
        <v>1903</v>
      </c>
      <c r="G44" s="794">
        <v>1903012</v>
      </c>
      <c r="H44" s="825" t="s">
        <v>1904</v>
      </c>
      <c r="I44" s="51">
        <v>1903012</v>
      </c>
      <c r="J44" s="825" t="s">
        <v>1904</v>
      </c>
      <c r="K44" s="795">
        <v>190301200</v>
      </c>
      <c r="L44" s="825" t="s">
        <v>1905</v>
      </c>
      <c r="M44" s="801">
        <v>190301200</v>
      </c>
      <c r="N44" s="825" t="s">
        <v>1905</v>
      </c>
      <c r="O44" s="321">
        <v>4000</v>
      </c>
      <c r="P44" s="794"/>
      <c r="Q44" s="321">
        <v>4000</v>
      </c>
      <c r="R44" s="826">
        <v>2020003630118</v>
      </c>
      <c r="S44" s="825" t="s">
        <v>1906</v>
      </c>
      <c r="T44" s="208">
        <f t="shared" ref="T44:T51" si="3">SUM($X$43:$X$52)/SUM($X$43:$X$58)</f>
        <v>0.81643873836390313</v>
      </c>
      <c r="U44" s="825" t="s">
        <v>1907</v>
      </c>
      <c r="V44" s="825" t="s">
        <v>1908</v>
      </c>
      <c r="W44" s="825" t="s">
        <v>1911</v>
      </c>
      <c r="X44" s="322">
        <v>70000000</v>
      </c>
      <c r="Y44" s="327"/>
      <c r="Z44" s="327"/>
      <c r="AA44" s="327"/>
      <c r="AB44" s="707">
        <f t="shared" si="0"/>
        <v>70000000</v>
      </c>
      <c r="AC44" s="798" t="s">
        <v>1912</v>
      </c>
      <c r="AD44" s="323"/>
      <c r="AE44" s="72">
        <v>61</v>
      </c>
      <c r="AF44" s="28" t="s">
        <v>1817</v>
      </c>
      <c r="AG44" s="51">
        <v>289394</v>
      </c>
      <c r="AH44" s="51">
        <v>279112</v>
      </c>
      <c r="AI44" s="51">
        <v>63164</v>
      </c>
      <c r="AJ44" s="51">
        <v>45607</v>
      </c>
      <c r="AK44" s="51">
        <v>365607</v>
      </c>
      <c r="AL44" s="51">
        <v>75612</v>
      </c>
      <c r="AM44" s="51">
        <v>2145</v>
      </c>
      <c r="AN44" s="51">
        <v>12718</v>
      </c>
      <c r="AO44" s="51">
        <v>26</v>
      </c>
      <c r="AP44" s="51">
        <v>37</v>
      </c>
      <c r="AQ44" s="51" t="s">
        <v>1818</v>
      </c>
      <c r="AR44" s="51" t="s">
        <v>1819</v>
      </c>
      <c r="AS44" s="51">
        <v>78</v>
      </c>
      <c r="AT44" s="51">
        <v>16897</v>
      </c>
      <c r="AU44" s="51">
        <v>852</v>
      </c>
      <c r="AV44" s="51">
        <v>568506</v>
      </c>
      <c r="AW44" s="800">
        <v>45293</v>
      </c>
      <c r="AX44" s="800">
        <v>45657</v>
      </c>
      <c r="AY44" s="793" t="s">
        <v>1820</v>
      </c>
      <c r="AZ44" s="15"/>
      <c r="BA44" s="15"/>
      <c r="BB44" s="15"/>
      <c r="BC44" s="15"/>
      <c r="BD44" s="15"/>
      <c r="BE44" s="15"/>
      <c r="BF44" s="15"/>
      <c r="BG44" s="15"/>
      <c r="BH44" s="15"/>
      <c r="BI44" s="15"/>
      <c r="BJ44" s="15"/>
      <c r="BK44" s="15"/>
      <c r="BL44" s="15"/>
      <c r="BM44" s="15"/>
      <c r="BN44" s="15"/>
    </row>
    <row r="45" spans="1:66" s="47" customFormat="1" ht="69.75" customHeight="1" x14ac:dyDescent="0.2">
      <c r="A45" s="32">
        <v>1</v>
      </c>
      <c r="B45" s="34" t="s">
        <v>315</v>
      </c>
      <c r="C45" s="51">
        <v>19</v>
      </c>
      <c r="D45" s="825" t="s">
        <v>517</v>
      </c>
      <c r="E45" s="51">
        <v>1903</v>
      </c>
      <c r="F45" s="825" t="s">
        <v>1903</v>
      </c>
      <c r="G45" s="794">
        <v>1903012</v>
      </c>
      <c r="H45" s="825" t="s">
        <v>1904</v>
      </c>
      <c r="I45" s="51">
        <v>1903012</v>
      </c>
      <c r="J45" s="825" t="s">
        <v>1904</v>
      </c>
      <c r="K45" s="795">
        <v>190301200</v>
      </c>
      <c r="L45" s="825" t="s">
        <v>1905</v>
      </c>
      <c r="M45" s="801">
        <v>190301200</v>
      </c>
      <c r="N45" s="825" t="s">
        <v>1905</v>
      </c>
      <c r="O45" s="321">
        <v>4000</v>
      </c>
      <c r="P45" s="794"/>
      <c r="Q45" s="321">
        <v>4000</v>
      </c>
      <c r="R45" s="826">
        <v>2020003630118</v>
      </c>
      <c r="S45" s="825" t="s">
        <v>1906</v>
      </c>
      <c r="T45" s="208">
        <f t="shared" si="3"/>
        <v>0.81643873836390313</v>
      </c>
      <c r="U45" s="825" t="s">
        <v>1907</v>
      </c>
      <c r="V45" s="825" t="s">
        <v>1908</v>
      </c>
      <c r="W45" s="825" t="s">
        <v>1911</v>
      </c>
      <c r="X45" s="322">
        <v>63600000</v>
      </c>
      <c r="Y45" s="327"/>
      <c r="Z45" s="327"/>
      <c r="AA45" s="327"/>
      <c r="AB45" s="707">
        <f t="shared" si="0"/>
        <v>63600000</v>
      </c>
      <c r="AC45" s="798" t="s">
        <v>1913</v>
      </c>
      <c r="AD45" s="323"/>
      <c r="AE45" s="72">
        <v>61</v>
      </c>
      <c r="AF45" s="28" t="s">
        <v>1817</v>
      </c>
      <c r="AG45" s="51">
        <v>289394</v>
      </c>
      <c r="AH45" s="51">
        <v>279112</v>
      </c>
      <c r="AI45" s="51">
        <v>63164</v>
      </c>
      <c r="AJ45" s="51">
        <v>45607</v>
      </c>
      <c r="AK45" s="51">
        <v>365607</v>
      </c>
      <c r="AL45" s="51">
        <v>75612</v>
      </c>
      <c r="AM45" s="51">
        <v>2145</v>
      </c>
      <c r="AN45" s="51">
        <v>12718</v>
      </c>
      <c r="AO45" s="51">
        <v>26</v>
      </c>
      <c r="AP45" s="51">
        <v>37</v>
      </c>
      <c r="AQ45" s="51" t="s">
        <v>1818</v>
      </c>
      <c r="AR45" s="51" t="s">
        <v>1819</v>
      </c>
      <c r="AS45" s="51">
        <v>78</v>
      </c>
      <c r="AT45" s="51">
        <v>16897</v>
      </c>
      <c r="AU45" s="51">
        <v>852</v>
      </c>
      <c r="AV45" s="51">
        <v>568506</v>
      </c>
      <c r="AW45" s="800">
        <v>45293</v>
      </c>
      <c r="AX45" s="800">
        <v>45657</v>
      </c>
      <c r="AY45" s="793" t="s">
        <v>1820</v>
      </c>
      <c r="AZ45" s="15"/>
      <c r="BA45" s="15"/>
      <c r="BB45" s="15"/>
      <c r="BC45" s="15"/>
      <c r="BD45" s="15"/>
      <c r="BE45" s="15"/>
      <c r="BF45" s="15"/>
      <c r="BG45" s="15"/>
      <c r="BH45" s="15"/>
      <c r="BI45" s="15"/>
      <c r="BJ45" s="15"/>
      <c r="BK45" s="15"/>
      <c r="BL45" s="15"/>
      <c r="BM45" s="15"/>
      <c r="BN45" s="15"/>
    </row>
    <row r="46" spans="1:66" s="47" customFormat="1" ht="57" customHeight="1" x14ac:dyDescent="0.2">
      <c r="A46" s="32">
        <v>1</v>
      </c>
      <c r="B46" s="34" t="s">
        <v>315</v>
      </c>
      <c r="C46" s="51">
        <v>19</v>
      </c>
      <c r="D46" s="825" t="s">
        <v>517</v>
      </c>
      <c r="E46" s="51">
        <v>1903</v>
      </c>
      <c r="F46" s="825" t="s">
        <v>1903</v>
      </c>
      <c r="G46" s="794">
        <v>1903012</v>
      </c>
      <c r="H46" s="825" t="s">
        <v>1904</v>
      </c>
      <c r="I46" s="51">
        <v>1903012</v>
      </c>
      <c r="J46" s="825" t="s">
        <v>1904</v>
      </c>
      <c r="K46" s="795">
        <v>190301200</v>
      </c>
      <c r="L46" s="825" t="s">
        <v>1905</v>
      </c>
      <c r="M46" s="801">
        <v>190301200</v>
      </c>
      <c r="N46" s="825" t="s">
        <v>1905</v>
      </c>
      <c r="O46" s="321">
        <v>4000</v>
      </c>
      <c r="P46" s="794"/>
      <c r="Q46" s="321">
        <v>4000</v>
      </c>
      <c r="R46" s="826">
        <v>2020003630118</v>
      </c>
      <c r="S46" s="825" t="s">
        <v>1906</v>
      </c>
      <c r="T46" s="208">
        <f t="shared" si="3"/>
        <v>0.81643873836390313</v>
      </c>
      <c r="U46" s="825" t="s">
        <v>1907</v>
      </c>
      <c r="V46" s="825" t="s">
        <v>1908</v>
      </c>
      <c r="W46" s="825" t="s">
        <v>1914</v>
      </c>
      <c r="X46" s="322">
        <v>20000000</v>
      </c>
      <c r="Y46" s="327"/>
      <c r="Z46" s="327"/>
      <c r="AA46" s="327"/>
      <c r="AB46" s="707">
        <f t="shared" si="0"/>
        <v>20000000</v>
      </c>
      <c r="AC46" s="798" t="s">
        <v>1915</v>
      </c>
      <c r="AD46" s="799"/>
      <c r="AE46" s="72">
        <v>61</v>
      </c>
      <c r="AF46" s="28" t="s">
        <v>1817</v>
      </c>
      <c r="AG46" s="51">
        <v>289394</v>
      </c>
      <c r="AH46" s="51">
        <v>279112</v>
      </c>
      <c r="AI46" s="51">
        <v>63164</v>
      </c>
      <c r="AJ46" s="51">
        <v>45607</v>
      </c>
      <c r="AK46" s="51">
        <v>365607</v>
      </c>
      <c r="AL46" s="51">
        <v>75612</v>
      </c>
      <c r="AM46" s="51">
        <v>2145</v>
      </c>
      <c r="AN46" s="51">
        <v>12718</v>
      </c>
      <c r="AO46" s="51">
        <v>26</v>
      </c>
      <c r="AP46" s="51">
        <v>37</v>
      </c>
      <c r="AQ46" s="51" t="s">
        <v>1818</v>
      </c>
      <c r="AR46" s="51" t="s">
        <v>1819</v>
      </c>
      <c r="AS46" s="51">
        <v>78</v>
      </c>
      <c r="AT46" s="51">
        <v>16897</v>
      </c>
      <c r="AU46" s="51">
        <v>852</v>
      </c>
      <c r="AV46" s="51">
        <v>568506</v>
      </c>
      <c r="AW46" s="800">
        <v>45293</v>
      </c>
      <c r="AX46" s="800">
        <v>45657</v>
      </c>
      <c r="AY46" s="793" t="s">
        <v>1820</v>
      </c>
      <c r="AZ46" s="15"/>
      <c r="BA46" s="15"/>
      <c r="BB46" s="15"/>
      <c r="BC46" s="15"/>
      <c r="BD46" s="15"/>
      <c r="BE46" s="15"/>
      <c r="BF46" s="15"/>
      <c r="BG46" s="15"/>
      <c r="BH46" s="15"/>
      <c r="BI46" s="15"/>
      <c r="BJ46" s="15"/>
      <c r="BK46" s="15"/>
      <c r="BL46" s="15"/>
      <c r="BM46" s="15"/>
      <c r="BN46" s="15"/>
    </row>
    <row r="47" spans="1:66" s="47" customFormat="1" ht="63.75" x14ac:dyDescent="0.2">
      <c r="A47" s="32">
        <v>1</v>
      </c>
      <c r="B47" s="34" t="s">
        <v>315</v>
      </c>
      <c r="C47" s="51">
        <v>19</v>
      </c>
      <c r="D47" s="825" t="s">
        <v>517</v>
      </c>
      <c r="E47" s="51">
        <v>1903</v>
      </c>
      <c r="F47" s="825" t="s">
        <v>1903</v>
      </c>
      <c r="G47" s="794">
        <v>1903012</v>
      </c>
      <c r="H47" s="825" t="s">
        <v>1904</v>
      </c>
      <c r="I47" s="51">
        <v>1903012</v>
      </c>
      <c r="J47" s="825" t="s">
        <v>1904</v>
      </c>
      <c r="K47" s="795">
        <v>190301200</v>
      </c>
      <c r="L47" s="825" t="s">
        <v>1905</v>
      </c>
      <c r="M47" s="801">
        <v>190301200</v>
      </c>
      <c r="N47" s="825" t="s">
        <v>1905</v>
      </c>
      <c r="O47" s="321">
        <v>4000</v>
      </c>
      <c r="P47" s="794"/>
      <c r="Q47" s="321">
        <v>4000</v>
      </c>
      <c r="R47" s="826">
        <v>2020003630118</v>
      </c>
      <c r="S47" s="825" t="s">
        <v>1906</v>
      </c>
      <c r="T47" s="208">
        <f t="shared" si="3"/>
        <v>0.81643873836390313</v>
      </c>
      <c r="U47" s="825" t="s">
        <v>1907</v>
      </c>
      <c r="V47" s="825" t="s">
        <v>1908</v>
      </c>
      <c r="W47" s="825" t="s">
        <v>1916</v>
      </c>
      <c r="X47" s="322">
        <v>20000000</v>
      </c>
      <c r="Y47" s="327"/>
      <c r="Z47" s="327"/>
      <c r="AA47" s="327"/>
      <c r="AB47" s="707">
        <f t="shared" si="0"/>
        <v>20000000</v>
      </c>
      <c r="AC47" s="798" t="s">
        <v>1917</v>
      </c>
      <c r="AD47" s="799"/>
      <c r="AE47" s="72">
        <v>61</v>
      </c>
      <c r="AF47" s="28" t="s">
        <v>1817</v>
      </c>
      <c r="AG47" s="51">
        <v>289394</v>
      </c>
      <c r="AH47" s="51">
        <v>279112</v>
      </c>
      <c r="AI47" s="51">
        <v>63164</v>
      </c>
      <c r="AJ47" s="51">
        <v>45607</v>
      </c>
      <c r="AK47" s="51">
        <v>365607</v>
      </c>
      <c r="AL47" s="51">
        <v>75612</v>
      </c>
      <c r="AM47" s="51">
        <v>2145</v>
      </c>
      <c r="AN47" s="51">
        <v>12718</v>
      </c>
      <c r="AO47" s="51">
        <v>26</v>
      </c>
      <c r="AP47" s="51">
        <v>37</v>
      </c>
      <c r="AQ47" s="51" t="s">
        <v>1818</v>
      </c>
      <c r="AR47" s="51" t="s">
        <v>1819</v>
      </c>
      <c r="AS47" s="51">
        <v>78</v>
      </c>
      <c r="AT47" s="51">
        <v>16897</v>
      </c>
      <c r="AU47" s="51">
        <v>852</v>
      </c>
      <c r="AV47" s="51">
        <v>568506</v>
      </c>
      <c r="AW47" s="800">
        <v>45293</v>
      </c>
      <c r="AX47" s="800">
        <v>45657</v>
      </c>
      <c r="AY47" s="793" t="s">
        <v>1820</v>
      </c>
      <c r="AZ47" s="15"/>
      <c r="BA47" s="15"/>
      <c r="BB47" s="15"/>
      <c r="BC47" s="15"/>
      <c r="BD47" s="15"/>
      <c r="BE47" s="15"/>
      <c r="BF47" s="15"/>
      <c r="BG47" s="15"/>
      <c r="BH47" s="15"/>
      <c r="BI47" s="15"/>
      <c r="BJ47" s="15"/>
      <c r="BK47" s="15"/>
      <c r="BL47" s="15"/>
      <c r="BM47" s="15"/>
      <c r="BN47" s="15"/>
    </row>
    <row r="48" spans="1:66" s="47" customFormat="1" ht="176.25" customHeight="1" x14ac:dyDescent="0.2">
      <c r="A48" s="32">
        <v>1</v>
      </c>
      <c r="B48" s="34" t="s">
        <v>315</v>
      </c>
      <c r="C48" s="51">
        <v>19</v>
      </c>
      <c r="D48" s="825" t="s">
        <v>517</v>
      </c>
      <c r="E48" s="51">
        <v>1903</v>
      </c>
      <c r="F48" s="825" t="s">
        <v>1903</v>
      </c>
      <c r="G48" s="794">
        <v>1903012</v>
      </c>
      <c r="H48" s="825" t="s">
        <v>1904</v>
      </c>
      <c r="I48" s="51">
        <v>1903012</v>
      </c>
      <c r="J48" s="825" t="s">
        <v>1904</v>
      </c>
      <c r="K48" s="795">
        <v>190301200</v>
      </c>
      <c r="L48" s="825" t="s">
        <v>1905</v>
      </c>
      <c r="M48" s="801">
        <v>190301200</v>
      </c>
      <c r="N48" s="825" t="s">
        <v>1905</v>
      </c>
      <c r="O48" s="321">
        <v>4000</v>
      </c>
      <c r="P48" s="794"/>
      <c r="Q48" s="321">
        <v>4000</v>
      </c>
      <c r="R48" s="826">
        <v>2020003630118</v>
      </c>
      <c r="S48" s="825" t="s">
        <v>1906</v>
      </c>
      <c r="T48" s="208">
        <f t="shared" si="3"/>
        <v>0.81643873836390313</v>
      </c>
      <c r="U48" s="825" t="s">
        <v>1907</v>
      </c>
      <c r="V48" s="825" t="s">
        <v>1908</v>
      </c>
      <c r="W48" s="825" t="s">
        <v>1918</v>
      </c>
      <c r="X48" s="322">
        <v>20000000</v>
      </c>
      <c r="Y48" s="327"/>
      <c r="Z48" s="327"/>
      <c r="AA48" s="327"/>
      <c r="AB48" s="707">
        <f t="shared" si="0"/>
        <v>20000000</v>
      </c>
      <c r="AC48" s="798" t="s">
        <v>1917</v>
      </c>
      <c r="AD48" s="799"/>
      <c r="AE48" s="72">
        <v>61</v>
      </c>
      <c r="AF48" s="28" t="s">
        <v>1817</v>
      </c>
      <c r="AG48" s="51">
        <v>289394</v>
      </c>
      <c r="AH48" s="51">
        <v>279112</v>
      </c>
      <c r="AI48" s="51">
        <v>63164</v>
      </c>
      <c r="AJ48" s="51">
        <v>45607</v>
      </c>
      <c r="AK48" s="51">
        <v>365607</v>
      </c>
      <c r="AL48" s="51">
        <v>75612</v>
      </c>
      <c r="AM48" s="51">
        <v>2145</v>
      </c>
      <c r="AN48" s="51">
        <v>12718</v>
      </c>
      <c r="AO48" s="51">
        <v>26</v>
      </c>
      <c r="AP48" s="51">
        <v>37</v>
      </c>
      <c r="AQ48" s="51" t="s">
        <v>1818</v>
      </c>
      <c r="AR48" s="51" t="s">
        <v>1819</v>
      </c>
      <c r="AS48" s="51">
        <v>78</v>
      </c>
      <c r="AT48" s="51">
        <v>16897</v>
      </c>
      <c r="AU48" s="51">
        <v>852</v>
      </c>
      <c r="AV48" s="51">
        <v>568506</v>
      </c>
      <c r="AW48" s="800">
        <v>45293</v>
      </c>
      <c r="AX48" s="800">
        <v>45657</v>
      </c>
      <c r="AY48" s="793" t="s">
        <v>1820</v>
      </c>
      <c r="AZ48" s="15"/>
      <c r="BA48" s="15"/>
      <c r="BB48" s="15"/>
      <c r="BC48" s="15"/>
      <c r="BD48" s="15"/>
      <c r="BE48" s="15"/>
      <c r="BF48" s="15"/>
      <c r="BG48" s="15"/>
      <c r="BH48" s="15"/>
      <c r="BI48" s="15"/>
      <c r="BJ48" s="15"/>
      <c r="BK48" s="15"/>
      <c r="BL48" s="15"/>
      <c r="BM48" s="15"/>
      <c r="BN48" s="15"/>
    </row>
    <row r="49" spans="1:66" s="47" customFormat="1" ht="115.5" customHeight="1" x14ac:dyDescent="0.2">
      <c r="A49" s="32">
        <v>1</v>
      </c>
      <c r="B49" s="34" t="s">
        <v>315</v>
      </c>
      <c r="C49" s="51">
        <v>19</v>
      </c>
      <c r="D49" s="825" t="s">
        <v>517</v>
      </c>
      <c r="E49" s="51">
        <v>1903</v>
      </c>
      <c r="F49" s="825" t="s">
        <v>1903</v>
      </c>
      <c r="G49" s="794">
        <v>1903012</v>
      </c>
      <c r="H49" s="825" t="s">
        <v>1904</v>
      </c>
      <c r="I49" s="51">
        <v>1903012</v>
      </c>
      <c r="J49" s="825" t="s">
        <v>1904</v>
      </c>
      <c r="K49" s="795">
        <v>190301200</v>
      </c>
      <c r="L49" s="825" t="s">
        <v>1905</v>
      </c>
      <c r="M49" s="801">
        <v>190301200</v>
      </c>
      <c r="N49" s="825" t="s">
        <v>1905</v>
      </c>
      <c r="O49" s="321">
        <v>4000</v>
      </c>
      <c r="P49" s="794"/>
      <c r="Q49" s="321">
        <v>4000</v>
      </c>
      <c r="R49" s="826">
        <v>2020003630118</v>
      </c>
      <c r="S49" s="825" t="s">
        <v>1906</v>
      </c>
      <c r="T49" s="208">
        <f t="shared" si="3"/>
        <v>0.81643873836390313</v>
      </c>
      <c r="U49" s="825" t="s">
        <v>1907</v>
      </c>
      <c r="V49" s="825" t="s">
        <v>1908</v>
      </c>
      <c r="W49" s="825" t="s">
        <v>1919</v>
      </c>
      <c r="X49" s="322">
        <v>240000000</v>
      </c>
      <c r="Y49" s="327"/>
      <c r="Z49" s="327"/>
      <c r="AA49" s="327"/>
      <c r="AB49" s="707">
        <f t="shared" si="0"/>
        <v>240000000</v>
      </c>
      <c r="AC49" s="798" t="s">
        <v>1920</v>
      </c>
      <c r="AD49" s="799"/>
      <c r="AE49" s="72">
        <v>61</v>
      </c>
      <c r="AF49" s="28" t="s">
        <v>1817</v>
      </c>
      <c r="AG49" s="51">
        <v>289394</v>
      </c>
      <c r="AH49" s="51">
        <v>279112</v>
      </c>
      <c r="AI49" s="51">
        <v>63164</v>
      </c>
      <c r="AJ49" s="51">
        <v>45607</v>
      </c>
      <c r="AK49" s="51">
        <v>365607</v>
      </c>
      <c r="AL49" s="51">
        <v>75612</v>
      </c>
      <c r="AM49" s="51">
        <v>2145</v>
      </c>
      <c r="AN49" s="51">
        <v>12718</v>
      </c>
      <c r="AO49" s="51">
        <v>26</v>
      </c>
      <c r="AP49" s="51">
        <v>37</v>
      </c>
      <c r="AQ49" s="51" t="s">
        <v>1818</v>
      </c>
      <c r="AR49" s="51" t="s">
        <v>1819</v>
      </c>
      <c r="AS49" s="51">
        <v>78</v>
      </c>
      <c r="AT49" s="51">
        <v>16897</v>
      </c>
      <c r="AU49" s="51">
        <v>852</v>
      </c>
      <c r="AV49" s="51">
        <v>568506</v>
      </c>
      <c r="AW49" s="800">
        <v>45293</v>
      </c>
      <c r="AX49" s="800">
        <v>45657</v>
      </c>
      <c r="AY49" s="793" t="s">
        <v>1820</v>
      </c>
      <c r="AZ49" s="15"/>
      <c r="BA49" s="15"/>
      <c r="BB49" s="15"/>
      <c r="BC49" s="15"/>
      <c r="BD49" s="15"/>
      <c r="BE49" s="15"/>
      <c r="BF49" s="15"/>
      <c r="BG49" s="15"/>
      <c r="BH49" s="15"/>
      <c r="BI49" s="15"/>
      <c r="BJ49" s="15"/>
      <c r="BK49" s="15"/>
      <c r="BL49" s="15"/>
      <c r="BM49" s="15"/>
      <c r="BN49" s="15"/>
    </row>
    <row r="50" spans="1:66" s="47" customFormat="1" ht="81" customHeight="1" x14ac:dyDescent="0.2">
      <c r="A50" s="32">
        <v>1</v>
      </c>
      <c r="B50" s="34" t="s">
        <v>315</v>
      </c>
      <c r="C50" s="51">
        <v>19</v>
      </c>
      <c r="D50" s="825" t="s">
        <v>517</v>
      </c>
      <c r="E50" s="51">
        <v>1903</v>
      </c>
      <c r="F50" s="825" t="s">
        <v>1903</v>
      </c>
      <c r="G50" s="794">
        <v>1903012</v>
      </c>
      <c r="H50" s="825" t="s">
        <v>1904</v>
      </c>
      <c r="I50" s="51">
        <v>1903012</v>
      </c>
      <c r="J50" s="825" t="s">
        <v>1904</v>
      </c>
      <c r="K50" s="795">
        <v>190301200</v>
      </c>
      <c r="L50" s="825" t="s">
        <v>1905</v>
      </c>
      <c r="M50" s="801">
        <v>190301200</v>
      </c>
      <c r="N50" s="825" t="s">
        <v>1905</v>
      </c>
      <c r="O50" s="321">
        <v>4000</v>
      </c>
      <c r="P50" s="794"/>
      <c r="Q50" s="321">
        <v>4000</v>
      </c>
      <c r="R50" s="826">
        <v>2020003630118</v>
      </c>
      <c r="S50" s="825" t="s">
        <v>1906</v>
      </c>
      <c r="T50" s="208">
        <f t="shared" si="3"/>
        <v>0.81643873836390313</v>
      </c>
      <c r="U50" s="825" t="s">
        <v>1907</v>
      </c>
      <c r="V50" s="825" t="s">
        <v>1908</v>
      </c>
      <c r="W50" s="825" t="s">
        <v>1919</v>
      </c>
      <c r="X50" s="322">
        <v>215214717.06</v>
      </c>
      <c r="Y50" s="327"/>
      <c r="Z50" s="327"/>
      <c r="AA50" s="327"/>
      <c r="AB50" s="707">
        <f t="shared" si="0"/>
        <v>215214717.06</v>
      </c>
      <c r="AC50" s="798" t="s">
        <v>1921</v>
      </c>
      <c r="AD50" s="829"/>
      <c r="AE50" s="72">
        <v>20</v>
      </c>
      <c r="AF50" s="28" t="s">
        <v>327</v>
      </c>
      <c r="AG50" s="51">
        <v>289394</v>
      </c>
      <c r="AH50" s="51">
        <v>279112</v>
      </c>
      <c r="AI50" s="51">
        <v>63164</v>
      </c>
      <c r="AJ50" s="51">
        <v>45607</v>
      </c>
      <c r="AK50" s="51">
        <v>365607</v>
      </c>
      <c r="AL50" s="51">
        <v>75612</v>
      </c>
      <c r="AM50" s="51">
        <v>2145</v>
      </c>
      <c r="AN50" s="51">
        <v>12718</v>
      </c>
      <c r="AO50" s="51">
        <v>26</v>
      </c>
      <c r="AP50" s="51">
        <v>37</v>
      </c>
      <c r="AQ50" s="51" t="s">
        <v>1818</v>
      </c>
      <c r="AR50" s="51" t="s">
        <v>1819</v>
      </c>
      <c r="AS50" s="51">
        <v>78</v>
      </c>
      <c r="AT50" s="51">
        <v>16897</v>
      </c>
      <c r="AU50" s="51">
        <v>852</v>
      </c>
      <c r="AV50" s="51">
        <v>568506</v>
      </c>
      <c r="AW50" s="800">
        <v>45293</v>
      </c>
      <c r="AX50" s="800">
        <v>45657</v>
      </c>
      <c r="AY50" s="793" t="s">
        <v>1820</v>
      </c>
      <c r="AZ50" s="15"/>
      <c r="BA50" s="15"/>
      <c r="BB50" s="15"/>
      <c r="BC50" s="15"/>
      <c r="BD50" s="15"/>
      <c r="BE50" s="15"/>
      <c r="BF50" s="15"/>
      <c r="BG50" s="15"/>
      <c r="BH50" s="15"/>
      <c r="BI50" s="15"/>
      <c r="BJ50" s="15"/>
      <c r="BK50" s="15"/>
      <c r="BL50" s="15"/>
      <c r="BM50" s="15"/>
      <c r="BN50" s="15"/>
    </row>
    <row r="51" spans="1:66" s="47" customFormat="1" ht="63.75" x14ac:dyDescent="0.2">
      <c r="A51" s="32">
        <v>1</v>
      </c>
      <c r="B51" s="34" t="s">
        <v>315</v>
      </c>
      <c r="C51" s="51">
        <v>19</v>
      </c>
      <c r="D51" s="825" t="s">
        <v>517</v>
      </c>
      <c r="E51" s="51">
        <v>1903</v>
      </c>
      <c r="F51" s="825" t="s">
        <v>1903</v>
      </c>
      <c r="G51" s="794">
        <v>1903012</v>
      </c>
      <c r="H51" s="825" t="s">
        <v>1904</v>
      </c>
      <c r="I51" s="51">
        <v>1903012</v>
      </c>
      <c r="J51" s="825" t="s">
        <v>1904</v>
      </c>
      <c r="K51" s="795">
        <v>190301200</v>
      </c>
      <c r="L51" s="825" t="s">
        <v>1905</v>
      </c>
      <c r="M51" s="801">
        <v>190301200</v>
      </c>
      <c r="N51" s="825" t="s">
        <v>1905</v>
      </c>
      <c r="O51" s="321">
        <v>4000</v>
      </c>
      <c r="P51" s="794"/>
      <c r="Q51" s="321">
        <v>4000</v>
      </c>
      <c r="R51" s="826">
        <v>2020003630118</v>
      </c>
      <c r="S51" s="825" t="s">
        <v>1906</v>
      </c>
      <c r="T51" s="208">
        <f t="shared" si="3"/>
        <v>0.81643873836390313</v>
      </c>
      <c r="U51" s="825" t="s">
        <v>1907</v>
      </c>
      <c r="V51" s="825" t="s">
        <v>1908</v>
      </c>
      <c r="W51" s="825" t="s">
        <v>1922</v>
      </c>
      <c r="X51" s="322">
        <v>40000000</v>
      </c>
      <c r="Y51" s="327"/>
      <c r="Z51" s="327"/>
      <c r="AA51" s="327"/>
      <c r="AB51" s="707">
        <f t="shared" si="0"/>
        <v>40000000</v>
      </c>
      <c r="AC51" s="798" t="s">
        <v>1921</v>
      </c>
      <c r="AD51" s="829"/>
      <c r="AE51" s="72">
        <v>20</v>
      </c>
      <c r="AF51" s="28" t="s">
        <v>327</v>
      </c>
      <c r="AG51" s="51">
        <v>289394</v>
      </c>
      <c r="AH51" s="51">
        <v>279112</v>
      </c>
      <c r="AI51" s="51">
        <v>63164</v>
      </c>
      <c r="AJ51" s="51">
        <v>45607</v>
      </c>
      <c r="AK51" s="51">
        <v>365607</v>
      </c>
      <c r="AL51" s="51">
        <v>75612</v>
      </c>
      <c r="AM51" s="51">
        <v>2145</v>
      </c>
      <c r="AN51" s="51">
        <v>12718</v>
      </c>
      <c r="AO51" s="51">
        <v>26</v>
      </c>
      <c r="AP51" s="51">
        <v>37</v>
      </c>
      <c r="AQ51" s="51" t="s">
        <v>1818</v>
      </c>
      <c r="AR51" s="51" t="s">
        <v>1819</v>
      </c>
      <c r="AS51" s="51">
        <v>78</v>
      </c>
      <c r="AT51" s="51">
        <v>16897</v>
      </c>
      <c r="AU51" s="51">
        <v>852</v>
      </c>
      <c r="AV51" s="51">
        <v>568506</v>
      </c>
      <c r="AW51" s="800">
        <v>45293</v>
      </c>
      <c r="AX51" s="800">
        <v>45657</v>
      </c>
      <c r="AY51" s="793" t="s">
        <v>1820</v>
      </c>
      <c r="AZ51" s="15"/>
      <c r="BA51" s="15"/>
      <c r="BB51" s="15"/>
      <c r="BC51" s="15"/>
      <c r="BD51" s="15"/>
      <c r="BE51" s="15"/>
      <c r="BF51" s="15"/>
      <c r="BG51" s="15"/>
      <c r="BH51" s="15"/>
      <c r="BI51" s="15"/>
      <c r="BJ51" s="15"/>
      <c r="BK51" s="15"/>
      <c r="BL51" s="15"/>
      <c r="BM51" s="15"/>
      <c r="BN51" s="15"/>
    </row>
    <row r="52" spans="1:66" s="47" customFormat="1" ht="63.75" x14ac:dyDescent="0.2">
      <c r="A52" s="32">
        <v>1</v>
      </c>
      <c r="B52" s="34" t="s">
        <v>315</v>
      </c>
      <c r="C52" s="51">
        <v>19</v>
      </c>
      <c r="D52" s="825" t="s">
        <v>517</v>
      </c>
      <c r="E52" s="51">
        <v>1903</v>
      </c>
      <c r="F52" s="825" t="s">
        <v>1903</v>
      </c>
      <c r="G52" s="794">
        <v>1903012</v>
      </c>
      <c r="H52" s="825" t="s">
        <v>1904</v>
      </c>
      <c r="I52" s="51">
        <v>1903012</v>
      </c>
      <c r="J52" s="825" t="s">
        <v>1904</v>
      </c>
      <c r="K52" s="795">
        <v>190301200</v>
      </c>
      <c r="L52" s="825" t="s">
        <v>1905</v>
      </c>
      <c r="M52" s="801">
        <v>190301200</v>
      </c>
      <c r="N52" s="825" t="s">
        <v>1905</v>
      </c>
      <c r="O52" s="321">
        <v>4000</v>
      </c>
      <c r="P52" s="794"/>
      <c r="Q52" s="321">
        <v>4000</v>
      </c>
      <c r="R52" s="826">
        <v>2020003630118</v>
      </c>
      <c r="S52" s="825" t="s">
        <v>1906</v>
      </c>
      <c r="T52" s="208">
        <f>SUM($X$43:$X$52)/SUM($X$43:$X$58)</f>
        <v>0.81643873836390313</v>
      </c>
      <c r="U52" s="825" t="s">
        <v>1907</v>
      </c>
      <c r="V52" s="825" t="s">
        <v>1908</v>
      </c>
      <c r="W52" s="825" t="s">
        <v>1923</v>
      </c>
      <c r="X52" s="322">
        <v>40000000</v>
      </c>
      <c r="Y52" s="327"/>
      <c r="Z52" s="327"/>
      <c r="AA52" s="327"/>
      <c r="AB52" s="707">
        <f t="shared" si="0"/>
        <v>40000000</v>
      </c>
      <c r="AC52" s="798" t="s">
        <v>1921</v>
      </c>
      <c r="AD52" s="829"/>
      <c r="AE52" s="72">
        <v>20</v>
      </c>
      <c r="AF52" s="28" t="s">
        <v>327</v>
      </c>
      <c r="AG52" s="51">
        <v>289394</v>
      </c>
      <c r="AH52" s="51">
        <v>279112</v>
      </c>
      <c r="AI52" s="51">
        <v>63164</v>
      </c>
      <c r="AJ52" s="51">
        <v>45607</v>
      </c>
      <c r="AK52" s="51">
        <v>365607</v>
      </c>
      <c r="AL52" s="51">
        <v>75612</v>
      </c>
      <c r="AM52" s="51">
        <v>2145</v>
      </c>
      <c r="AN52" s="51">
        <v>12718</v>
      </c>
      <c r="AO52" s="51">
        <v>26</v>
      </c>
      <c r="AP52" s="51">
        <v>37</v>
      </c>
      <c r="AQ52" s="51" t="s">
        <v>1818</v>
      </c>
      <c r="AR52" s="51" t="s">
        <v>1819</v>
      </c>
      <c r="AS52" s="51">
        <v>78</v>
      </c>
      <c r="AT52" s="51">
        <v>16897</v>
      </c>
      <c r="AU52" s="51">
        <v>852</v>
      </c>
      <c r="AV52" s="51">
        <v>568506</v>
      </c>
      <c r="AW52" s="800">
        <v>45293</v>
      </c>
      <c r="AX52" s="800">
        <v>45657</v>
      </c>
      <c r="AY52" s="793" t="s">
        <v>1820</v>
      </c>
      <c r="AZ52" s="15"/>
      <c r="BA52" s="15"/>
      <c r="BB52" s="15"/>
      <c r="BC52" s="15"/>
      <c r="BD52" s="15"/>
      <c r="BE52" s="15"/>
      <c r="BF52" s="15"/>
      <c r="BG52" s="15"/>
      <c r="BH52" s="15"/>
      <c r="BI52" s="15"/>
      <c r="BJ52" s="15"/>
      <c r="BK52" s="15"/>
      <c r="BL52" s="15"/>
      <c r="BM52" s="15"/>
      <c r="BN52" s="15"/>
    </row>
    <row r="53" spans="1:66" s="47" customFormat="1" ht="125.25" customHeight="1" x14ac:dyDescent="0.2">
      <c r="A53" s="32">
        <v>1</v>
      </c>
      <c r="B53" s="34" t="s">
        <v>315</v>
      </c>
      <c r="C53" s="51">
        <v>19</v>
      </c>
      <c r="D53" s="825" t="s">
        <v>517</v>
      </c>
      <c r="E53" s="51">
        <v>1903</v>
      </c>
      <c r="F53" s="825" t="s">
        <v>1903</v>
      </c>
      <c r="G53" s="325">
        <v>1903016</v>
      </c>
      <c r="H53" s="825" t="s">
        <v>1924</v>
      </c>
      <c r="I53" s="51">
        <v>1903016</v>
      </c>
      <c r="J53" s="825" t="s">
        <v>1925</v>
      </c>
      <c r="K53" s="795">
        <v>190301600</v>
      </c>
      <c r="L53" s="825" t="s">
        <v>1926</v>
      </c>
      <c r="M53" s="801">
        <v>190301600</v>
      </c>
      <c r="N53" s="825" t="s">
        <v>1926</v>
      </c>
      <c r="O53" s="794">
        <v>240</v>
      </c>
      <c r="P53" s="794"/>
      <c r="Q53" s="794">
        <v>240</v>
      </c>
      <c r="R53" s="826">
        <v>2020003630118</v>
      </c>
      <c r="S53" s="825" t="s">
        <v>1906</v>
      </c>
      <c r="T53" s="208">
        <f t="shared" ref="T53:T55" si="4">SUM($X$53:$X$55)/SUM($X$43:$X$58)</f>
        <v>8.4582149969574069E-2</v>
      </c>
      <c r="U53" s="825" t="s">
        <v>1907</v>
      </c>
      <c r="V53" s="825" t="s">
        <v>1908</v>
      </c>
      <c r="W53" s="825" t="s">
        <v>1927</v>
      </c>
      <c r="X53" s="322">
        <v>35000000</v>
      </c>
      <c r="Y53" s="327"/>
      <c r="Z53" s="327"/>
      <c r="AA53" s="327"/>
      <c r="AB53" s="707">
        <f t="shared" si="0"/>
        <v>35000000</v>
      </c>
      <c r="AC53" s="798" t="s">
        <v>1928</v>
      </c>
      <c r="AD53" s="829"/>
      <c r="AE53" s="72">
        <v>61</v>
      </c>
      <c r="AF53" s="28" t="s">
        <v>1817</v>
      </c>
      <c r="AG53" s="51">
        <v>289394</v>
      </c>
      <c r="AH53" s="51">
        <v>279112</v>
      </c>
      <c r="AI53" s="51">
        <v>63164</v>
      </c>
      <c r="AJ53" s="51">
        <v>45607</v>
      </c>
      <c r="AK53" s="51">
        <v>365607</v>
      </c>
      <c r="AL53" s="51">
        <v>75612</v>
      </c>
      <c r="AM53" s="51">
        <v>2145</v>
      </c>
      <c r="AN53" s="51">
        <v>12718</v>
      </c>
      <c r="AO53" s="51">
        <v>26</v>
      </c>
      <c r="AP53" s="51">
        <v>37</v>
      </c>
      <c r="AQ53" s="51" t="s">
        <v>1818</v>
      </c>
      <c r="AR53" s="51" t="s">
        <v>1819</v>
      </c>
      <c r="AS53" s="51">
        <v>78</v>
      </c>
      <c r="AT53" s="51">
        <v>16897</v>
      </c>
      <c r="AU53" s="51">
        <v>852</v>
      </c>
      <c r="AV53" s="51">
        <v>568506</v>
      </c>
      <c r="AW53" s="800">
        <v>45293</v>
      </c>
      <c r="AX53" s="800">
        <v>45657</v>
      </c>
      <c r="AY53" s="793" t="s">
        <v>1820</v>
      </c>
      <c r="AZ53" s="15"/>
      <c r="BA53" s="15"/>
      <c r="BB53" s="15"/>
      <c r="BC53" s="15"/>
      <c r="BD53" s="15"/>
      <c r="BE53" s="15"/>
      <c r="BF53" s="15"/>
      <c r="BG53" s="15"/>
      <c r="BH53" s="15"/>
      <c r="BI53" s="15"/>
      <c r="BJ53" s="15"/>
      <c r="BK53" s="15"/>
      <c r="BL53" s="15"/>
      <c r="BM53" s="15"/>
      <c r="BN53" s="15"/>
    </row>
    <row r="54" spans="1:66" s="47" customFormat="1" ht="89.25" x14ac:dyDescent="0.2">
      <c r="A54" s="32">
        <v>1</v>
      </c>
      <c r="B54" s="34" t="s">
        <v>315</v>
      </c>
      <c r="C54" s="51">
        <v>19</v>
      </c>
      <c r="D54" s="825" t="s">
        <v>517</v>
      </c>
      <c r="E54" s="51">
        <v>1903</v>
      </c>
      <c r="F54" s="825" t="s">
        <v>1903</v>
      </c>
      <c r="G54" s="325">
        <v>1903016</v>
      </c>
      <c r="H54" s="825" t="s">
        <v>1924</v>
      </c>
      <c r="I54" s="51">
        <v>1903016</v>
      </c>
      <c r="J54" s="825" t="s">
        <v>1925</v>
      </c>
      <c r="K54" s="795">
        <v>190301600</v>
      </c>
      <c r="L54" s="825" t="s">
        <v>1926</v>
      </c>
      <c r="M54" s="801">
        <v>190301600</v>
      </c>
      <c r="N54" s="825" t="s">
        <v>1926</v>
      </c>
      <c r="O54" s="794">
        <v>240</v>
      </c>
      <c r="P54" s="794"/>
      <c r="Q54" s="794">
        <v>240</v>
      </c>
      <c r="R54" s="826">
        <v>2020003630118</v>
      </c>
      <c r="S54" s="825" t="s">
        <v>1906</v>
      </c>
      <c r="T54" s="208">
        <f t="shared" si="4"/>
        <v>8.4582149969574069E-2</v>
      </c>
      <c r="U54" s="825" t="s">
        <v>1907</v>
      </c>
      <c r="V54" s="825" t="s">
        <v>1908</v>
      </c>
      <c r="W54" s="825" t="s">
        <v>1929</v>
      </c>
      <c r="X54" s="322">
        <v>40000000</v>
      </c>
      <c r="Y54" s="327"/>
      <c r="Z54" s="327"/>
      <c r="AA54" s="327"/>
      <c r="AB54" s="707">
        <f t="shared" si="0"/>
        <v>40000000</v>
      </c>
      <c r="AC54" s="798" t="s">
        <v>1928</v>
      </c>
      <c r="AD54" s="829"/>
      <c r="AE54" s="72">
        <v>61</v>
      </c>
      <c r="AF54" s="28" t="s">
        <v>1817</v>
      </c>
      <c r="AG54" s="51">
        <v>289394</v>
      </c>
      <c r="AH54" s="51">
        <v>279112</v>
      </c>
      <c r="AI54" s="51">
        <v>63164</v>
      </c>
      <c r="AJ54" s="51">
        <v>45607</v>
      </c>
      <c r="AK54" s="51">
        <v>365607</v>
      </c>
      <c r="AL54" s="51">
        <v>75612</v>
      </c>
      <c r="AM54" s="51">
        <v>2145</v>
      </c>
      <c r="AN54" s="51">
        <v>12718</v>
      </c>
      <c r="AO54" s="51">
        <v>26</v>
      </c>
      <c r="AP54" s="51">
        <v>37</v>
      </c>
      <c r="AQ54" s="51" t="s">
        <v>1818</v>
      </c>
      <c r="AR54" s="51" t="s">
        <v>1819</v>
      </c>
      <c r="AS54" s="51">
        <v>78</v>
      </c>
      <c r="AT54" s="51">
        <v>16897</v>
      </c>
      <c r="AU54" s="51">
        <v>852</v>
      </c>
      <c r="AV54" s="51">
        <v>568506</v>
      </c>
      <c r="AW54" s="800">
        <v>45293</v>
      </c>
      <c r="AX54" s="800">
        <v>45657</v>
      </c>
      <c r="AY54" s="793" t="s">
        <v>1820</v>
      </c>
      <c r="AZ54" s="15"/>
      <c r="BA54" s="15"/>
      <c r="BB54" s="15"/>
      <c r="BC54" s="15"/>
      <c r="BD54" s="15"/>
      <c r="BE54" s="15"/>
      <c r="BF54" s="15"/>
      <c r="BG54" s="15"/>
      <c r="BH54" s="15"/>
      <c r="BI54" s="15"/>
      <c r="BJ54" s="15"/>
      <c r="BK54" s="15"/>
      <c r="BL54" s="15"/>
      <c r="BM54" s="15"/>
      <c r="BN54" s="15"/>
    </row>
    <row r="55" spans="1:66" s="47" customFormat="1" ht="63.75" x14ac:dyDescent="0.2">
      <c r="A55" s="32">
        <v>1</v>
      </c>
      <c r="B55" s="34" t="s">
        <v>315</v>
      </c>
      <c r="C55" s="51">
        <v>19</v>
      </c>
      <c r="D55" s="825" t="s">
        <v>517</v>
      </c>
      <c r="E55" s="51">
        <v>1903</v>
      </c>
      <c r="F55" s="825" t="s">
        <v>1903</v>
      </c>
      <c r="G55" s="325">
        <v>1903016</v>
      </c>
      <c r="H55" s="825" t="s">
        <v>1924</v>
      </c>
      <c r="I55" s="51">
        <v>1903016</v>
      </c>
      <c r="J55" s="825" t="s">
        <v>1925</v>
      </c>
      <c r="K55" s="795">
        <v>190301600</v>
      </c>
      <c r="L55" s="825" t="s">
        <v>1926</v>
      </c>
      <c r="M55" s="801">
        <v>190301600</v>
      </c>
      <c r="N55" s="825" t="s">
        <v>1926</v>
      </c>
      <c r="O55" s="794">
        <v>240</v>
      </c>
      <c r="P55" s="794"/>
      <c r="Q55" s="794">
        <v>240</v>
      </c>
      <c r="R55" s="826">
        <v>2020003630118</v>
      </c>
      <c r="S55" s="825" t="s">
        <v>1906</v>
      </c>
      <c r="T55" s="208">
        <f t="shared" si="4"/>
        <v>8.4582149969574069E-2</v>
      </c>
      <c r="U55" s="825" t="s">
        <v>1907</v>
      </c>
      <c r="V55" s="825" t="s">
        <v>1908</v>
      </c>
      <c r="W55" s="825" t="s">
        <v>1930</v>
      </c>
      <c r="X55" s="322">
        <f>60772557-22972557</f>
        <v>37800000</v>
      </c>
      <c r="Y55" s="327"/>
      <c r="Z55" s="327"/>
      <c r="AA55" s="327"/>
      <c r="AB55" s="707">
        <f t="shared" si="0"/>
        <v>37800000</v>
      </c>
      <c r="AC55" s="798" t="s">
        <v>1928</v>
      </c>
      <c r="AD55" s="829"/>
      <c r="AE55" s="72">
        <v>61</v>
      </c>
      <c r="AF55" s="28" t="s">
        <v>1817</v>
      </c>
      <c r="AG55" s="51">
        <v>289394</v>
      </c>
      <c r="AH55" s="51">
        <v>279112</v>
      </c>
      <c r="AI55" s="51">
        <v>63164</v>
      </c>
      <c r="AJ55" s="51">
        <v>45607</v>
      </c>
      <c r="AK55" s="51">
        <v>365607</v>
      </c>
      <c r="AL55" s="51">
        <v>75612</v>
      </c>
      <c r="AM55" s="51">
        <v>2145</v>
      </c>
      <c r="AN55" s="51">
        <v>12718</v>
      </c>
      <c r="AO55" s="51">
        <v>26</v>
      </c>
      <c r="AP55" s="51">
        <v>37</v>
      </c>
      <c r="AQ55" s="51" t="s">
        <v>1818</v>
      </c>
      <c r="AR55" s="51" t="s">
        <v>1819</v>
      </c>
      <c r="AS55" s="51">
        <v>78</v>
      </c>
      <c r="AT55" s="51">
        <v>16897</v>
      </c>
      <c r="AU55" s="51">
        <v>852</v>
      </c>
      <c r="AV55" s="51">
        <v>568506</v>
      </c>
      <c r="AW55" s="800">
        <v>45293</v>
      </c>
      <c r="AX55" s="800">
        <v>45657</v>
      </c>
      <c r="AY55" s="793" t="s">
        <v>1820</v>
      </c>
      <c r="AZ55" s="15"/>
      <c r="BA55" s="15"/>
      <c r="BB55" s="15"/>
      <c r="BC55" s="15"/>
      <c r="BD55" s="15"/>
      <c r="BE55" s="15"/>
      <c r="BF55" s="15"/>
      <c r="BG55" s="15"/>
      <c r="BH55" s="15"/>
      <c r="BI55" s="15"/>
      <c r="BJ55" s="15"/>
      <c r="BK55" s="15"/>
      <c r="BL55" s="15"/>
      <c r="BM55" s="15"/>
      <c r="BN55" s="15"/>
    </row>
    <row r="56" spans="1:66" s="47" customFormat="1" ht="63.75" x14ac:dyDescent="0.2">
      <c r="A56" s="32">
        <v>1</v>
      </c>
      <c r="B56" s="34" t="s">
        <v>315</v>
      </c>
      <c r="C56" s="51">
        <v>19</v>
      </c>
      <c r="D56" s="825" t="s">
        <v>517</v>
      </c>
      <c r="E56" s="51">
        <v>1903</v>
      </c>
      <c r="F56" s="825" t="s">
        <v>1903</v>
      </c>
      <c r="G56" s="794">
        <v>1903011</v>
      </c>
      <c r="H56" s="825" t="s">
        <v>1876</v>
      </c>
      <c r="I56" s="51">
        <v>1903011</v>
      </c>
      <c r="J56" s="825" t="s">
        <v>1877</v>
      </c>
      <c r="K56" s="795">
        <v>190301101</v>
      </c>
      <c r="L56" s="825" t="s">
        <v>1931</v>
      </c>
      <c r="M56" s="801">
        <v>190301101</v>
      </c>
      <c r="N56" s="825" t="s">
        <v>1931</v>
      </c>
      <c r="O56" s="794">
        <v>12</v>
      </c>
      <c r="P56" s="794"/>
      <c r="Q56" s="794">
        <v>12</v>
      </c>
      <c r="R56" s="826">
        <v>2020003630118</v>
      </c>
      <c r="S56" s="825" t="s">
        <v>1906</v>
      </c>
      <c r="T56" s="208">
        <f>SUM($X$56:$X$58)/SUM($X$43:$X$58)</f>
        <v>9.8979111666522845E-2</v>
      </c>
      <c r="U56" s="825" t="s">
        <v>1907</v>
      </c>
      <c r="V56" s="825" t="s">
        <v>1908</v>
      </c>
      <c r="W56" s="825" t="s">
        <v>1914</v>
      </c>
      <c r="X56" s="322">
        <v>60000000</v>
      </c>
      <c r="Y56" s="327"/>
      <c r="Z56" s="327"/>
      <c r="AA56" s="327"/>
      <c r="AB56" s="707">
        <f t="shared" si="0"/>
        <v>60000000</v>
      </c>
      <c r="AC56" s="798" t="s">
        <v>1932</v>
      </c>
      <c r="AD56" s="829"/>
      <c r="AE56" s="72">
        <v>61</v>
      </c>
      <c r="AF56" s="28" t="s">
        <v>1817</v>
      </c>
      <c r="AG56" s="51">
        <v>289394</v>
      </c>
      <c r="AH56" s="51">
        <v>279112</v>
      </c>
      <c r="AI56" s="51">
        <v>63164</v>
      </c>
      <c r="AJ56" s="51">
        <v>45607</v>
      </c>
      <c r="AK56" s="51">
        <v>365607</v>
      </c>
      <c r="AL56" s="51">
        <v>75612</v>
      </c>
      <c r="AM56" s="51">
        <v>2145</v>
      </c>
      <c r="AN56" s="51">
        <v>12718</v>
      </c>
      <c r="AO56" s="51">
        <v>26</v>
      </c>
      <c r="AP56" s="51">
        <v>37</v>
      </c>
      <c r="AQ56" s="51" t="s">
        <v>1818</v>
      </c>
      <c r="AR56" s="51" t="s">
        <v>1819</v>
      </c>
      <c r="AS56" s="51">
        <v>78</v>
      </c>
      <c r="AT56" s="51">
        <v>16897</v>
      </c>
      <c r="AU56" s="51">
        <v>852</v>
      </c>
      <c r="AV56" s="51">
        <v>568506</v>
      </c>
      <c r="AW56" s="800">
        <v>45293</v>
      </c>
      <c r="AX56" s="800">
        <v>45657</v>
      </c>
      <c r="AY56" s="793" t="s">
        <v>1820</v>
      </c>
      <c r="AZ56" s="15"/>
      <c r="BA56" s="15"/>
      <c r="BB56" s="15"/>
      <c r="BC56" s="15"/>
      <c r="BD56" s="15"/>
      <c r="BE56" s="15"/>
      <c r="BF56" s="15"/>
      <c r="BG56" s="15"/>
      <c r="BH56" s="15"/>
      <c r="BI56" s="15"/>
      <c r="BJ56" s="15"/>
      <c r="BK56" s="15"/>
      <c r="BL56" s="15"/>
      <c r="BM56" s="15"/>
      <c r="BN56" s="15"/>
    </row>
    <row r="57" spans="1:66" s="47" customFormat="1" ht="63.75" x14ac:dyDescent="0.2">
      <c r="A57" s="32">
        <v>1</v>
      </c>
      <c r="B57" s="34" t="s">
        <v>315</v>
      </c>
      <c r="C57" s="51">
        <v>19</v>
      </c>
      <c r="D57" s="825" t="s">
        <v>517</v>
      </c>
      <c r="E57" s="51">
        <v>1903</v>
      </c>
      <c r="F57" s="825" t="s">
        <v>1903</v>
      </c>
      <c r="G57" s="794">
        <v>1903011</v>
      </c>
      <c r="H57" s="825" t="s">
        <v>1876</v>
      </c>
      <c r="I57" s="51">
        <v>1903011</v>
      </c>
      <c r="J57" s="825" t="s">
        <v>1877</v>
      </c>
      <c r="K57" s="795">
        <v>190301101</v>
      </c>
      <c r="L57" s="825" t="s">
        <v>1931</v>
      </c>
      <c r="M57" s="801">
        <v>190301101</v>
      </c>
      <c r="N57" s="825" t="s">
        <v>1931</v>
      </c>
      <c r="O57" s="794">
        <v>12</v>
      </c>
      <c r="P57" s="794"/>
      <c r="Q57" s="794">
        <v>12</v>
      </c>
      <c r="R57" s="826">
        <v>2020003630118</v>
      </c>
      <c r="S57" s="825" t="s">
        <v>1906</v>
      </c>
      <c r="T57" s="208">
        <f t="shared" ref="T57:T58" si="5">SUM($X$56:$X$58)/SUM($X$43:$X$58)</f>
        <v>9.8979111666522845E-2</v>
      </c>
      <c r="U57" s="825" t="s">
        <v>1907</v>
      </c>
      <c r="V57" s="825" t="s">
        <v>1908</v>
      </c>
      <c r="W57" s="825" t="s">
        <v>1916</v>
      </c>
      <c r="X57" s="322">
        <v>60000000</v>
      </c>
      <c r="Y57" s="327"/>
      <c r="Z57" s="327"/>
      <c r="AA57" s="327"/>
      <c r="AB57" s="707">
        <f t="shared" si="0"/>
        <v>60000000</v>
      </c>
      <c r="AC57" s="798" t="s">
        <v>1932</v>
      </c>
      <c r="AD57" s="829"/>
      <c r="AE57" s="72">
        <v>61</v>
      </c>
      <c r="AF57" s="28" t="s">
        <v>1817</v>
      </c>
      <c r="AG57" s="51">
        <v>289394</v>
      </c>
      <c r="AH57" s="51">
        <v>279112</v>
      </c>
      <c r="AI57" s="51">
        <v>63164</v>
      </c>
      <c r="AJ57" s="51">
        <v>45607</v>
      </c>
      <c r="AK57" s="51">
        <v>365607</v>
      </c>
      <c r="AL57" s="51">
        <v>75612</v>
      </c>
      <c r="AM57" s="51">
        <v>2145</v>
      </c>
      <c r="AN57" s="51">
        <v>12718</v>
      </c>
      <c r="AO57" s="51">
        <v>26</v>
      </c>
      <c r="AP57" s="51">
        <v>37</v>
      </c>
      <c r="AQ57" s="51" t="s">
        <v>1818</v>
      </c>
      <c r="AR57" s="51" t="s">
        <v>1819</v>
      </c>
      <c r="AS57" s="51">
        <v>78</v>
      </c>
      <c r="AT57" s="51">
        <v>16897</v>
      </c>
      <c r="AU57" s="51">
        <v>852</v>
      </c>
      <c r="AV57" s="51">
        <v>568506</v>
      </c>
      <c r="AW57" s="800">
        <v>45293</v>
      </c>
      <c r="AX57" s="800">
        <v>45657</v>
      </c>
      <c r="AY57" s="793" t="s">
        <v>1820</v>
      </c>
      <c r="AZ57" s="15"/>
      <c r="BA57" s="15"/>
      <c r="BB57" s="15"/>
      <c r="BC57" s="15"/>
      <c r="BD57" s="15"/>
      <c r="BE57" s="15"/>
      <c r="BF57" s="15"/>
      <c r="BG57" s="15"/>
      <c r="BH57" s="15"/>
      <c r="BI57" s="15"/>
      <c r="BJ57" s="15"/>
      <c r="BK57" s="15"/>
      <c r="BL57" s="15"/>
      <c r="BM57" s="15"/>
      <c r="BN57" s="15"/>
    </row>
    <row r="58" spans="1:66" s="47" customFormat="1" ht="76.5" x14ac:dyDescent="0.2">
      <c r="A58" s="32">
        <v>1</v>
      </c>
      <c r="B58" s="34" t="s">
        <v>315</v>
      </c>
      <c r="C58" s="51">
        <v>19</v>
      </c>
      <c r="D58" s="825" t="s">
        <v>517</v>
      </c>
      <c r="E58" s="51">
        <v>1903</v>
      </c>
      <c r="F58" s="825" t="s">
        <v>1903</v>
      </c>
      <c r="G58" s="794">
        <v>1903011</v>
      </c>
      <c r="H58" s="825" t="s">
        <v>1876</v>
      </c>
      <c r="I58" s="51">
        <v>1903011</v>
      </c>
      <c r="J58" s="825" t="s">
        <v>1877</v>
      </c>
      <c r="K58" s="795">
        <v>190301101</v>
      </c>
      <c r="L58" s="825" t="s">
        <v>1931</v>
      </c>
      <c r="M58" s="801">
        <v>190301101</v>
      </c>
      <c r="N58" s="825" t="s">
        <v>1931</v>
      </c>
      <c r="O58" s="794">
        <v>12</v>
      </c>
      <c r="P58" s="794"/>
      <c r="Q58" s="794">
        <v>12</v>
      </c>
      <c r="R58" s="826">
        <v>2020003630118</v>
      </c>
      <c r="S58" s="825" t="s">
        <v>1906</v>
      </c>
      <c r="T58" s="208">
        <f t="shared" si="5"/>
        <v>9.8979111666522845E-2</v>
      </c>
      <c r="U58" s="825" t="s">
        <v>1907</v>
      </c>
      <c r="V58" s="825" t="s">
        <v>1908</v>
      </c>
      <c r="W58" s="825" t="s">
        <v>1918</v>
      </c>
      <c r="X58" s="322">
        <v>12000000</v>
      </c>
      <c r="Y58" s="327"/>
      <c r="Z58" s="327"/>
      <c r="AA58" s="327"/>
      <c r="AB58" s="707">
        <f t="shared" si="0"/>
        <v>12000000</v>
      </c>
      <c r="AC58" s="798" t="s">
        <v>1932</v>
      </c>
      <c r="AD58" s="829"/>
      <c r="AE58" s="72">
        <v>61</v>
      </c>
      <c r="AF58" s="28" t="s">
        <v>1817</v>
      </c>
      <c r="AG58" s="51">
        <v>289394</v>
      </c>
      <c r="AH58" s="51">
        <v>279112</v>
      </c>
      <c r="AI58" s="51">
        <v>63164</v>
      </c>
      <c r="AJ58" s="51">
        <v>45607</v>
      </c>
      <c r="AK58" s="51">
        <v>365607</v>
      </c>
      <c r="AL58" s="51">
        <v>75612</v>
      </c>
      <c r="AM58" s="51">
        <v>2145</v>
      </c>
      <c r="AN58" s="51">
        <v>12718</v>
      </c>
      <c r="AO58" s="51">
        <v>26</v>
      </c>
      <c r="AP58" s="51">
        <v>37</v>
      </c>
      <c r="AQ58" s="51" t="s">
        <v>1818</v>
      </c>
      <c r="AR58" s="51" t="s">
        <v>1819</v>
      </c>
      <c r="AS58" s="51">
        <v>78</v>
      </c>
      <c r="AT58" s="51">
        <v>16897</v>
      </c>
      <c r="AU58" s="51">
        <v>852</v>
      </c>
      <c r="AV58" s="51">
        <v>568506</v>
      </c>
      <c r="AW58" s="800">
        <v>45293</v>
      </c>
      <c r="AX58" s="800">
        <v>45657</v>
      </c>
      <c r="AY58" s="793" t="s">
        <v>1820</v>
      </c>
      <c r="AZ58" s="15"/>
      <c r="BA58" s="15"/>
      <c r="BB58" s="15"/>
      <c r="BC58" s="15"/>
      <c r="BD58" s="15"/>
      <c r="BE58" s="15"/>
      <c r="BF58" s="15"/>
      <c r="BG58" s="15"/>
      <c r="BH58" s="15"/>
      <c r="BI58" s="15"/>
      <c r="BJ58" s="15"/>
      <c r="BK58" s="15"/>
      <c r="BL58" s="15"/>
      <c r="BM58" s="15"/>
      <c r="BN58" s="15"/>
    </row>
    <row r="59" spans="1:66" s="47" customFormat="1" ht="71.25" customHeight="1" x14ac:dyDescent="0.2">
      <c r="A59" s="32">
        <v>1</v>
      </c>
      <c r="B59" s="34" t="s">
        <v>315</v>
      </c>
      <c r="C59" s="51">
        <v>19</v>
      </c>
      <c r="D59" s="825" t="s">
        <v>517</v>
      </c>
      <c r="E59" s="51">
        <v>1903</v>
      </c>
      <c r="F59" s="825" t="s">
        <v>1807</v>
      </c>
      <c r="G59" s="794">
        <v>1903034</v>
      </c>
      <c r="H59" s="825" t="s">
        <v>224</v>
      </c>
      <c r="I59" s="51">
        <v>1903034</v>
      </c>
      <c r="J59" s="825" t="s">
        <v>224</v>
      </c>
      <c r="K59" s="795">
        <v>190303400</v>
      </c>
      <c r="L59" s="825" t="s">
        <v>1933</v>
      </c>
      <c r="M59" s="801">
        <v>190303400</v>
      </c>
      <c r="N59" s="825" t="s">
        <v>1933</v>
      </c>
      <c r="O59" s="794">
        <v>12</v>
      </c>
      <c r="P59" s="794"/>
      <c r="Q59" s="794">
        <v>12</v>
      </c>
      <c r="R59" s="826">
        <v>2020003630119</v>
      </c>
      <c r="S59" s="825" t="s">
        <v>1934</v>
      </c>
      <c r="T59" s="208">
        <f>SUM($X$59:$X$61)/SUM($X$59:$X$61)</f>
        <v>1</v>
      </c>
      <c r="U59" s="825" t="s">
        <v>1935</v>
      </c>
      <c r="V59" s="825" t="s">
        <v>1936</v>
      </c>
      <c r="W59" s="825" t="s">
        <v>1937</v>
      </c>
      <c r="X59" s="326">
        <v>30000000</v>
      </c>
      <c r="Y59" s="708"/>
      <c r="Z59" s="708"/>
      <c r="AA59" s="708"/>
      <c r="AB59" s="707">
        <f t="shared" si="0"/>
        <v>30000000</v>
      </c>
      <c r="AC59" s="798" t="s">
        <v>1938</v>
      </c>
      <c r="AD59" s="829"/>
      <c r="AE59" s="72">
        <v>20</v>
      </c>
      <c r="AF59" s="28" t="s">
        <v>327</v>
      </c>
      <c r="AG59" s="51">
        <v>292684</v>
      </c>
      <c r="AH59" s="51">
        <v>282326</v>
      </c>
      <c r="AI59" s="51">
        <v>135912</v>
      </c>
      <c r="AJ59" s="51">
        <v>45122</v>
      </c>
      <c r="AK59" s="51">
        <v>365607</v>
      </c>
      <c r="AL59" s="51">
        <v>86875</v>
      </c>
      <c r="AM59" s="51">
        <v>2145</v>
      </c>
      <c r="AN59" s="51">
        <v>12718</v>
      </c>
      <c r="AO59" s="51">
        <v>26</v>
      </c>
      <c r="AP59" s="51">
        <v>37</v>
      </c>
      <c r="AQ59" s="51" t="s">
        <v>1939</v>
      </c>
      <c r="AR59" s="51" t="s">
        <v>1939</v>
      </c>
      <c r="AS59" s="51">
        <v>53164</v>
      </c>
      <c r="AT59" s="51">
        <v>16982</v>
      </c>
      <c r="AU59" s="51">
        <v>60013</v>
      </c>
      <c r="AV59" s="51">
        <v>57501</v>
      </c>
      <c r="AW59" s="800">
        <v>45293</v>
      </c>
      <c r="AX59" s="800">
        <v>45657</v>
      </c>
      <c r="AY59" s="793" t="s">
        <v>1820</v>
      </c>
      <c r="AZ59" s="15"/>
      <c r="BA59" s="15"/>
      <c r="BB59" s="15"/>
      <c r="BC59" s="15"/>
      <c r="BD59" s="15"/>
      <c r="BE59" s="15"/>
      <c r="BF59" s="15"/>
      <c r="BG59" s="15"/>
      <c r="BH59" s="15"/>
      <c r="BI59" s="15"/>
      <c r="BJ59" s="15"/>
      <c r="BK59" s="15"/>
      <c r="BL59" s="15"/>
      <c r="BM59" s="15"/>
      <c r="BN59" s="15"/>
    </row>
    <row r="60" spans="1:66" s="47" customFormat="1" ht="63.75" x14ac:dyDescent="0.2">
      <c r="A60" s="32">
        <v>1</v>
      </c>
      <c r="B60" s="34" t="s">
        <v>315</v>
      </c>
      <c r="C60" s="51">
        <v>19</v>
      </c>
      <c r="D60" s="825" t="s">
        <v>517</v>
      </c>
      <c r="E60" s="51">
        <v>1903</v>
      </c>
      <c r="F60" s="825" t="s">
        <v>1807</v>
      </c>
      <c r="G60" s="794">
        <v>1903034</v>
      </c>
      <c r="H60" s="825" t="s">
        <v>224</v>
      </c>
      <c r="I60" s="51">
        <v>1903034</v>
      </c>
      <c r="J60" s="825" t="s">
        <v>224</v>
      </c>
      <c r="K60" s="795">
        <v>190303400</v>
      </c>
      <c r="L60" s="825" t="s">
        <v>1933</v>
      </c>
      <c r="M60" s="801">
        <v>190303400</v>
      </c>
      <c r="N60" s="825" t="s">
        <v>1933</v>
      </c>
      <c r="O60" s="794">
        <v>12</v>
      </c>
      <c r="P60" s="794"/>
      <c r="Q60" s="794">
        <v>12</v>
      </c>
      <c r="R60" s="826">
        <v>2020003630119</v>
      </c>
      <c r="S60" s="825" t="s">
        <v>1934</v>
      </c>
      <c r="T60" s="208">
        <f>SUM($X$59:$X$61)/SUM($X$59:$X$61)</f>
        <v>1</v>
      </c>
      <c r="U60" s="825" t="s">
        <v>1935</v>
      </c>
      <c r="V60" s="825" t="s">
        <v>1936</v>
      </c>
      <c r="W60" s="825" t="s">
        <v>1940</v>
      </c>
      <c r="X60" s="326">
        <v>35000000</v>
      </c>
      <c r="Y60" s="708"/>
      <c r="Z60" s="708"/>
      <c r="AA60" s="708"/>
      <c r="AB60" s="707">
        <f t="shared" si="0"/>
        <v>35000000</v>
      </c>
      <c r="AC60" s="798" t="s">
        <v>1938</v>
      </c>
      <c r="AD60" s="829"/>
      <c r="AE60" s="72">
        <v>20</v>
      </c>
      <c r="AF60" s="28" t="s">
        <v>327</v>
      </c>
      <c r="AG60" s="51">
        <v>292684</v>
      </c>
      <c r="AH60" s="51">
        <v>282326</v>
      </c>
      <c r="AI60" s="51">
        <v>135912</v>
      </c>
      <c r="AJ60" s="51">
        <v>45122</v>
      </c>
      <c r="AK60" s="51">
        <v>365607</v>
      </c>
      <c r="AL60" s="51">
        <v>86875</v>
      </c>
      <c r="AM60" s="51">
        <v>2145</v>
      </c>
      <c r="AN60" s="51">
        <v>12718</v>
      </c>
      <c r="AO60" s="51">
        <v>26</v>
      </c>
      <c r="AP60" s="51">
        <v>37</v>
      </c>
      <c r="AQ60" s="51" t="s">
        <v>1939</v>
      </c>
      <c r="AR60" s="51" t="s">
        <v>1939</v>
      </c>
      <c r="AS60" s="51">
        <v>53164</v>
      </c>
      <c r="AT60" s="51">
        <v>16982</v>
      </c>
      <c r="AU60" s="51">
        <v>60013</v>
      </c>
      <c r="AV60" s="51">
        <v>57501</v>
      </c>
      <c r="AW60" s="800">
        <v>45293</v>
      </c>
      <c r="AX60" s="800">
        <v>45657</v>
      </c>
      <c r="AY60" s="793" t="s">
        <v>1820</v>
      </c>
      <c r="AZ60" s="15"/>
      <c r="BA60" s="15"/>
      <c r="BB60" s="15"/>
      <c r="BC60" s="15"/>
      <c r="BD60" s="15"/>
      <c r="BE60" s="15"/>
      <c r="BF60" s="15"/>
      <c r="BG60" s="15"/>
      <c r="BH60" s="15"/>
      <c r="BI60" s="15"/>
      <c r="BJ60" s="15"/>
      <c r="BK60" s="15"/>
      <c r="BL60" s="15"/>
      <c r="BM60" s="15"/>
      <c r="BN60" s="15"/>
    </row>
    <row r="61" spans="1:66" s="47" customFormat="1" ht="63.75" x14ac:dyDescent="0.2">
      <c r="A61" s="32">
        <v>1</v>
      </c>
      <c r="B61" s="34" t="s">
        <v>315</v>
      </c>
      <c r="C61" s="51">
        <v>19</v>
      </c>
      <c r="D61" s="825" t="s">
        <v>517</v>
      </c>
      <c r="E61" s="51">
        <v>1903</v>
      </c>
      <c r="F61" s="825" t="s">
        <v>1807</v>
      </c>
      <c r="G61" s="794">
        <v>1903034</v>
      </c>
      <c r="H61" s="825" t="s">
        <v>224</v>
      </c>
      <c r="I61" s="51">
        <v>1903034</v>
      </c>
      <c r="J61" s="825" t="s">
        <v>224</v>
      </c>
      <c r="K61" s="795">
        <v>190303400</v>
      </c>
      <c r="L61" s="825" t="s">
        <v>1933</v>
      </c>
      <c r="M61" s="801">
        <v>190303400</v>
      </c>
      <c r="N61" s="825" t="s">
        <v>1933</v>
      </c>
      <c r="O61" s="794">
        <v>12</v>
      </c>
      <c r="P61" s="794"/>
      <c r="Q61" s="794">
        <v>12</v>
      </c>
      <c r="R61" s="826">
        <v>2020003630119</v>
      </c>
      <c r="S61" s="825" t="s">
        <v>1934</v>
      </c>
      <c r="T61" s="208">
        <f>SUM($X$59:$X$61)/SUM($X$59:$X$61)</f>
        <v>1</v>
      </c>
      <c r="U61" s="825" t="s">
        <v>1935</v>
      </c>
      <c r="V61" s="825" t="s">
        <v>1936</v>
      </c>
      <c r="W61" s="825" t="s">
        <v>1941</v>
      </c>
      <c r="X61" s="322">
        <v>35000000</v>
      </c>
      <c r="Y61" s="327"/>
      <c r="Z61" s="327"/>
      <c r="AA61" s="327"/>
      <c r="AB61" s="707">
        <f t="shared" si="0"/>
        <v>35000000</v>
      </c>
      <c r="AC61" s="798" t="s">
        <v>1938</v>
      </c>
      <c r="AD61" s="829"/>
      <c r="AE61" s="72">
        <v>20</v>
      </c>
      <c r="AF61" s="28" t="s">
        <v>327</v>
      </c>
      <c r="AG61" s="51">
        <v>292684</v>
      </c>
      <c r="AH61" s="51">
        <v>282326</v>
      </c>
      <c r="AI61" s="51">
        <v>135912</v>
      </c>
      <c r="AJ61" s="51">
        <v>45122</v>
      </c>
      <c r="AK61" s="51">
        <v>365607</v>
      </c>
      <c r="AL61" s="51">
        <v>86875</v>
      </c>
      <c r="AM61" s="51">
        <v>2145</v>
      </c>
      <c r="AN61" s="51">
        <v>12718</v>
      </c>
      <c r="AO61" s="51">
        <v>26</v>
      </c>
      <c r="AP61" s="51">
        <v>37</v>
      </c>
      <c r="AQ61" s="51" t="s">
        <v>1939</v>
      </c>
      <c r="AR61" s="51" t="s">
        <v>1939</v>
      </c>
      <c r="AS61" s="51">
        <v>53164</v>
      </c>
      <c r="AT61" s="51">
        <v>16982</v>
      </c>
      <c r="AU61" s="51">
        <v>60013</v>
      </c>
      <c r="AV61" s="51">
        <v>57501</v>
      </c>
      <c r="AW61" s="800">
        <v>45293</v>
      </c>
      <c r="AX61" s="800">
        <v>45657</v>
      </c>
      <c r="AY61" s="793" t="s">
        <v>1820</v>
      </c>
      <c r="AZ61" s="15"/>
      <c r="BA61" s="15"/>
      <c r="BB61" s="15"/>
      <c r="BC61" s="15"/>
      <c r="BD61" s="15"/>
      <c r="BE61" s="15"/>
      <c r="BF61" s="15"/>
      <c r="BG61" s="15"/>
      <c r="BH61" s="15"/>
      <c r="BI61" s="15"/>
      <c r="BJ61" s="15"/>
      <c r="BK61" s="15"/>
      <c r="BL61" s="15"/>
      <c r="BM61" s="15"/>
      <c r="BN61" s="15"/>
    </row>
    <row r="62" spans="1:66" s="47" customFormat="1" ht="63.75" x14ac:dyDescent="0.2">
      <c r="A62" s="32">
        <v>1</v>
      </c>
      <c r="B62" s="34" t="s">
        <v>315</v>
      </c>
      <c r="C62" s="51">
        <v>19</v>
      </c>
      <c r="D62" s="825" t="s">
        <v>517</v>
      </c>
      <c r="E62" s="51">
        <v>1903</v>
      </c>
      <c r="F62" s="825" t="s">
        <v>1807</v>
      </c>
      <c r="G62" s="794">
        <v>1903045</v>
      </c>
      <c r="H62" s="825" t="s">
        <v>1942</v>
      </c>
      <c r="I62" s="51">
        <v>1903045</v>
      </c>
      <c r="J62" s="825" t="s">
        <v>1943</v>
      </c>
      <c r="K62" s="795">
        <v>190304500</v>
      </c>
      <c r="L62" s="825" t="s">
        <v>1944</v>
      </c>
      <c r="M62" s="801">
        <v>190304500</v>
      </c>
      <c r="N62" s="825" t="s">
        <v>1944</v>
      </c>
      <c r="O62" s="317">
        <v>1058</v>
      </c>
      <c r="P62" s="794">
        <v>840</v>
      </c>
      <c r="Q62" s="794">
        <v>1898</v>
      </c>
      <c r="R62" s="826">
        <v>2020003630120</v>
      </c>
      <c r="S62" s="825" t="s">
        <v>1945</v>
      </c>
      <c r="T62" s="208">
        <f>SUM($X$62:$X$63)/SUM($X$62:$X$63)</f>
        <v>1</v>
      </c>
      <c r="U62" s="825" t="s">
        <v>1946</v>
      </c>
      <c r="V62" s="825" t="s">
        <v>1947</v>
      </c>
      <c r="W62" s="825" t="s">
        <v>1948</v>
      </c>
      <c r="X62" s="322">
        <v>100000000</v>
      </c>
      <c r="Y62" s="327"/>
      <c r="Z62" s="327"/>
      <c r="AA62" s="327"/>
      <c r="AB62" s="707">
        <f t="shared" si="0"/>
        <v>100000000</v>
      </c>
      <c r="AC62" s="798" t="s">
        <v>1949</v>
      </c>
      <c r="AD62" s="829"/>
      <c r="AE62" s="72">
        <v>20</v>
      </c>
      <c r="AF62" s="28" t="s">
        <v>327</v>
      </c>
      <c r="AG62" s="51">
        <v>292684</v>
      </c>
      <c r="AH62" s="51">
        <v>282326</v>
      </c>
      <c r="AI62" s="51">
        <v>135912</v>
      </c>
      <c r="AJ62" s="51">
        <v>45122</v>
      </c>
      <c r="AK62" s="51">
        <v>365607</v>
      </c>
      <c r="AL62" s="51">
        <v>86875</v>
      </c>
      <c r="AM62" s="51">
        <v>2145</v>
      </c>
      <c r="AN62" s="51">
        <v>12718</v>
      </c>
      <c r="AO62" s="51">
        <v>26</v>
      </c>
      <c r="AP62" s="51">
        <v>37</v>
      </c>
      <c r="AQ62" s="51" t="s">
        <v>1939</v>
      </c>
      <c r="AR62" s="51" t="s">
        <v>1939</v>
      </c>
      <c r="AS62" s="51">
        <v>53164</v>
      </c>
      <c r="AT62" s="51">
        <v>16982</v>
      </c>
      <c r="AU62" s="51">
        <v>60013</v>
      </c>
      <c r="AV62" s="51">
        <v>57501</v>
      </c>
      <c r="AW62" s="800">
        <v>45293</v>
      </c>
      <c r="AX62" s="800">
        <v>45657</v>
      </c>
      <c r="AY62" s="793" t="s">
        <v>1820</v>
      </c>
      <c r="AZ62" s="15"/>
      <c r="BA62" s="15"/>
      <c r="BB62" s="15"/>
      <c r="BC62" s="15"/>
      <c r="BD62" s="15"/>
      <c r="BE62" s="15"/>
      <c r="BF62" s="15"/>
      <c r="BG62" s="15"/>
      <c r="BH62" s="15"/>
      <c r="BI62" s="15"/>
      <c r="BJ62" s="15"/>
      <c r="BK62" s="15"/>
      <c r="BL62" s="15"/>
      <c r="BM62" s="15"/>
      <c r="BN62" s="15"/>
    </row>
    <row r="63" spans="1:66" s="47" customFormat="1" ht="63.75" x14ac:dyDescent="0.2">
      <c r="A63" s="32">
        <v>1</v>
      </c>
      <c r="B63" s="34" t="s">
        <v>315</v>
      </c>
      <c r="C63" s="51">
        <v>19</v>
      </c>
      <c r="D63" s="825" t="s">
        <v>517</v>
      </c>
      <c r="E63" s="51">
        <v>1903</v>
      </c>
      <c r="F63" s="825" t="s">
        <v>1807</v>
      </c>
      <c r="G63" s="794">
        <v>1903045</v>
      </c>
      <c r="H63" s="825" t="s">
        <v>1942</v>
      </c>
      <c r="I63" s="51">
        <v>1903045</v>
      </c>
      <c r="J63" s="825" t="s">
        <v>1943</v>
      </c>
      <c r="K63" s="795">
        <v>190304500</v>
      </c>
      <c r="L63" s="825" t="s">
        <v>1944</v>
      </c>
      <c r="M63" s="801">
        <v>190304500</v>
      </c>
      <c r="N63" s="825" t="s">
        <v>1944</v>
      </c>
      <c r="O63" s="317">
        <v>1058</v>
      </c>
      <c r="P63" s="794">
        <v>840</v>
      </c>
      <c r="Q63" s="794">
        <v>1898</v>
      </c>
      <c r="R63" s="826">
        <v>2020003630120</v>
      </c>
      <c r="S63" s="825" t="s">
        <v>1945</v>
      </c>
      <c r="T63" s="208">
        <f>SUM($X$62:$X$63)/SUM($X$62:$X$63)</f>
        <v>1</v>
      </c>
      <c r="U63" s="825" t="s">
        <v>1946</v>
      </c>
      <c r="V63" s="825" t="s">
        <v>1947</v>
      </c>
      <c r="W63" s="825" t="s">
        <v>1950</v>
      </c>
      <c r="X63" s="322">
        <v>50000000</v>
      </c>
      <c r="Y63" s="327"/>
      <c r="Z63" s="327"/>
      <c r="AA63" s="327"/>
      <c r="AB63" s="707">
        <f t="shared" si="0"/>
        <v>50000000</v>
      </c>
      <c r="AC63" s="798" t="s">
        <v>1949</v>
      </c>
      <c r="AD63" s="829"/>
      <c r="AE63" s="72">
        <v>20</v>
      </c>
      <c r="AF63" s="28" t="s">
        <v>327</v>
      </c>
      <c r="AG63" s="51">
        <v>292684</v>
      </c>
      <c r="AH63" s="51">
        <v>282326</v>
      </c>
      <c r="AI63" s="51">
        <v>135912</v>
      </c>
      <c r="AJ63" s="51">
        <v>45122</v>
      </c>
      <c r="AK63" s="51">
        <v>365607</v>
      </c>
      <c r="AL63" s="51">
        <v>86875</v>
      </c>
      <c r="AM63" s="51">
        <v>2145</v>
      </c>
      <c r="AN63" s="51">
        <v>12718</v>
      </c>
      <c r="AO63" s="51">
        <v>26</v>
      </c>
      <c r="AP63" s="51">
        <v>37</v>
      </c>
      <c r="AQ63" s="51" t="s">
        <v>1939</v>
      </c>
      <c r="AR63" s="51" t="s">
        <v>1939</v>
      </c>
      <c r="AS63" s="51">
        <v>53164</v>
      </c>
      <c r="AT63" s="51">
        <v>16982</v>
      </c>
      <c r="AU63" s="51">
        <v>60013</v>
      </c>
      <c r="AV63" s="51">
        <v>57501</v>
      </c>
      <c r="AW63" s="800">
        <v>45293</v>
      </c>
      <c r="AX63" s="800">
        <v>45657</v>
      </c>
      <c r="AY63" s="793" t="s">
        <v>1820</v>
      </c>
      <c r="AZ63" s="15"/>
      <c r="BA63" s="15"/>
      <c r="BB63" s="15"/>
      <c r="BC63" s="15"/>
      <c r="BD63" s="15"/>
      <c r="BE63" s="15"/>
      <c r="BF63" s="15"/>
      <c r="BG63" s="15"/>
      <c r="BH63" s="15"/>
      <c r="BI63" s="15"/>
      <c r="BJ63" s="15"/>
      <c r="BK63" s="15"/>
      <c r="BL63" s="15"/>
      <c r="BM63" s="15"/>
      <c r="BN63" s="15"/>
    </row>
    <row r="64" spans="1:66" s="47" customFormat="1" ht="63.75" x14ac:dyDescent="0.2">
      <c r="A64" s="32">
        <v>1</v>
      </c>
      <c r="B64" s="34" t="s">
        <v>315</v>
      </c>
      <c r="C64" s="51">
        <v>19</v>
      </c>
      <c r="D64" s="825" t="s">
        <v>517</v>
      </c>
      <c r="E64" s="51">
        <v>1903</v>
      </c>
      <c r="F64" s="825" t="s">
        <v>1807</v>
      </c>
      <c r="G64" s="51">
        <v>1903028</v>
      </c>
      <c r="H64" s="825" t="s">
        <v>1951</v>
      </c>
      <c r="I64" s="51">
        <v>1903028</v>
      </c>
      <c r="J64" s="825" t="s">
        <v>1952</v>
      </c>
      <c r="K64" s="795">
        <v>190302800</v>
      </c>
      <c r="L64" s="825" t="s">
        <v>1953</v>
      </c>
      <c r="M64" s="801">
        <v>190302800</v>
      </c>
      <c r="N64" s="825" t="s">
        <v>1953</v>
      </c>
      <c r="O64" s="794">
        <v>250</v>
      </c>
      <c r="P64" s="794"/>
      <c r="Q64" s="794">
        <v>250</v>
      </c>
      <c r="R64" s="826">
        <v>2020003630121</v>
      </c>
      <c r="S64" s="825" t="s">
        <v>1954</v>
      </c>
      <c r="T64" s="208">
        <f>SUM($X$64:$X$64)/SUM($X$64:$X$66)</f>
        <v>0.33333333333333331</v>
      </c>
      <c r="U64" s="825" t="s">
        <v>1955</v>
      </c>
      <c r="V64" s="825" t="s">
        <v>1956</v>
      </c>
      <c r="W64" s="825" t="s">
        <v>1957</v>
      </c>
      <c r="X64" s="322">
        <v>50000000</v>
      </c>
      <c r="Y64" s="327"/>
      <c r="Z64" s="327"/>
      <c r="AA64" s="327"/>
      <c r="AB64" s="707">
        <f t="shared" si="0"/>
        <v>50000000</v>
      </c>
      <c r="AC64" s="798" t="s">
        <v>1958</v>
      </c>
      <c r="AD64" s="829"/>
      <c r="AE64" s="72">
        <v>20</v>
      </c>
      <c r="AF64" s="28" t="s">
        <v>327</v>
      </c>
      <c r="AG64" s="51">
        <v>292684</v>
      </c>
      <c r="AH64" s="51">
        <v>282326</v>
      </c>
      <c r="AI64" s="51">
        <v>135912</v>
      </c>
      <c r="AJ64" s="51">
        <v>45122</v>
      </c>
      <c r="AK64" s="51">
        <v>365607</v>
      </c>
      <c r="AL64" s="51">
        <v>86875</v>
      </c>
      <c r="AM64" s="51">
        <v>2145</v>
      </c>
      <c r="AN64" s="51">
        <v>12718</v>
      </c>
      <c r="AO64" s="51">
        <v>26</v>
      </c>
      <c r="AP64" s="51">
        <v>37</v>
      </c>
      <c r="AQ64" s="51" t="s">
        <v>1939</v>
      </c>
      <c r="AR64" s="51" t="s">
        <v>1939</v>
      </c>
      <c r="AS64" s="51">
        <v>53164</v>
      </c>
      <c r="AT64" s="51">
        <v>16982</v>
      </c>
      <c r="AU64" s="51">
        <v>60013</v>
      </c>
      <c r="AV64" s="51">
        <v>57501</v>
      </c>
      <c r="AW64" s="800">
        <v>45293</v>
      </c>
      <c r="AX64" s="800">
        <v>45657</v>
      </c>
      <c r="AY64" s="793" t="s">
        <v>1820</v>
      </c>
      <c r="AZ64" s="15"/>
      <c r="BA64" s="15"/>
      <c r="BB64" s="15"/>
      <c r="BC64" s="15"/>
      <c r="BD64" s="15"/>
      <c r="BE64" s="15"/>
      <c r="BF64" s="15"/>
      <c r="BG64" s="15"/>
      <c r="BH64" s="15"/>
      <c r="BI64" s="15"/>
      <c r="BJ64" s="15"/>
      <c r="BK64" s="15"/>
      <c r="BL64" s="15"/>
      <c r="BM64" s="15"/>
      <c r="BN64" s="15"/>
    </row>
    <row r="65" spans="1:66" s="47" customFormat="1" ht="153.75" customHeight="1" x14ac:dyDescent="0.2">
      <c r="A65" s="32">
        <v>1</v>
      </c>
      <c r="B65" s="34" t="s">
        <v>315</v>
      </c>
      <c r="C65" s="51">
        <v>19</v>
      </c>
      <c r="D65" s="825" t="s">
        <v>517</v>
      </c>
      <c r="E65" s="51">
        <v>1903</v>
      </c>
      <c r="F65" s="825" t="s">
        <v>1807</v>
      </c>
      <c r="G65" s="794">
        <v>1903025</v>
      </c>
      <c r="H65" s="825" t="s">
        <v>1959</v>
      </c>
      <c r="I65" s="51">
        <v>1903025</v>
      </c>
      <c r="J65" s="825" t="s">
        <v>1959</v>
      </c>
      <c r="K65" s="795">
        <v>190302500</v>
      </c>
      <c r="L65" s="825" t="s">
        <v>1960</v>
      </c>
      <c r="M65" s="801">
        <v>190302500</v>
      </c>
      <c r="N65" s="825" t="s">
        <v>1960</v>
      </c>
      <c r="O65" s="794">
        <v>12</v>
      </c>
      <c r="P65" s="794"/>
      <c r="Q65" s="794">
        <v>12</v>
      </c>
      <c r="R65" s="826">
        <v>2020003630121</v>
      </c>
      <c r="S65" s="825" t="s">
        <v>1954</v>
      </c>
      <c r="T65" s="208">
        <f>SUM($X$64:$X$65)/SUM($X$64:$X$66)</f>
        <v>0.66666666666666663</v>
      </c>
      <c r="U65" s="825" t="s">
        <v>1955</v>
      </c>
      <c r="V65" s="825" t="s">
        <v>1956</v>
      </c>
      <c r="W65" s="825" t="s">
        <v>1961</v>
      </c>
      <c r="X65" s="322">
        <v>50000000</v>
      </c>
      <c r="Y65" s="327"/>
      <c r="Z65" s="327"/>
      <c r="AA65" s="327"/>
      <c r="AB65" s="707">
        <f t="shared" si="0"/>
        <v>50000000</v>
      </c>
      <c r="AC65" s="798" t="s">
        <v>1962</v>
      </c>
      <c r="AD65" s="829"/>
      <c r="AE65" s="72">
        <v>20</v>
      </c>
      <c r="AF65" s="28" t="s">
        <v>327</v>
      </c>
      <c r="AG65" s="51">
        <v>292684</v>
      </c>
      <c r="AH65" s="51">
        <v>282326</v>
      </c>
      <c r="AI65" s="51">
        <v>135912</v>
      </c>
      <c r="AJ65" s="51">
        <v>45122</v>
      </c>
      <c r="AK65" s="51">
        <v>365607</v>
      </c>
      <c r="AL65" s="51">
        <v>86875</v>
      </c>
      <c r="AM65" s="51">
        <v>2145</v>
      </c>
      <c r="AN65" s="51">
        <v>12718</v>
      </c>
      <c r="AO65" s="51">
        <v>26</v>
      </c>
      <c r="AP65" s="51">
        <v>37</v>
      </c>
      <c r="AQ65" s="51" t="s">
        <v>1939</v>
      </c>
      <c r="AR65" s="51" t="s">
        <v>1939</v>
      </c>
      <c r="AS65" s="51">
        <v>53164</v>
      </c>
      <c r="AT65" s="51">
        <v>16982</v>
      </c>
      <c r="AU65" s="51">
        <v>60013</v>
      </c>
      <c r="AV65" s="51">
        <v>57501</v>
      </c>
      <c r="AW65" s="800">
        <v>45293</v>
      </c>
      <c r="AX65" s="800">
        <v>45657</v>
      </c>
      <c r="AY65" s="793" t="s">
        <v>1820</v>
      </c>
      <c r="AZ65" s="15"/>
      <c r="BA65" s="15"/>
      <c r="BB65" s="15"/>
      <c r="BC65" s="15"/>
      <c r="BD65" s="15"/>
      <c r="BE65" s="15"/>
      <c r="BF65" s="15"/>
      <c r="BG65" s="15"/>
      <c r="BH65" s="15"/>
      <c r="BI65" s="15"/>
      <c r="BJ65" s="15"/>
      <c r="BK65" s="15"/>
      <c r="BL65" s="15"/>
      <c r="BM65" s="15"/>
      <c r="BN65" s="15"/>
    </row>
    <row r="66" spans="1:66" s="47" customFormat="1" ht="63.75" x14ac:dyDescent="0.2">
      <c r="A66" s="830">
        <v>1</v>
      </c>
      <c r="B66" s="34" t="s">
        <v>315</v>
      </c>
      <c r="C66" s="813">
        <v>19</v>
      </c>
      <c r="D66" s="831" t="s">
        <v>517</v>
      </c>
      <c r="E66" s="813">
        <v>1903</v>
      </c>
      <c r="F66" s="831" t="s">
        <v>1807</v>
      </c>
      <c r="G66" s="812">
        <v>1903025</v>
      </c>
      <c r="H66" s="831" t="s">
        <v>1959</v>
      </c>
      <c r="I66" s="813">
        <v>1903025</v>
      </c>
      <c r="J66" s="831" t="s">
        <v>1959</v>
      </c>
      <c r="K66" s="814">
        <v>190302500</v>
      </c>
      <c r="L66" s="831" t="s">
        <v>1960</v>
      </c>
      <c r="M66" s="815">
        <v>190302500</v>
      </c>
      <c r="N66" s="831" t="s">
        <v>1960</v>
      </c>
      <c r="O66" s="812">
        <v>12</v>
      </c>
      <c r="P66" s="812"/>
      <c r="Q66" s="812">
        <v>12</v>
      </c>
      <c r="R66" s="832">
        <v>2020003630121</v>
      </c>
      <c r="S66" s="831" t="s">
        <v>1954</v>
      </c>
      <c r="T66" s="208">
        <f>SUM($X$64:$X$65)/SUM($X$64:$X$66)</f>
        <v>0.66666666666666663</v>
      </c>
      <c r="U66" s="831" t="s">
        <v>1955</v>
      </c>
      <c r="V66" s="831" t="s">
        <v>1956</v>
      </c>
      <c r="W66" s="831" t="s">
        <v>1963</v>
      </c>
      <c r="X66" s="327">
        <v>50000000</v>
      </c>
      <c r="Y66" s="327"/>
      <c r="Z66" s="327"/>
      <c r="AA66" s="327"/>
      <c r="AB66" s="707">
        <f t="shared" si="0"/>
        <v>50000000</v>
      </c>
      <c r="AC66" s="798" t="s">
        <v>1962</v>
      </c>
      <c r="AD66" s="833"/>
      <c r="AE66" s="819">
        <v>20</v>
      </c>
      <c r="AF66" s="28" t="s">
        <v>327</v>
      </c>
      <c r="AG66" s="51">
        <v>292684</v>
      </c>
      <c r="AH66" s="51">
        <v>282326</v>
      </c>
      <c r="AI66" s="51">
        <v>135912</v>
      </c>
      <c r="AJ66" s="51">
        <v>45122</v>
      </c>
      <c r="AK66" s="51">
        <v>365607</v>
      </c>
      <c r="AL66" s="51">
        <v>86875</v>
      </c>
      <c r="AM66" s="51">
        <v>2145</v>
      </c>
      <c r="AN66" s="51">
        <v>12718</v>
      </c>
      <c r="AO66" s="51">
        <v>26</v>
      </c>
      <c r="AP66" s="51">
        <v>37</v>
      </c>
      <c r="AQ66" s="51" t="s">
        <v>1939</v>
      </c>
      <c r="AR66" s="51" t="s">
        <v>1939</v>
      </c>
      <c r="AS66" s="51">
        <v>53164</v>
      </c>
      <c r="AT66" s="51">
        <v>16982</v>
      </c>
      <c r="AU66" s="51">
        <v>60013</v>
      </c>
      <c r="AV66" s="51">
        <v>57501</v>
      </c>
      <c r="AW66" s="800">
        <v>45293</v>
      </c>
      <c r="AX66" s="800">
        <v>45657</v>
      </c>
      <c r="AY66" s="793" t="s">
        <v>1820</v>
      </c>
      <c r="AZ66" s="15"/>
      <c r="BA66" s="15"/>
      <c r="BB66" s="15"/>
      <c r="BC66" s="15"/>
      <c r="BD66" s="15"/>
      <c r="BE66" s="15"/>
      <c r="BF66" s="15"/>
      <c r="BG66" s="15"/>
      <c r="BH66" s="15"/>
      <c r="BI66" s="15"/>
      <c r="BJ66" s="15"/>
      <c r="BK66" s="15"/>
      <c r="BL66" s="15"/>
      <c r="BM66" s="15"/>
      <c r="BN66" s="15"/>
    </row>
    <row r="67" spans="1:66" s="47" customFormat="1" ht="197.25" customHeight="1" x14ac:dyDescent="0.2">
      <c r="A67" s="28">
        <v>1</v>
      </c>
      <c r="B67" s="34" t="s">
        <v>315</v>
      </c>
      <c r="C67" s="28">
        <v>19</v>
      </c>
      <c r="D67" s="34" t="s">
        <v>517</v>
      </c>
      <c r="E67" s="28">
        <v>1905</v>
      </c>
      <c r="F67" s="34" t="s">
        <v>1498</v>
      </c>
      <c r="G67" s="794">
        <v>1905028</v>
      </c>
      <c r="H67" s="34" t="s">
        <v>1964</v>
      </c>
      <c r="I67" s="28">
        <v>1905028</v>
      </c>
      <c r="J67" s="34" t="s">
        <v>1965</v>
      </c>
      <c r="K67" s="280">
        <v>190502800</v>
      </c>
      <c r="L67" s="34" t="s">
        <v>1966</v>
      </c>
      <c r="M67" s="280">
        <v>190502800</v>
      </c>
      <c r="N67" s="34" t="s">
        <v>1967</v>
      </c>
      <c r="O67" s="794">
        <v>12</v>
      </c>
      <c r="P67" s="794"/>
      <c r="Q67" s="794">
        <v>12</v>
      </c>
      <c r="R67" s="79">
        <v>2020003630122</v>
      </c>
      <c r="S67" s="34" t="s">
        <v>1968</v>
      </c>
      <c r="T67" s="208">
        <f>SUM($X$67:$X$68)/SUM($X$67:$X$74)</f>
        <v>0.34615384615384615</v>
      </c>
      <c r="U67" s="34" t="s">
        <v>1969</v>
      </c>
      <c r="V67" s="34" t="s">
        <v>1970</v>
      </c>
      <c r="W67" s="34" t="s">
        <v>1971</v>
      </c>
      <c r="X67" s="322">
        <v>50000000</v>
      </c>
      <c r="Y67" s="322"/>
      <c r="Z67" s="322"/>
      <c r="AA67" s="322"/>
      <c r="AB67" s="707">
        <f t="shared" si="0"/>
        <v>50000000</v>
      </c>
      <c r="AC67" s="203" t="s">
        <v>1972</v>
      </c>
      <c r="AD67" s="75"/>
      <c r="AE67" s="72">
        <v>61</v>
      </c>
      <c r="AF67" s="28" t="s">
        <v>1817</v>
      </c>
      <c r="AG67" s="827" t="s">
        <v>1939</v>
      </c>
      <c r="AH67" s="827" t="s">
        <v>1939</v>
      </c>
      <c r="AI67" s="827">
        <v>64149</v>
      </c>
      <c r="AJ67" s="827" t="s">
        <v>1939</v>
      </c>
      <c r="AK67" s="827" t="s">
        <v>1939</v>
      </c>
      <c r="AL67" s="827" t="s">
        <v>1939</v>
      </c>
      <c r="AM67" s="827" t="s">
        <v>1939</v>
      </c>
      <c r="AN67" s="827" t="s">
        <v>1939</v>
      </c>
      <c r="AO67" s="827" t="s">
        <v>1939</v>
      </c>
      <c r="AP67" s="827" t="s">
        <v>1939</v>
      </c>
      <c r="AQ67" s="827" t="s">
        <v>1939</v>
      </c>
      <c r="AR67" s="827" t="s">
        <v>1939</v>
      </c>
      <c r="AS67" s="827" t="s">
        <v>1939</v>
      </c>
      <c r="AT67" s="827" t="s">
        <v>1939</v>
      </c>
      <c r="AU67" s="827" t="s">
        <v>1939</v>
      </c>
      <c r="AV67" s="827" t="s">
        <v>1939</v>
      </c>
      <c r="AW67" s="800">
        <v>45293</v>
      </c>
      <c r="AX67" s="800">
        <v>45657</v>
      </c>
      <c r="AY67" s="793" t="s">
        <v>1820</v>
      </c>
      <c r="AZ67" s="15"/>
      <c r="BA67" s="15"/>
      <c r="BB67" s="15"/>
      <c r="BC67" s="15"/>
      <c r="BD67" s="15"/>
      <c r="BE67" s="15"/>
      <c r="BF67" s="15"/>
      <c r="BG67" s="15"/>
      <c r="BH67" s="15"/>
      <c r="BI67" s="15"/>
      <c r="BJ67" s="15"/>
      <c r="BK67" s="15"/>
      <c r="BL67" s="15"/>
      <c r="BM67" s="15"/>
      <c r="BN67" s="15"/>
    </row>
    <row r="68" spans="1:66" s="47" customFormat="1" ht="76.5" x14ac:dyDescent="0.2">
      <c r="A68" s="28">
        <v>1</v>
      </c>
      <c r="B68" s="34" t="s">
        <v>315</v>
      </c>
      <c r="C68" s="28">
        <v>19</v>
      </c>
      <c r="D68" s="34" t="s">
        <v>517</v>
      </c>
      <c r="E68" s="28">
        <v>1905</v>
      </c>
      <c r="F68" s="34" t="s">
        <v>1498</v>
      </c>
      <c r="G68" s="794">
        <v>1905028</v>
      </c>
      <c r="H68" s="34" t="s">
        <v>1964</v>
      </c>
      <c r="I68" s="28">
        <v>1905028</v>
      </c>
      <c r="J68" s="34" t="s">
        <v>1965</v>
      </c>
      <c r="K68" s="280">
        <v>190502800</v>
      </c>
      <c r="L68" s="34" t="s">
        <v>1966</v>
      </c>
      <c r="M68" s="280">
        <v>190502800</v>
      </c>
      <c r="N68" s="34" t="s">
        <v>1967</v>
      </c>
      <c r="O68" s="794">
        <v>12</v>
      </c>
      <c r="P68" s="794"/>
      <c r="Q68" s="794">
        <v>12</v>
      </c>
      <c r="R68" s="79">
        <v>2020003630122</v>
      </c>
      <c r="S68" s="34" t="s">
        <v>1968</v>
      </c>
      <c r="T68" s="208">
        <f>SUM($X$67:$X$68)/SUM($X$67:$X$74)</f>
        <v>0.34615384615384615</v>
      </c>
      <c r="U68" s="34" t="s">
        <v>1969</v>
      </c>
      <c r="V68" s="34" t="s">
        <v>1970</v>
      </c>
      <c r="W68" s="34" t="s">
        <v>1973</v>
      </c>
      <c r="X68" s="322">
        <v>58000000</v>
      </c>
      <c r="Y68" s="322"/>
      <c r="Z68" s="322"/>
      <c r="AA68" s="322"/>
      <c r="AB68" s="707">
        <f t="shared" si="0"/>
        <v>58000000</v>
      </c>
      <c r="AC68" s="203" t="s">
        <v>1972</v>
      </c>
      <c r="AD68" s="75"/>
      <c r="AE68" s="72">
        <v>61</v>
      </c>
      <c r="AF68" s="28" t="s">
        <v>1817</v>
      </c>
      <c r="AG68" s="827" t="s">
        <v>1939</v>
      </c>
      <c r="AH68" s="827" t="s">
        <v>1939</v>
      </c>
      <c r="AI68" s="827">
        <v>64149</v>
      </c>
      <c r="AJ68" s="827" t="s">
        <v>1939</v>
      </c>
      <c r="AK68" s="827" t="s">
        <v>1939</v>
      </c>
      <c r="AL68" s="827" t="s">
        <v>1939</v>
      </c>
      <c r="AM68" s="827" t="s">
        <v>1939</v>
      </c>
      <c r="AN68" s="827" t="s">
        <v>1939</v>
      </c>
      <c r="AO68" s="827" t="s">
        <v>1939</v>
      </c>
      <c r="AP68" s="827" t="s">
        <v>1939</v>
      </c>
      <c r="AQ68" s="827" t="s">
        <v>1939</v>
      </c>
      <c r="AR68" s="827" t="s">
        <v>1939</v>
      </c>
      <c r="AS68" s="827" t="s">
        <v>1939</v>
      </c>
      <c r="AT68" s="827" t="s">
        <v>1939</v>
      </c>
      <c r="AU68" s="827" t="s">
        <v>1939</v>
      </c>
      <c r="AV68" s="827" t="s">
        <v>1939</v>
      </c>
      <c r="AW68" s="800">
        <v>45293</v>
      </c>
      <c r="AX68" s="800">
        <v>45657</v>
      </c>
      <c r="AY68" s="793" t="s">
        <v>1820</v>
      </c>
      <c r="AZ68" s="15"/>
      <c r="BA68" s="15"/>
      <c r="BB68" s="15"/>
      <c r="BC68" s="15"/>
      <c r="BD68" s="15"/>
      <c r="BE68" s="15"/>
      <c r="BF68" s="15"/>
      <c r="BG68" s="15"/>
      <c r="BH68" s="15"/>
      <c r="BI68" s="15"/>
      <c r="BJ68" s="15"/>
      <c r="BK68" s="15"/>
      <c r="BL68" s="15"/>
      <c r="BM68" s="15"/>
      <c r="BN68" s="15"/>
    </row>
    <row r="69" spans="1:66" s="47" customFormat="1" ht="114.75" x14ac:dyDescent="0.2">
      <c r="A69" s="28">
        <v>1</v>
      </c>
      <c r="B69" s="34" t="s">
        <v>315</v>
      </c>
      <c r="C69" s="28">
        <v>19</v>
      </c>
      <c r="D69" s="34" t="s">
        <v>517</v>
      </c>
      <c r="E69" s="28">
        <v>1905</v>
      </c>
      <c r="F69" s="34" t="s">
        <v>1498</v>
      </c>
      <c r="G69" s="794">
        <v>1905031</v>
      </c>
      <c r="H69" s="34" t="s">
        <v>1974</v>
      </c>
      <c r="I69" s="51">
        <v>1905031</v>
      </c>
      <c r="J69" s="34" t="s">
        <v>1974</v>
      </c>
      <c r="K69" s="795">
        <v>190503100</v>
      </c>
      <c r="L69" s="34" t="s">
        <v>1975</v>
      </c>
      <c r="M69" s="801">
        <v>190503100</v>
      </c>
      <c r="N69" s="34" t="s">
        <v>1975</v>
      </c>
      <c r="O69" s="794">
        <v>12</v>
      </c>
      <c r="P69" s="794"/>
      <c r="Q69" s="794">
        <v>12</v>
      </c>
      <c r="R69" s="79">
        <v>2020003630122</v>
      </c>
      <c r="S69" s="34" t="s">
        <v>1968</v>
      </c>
      <c r="T69" s="208">
        <f t="shared" ref="T69:T74" si="6">SUM($X$69:$X$74)/SUM($X$67:$X$74)</f>
        <v>0.65384615384615385</v>
      </c>
      <c r="U69" s="34" t="s">
        <v>1969</v>
      </c>
      <c r="V69" s="34" t="s">
        <v>1976</v>
      </c>
      <c r="W69" s="34" t="s">
        <v>1977</v>
      </c>
      <c r="X69" s="322">
        <v>25000000</v>
      </c>
      <c r="Y69" s="322"/>
      <c r="Z69" s="322"/>
      <c r="AA69" s="322"/>
      <c r="AB69" s="707">
        <f t="shared" si="0"/>
        <v>25000000</v>
      </c>
      <c r="AC69" s="203" t="s">
        <v>1978</v>
      </c>
      <c r="AD69" s="75"/>
      <c r="AE69" s="72">
        <v>61</v>
      </c>
      <c r="AF69" s="28" t="s">
        <v>1817</v>
      </c>
      <c r="AG69" s="827" t="s">
        <v>1939</v>
      </c>
      <c r="AH69" s="827" t="s">
        <v>1939</v>
      </c>
      <c r="AI69" s="827">
        <v>64149</v>
      </c>
      <c r="AJ69" s="827" t="s">
        <v>1939</v>
      </c>
      <c r="AK69" s="827" t="s">
        <v>1939</v>
      </c>
      <c r="AL69" s="827" t="s">
        <v>1939</v>
      </c>
      <c r="AM69" s="827" t="s">
        <v>1939</v>
      </c>
      <c r="AN69" s="827" t="s">
        <v>1939</v>
      </c>
      <c r="AO69" s="827" t="s">
        <v>1939</v>
      </c>
      <c r="AP69" s="827" t="s">
        <v>1939</v>
      </c>
      <c r="AQ69" s="827" t="s">
        <v>1939</v>
      </c>
      <c r="AR69" s="827" t="s">
        <v>1939</v>
      </c>
      <c r="AS69" s="827" t="s">
        <v>1939</v>
      </c>
      <c r="AT69" s="827" t="s">
        <v>1939</v>
      </c>
      <c r="AU69" s="827" t="s">
        <v>1939</v>
      </c>
      <c r="AV69" s="827" t="s">
        <v>1939</v>
      </c>
      <c r="AW69" s="800">
        <v>45293</v>
      </c>
      <c r="AX69" s="800">
        <v>45657</v>
      </c>
      <c r="AY69" s="793" t="s">
        <v>1820</v>
      </c>
      <c r="AZ69" s="15"/>
      <c r="BA69" s="15"/>
      <c r="BB69" s="15"/>
      <c r="BC69" s="15"/>
      <c r="BD69" s="15"/>
      <c r="BE69" s="15"/>
      <c r="BF69" s="15"/>
      <c r="BG69" s="15"/>
      <c r="BH69" s="15"/>
      <c r="BI69" s="15"/>
      <c r="BJ69" s="15"/>
      <c r="BK69" s="15"/>
      <c r="BL69" s="15"/>
      <c r="BM69" s="15"/>
      <c r="BN69" s="15"/>
    </row>
    <row r="70" spans="1:66" s="47" customFormat="1" ht="140.25" x14ac:dyDescent="0.2">
      <c r="A70" s="28">
        <v>1</v>
      </c>
      <c r="B70" s="34" t="s">
        <v>315</v>
      </c>
      <c r="C70" s="28">
        <v>19</v>
      </c>
      <c r="D70" s="34" t="s">
        <v>517</v>
      </c>
      <c r="E70" s="28">
        <v>1905</v>
      </c>
      <c r="F70" s="34" t="s">
        <v>1498</v>
      </c>
      <c r="G70" s="794">
        <v>1905031</v>
      </c>
      <c r="H70" s="34" t="s">
        <v>1974</v>
      </c>
      <c r="I70" s="51">
        <v>1905031</v>
      </c>
      <c r="J70" s="34" t="s">
        <v>1974</v>
      </c>
      <c r="K70" s="795">
        <v>190503100</v>
      </c>
      <c r="L70" s="34" t="s">
        <v>1975</v>
      </c>
      <c r="M70" s="801">
        <v>190503100</v>
      </c>
      <c r="N70" s="34" t="s">
        <v>1975</v>
      </c>
      <c r="O70" s="794">
        <v>12</v>
      </c>
      <c r="P70" s="794"/>
      <c r="Q70" s="794">
        <v>12</v>
      </c>
      <c r="R70" s="79">
        <v>2020003630122</v>
      </c>
      <c r="S70" s="34" t="s">
        <v>1968</v>
      </c>
      <c r="T70" s="208">
        <f t="shared" si="6"/>
        <v>0.65384615384615385</v>
      </c>
      <c r="U70" s="34" t="s">
        <v>1969</v>
      </c>
      <c r="V70" s="34" t="s">
        <v>1976</v>
      </c>
      <c r="W70" s="34" t="s">
        <v>1979</v>
      </c>
      <c r="X70" s="322">
        <v>29000000</v>
      </c>
      <c r="Y70" s="322"/>
      <c r="Z70" s="322"/>
      <c r="AA70" s="322"/>
      <c r="AB70" s="707">
        <f t="shared" si="0"/>
        <v>29000000</v>
      </c>
      <c r="AC70" s="203" t="s">
        <v>1978</v>
      </c>
      <c r="AD70" s="75"/>
      <c r="AE70" s="72">
        <v>61</v>
      </c>
      <c r="AF70" s="28" t="s">
        <v>1817</v>
      </c>
      <c r="AG70" s="827" t="s">
        <v>1939</v>
      </c>
      <c r="AH70" s="827" t="s">
        <v>1939</v>
      </c>
      <c r="AI70" s="827">
        <v>64149</v>
      </c>
      <c r="AJ70" s="827" t="s">
        <v>1939</v>
      </c>
      <c r="AK70" s="827" t="s">
        <v>1939</v>
      </c>
      <c r="AL70" s="827" t="s">
        <v>1939</v>
      </c>
      <c r="AM70" s="827" t="s">
        <v>1939</v>
      </c>
      <c r="AN70" s="827" t="s">
        <v>1939</v>
      </c>
      <c r="AO70" s="827" t="s">
        <v>1939</v>
      </c>
      <c r="AP70" s="827" t="s">
        <v>1939</v>
      </c>
      <c r="AQ70" s="827" t="s">
        <v>1939</v>
      </c>
      <c r="AR70" s="827" t="s">
        <v>1939</v>
      </c>
      <c r="AS70" s="827" t="s">
        <v>1939</v>
      </c>
      <c r="AT70" s="827" t="s">
        <v>1939</v>
      </c>
      <c r="AU70" s="827" t="s">
        <v>1939</v>
      </c>
      <c r="AV70" s="827" t="s">
        <v>1939</v>
      </c>
      <c r="AW70" s="800">
        <v>45293</v>
      </c>
      <c r="AX70" s="800">
        <v>45657</v>
      </c>
      <c r="AY70" s="793" t="s">
        <v>1820</v>
      </c>
      <c r="AZ70" s="15"/>
      <c r="BA70" s="15"/>
      <c r="BB70" s="15"/>
      <c r="BC70" s="15"/>
      <c r="BD70" s="15"/>
      <c r="BE70" s="15"/>
      <c r="BF70" s="15"/>
      <c r="BG70" s="15"/>
      <c r="BH70" s="15"/>
      <c r="BI70" s="15"/>
      <c r="BJ70" s="15"/>
      <c r="BK70" s="15"/>
      <c r="BL70" s="15"/>
      <c r="BM70" s="15"/>
      <c r="BN70" s="15"/>
    </row>
    <row r="71" spans="1:66" s="47" customFormat="1" ht="76.5" x14ac:dyDescent="0.2">
      <c r="A71" s="28">
        <v>1</v>
      </c>
      <c r="B71" s="34" t="s">
        <v>315</v>
      </c>
      <c r="C71" s="28">
        <v>19</v>
      </c>
      <c r="D71" s="34" t="s">
        <v>517</v>
      </c>
      <c r="E71" s="28">
        <v>1905</v>
      </c>
      <c r="F71" s="34" t="s">
        <v>1498</v>
      </c>
      <c r="G71" s="794">
        <v>1905031</v>
      </c>
      <c r="H71" s="34" t="s">
        <v>1974</v>
      </c>
      <c r="I71" s="51">
        <v>1905031</v>
      </c>
      <c r="J71" s="34" t="s">
        <v>1974</v>
      </c>
      <c r="K71" s="795">
        <v>190503100</v>
      </c>
      <c r="L71" s="34" t="s">
        <v>1975</v>
      </c>
      <c r="M71" s="801">
        <v>190503100</v>
      </c>
      <c r="N71" s="34" t="s">
        <v>1975</v>
      </c>
      <c r="O71" s="794">
        <v>12</v>
      </c>
      <c r="P71" s="794"/>
      <c r="Q71" s="794">
        <v>12</v>
      </c>
      <c r="R71" s="79">
        <v>2020003630122</v>
      </c>
      <c r="S71" s="34" t="s">
        <v>1968</v>
      </c>
      <c r="T71" s="208">
        <f t="shared" si="6"/>
        <v>0.65384615384615385</v>
      </c>
      <c r="U71" s="34" t="s">
        <v>1969</v>
      </c>
      <c r="V71" s="34" t="s">
        <v>1976</v>
      </c>
      <c r="W71" s="34" t="s">
        <v>1980</v>
      </c>
      <c r="X71" s="322">
        <v>20000000</v>
      </c>
      <c r="Y71" s="322"/>
      <c r="Z71" s="322"/>
      <c r="AA71" s="322"/>
      <c r="AB71" s="707">
        <f t="shared" si="0"/>
        <v>20000000</v>
      </c>
      <c r="AC71" s="203" t="s">
        <v>1981</v>
      </c>
      <c r="AD71" s="75"/>
      <c r="AE71" s="72">
        <v>20</v>
      </c>
      <c r="AF71" s="28" t="s">
        <v>327</v>
      </c>
      <c r="AG71" s="827" t="s">
        <v>1939</v>
      </c>
      <c r="AH71" s="827" t="s">
        <v>1939</v>
      </c>
      <c r="AI71" s="827">
        <v>64149</v>
      </c>
      <c r="AJ71" s="827" t="s">
        <v>1939</v>
      </c>
      <c r="AK71" s="827" t="s">
        <v>1939</v>
      </c>
      <c r="AL71" s="827" t="s">
        <v>1939</v>
      </c>
      <c r="AM71" s="827" t="s">
        <v>1939</v>
      </c>
      <c r="AN71" s="827" t="s">
        <v>1939</v>
      </c>
      <c r="AO71" s="827" t="s">
        <v>1939</v>
      </c>
      <c r="AP71" s="827" t="s">
        <v>1939</v>
      </c>
      <c r="AQ71" s="827" t="s">
        <v>1939</v>
      </c>
      <c r="AR71" s="827" t="s">
        <v>1939</v>
      </c>
      <c r="AS71" s="827" t="s">
        <v>1939</v>
      </c>
      <c r="AT71" s="827" t="s">
        <v>1939</v>
      </c>
      <c r="AU71" s="827" t="s">
        <v>1939</v>
      </c>
      <c r="AV71" s="827" t="s">
        <v>1939</v>
      </c>
      <c r="AW71" s="800">
        <v>45293</v>
      </c>
      <c r="AX71" s="800">
        <v>45657</v>
      </c>
      <c r="AY71" s="793" t="s">
        <v>1820</v>
      </c>
      <c r="AZ71" s="15"/>
      <c r="BA71" s="15"/>
      <c r="BB71" s="15"/>
      <c r="BC71" s="15"/>
      <c r="BD71" s="15"/>
      <c r="BE71" s="15"/>
      <c r="BF71" s="15"/>
      <c r="BG71" s="15"/>
      <c r="BH71" s="15"/>
      <c r="BI71" s="15"/>
      <c r="BJ71" s="15"/>
      <c r="BK71" s="15"/>
      <c r="BL71" s="15"/>
      <c r="BM71" s="15"/>
      <c r="BN71" s="15"/>
    </row>
    <row r="72" spans="1:66" s="47" customFormat="1" ht="76.5" x14ac:dyDescent="0.2">
      <c r="A72" s="28">
        <v>1</v>
      </c>
      <c r="B72" s="34" t="s">
        <v>315</v>
      </c>
      <c r="C72" s="28">
        <v>19</v>
      </c>
      <c r="D72" s="34" t="s">
        <v>517</v>
      </c>
      <c r="E72" s="28">
        <v>1905</v>
      </c>
      <c r="F72" s="34" t="s">
        <v>1498</v>
      </c>
      <c r="G72" s="794">
        <v>1905031</v>
      </c>
      <c r="H72" s="34" t="s">
        <v>1974</v>
      </c>
      <c r="I72" s="51">
        <v>1905031</v>
      </c>
      <c r="J72" s="34" t="s">
        <v>1974</v>
      </c>
      <c r="K72" s="795">
        <v>190503100</v>
      </c>
      <c r="L72" s="34" t="s">
        <v>1975</v>
      </c>
      <c r="M72" s="801">
        <v>190503100</v>
      </c>
      <c r="N72" s="34" t="s">
        <v>1975</v>
      </c>
      <c r="O72" s="794">
        <v>12</v>
      </c>
      <c r="P72" s="794"/>
      <c r="Q72" s="794">
        <v>12</v>
      </c>
      <c r="R72" s="79">
        <v>2020003630122</v>
      </c>
      <c r="S72" s="34" t="s">
        <v>1968</v>
      </c>
      <c r="T72" s="208">
        <f t="shared" si="6"/>
        <v>0.65384615384615385</v>
      </c>
      <c r="U72" s="34" t="s">
        <v>1969</v>
      </c>
      <c r="V72" s="34" t="s">
        <v>1976</v>
      </c>
      <c r="W72" s="34" t="s">
        <v>1982</v>
      </c>
      <c r="X72" s="322">
        <v>81000000</v>
      </c>
      <c r="Y72" s="322"/>
      <c r="Z72" s="322"/>
      <c r="AA72" s="322"/>
      <c r="AB72" s="707">
        <f t="shared" si="0"/>
        <v>81000000</v>
      </c>
      <c r="AC72" s="203" t="s">
        <v>1981</v>
      </c>
      <c r="AD72" s="75"/>
      <c r="AE72" s="72">
        <v>20</v>
      </c>
      <c r="AF72" s="28" t="s">
        <v>327</v>
      </c>
      <c r="AG72" s="827" t="s">
        <v>1939</v>
      </c>
      <c r="AH72" s="827" t="s">
        <v>1939</v>
      </c>
      <c r="AI72" s="827">
        <v>64149</v>
      </c>
      <c r="AJ72" s="827" t="s">
        <v>1939</v>
      </c>
      <c r="AK72" s="827" t="s">
        <v>1939</v>
      </c>
      <c r="AL72" s="827" t="s">
        <v>1939</v>
      </c>
      <c r="AM72" s="827" t="s">
        <v>1939</v>
      </c>
      <c r="AN72" s="827" t="s">
        <v>1939</v>
      </c>
      <c r="AO72" s="827" t="s">
        <v>1939</v>
      </c>
      <c r="AP72" s="827" t="s">
        <v>1939</v>
      </c>
      <c r="AQ72" s="827" t="s">
        <v>1939</v>
      </c>
      <c r="AR72" s="827" t="s">
        <v>1939</v>
      </c>
      <c r="AS72" s="827" t="s">
        <v>1939</v>
      </c>
      <c r="AT72" s="827" t="s">
        <v>1939</v>
      </c>
      <c r="AU72" s="827" t="s">
        <v>1939</v>
      </c>
      <c r="AV72" s="827" t="s">
        <v>1939</v>
      </c>
      <c r="AW72" s="800">
        <v>45293</v>
      </c>
      <c r="AX72" s="800">
        <v>45657</v>
      </c>
      <c r="AY72" s="793" t="s">
        <v>1820</v>
      </c>
      <c r="AZ72" s="15"/>
      <c r="BA72" s="15"/>
      <c r="BB72" s="15"/>
      <c r="BC72" s="15"/>
      <c r="BD72" s="15"/>
      <c r="BE72" s="15"/>
      <c r="BF72" s="15"/>
      <c r="BG72" s="15"/>
      <c r="BH72" s="15"/>
      <c r="BI72" s="15"/>
      <c r="BJ72" s="15"/>
      <c r="BK72" s="15"/>
      <c r="BL72" s="15"/>
      <c r="BM72" s="15"/>
      <c r="BN72" s="15"/>
    </row>
    <row r="73" spans="1:66" s="47" customFormat="1" ht="102" x14ac:dyDescent="0.2">
      <c r="A73" s="28">
        <v>1</v>
      </c>
      <c r="B73" s="34" t="s">
        <v>315</v>
      </c>
      <c r="C73" s="28">
        <v>19</v>
      </c>
      <c r="D73" s="34" t="s">
        <v>517</v>
      </c>
      <c r="E73" s="28">
        <v>1905</v>
      </c>
      <c r="F73" s="34" t="s">
        <v>1498</v>
      </c>
      <c r="G73" s="794">
        <v>1905031</v>
      </c>
      <c r="H73" s="34" t="s">
        <v>1974</v>
      </c>
      <c r="I73" s="51">
        <v>1905031</v>
      </c>
      <c r="J73" s="34" t="s">
        <v>1974</v>
      </c>
      <c r="K73" s="795">
        <v>190503100</v>
      </c>
      <c r="L73" s="34" t="s">
        <v>1975</v>
      </c>
      <c r="M73" s="801">
        <v>190503100</v>
      </c>
      <c r="N73" s="34" t="s">
        <v>1975</v>
      </c>
      <c r="O73" s="794">
        <v>12</v>
      </c>
      <c r="P73" s="794"/>
      <c r="Q73" s="794">
        <v>12</v>
      </c>
      <c r="R73" s="79">
        <v>2020003630122</v>
      </c>
      <c r="S73" s="34" t="s">
        <v>1968</v>
      </c>
      <c r="T73" s="208">
        <f t="shared" si="6"/>
        <v>0.65384615384615385</v>
      </c>
      <c r="U73" s="34" t="s">
        <v>1969</v>
      </c>
      <c r="V73" s="34" t="s">
        <v>1976</v>
      </c>
      <c r="W73" s="34" t="s">
        <v>1983</v>
      </c>
      <c r="X73" s="322">
        <v>25000000</v>
      </c>
      <c r="Y73" s="322"/>
      <c r="Z73" s="322"/>
      <c r="AA73" s="322"/>
      <c r="AB73" s="707">
        <f t="shared" si="0"/>
        <v>25000000</v>
      </c>
      <c r="AC73" s="203" t="s">
        <v>1981</v>
      </c>
      <c r="AD73" s="75"/>
      <c r="AE73" s="72">
        <v>20</v>
      </c>
      <c r="AF73" s="28" t="s">
        <v>327</v>
      </c>
      <c r="AG73" s="827" t="s">
        <v>1939</v>
      </c>
      <c r="AH73" s="827" t="s">
        <v>1939</v>
      </c>
      <c r="AI73" s="827">
        <v>64149</v>
      </c>
      <c r="AJ73" s="827" t="s">
        <v>1939</v>
      </c>
      <c r="AK73" s="827" t="s">
        <v>1939</v>
      </c>
      <c r="AL73" s="827" t="s">
        <v>1939</v>
      </c>
      <c r="AM73" s="827" t="s">
        <v>1939</v>
      </c>
      <c r="AN73" s="827" t="s">
        <v>1939</v>
      </c>
      <c r="AO73" s="827" t="s">
        <v>1939</v>
      </c>
      <c r="AP73" s="827" t="s">
        <v>1939</v>
      </c>
      <c r="AQ73" s="827" t="s">
        <v>1939</v>
      </c>
      <c r="AR73" s="827" t="s">
        <v>1939</v>
      </c>
      <c r="AS73" s="827" t="s">
        <v>1939</v>
      </c>
      <c r="AT73" s="827" t="s">
        <v>1939</v>
      </c>
      <c r="AU73" s="827" t="s">
        <v>1939</v>
      </c>
      <c r="AV73" s="827" t="s">
        <v>1939</v>
      </c>
      <c r="AW73" s="800">
        <v>45293</v>
      </c>
      <c r="AX73" s="800">
        <v>45657</v>
      </c>
      <c r="AY73" s="793" t="s">
        <v>1820</v>
      </c>
      <c r="AZ73" s="15"/>
      <c r="BA73" s="15"/>
      <c r="BB73" s="15"/>
      <c r="BC73" s="15"/>
      <c r="BD73" s="15"/>
      <c r="BE73" s="15"/>
      <c r="BF73" s="15"/>
      <c r="BG73" s="15"/>
      <c r="BH73" s="15"/>
      <c r="BI73" s="15"/>
      <c r="BJ73" s="15"/>
      <c r="BK73" s="15"/>
      <c r="BL73" s="15"/>
      <c r="BM73" s="15"/>
      <c r="BN73" s="15"/>
    </row>
    <row r="74" spans="1:66" s="47" customFormat="1" ht="114.75" x14ac:dyDescent="0.2">
      <c r="A74" s="28">
        <v>1</v>
      </c>
      <c r="B74" s="34" t="s">
        <v>315</v>
      </c>
      <c r="C74" s="28">
        <v>19</v>
      </c>
      <c r="D74" s="34" t="s">
        <v>517</v>
      </c>
      <c r="E74" s="28">
        <v>1905</v>
      </c>
      <c r="F74" s="34" t="s">
        <v>1498</v>
      </c>
      <c r="G74" s="794">
        <v>1905031</v>
      </c>
      <c r="H74" s="34" t="s">
        <v>1974</v>
      </c>
      <c r="I74" s="51">
        <v>1905031</v>
      </c>
      <c r="J74" s="34" t="s">
        <v>1974</v>
      </c>
      <c r="K74" s="795">
        <v>190503100</v>
      </c>
      <c r="L74" s="34" t="s">
        <v>1975</v>
      </c>
      <c r="M74" s="801">
        <v>190503100</v>
      </c>
      <c r="N74" s="34" t="s">
        <v>1975</v>
      </c>
      <c r="O74" s="794">
        <v>12</v>
      </c>
      <c r="P74" s="794"/>
      <c r="Q74" s="794">
        <v>12</v>
      </c>
      <c r="R74" s="79">
        <v>2020003630122</v>
      </c>
      <c r="S74" s="34" t="s">
        <v>1968</v>
      </c>
      <c r="T74" s="208">
        <f t="shared" si="6"/>
        <v>0.65384615384615385</v>
      </c>
      <c r="U74" s="34" t="s">
        <v>1969</v>
      </c>
      <c r="V74" s="34" t="s">
        <v>1976</v>
      </c>
      <c r="W74" s="34" t="s">
        <v>1984</v>
      </c>
      <c r="X74" s="327">
        <v>24000000</v>
      </c>
      <c r="Y74" s="327"/>
      <c r="Z74" s="327"/>
      <c r="AA74" s="327"/>
      <c r="AB74" s="707">
        <f t="shared" si="0"/>
        <v>24000000</v>
      </c>
      <c r="AC74" s="798" t="s">
        <v>1981</v>
      </c>
      <c r="AD74" s="834"/>
      <c r="AE74" s="819">
        <v>20</v>
      </c>
      <c r="AF74" s="28" t="s">
        <v>327</v>
      </c>
      <c r="AG74" s="835" t="s">
        <v>1939</v>
      </c>
      <c r="AH74" s="835" t="s">
        <v>1939</v>
      </c>
      <c r="AI74" s="835">
        <v>64149</v>
      </c>
      <c r="AJ74" s="835" t="s">
        <v>1939</v>
      </c>
      <c r="AK74" s="835" t="s">
        <v>1939</v>
      </c>
      <c r="AL74" s="835" t="s">
        <v>1939</v>
      </c>
      <c r="AM74" s="835" t="s">
        <v>1939</v>
      </c>
      <c r="AN74" s="835" t="s">
        <v>1939</v>
      </c>
      <c r="AO74" s="835" t="s">
        <v>1939</v>
      </c>
      <c r="AP74" s="835" t="s">
        <v>1939</v>
      </c>
      <c r="AQ74" s="827" t="s">
        <v>1939</v>
      </c>
      <c r="AR74" s="827" t="s">
        <v>1939</v>
      </c>
      <c r="AS74" s="827" t="s">
        <v>1939</v>
      </c>
      <c r="AT74" s="827" t="s">
        <v>1939</v>
      </c>
      <c r="AU74" s="827" t="s">
        <v>1939</v>
      </c>
      <c r="AV74" s="827" t="s">
        <v>1939</v>
      </c>
      <c r="AW74" s="800">
        <v>45293</v>
      </c>
      <c r="AX74" s="800">
        <v>45657</v>
      </c>
      <c r="AY74" s="793" t="s">
        <v>1820</v>
      </c>
      <c r="AZ74" s="15"/>
      <c r="BA74" s="15"/>
      <c r="BB74" s="15"/>
      <c r="BC74" s="15"/>
      <c r="BD74" s="15"/>
      <c r="BE74" s="15"/>
      <c r="BF74" s="15"/>
      <c r="BG74" s="15"/>
      <c r="BH74" s="15"/>
      <c r="BI74" s="15"/>
      <c r="BJ74" s="15"/>
      <c r="BK74" s="15"/>
      <c r="BL74" s="15"/>
      <c r="BM74" s="15"/>
      <c r="BN74" s="15"/>
    </row>
    <row r="75" spans="1:66" s="47" customFormat="1" ht="76.5" x14ac:dyDescent="0.2">
      <c r="A75" s="32">
        <v>1</v>
      </c>
      <c r="B75" s="34" t="s">
        <v>315</v>
      </c>
      <c r="C75" s="51">
        <v>19</v>
      </c>
      <c r="D75" s="825" t="s">
        <v>517</v>
      </c>
      <c r="E75" s="51">
        <v>1905</v>
      </c>
      <c r="F75" s="825" t="s">
        <v>1498</v>
      </c>
      <c r="G75" s="836">
        <v>1905019</v>
      </c>
      <c r="H75" s="825" t="s">
        <v>1985</v>
      </c>
      <c r="I75" s="51">
        <v>1905019</v>
      </c>
      <c r="J75" s="825" t="s">
        <v>1985</v>
      </c>
      <c r="K75" s="837">
        <v>190501900</v>
      </c>
      <c r="L75" s="825" t="s">
        <v>1986</v>
      </c>
      <c r="M75" s="801">
        <v>190501900</v>
      </c>
      <c r="N75" s="825" t="s">
        <v>530</v>
      </c>
      <c r="O75" s="836">
        <v>60</v>
      </c>
      <c r="P75" s="836"/>
      <c r="Q75" s="836">
        <v>60</v>
      </c>
      <c r="R75" s="826">
        <v>2020003630123</v>
      </c>
      <c r="S75" s="825" t="s">
        <v>1987</v>
      </c>
      <c r="T75" s="838">
        <f>SUM($X$75:X75)/SUM(X75:X89)</f>
        <v>7.4999999999999997E-2</v>
      </c>
      <c r="U75" s="825" t="s">
        <v>1988</v>
      </c>
      <c r="V75" s="825" t="s">
        <v>1989</v>
      </c>
      <c r="W75" s="825" t="s">
        <v>1990</v>
      </c>
      <c r="X75" s="328">
        <v>36000000</v>
      </c>
      <c r="Y75" s="709"/>
      <c r="Z75" s="709"/>
      <c r="AA75" s="709"/>
      <c r="AB75" s="707">
        <f t="shared" si="0"/>
        <v>36000000</v>
      </c>
      <c r="AC75" s="798" t="s">
        <v>1991</v>
      </c>
      <c r="AD75" s="75"/>
      <c r="AE75" s="72">
        <v>61</v>
      </c>
      <c r="AF75" s="28" t="s">
        <v>1817</v>
      </c>
      <c r="AG75" s="320">
        <v>292684</v>
      </c>
      <c r="AH75" s="28">
        <v>282326</v>
      </c>
      <c r="AI75" s="28">
        <v>135912</v>
      </c>
      <c r="AJ75" s="28">
        <v>45122</v>
      </c>
      <c r="AK75" s="28">
        <v>307101</v>
      </c>
      <c r="AL75" s="28">
        <v>86875</v>
      </c>
      <c r="AM75" s="28">
        <v>2145</v>
      </c>
      <c r="AN75" s="28">
        <v>12718</v>
      </c>
      <c r="AO75" s="28">
        <v>26</v>
      </c>
      <c r="AP75" s="28">
        <v>37</v>
      </c>
      <c r="AQ75" s="51">
        <v>16897</v>
      </c>
      <c r="AR75" s="51" t="s">
        <v>1939</v>
      </c>
      <c r="AS75" s="51">
        <v>53164</v>
      </c>
      <c r="AT75" s="51">
        <v>16982</v>
      </c>
      <c r="AU75" s="51">
        <v>60013</v>
      </c>
      <c r="AV75" s="51">
        <v>57501</v>
      </c>
      <c r="AW75" s="800">
        <v>45293</v>
      </c>
      <c r="AX75" s="800">
        <v>45657</v>
      </c>
      <c r="AY75" s="793" t="s">
        <v>1820</v>
      </c>
      <c r="AZ75" s="15"/>
      <c r="BA75" s="15"/>
      <c r="BB75" s="15"/>
      <c r="BC75" s="15"/>
      <c r="BD75" s="15"/>
      <c r="BE75" s="15"/>
      <c r="BF75" s="15"/>
      <c r="BG75" s="15"/>
      <c r="BH75" s="15"/>
      <c r="BI75" s="15"/>
      <c r="BJ75" s="15"/>
      <c r="BK75" s="15"/>
      <c r="BL75" s="15"/>
      <c r="BM75" s="15"/>
      <c r="BN75" s="15"/>
    </row>
    <row r="76" spans="1:66" s="47" customFormat="1" ht="121.5" customHeight="1" x14ac:dyDescent="0.2">
      <c r="A76" s="32">
        <v>1</v>
      </c>
      <c r="B76" s="34" t="s">
        <v>315</v>
      </c>
      <c r="C76" s="51">
        <v>19</v>
      </c>
      <c r="D76" s="825" t="s">
        <v>517</v>
      </c>
      <c r="E76" s="51">
        <v>1905</v>
      </c>
      <c r="F76" s="825" t="s">
        <v>1498</v>
      </c>
      <c r="G76" s="794">
        <v>1905031</v>
      </c>
      <c r="H76" s="825" t="s">
        <v>1992</v>
      </c>
      <c r="I76" s="51">
        <v>1905031</v>
      </c>
      <c r="J76" s="34" t="s">
        <v>1993</v>
      </c>
      <c r="K76" s="795">
        <v>190503100</v>
      </c>
      <c r="L76" s="825" t="s">
        <v>1994</v>
      </c>
      <c r="M76" s="801">
        <v>190503100</v>
      </c>
      <c r="N76" s="329" t="s">
        <v>1995</v>
      </c>
      <c r="O76" s="794">
        <v>11</v>
      </c>
      <c r="P76" s="794"/>
      <c r="Q76" s="794">
        <v>11</v>
      </c>
      <c r="R76" s="826">
        <v>2020003630123</v>
      </c>
      <c r="S76" s="825" t="s">
        <v>1987</v>
      </c>
      <c r="T76" s="208">
        <f>SUM($X$76:$X$79)/SUM($X$75:$X$89)</f>
        <v>0.4375</v>
      </c>
      <c r="U76" s="825" t="s">
        <v>1988</v>
      </c>
      <c r="V76" s="825" t="s">
        <v>1989</v>
      </c>
      <c r="W76" s="825" t="s">
        <v>1996</v>
      </c>
      <c r="X76" s="328">
        <v>30000000</v>
      </c>
      <c r="Y76" s="709"/>
      <c r="Z76" s="709"/>
      <c r="AA76" s="709"/>
      <c r="AB76" s="707">
        <f t="shared" si="0"/>
        <v>30000000</v>
      </c>
      <c r="AC76" s="798" t="s">
        <v>1997</v>
      </c>
      <c r="AD76" s="75"/>
      <c r="AE76" s="72">
        <v>61</v>
      </c>
      <c r="AF76" s="28" t="s">
        <v>1817</v>
      </c>
      <c r="AG76" s="320">
        <v>292684</v>
      </c>
      <c r="AH76" s="28">
        <v>282326</v>
      </c>
      <c r="AI76" s="28">
        <v>135912</v>
      </c>
      <c r="AJ76" s="28">
        <v>45122</v>
      </c>
      <c r="AK76" s="28">
        <v>307101</v>
      </c>
      <c r="AL76" s="28">
        <v>86875</v>
      </c>
      <c r="AM76" s="28">
        <v>2145</v>
      </c>
      <c r="AN76" s="28">
        <v>12718</v>
      </c>
      <c r="AO76" s="28">
        <v>26</v>
      </c>
      <c r="AP76" s="28">
        <v>37</v>
      </c>
      <c r="AQ76" s="51">
        <v>16897</v>
      </c>
      <c r="AR76" s="51" t="s">
        <v>1939</v>
      </c>
      <c r="AS76" s="51">
        <v>53164</v>
      </c>
      <c r="AT76" s="51">
        <v>16982</v>
      </c>
      <c r="AU76" s="51">
        <v>60013</v>
      </c>
      <c r="AV76" s="51">
        <v>57501</v>
      </c>
      <c r="AW76" s="800">
        <v>45293</v>
      </c>
      <c r="AX76" s="800">
        <v>45657</v>
      </c>
      <c r="AY76" s="793" t="s">
        <v>1820</v>
      </c>
      <c r="AZ76" s="15"/>
      <c r="BA76" s="15"/>
      <c r="BB76" s="15"/>
      <c r="BC76" s="15"/>
      <c r="BD76" s="15"/>
      <c r="BE76" s="15"/>
      <c r="BF76" s="15"/>
      <c r="BG76" s="15"/>
      <c r="BH76" s="15"/>
      <c r="BI76" s="15"/>
      <c r="BJ76" s="15"/>
      <c r="BK76" s="15"/>
      <c r="BL76" s="15"/>
      <c r="BM76" s="15"/>
      <c r="BN76" s="15"/>
    </row>
    <row r="77" spans="1:66" s="47" customFormat="1" ht="125.25" customHeight="1" x14ac:dyDescent="0.2">
      <c r="A77" s="32">
        <v>1</v>
      </c>
      <c r="B77" s="34" t="s">
        <v>315</v>
      </c>
      <c r="C77" s="51">
        <v>19</v>
      </c>
      <c r="D77" s="825" t="s">
        <v>517</v>
      </c>
      <c r="E77" s="51">
        <v>1905</v>
      </c>
      <c r="F77" s="825" t="s">
        <v>1498</v>
      </c>
      <c r="G77" s="794">
        <v>1905031</v>
      </c>
      <c r="H77" s="825" t="s">
        <v>1992</v>
      </c>
      <c r="I77" s="51">
        <v>1905031</v>
      </c>
      <c r="J77" s="34" t="s">
        <v>1993</v>
      </c>
      <c r="K77" s="795">
        <v>190503100</v>
      </c>
      <c r="L77" s="825" t="s">
        <v>1994</v>
      </c>
      <c r="M77" s="801">
        <v>190503100</v>
      </c>
      <c r="N77" s="329" t="s">
        <v>1995</v>
      </c>
      <c r="O77" s="794">
        <v>11</v>
      </c>
      <c r="P77" s="794"/>
      <c r="Q77" s="794">
        <v>11</v>
      </c>
      <c r="R77" s="826">
        <v>2020003630123</v>
      </c>
      <c r="S77" s="825" t="s">
        <v>1987</v>
      </c>
      <c r="T77" s="208">
        <f t="shared" ref="T77:T79" si="7">SUM($X$76:$X$79)/SUM($X$75:$X$89)</f>
        <v>0.4375</v>
      </c>
      <c r="U77" s="825" t="s">
        <v>1988</v>
      </c>
      <c r="V77" s="825" t="s">
        <v>1989</v>
      </c>
      <c r="W77" s="825" t="s">
        <v>1996</v>
      </c>
      <c r="X77" s="328">
        <v>75000000</v>
      </c>
      <c r="Y77" s="709"/>
      <c r="Z77" s="709"/>
      <c r="AA77" s="709"/>
      <c r="AB77" s="707">
        <f t="shared" si="0"/>
        <v>75000000</v>
      </c>
      <c r="AC77" s="798" t="s">
        <v>1998</v>
      </c>
      <c r="AD77" s="75"/>
      <c r="AE77" s="72">
        <v>20</v>
      </c>
      <c r="AF77" s="28" t="s">
        <v>327</v>
      </c>
      <c r="AG77" s="320">
        <v>292684</v>
      </c>
      <c r="AH77" s="28">
        <v>282326</v>
      </c>
      <c r="AI77" s="28">
        <v>135912</v>
      </c>
      <c r="AJ77" s="28">
        <v>45122</v>
      </c>
      <c r="AK77" s="28">
        <v>307101</v>
      </c>
      <c r="AL77" s="28">
        <v>86875</v>
      </c>
      <c r="AM77" s="28">
        <v>2145</v>
      </c>
      <c r="AN77" s="28">
        <v>12718</v>
      </c>
      <c r="AO77" s="28">
        <v>26</v>
      </c>
      <c r="AP77" s="28">
        <v>37</v>
      </c>
      <c r="AQ77" s="51">
        <v>16897</v>
      </c>
      <c r="AR77" s="51" t="s">
        <v>1939</v>
      </c>
      <c r="AS77" s="51">
        <v>53164</v>
      </c>
      <c r="AT77" s="51">
        <v>16982</v>
      </c>
      <c r="AU77" s="51">
        <v>60013</v>
      </c>
      <c r="AV77" s="51">
        <v>57501</v>
      </c>
      <c r="AW77" s="800">
        <v>45293</v>
      </c>
      <c r="AX77" s="800">
        <v>45657</v>
      </c>
      <c r="AY77" s="793" t="s">
        <v>1820</v>
      </c>
      <c r="AZ77" s="15"/>
      <c r="BA77" s="15"/>
      <c r="BB77" s="15"/>
      <c r="BC77" s="15"/>
      <c r="BD77" s="15"/>
      <c r="BE77" s="15"/>
      <c r="BF77" s="15"/>
      <c r="BG77" s="15"/>
      <c r="BH77" s="15"/>
      <c r="BI77" s="15"/>
      <c r="BJ77" s="15"/>
      <c r="BK77" s="15"/>
      <c r="BL77" s="15"/>
      <c r="BM77" s="15"/>
      <c r="BN77" s="15"/>
    </row>
    <row r="78" spans="1:66" s="47" customFormat="1" ht="114.75" x14ac:dyDescent="0.2">
      <c r="A78" s="32">
        <v>1</v>
      </c>
      <c r="B78" s="34" t="s">
        <v>315</v>
      </c>
      <c r="C78" s="51">
        <v>19</v>
      </c>
      <c r="D78" s="825" t="s">
        <v>517</v>
      </c>
      <c r="E78" s="51">
        <v>1905</v>
      </c>
      <c r="F78" s="825" t="s">
        <v>1498</v>
      </c>
      <c r="G78" s="794">
        <v>1905031</v>
      </c>
      <c r="H78" s="825" t="s">
        <v>1992</v>
      </c>
      <c r="I78" s="51">
        <v>1905031</v>
      </c>
      <c r="J78" s="34" t="s">
        <v>1993</v>
      </c>
      <c r="K78" s="795">
        <v>190503100</v>
      </c>
      <c r="L78" s="825" t="s">
        <v>1994</v>
      </c>
      <c r="M78" s="801">
        <v>190503100</v>
      </c>
      <c r="N78" s="329" t="s">
        <v>1995</v>
      </c>
      <c r="O78" s="794">
        <v>11</v>
      </c>
      <c r="P78" s="794"/>
      <c r="Q78" s="794">
        <v>11</v>
      </c>
      <c r="R78" s="826">
        <v>2020003630123</v>
      </c>
      <c r="S78" s="825" t="s">
        <v>1987</v>
      </c>
      <c r="T78" s="208">
        <f t="shared" si="7"/>
        <v>0.4375</v>
      </c>
      <c r="U78" s="825" t="s">
        <v>1988</v>
      </c>
      <c r="V78" s="825" t="s">
        <v>1989</v>
      </c>
      <c r="W78" s="825" t="s">
        <v>1999</v>
      </c>
      <c r="X78" s="330">
        <v>30000000</v>
      </c>
      <c r="Y78" s="710"/>
      <c r="Z78" s="710"/>
      <c r="AA78" s="710"/>
      <c r="AB78" s="707">
        <f t="shared" si="0"/>
        <v>30000000</v>
      </c>
      <c r="AC78" s="798" t="s">
        <v>1997</v>
      </c>
      <c r="AD78" s="839"/>
      <c r="AE78" s="840">
        <v>61</v>
      </c>
      <c r="AF78" s="28" t="s">
        <v>1817</v>
      </c>
      <c r="AG78" s="320">
        <v>292684</v>
      </c>
      <c r="AH78" s="28">
        <v>282326</v>
      </c>
      <c r="AI78" s="28">
        <v>135912</v>
      </c>
      <c r="AJ78" s="28">
        <v>45122</v>
      </c>
      <c r="AK78" s="28">
        <v>307101</v>
      </c>
      <c r="AL78" s="28">
        <v>86875</v>
      </c>
      <c r="AM78" s="28">
        <v>2145</v>
      </c>
      <c r="AN78" s="28">
        <v>12718</v>
      </c>
      <c r="AO78" s="28">
        <v>26</v>
      </c>
      <c r="AP78" s="28">
        <v>37</v>
      </c>
      <c r="AQ78" s="51">
        <v>16897</v>
      </c>
      <c r="AR78" s="51" t="s">
        <v>1939</v>
      </c>
      <c r="AS78" s="51">
        <v>53164</v>
      </c>
      <c r="AT78" s="51">
        <v>16982</v>
      </c>
      <c r="AU78" s="51">
        <v>60013</v>
      </c>
      <c r="AV78" s="51">
        <v>57501</v>
      </c>
      <c r="AW78" s="800">
        <v>45293</v>
      </c>
      <c r="AX78" s="800">
        <v>45657</v>
      </c>
      <c r="AY78" s="793" t="s">
        <v>1820</v>
      </c>
      <c r="AZ78" s="15"/>
      <c r="BA78" s="15"/>
      <c r="BB78" s="15"/>
      <c r="BC78" s="15"/>
      <c r="BD78" s="15"/>
      <c r="BE78" s="15"/>
      <c r="BF78" s="15"/>
      <c r="BG78" s="15"/>
      <c r="BH78" s="15"/>
      <c r="BI78" s="15"/>
      <c r="BJ78" s="15"/>
      <c r="BK78" s="15"/>
      <c r="BL78" s="15"/>
      <c r="BM78" s="15"/>
      <c r="BN78" s="15"/>
    </row>
    <row r="79" spans="1:66" s="47" customFormat="1" ht="102.75" customHeight="1" x14ac:dyDescent="0.2">
      <c r="A79" s="32">
        <v>1</v>
      </c>
      <c r="B79" s="34" t="s">
        <v>315</v>
      </c>
      <c r="C79" s="51">
        <v>19</v>
      </c>
      <c r="D79" s="825" t="s">
        <v>517</v>
      </c>
      <c r="E79" s="51">
        <v>1905</v>
      </c>
      <c r="F79" s="825" t="s">
        <v>1498</v>
      </c>
      <c r="G79" s="794">
        <v>1905031</v>
      </c>
      <c r="H79" s="825" t="s">
        <v>1992</v>
      </c>
      <c r="I79" s="51">
        <v>1905031</v>
      </c>
      <c r="J79" s="34" t="s">
        <v>1993</v>
      </c>
      <c r="K79" s="795">
        <v>190503100</v>
      </c>
      <c r="L79" s="825" t="s">
        <v>1994</v>
      </c>
      <c r="M79" s="801">
        <v>190503100</v>
      </c>
      <c r="N79" s="329" t="s">
        <v>1995</v>
      </c>
      <c r="O79" s="794">
        <v>11</v>
      </c>
      <c r="P79" s="794"/>
      <c r="Q79" s="794">
        <v>11</v>
      </c>
      <c r="R79" s="826">
        <v>2020003630123</v>
      </c>
      <c r="S79" s="825" t="s">
        <v>1987</v>
      </c>
      <c r="T79" s="208">
        <f t="shared" si="7"/>
        <v>0.4375</v>
      </c>
      <c r="U79" s="825" t="s">
        <v>1988</v>
      </c>
      <c r="V79" s="825" t="s">
        <v>1989</v>
      </c>
      <c r="W79" s="825" t="s">
        <v>1999</v>
      </c>
      <c r="X79" s="328">
        <v>75000000</v>
      </c>
      <c r="Y79" s="709"/>
      <c r="Z79" s="709"/>
      <c r="AA79" s="709"/>
      <c r="AB79" s="707">
        <f t="shared" ref="AB79:AB142" si="8">X79-Y79+Z79-AA79</f>
        <v>75000000</v>
      </c>
      <c r="AC79" s="798" t="s">
        <v>1998</v>
      </c>
      <c r="AD79" s="75"/>
      <c r="AE79" s="72">
        <v>20</v>
      </c>
      <c r="AF79" s="28" t="s">
        <v>327</v>
      </c>
      <c r="AG79" s="320">
        <v>292684</v>
      </c>
      <c r="AH79" s="28">
        <v>282326</v>
      </c>
      <c r="AI79" s="28">
        <v>135912</v>
      </c>
      <c r="AJ79" s="28">
        <v>45122</v>
      </c>
      <c r="AK79" s="28">
        <v>307101</v>
      </c>
      <c r="AL79" s="28">
        <v>86875</v>
      </c>
      <c r="AM79" s="28">
        <v>2145</v>
      </c>
      <c r="AN79" s="28">
        <v>12718</v>
      </c>
      <c r="AO79" s="28">
        <v>26</v>
      </c>
      <c r="AP79" s="28">
        <v>37</v>
      </c>
      <c r="AQ79" s="51">
        <v>16897</v>
      </c>
      <c r="AR79" s="51" t="s">
        <v>1939</v>
      </c>
      <c r="AS79" s="51">
        <v>53164</v>
      </c>
      <c r="AT79" s="51">
        <v>16982</v>
      </c>
      <c r="AU79" s="51">
        <v>60013</v>
      </c>
      <c r="AV79" s="51">
        <v>57501</v>
      </c>
      <c r="AW79" s="800">
        <v>45293</v>
      </c>
      <c r="AX79" s="800">
        <v>45657</v>
      </c>
      <c r="AY79" s="793" t="s">
        <v>1820</v>
      </c>
      <c r="AZ79" s="15"/>
      <c r="BA79" s="15"/>
      <c r="BB79" s="15"/>
      <c r="BC79" s="15"/>
      <c r="BD79" s="15"/>
      <c r="BE79" s="15"/>
      <c r="BF79" s="15"/>
      <c r="BG79" s="15"/>
      <c r="BH79" s="15"/>
      <c r="BI79" s="15"/>
      <c r="BJ79" s="15"/>
      <c r="BK79" s="15"/>
      <c r="BL79" s="15"/>
      <c r="BM79" s="15"/>
      <c r="BN79" s="15"/>
    </row>
    <row r="80" spans="1:66" s="47" customFormat="1" ht="102" x14ac:dyDescent="0.2">
      <c r="A80" s="32">
        <v>1</v>
      </c>
      <c r="B80" s="34" t="s">
        <v>315</v>
      </c>
      <c r="C80" s="51">
        <v>19</v>
      </c>
      <c r="D80" s="825" t="s">
        <v>517</v>
      </c>
      <c r="E80" s="51">
        <v>1905</v>
      </c>
      <c r="F80" s="825" t="s">
        <v>1498</v>
      </c>
      <c r="G80" s="794">
        <v>1905015</v>
      </c>
      <c r="H80" s="825" t="s">
        <v>2000</v>
      </c>
      <c r="I80" s="51">
        <v>1905015</v>
      </c>
      <c r="J80" s="825" t="s">
        <v>490</v>
      </c>
      <c r="K80" s="795">
        <v>190501500</v>
      </c>
      <c r="L80" s="825" t="s">
        <v>2001</v>
      </c>
      <c r="M80" s="801">
        <v>190501500</v>
      </c>
      <c r="N80" s="825" t="s">
        <v>2002</v>
      </c>
      <c r="O80" s="794">
        <v>2</v>
      </c>
      <c r="P80" s="794"/>
      <c r="Q80" s="794">
        <v>2</v>
      </c>
      <c r="R80" s="826">
        <v>2020003630123</v>
      </c>
      <c r="S80" s="825" t="s">
        <v>1987</v>
      </c>
      <c r="T80" s="208">
        <f>SUM($X$80:$X$81)/SUM($X$75:$X$89)</f>
        <v>0.16250000000000001</v>
      </c>
      <c r="U80" s="825" t="s">
        <v>1988</v>
      </c>
      <c r="V80" s="825" t="s">
        <v>2003</v>
      </c>
      <c r="W80" s="825" t="s">
        <v>2004</v>
      </c>
      <c r="X80" s="330">
        <v>39000000</v>
      </c>
      <c r="Y80" s="710"/>
      <c r="Z80" s="710"/>
      <c r="AA80" s="710"/>
      <c r="AB80" s="707">
        <f t="shared" si="8"/>
        <v>39000000</v>
      </c>
      <c r="AC80" s="798" t="s">
        <v>2005</v>
      </c>
      <c r="AD80" s="75"/>
      <c r="AE80" s="72">
        <v>61</v>
      </c>
      <c r="AF80" s="28" t="s">
        <v>1817</v>
      </c>
      <c r="AG80" s="320">
        <v>292684</v>
      </c>
      <c r="AH80" s="28">
        <v>282326</v>
      </c>
      <c r="AI80" s="28">
        <v>135912</v>
      </c>
      <c r="AJ80" s="28">
        <v>45122</v>
      </c>
      <c r="AK80" s="28">
        <v>307101</v>
      </c>
      <c r="AL80" s="28">
        <v>86875</v>
      </c>
      <c r="AM80" s="28">
        <v>2145</v>
      </c>
      <c r="AN80" s="28">
        <v>12718</v>
      </c>
      <c r="AO80" s="28">
        <v>26</v>
      </c>
      <c r="AP80" s="28">
        <v>37</v>
      </c>
      <c r="AQ80" s="51">
        <v>16897</v>
      </c>
      <c r="AR80" s="51" t="s">
        <v>1939</v>
      </c>
      <c r="AS80" s="51">
        <v>53164</v>
      </c>
      <c r="AT80" s="51">
        <v>16982</v>
      </c>
      <c r="AU80" s="51">
        <v>60013</v>
      </c>
      <c r="AV80" s="51">
        <v>57501</v>
      </c>
      <c r="AW80" s="800">
        <v>45293</v>
      </c>
      <c r="AX80" s="800">
        <v>45657</v>
      </c>
      <c r="AY80" s="793" t="s">
        <v>1820</v>
      </c>
      <c r="AZ80" s="15"/>
      <c r="BA80" s="15"/>
      <c r="BB80" s="15"/>
      <c r="BC80" s="15"/>
      <c r="BD80" s="15"/>
      <c r="BE80" s="15"/>
      <c r="BF80" s="15"/>
      <c r="BG80" s="15"/>
      <c r="BH80" s="15"/>
      <c r="BI80" s="15"/>
      <c r="BJ80" s="15"/>
      <c r="BK80" s="15"/>
      <c r="BL80" s="15"/>
      <c r="BM80" s="15"/>
      <c r="BN80" s="15"/>
    </row>
    <row r="81" spans="1:66" s="47" customFormat="1" ht="76.5" x14ac:dyDescent="0.2">
      <c r="A81" s="32">
        <v>1</v>
      </c>
      <c r="B81" s="34" t="s">
        <v>315</v>
      </c>
      <c r="C81" s="51">
        <v>19</v>
      </c>
      <c r="D81" s="825" t="s">
        <v>517</v>
      </c>
      <c r="E81" s="51">
        <v>1905</v>
      </c>
      <c r="F81" s="825" t="s">
        <v>1498</v>
      </c>
      <c r="G81" s="794">
        <v>1905015</v>
      </c>
      <c r="H81" s="825" t="s">
        <v>2000</v>
      </c>
      <c r="I81" s="51">
        <v>1905015</v>
      </c>
      <c r="J81" s="825" t="s">
        <v>490</v>
      </c>
      <c r="K81" s="795">
        <v>190501500</v>
      </c>
      <c r="L81" s="825" t="s">
        <v>2001</v>
      </c>
      <c r="M81" s="801">
        <v>190501500</v>
      </c>
      <c r="N81" s="825" t="s">
        <v>2002</v>
      </c>
      <c r="O81" s="794">
        <v>2</v>
      </c>
      <c r="P81" s="794"/>
      <c r="Q81" s="794">
        <v>2</v>
      </c>
      <c r="R81" s="826">
        <v>2020003630123</v>
      </c>
      <c r="S81" s="825" t="s">
        <v>1987</v>
      </c>
      <c r="T81" s="208">
        <f>SUM($X$80:$X$81)/SUM($X$75:$X$89)</f>
        <v>0.16250000000000001</v>
      </c>
      <c r="U81" s="825" t="s">
        <v>1988</v>
      </c>
      <c r="V81" s="825" t="s">
        <v>2003</v>
      </c>
      <c r="W81" s="825" t="s">
        <v>2006</v>
      </c>
      <c r="X81" s="328">
        <v>39000000</v>
      </c>
      <c r="Y81" s="709"/>
      <c r="Z81" s="709"/>
      <c r="AA81" s="709"/>
      <c r="AB81" s="707">
        <f t="shared" si="8"/>
        <v>39000000</v>
      </c>
      <c r="AC81" s="798" t="s">
        <v>2005</v>
      </c>
      <c r="AD81" s="75"/>
      <c r="AE81" s="72">
        <v>61</v>
      </c>
      <c r="AF81" s="28" t="s">
        <v>1817</v>
      </c>
      <c r="AG81" s="320">
        <v>292684</v>
      </c>
      <c r="AH81" s="28">
        <v>282326</v>
      </c>
      <c r="AI81" s="28">
        <v>135912</v>
      </c>
      <c r="AJ81" s="28">
        <v>45122</v>
      </c>
      <c r="AK81" s="28">
        <v>307101</v>
      </c>
      <c r="AL81" s="28">
        <v>86875</v>
      </c>
      <c r="AM81" s="28">
        <v>2145</v>
      </c>
      <c r="AN81" s="28">
        <v>12718</v>
      </c>
      <c r="AO81" s="28">
        <v>26</v>
      </c>
      <c r="AP81" s="28">
        <v>37</v>
      </c>
      <c r="AQ81" s="51">
        <v>16897</v>
      </c>
      <c r="AR81" s="51" t="s">
        <v>1939</v>
      </c>
      <c r="AS81" s="51">
        <v>53164</v>
      </c>
      <c r="AT81" s="51">
        <v>16982</v>
      </c>
      <c r="AU81" s="51">
        <v>60013</v>
      </c>
      <c r="AV81" s="51">
        <v>57501</v>
      </c>
      <c r="AW81" s="800">
        <v>45293</v>
      </c>
      <c r="AX81" s="800">
        <v>45657</v>
      </c>
      <c r="AY81" s="793" t="s">
        <v>1820</v>
      </c>
      <c r="AZ81" s="15"/>
      <c r="BA81" s="15"/>
      <c r="BB81" s="15"/>
      <c r="BC81" s="15"/>
      <c r="BD81" s="15"/>
      <c r="BE81" s="15"/>
      <c r="BF81" s="15"/>
      <c r="BG81" s="15"/>
      <c r="BH81" s="15"/>
      <c r="BI81" s="15"/>
      <c r="BJ81" s="15"/>
      <c r="BK81" s="15"/>
      <c r="BL81" s="15"/>
      <c r="BM81" s="15"/>
      <c r="BN81" s="15"/>
    </row>
    <row r="82" spans="1:66" s="47" customFormat="1" ht="89.25" x14ac:dyDescent="0.2">
      <c r="A82" s="32">
        <v>1</v>
      </c>
      <c r="B82" s="34" t="s">
        <v>315</v>
      </c>
      <c r="C82" s="51">
        <v>19</v>
      </c>
      <c r="D82" s="825" t="s">
        <v>517</v>
      </c>
      <c r="E82" s="51">
        <v>1905</v>
      </c>
      <c r="F82" s="825" t="s">
        <v>1498</v>
      </c>
      <c r="G82" s="794">
        <v>1905024</v>
      </c>
      <c r="H82" s="825" t="s">
        <v>2007</v>
      </c>
      <c r="I82" s="51">
        <v>1905024</v>
      </c>
      <c r="J82" s="825" t="s">
        <v>2008</v>
      </c>
      <c r="K82" s="795">
        <v>190502400</v>
      </c>
      <c r="L82" s="825" t="s">
        <v>2009</v>
      </c>
      <c r="M82" s="801">
        <v>190502400</v>
      </c>
      <c r="N82" s="825" t="s">
        <v>2010</v>
      </c>
      <c r="O82" s="794">
        <v>3</v>
      </c>
      <c r="P82" s="794"/>
      <c r="Q82" s="794">
        <v>3</v>
      </c>
      <c r="R82" s="826">
        <v>2020003630123</v>
      </c>
      <c r="S82" s="825" t="s">
        <v>1987</v>
      </c>
      <c r="T82" s="208">
        <f>SUM($X$82:$X$84)/SUM($X$75:$X$89)</f>
        <v>0.16250000000000001</v>
      </c>
      <c r="U82" s="825" t="s">
        <v>1988</v>
      </c>
      <c r="V82" s="825" t="s">
        <v>2003</v>
      </c>
      <c r="W82" s="825" t="s">
        <v>2011</v>
      </c>
      <c r="X82" s="328">
        <v>26000000</v>
      </c>
      <c r="Y82" s="709"/>
      <c r="Z82" s="709"/>
      <c r="AA82" s="709"/>
      <c r="AB82" s="707">
        <f t="shared" si="8"/>
        <v>26000000</v>
      </c>
      <c r="AC82" s="798" t="s">
        <v>2012</v>
      </c>
      <c r="AD82" s="841"/>
      <c r="AE82" s="72">
        <v>61</v>
      </c>
      <c r="AF82" s="28" t="s">
        <v>1817</v>
      </c>
      <c r="AG82" s="320">
        <v>292684</v>
      </c>
      <c r="AH82" s="28">
        <v>282326</v>
      </c>
      <c r="AI82" s="28">
        <v>135912</v>
      </c>
      <c r="AJ82" s="28">
        <v>45122</v>
      </c>
      <c r="AK82" s="28">
        <v>307101</v>
      </c>
      <c r="AL82" s="28">
        <v>86875</v>
      </c>
      <c r="AM82" s="28">
        <v>2145</v>
      </c>
      <c r="AN82" s="28">
        <v>12718</v>
      </c>
      <c r="AO82" s="28">
        <v>26</v>
      </c>
      <c r="AP82" s="28">
        <v>37</v>
      </c>
      <c r="AQ82" s="51">
        <v>16897</v>
      </c>
      <c r="AR82" s="51" t="s">
        <v>1939</v>
      </c>
      <c r="AS82" s="51">
        <v>53164</v>
      </c>
      <c r="AT82" s="51">
        <v>16982</v>
      </c>
      <c r="AU82" s="51">
        <v>60013</v>
      </c>
      <c r="AV82" s="51">
        <v>57501</v>
      </c>
      <c r="AW82" s="800">
        <v>45293</v>
      </c>
      <c r="AX82" s="800">
        <v>45657</v>
      </c>
      <c r="AY82" s="793" t="s">
        <v>1820</v>
      </c>
      <c r="AZ82" s="15"/>
      <c r="BA82" s="15"/>
      <c r="BB82" s="15"/>
      <c r="BC82" s="15"/>
      <c r="BD82" s="15"/>
      <c r="BE82" s="15"/>
      <c r="BF82" s="15"/>
      <c r="BG82" s="15"/>
      <c r="BH82" s="15"/>
      <c r="BI82" s="15"/>
      <c r="BJ82" s="15"/>
      <c r="BK82" s="15"/>
      <c r="BL82" s="15"/>
      <c r="BM82" s="15"/>
    </row>
    <row r="83" spans="1:66" s="47" customFormat="1" ht="89.25" x14ac:dyDescent="0.2">
      <c r="A83" s="32">
        <v>1</v>
      </c>
      <c r="B83" s="34" t="s">
        <v>315</v>
      </c>
      <c r="C83" s="51">
        <v>19</v>
      </c>
      <c r="D83" s="825" t="s">
        <v>517</v>
      </c>
      <c r="E83" s="51">
        <v>1905</v>
      </c>
      <c r="F83" s="825" t="s">
        <v>1498</v>
      </c>
      <c r="G83" s="794">
        <v>1905024</v>
      </c>
      <c r="H83" s="825" t="s">
        <v>2007</v>
      </c>
      <c r="I83" s="51">
        <v>1905024</v>
      </c>
      <c r="J83" s="825" t="s">
        <v>2008</v>
      </c>
      <c r="K83" s="795">
        <v>190502400</v>
      </c>
      <c r="L83" s="825" t="s">
        <v>2009</v>
      </c>
      <c r="M83" s="801">
        <v>190502400</v>
      </c>
      <c r="N83" s="825" t="s">
        <v>2010</v>
      </c>
      <c r="O83" s="794">
        <v>3</v>
      </c>
      <c r="P83" s="794"/>
      <c r="Q83" s="794">
        <v>3</v>
      </c>
      <c r="R83" s="826">
        <v>2020003630123</v>
      </c>
      <c r="S83" s="825" t="s">
        <v>1987</v>
      </c>
      <c r="T83" s="208">
        <f t="shared" ref="T83:T84" si="9">SUM($X$82:$X$84)/SUM($X$75:$X$89)</f>
        <v>0.16250000000000001</v>
      </c>
      <c r="U83" s="825" t="s">
        <v>1988</v>
      </c>
      <c r="V83" s="825" t="s">
        <v>2003</v>
      </c>
      <c r="W83" s="825" t="s">
        <v>2013</v>
      </c>
      <c r="X83" s="328">
        <v>26000000</v>
      </c>
      <c r="Y83" s="709"/>
      <c r="Z83" s="709"/>
      <c r="AA83" s="709"/>
      <c r="AB83" s="707">
        <f t="shared" si="8"/>
        <v>26000000</v>
      </c>
      <c r="AC83" s="798" t="s">
        <v>2012</v>
      </c>
      <c r="AD83" s="841"/>
      <c r="AE83" s="72">
        <v>61</v>
      </c>
      <c r="AF83" s="28" t="s">
        <v>1817</v>
      </c>
      <c r="AG83" s="320">
        <v>292684</v>
      </c>
      <c r="AH83" s="28">
        <v>282326</v>
      </c>
      <c r="AI83" s="28">
        <v>135912</v>
      </c>
      <c r="AJ83" s="28">
        <v>45122</v>
      </c>
      <c r="AK83" s="28">
        <v>307101</v>
      </c>
      <c r="AL83" s="28">
        <v>86875</v>
      </c>
      <c r="AM83" s="28">
        <v>2145</v>
      </c>
      <c r="AN83" s="28">
        <v>12718</v>
      </c>
      <c r="AO83" s="28">
        <v>26</v>
      </c>
      <c r="AP83" s="28">
        <v>37</v>
      </c>
      <c r="AQ83" s="51">
        <v>16897</v>
      </c>
      <c r="AR83" s="51" t="s">
        <v>1939</v>
      </c>
      <c r="AS83" s="51">
        <v>53164</v>
      </c>
      <c r="AT83" s="51">
        <v>16982</v>
      </c>
      <c r="AU83" s="51">
        <v>60013</v>
      </c>
      <c r="AV83" s="51">
        <v>57501</v>
      </c>
      <c r="AW83" s="800">
        <v>45293</v>
      </c>
      <c r="AX83" s="800">
        <v>45657</v>
      </c>
      <c r="AY83" s="793" t="s">
        <v>1820</v>
      </c>
      <c r="AZ83" s="15"/>
      <c r="BA83" s="15"/>
      <c r="BB83" s="15"/>
      <c r="BC83" s="15"/>
      <c r="BD83" s="15"/>
      <c r="BE83" s="15"/>
      <c r="BF83" s="15"/>
      <c r="BG83" s="15"/>
      <c r="BH83" s="15"/>
      <c r="BI83" s="15"/>
      <c r="BJ83" s="15"/>
      <c r="BK83" s="15"/>
      <c r="BL83" s="15"/>
      <c r="BM83" s="15"/>
    </row>
    <row r="84" spans="1:66" s="47" customFormat="1" ht="118.5" customHeight="1" x14ac:dyDescent="0.2">
      <c r="A84" s="32">
        <v>1</v>
      </c>
      <c r="B84" s="34" t="s">
        <v>315</v>
      </c>
      <c r="C84" s="51">
        <v>19</v>
      </c>
      <c r="D84" s="825" t="s">
        <v>517</v>
      </c>
      <c r="E84" s="51">
        <v>1905</v>
      </c>
      <c r="F84" s="825" t="s">
        <v>1498</v>
      </c>
      <c r="G84" s="794">
        <v>1905024</v>
      </c>
      <c r="H84" s="825" t="s">
        <v>2007</v>
      </c>
      <c r="I84" s="51">
        <v>1905024</v>
      </c>
      <c r="J84" s="825" t="s">
        <v>2008</v>
      </c>
      <c r="K84" s="795">
        <v>190502400</v>
      </c>
      <c r="L84" s="825" t="s">
        <v>2009</v>
      </c>
      <c r="M84" s="801">
        <v>190502400</v>
      </c>
      <c r="N84" s="825" t="s">
        <v>2010</v>
      </c>
      <c r="O84" s="794">
        <v>3</v>
      </c>
      <c r="P84" s="794"/>
      <c r="Q84" s="794">
        <v>3</v>
      </c>
      <c r="R84" s="826">
        <v>2020003630123</v>
      </c>
      <c r="S84" s="825" t="s">
        <v>1987</v>
      </c>
      <c r="T84" s="208">
        <f t="shared" si="9"/>
        <v>0.16250000000000001</v>
      </c>
      <c r="U84" s="825" t="s">
        <v>1988</v>
      </c>
      <c r="V84" s="825" t="s">
        <v>2003</v>
      </c>
      <c r="W84" s="825" t="s">
        <v>2014</v>
      </c>
      <c r="X84" s="328">
        <v>26000000</v>
      </c>
      <c r="Y84" s="709"/>
      <c r="Z84" s="709"/>
      <c r="AA84" s="709"/>
      <c r="AB84" s="707">
        <f t="shared" si="8"/>
        <v>26000000</v>
      </c>
      <c r="AC84" s="798" t="s">
        <v>2012</v>
      </c>
      <c r="AD84" s="75"/>
      <c r="AE84" s="72">
        <v>61</v>
      </c>
      <c r="AF84" s="28" t="s">
        <v>1817</v>
      </c>
      <c r="AG84" s="320">
        <v>292684</v>
      </c>
      <c r="AH84" s="28">
        <v>282326</v>
      </c>
      <c r="AI84" s="28">
        <v>135912</v>
      </c>
      <c r="AJ84" s="28">
        <v>45122</v>
      </c>
      <c r="AK84" s="28">
        <v>307101</v>
      </c>
      <c r="AL84" s="28">
        <v>86875</v>
      </c>
      <c r="AM84" s="28">
        <v>2145</v>
      </c>
      <c r="AN84" s="28">
        <v>12718</v>
      </c>
      <c r="AO84" s="28">
        <v>26</v>
      </c>
      <c r="AP84" s="28">
        <v>37</v>
      </c>
      <c r="AQ84" s="51">
        <v>16897</v>
      </c>
      <c r="AR84" s="51" t="s">
        <v>1939</v>
      </c>
      <c r="AS84" s="51">
        <v>53164</v>
      </c>
      <c r="AT84" s="51">
        <v>16982</v>
      </c>
      <c r="AU84" s="51">
        <v>60013</v>
      </c>
      <c r="AV84" s="51">
        <v>57501</v>
      </c>
      <c r="AW84" s="800">
        <v>45293</v>
      </c>
      <c r="AX84" s="800">
        <v>45657</v>
      </c>
      <c r="AY84" s="793" t="s">
        <v>1820</v>
      </c>
      <c r="AZ84" s="15"/>
      <c r="BA84" s="15"/>
      <c r="BB84" s="15"/>
      <c r="BC84" s="15"/>
      <c r="BD84" s="15"/>
      <c r="BE84" s="15"/>
      <c r="BF84" s="15"/>
      <c r="BG84" s="15"/>
      <c r="BH84" s="15"/>
      <c r="BI84" s="15"/>
      <c r="BJ84" s="15"/>
      <c r="BK84" s="15"/>
      <c r="BL84" s="15"/>
      <c r="BM84" s="15"/>
      <c r="BN84" s="15"/>
    </row>
    <row r="85" spans="1:66" s="47" customFormat="1" ht="102" x14ac:dyDescent="0.2">
      <c r="A85" s="32">
        <v>1</v>
      </c>
      <c r="B85" s="34" t="s">
        <v>315</v>
      </c>
      <c r="C85" s="51">
        <v>19</v>
      </c>
      <c r="D85" s="825" t="s">
        <v>517</v>
      </c>
      <c r="E85" s="51">
        <v>1905</v>
      </c>
      <c r="F85" s="825" t="s">
        <v>1498</v>
      </c>
      <c r="G85" s="794">
        <v>1905024</v>
      </c>
      <c r="H85" s="34" t="s">
        <v>2015</v>
      </c>
      <c r="I85" s="51">
        <v>1905024</v>
      </c>
      <c r="J85" s="825" t="s">
        <v>2008</v>
      </c>
      <c r="K85" s="795">
        <v>190502400</v>
      </c>
      <c r="L85" s="329" t="s">
        <v>2016</v>
      </c>
      <c r="M85" s="801">
        <v>190502400</v>
      </c>
      <c r="N85" s="825" t="s">
        <v>2010</v>
      </c>
      <c r="O85" s="794">
        <v>3</v>
      </c>
      <c r="P85" s="794"/>
      <c r="Q85" s="794">
        <v>3</v>
      </c>
      <c r="R85" s="826">
        <v>2020003630123</v>
      </c>
      <c r="S85" s="825" t="s">
        <v>1987</v>
      </c>
      <c r="T85" s="208">
        <f>SUM($X$85:$X$87)/SUM($X$75:$X$89)</f>
        <v>8.1250000000000003E-2</v>
      </c>
      <c r="U85" s="825" t="s">
        <v>1988</v>
      </c>
      <c r="V85" s="825" t="s">
        <v>2003</v>
      </c>
      <c r="W85" s="825" t="s">
        <v>2013</v>
      </c>
      <c r="X85" s="328">
        <v>13000000</v>
      </c>
      <c r="Y85" s="709"/>
      <c r="Z85" s="709"/>
      <c r="AA85" s="709"/>
      <c r="AB85" s="707">
        <f t="shared" si="8"/>
        <v>13000000</v>
      </c>
      <c r="AC85" s="798" t="s">
        <v>2012</v>
      </c>
      <c r="AD85" s="75"/>
      <c r="AE85" s="72">
        <v>61</v>
      </c>
      <c r="AF85" s="28" t="s">
        <v>1817</v>
      </c>
      <c r="AG85" s="320">
        <v>292684</v>
      </c>
      <c r="AH85" s="28">
        <v>282326</v>
      </c>
      <c r="AI85" s="28">
        <v>135912</v>
      </c>
      <c r="AJ85" s="28">
        <v>45122</v>
      </c>
      <c r="AK85" s="28">
        <v>307101</v>
      </c>
      <c r="AL85" s="28">
        <v>86875</v>
      </c>
      <c r="AM85" s="28">
        <v>2145</v>
      </c>
      <c r="AN85" s="28">
        <v>12718</v>
      </c>
      <c r="AO85" s="28">
        <v>26</v>
      </c>
      <c r="AP85" s="28">
        <v>37</v>
      </c>
      <c r="AQ85" s="51">
        <v>16897</v>
      </c>
      <c r="AR85" s="51" t="s">
        <v>1939</v>
      </c>
      <c r="AS85" s="51">
        <v>53164</v>
      </c>
      <c r="AT85" s="51">
        <v>16982</v>
      </c>
      <c r="AU85" s="51">
        <v>60013</v>
      </c>
      <c r="AV85" s="51">
        <v>57501</v>
      </c>
      <c r="AW85" s="800">
        <v>45293</v>
      </c>
      <c r="AX85" s="800">
        <v>45657</v>
      </c>
      <c r="AY85" s="793" t="s">
        <v>1820</v>
      </c>
      <c r="AZ85" s="15"/>
      <c r="BA85" s="15"/>
      <c r="BB85" s="15"/>
      <c r="BC85" s="15"/>
      <c r="BD85" s="15"/>
      <c r="BE85" s="15"/>
      <c r="BF85" s="15"/>
      <c r="BG85" s="15"/>
      <c r="BH85" s="15"/>
      <c r="BI85" s="15"/>
      <c r="BJ85" s="15"/>
      <c r="BK85" s="15"/>
      <c r="BL85" s="15"/>
      <c r="BM85" s="15"/>
      <c r="BN85" s="15"/>
    </row>
    <row r="86" spans="1:66" s="47" customFormat="1" ht="102" x14ac:dyDescent="0.2">
      <c r="A86" s="32">
        <v>1</v>
      </c>
      <c r="B86" s="34" t="s">
        <v>315</v>
      </c>
      <c r="C86" s="51">
        <v>19</v>
      </c>
      <c r="D86" s="825" t="s">
        <v>517</v>
      </c>
      <c r="E86" s="51">
        <v>1905</v>
      </c>
      <c r="F86" s="825" t="s">
        <v>1498</v>
      </c>
      <c r="G86" s="794">
        <v>1905024</v>
      </c>
      <c r="H86" s="34" t="s">
        <v>2015</v>
      </c>
      <c r="I86" s="51">
        <v>1905024</v>
      </c>
      <c r="J86" s="825" t="s">
        <v>2008</v>
      </c>
      <c r="K86" s="795">
        <v>190502400</v>
      </c>
      <c r="L86" s="329" t="s">
        <v>2016</v>
      </c>
      <c r="M86" s="801">
        <v>190502400</v>
      </c>
      <c r="N86" s="825" t="s">
        <v>2010</v>
      </c>
      <c r="O86" s="794">
        <v>3</v>
      </c>
      <c r="P86" s="794"/>
      <c r="Q86" s="794">
        <v>3</v>
      </c>
      <c r="R86" s="826">
        <v>2020003630123</v>
      </c>
      <c r="S86" s="825" t="s">
        <v>1987</v>
      </c>
      <c r="T86" s="208">
        <f t="shared" ref="T86:T87" si="10">SUM($X$85:$X$87)/SUM($X$75:$X$89)</f>
        <v>8.1250000000000003E-2</v>
      </c>
      <c r="U86" s="825" t="s">
        <v>1988</v>
      </c>
      <c r="V86" s="825" t="s">
        <v>2003</v>
      </c>
      <c r="W86" s="825" t="s">
        <v>2013</v>
      </c>
      <c r="X86" s="328">
        <v>13000000</v>
      </c>
      <c r="Y86" s="709"/>
      <c r="Z86" s="709"/>
      <c r="AA86" s="709"/>
      <c r="AB86" s="707">
        <f t="shared" si="8"/>
        <v>13000000</v>
      </c>
      <c r="AC86" s="798" t="s">
        <v>2012</v>
      </c>
      <c r="AD86" s="75"/>
      <c r="AE86" s="72">
        <v>61</v>
      </c>
      <c r="AF86" s="28" t="s">
        <v>1817</v>
      </c>
      <c r="AG86" s="320">
        <v>292684</v>
      </c>
      <c r="AH86" s="28">
        <v>282326</v>
      </c>
      <c r="AI86" s="28">
        <v>135912</v>
      </c>
      <c r="AJ86" s="28">
        <v>45122</v>
      </c>
      <c r="AK86" s="28">
        <v>307101</v>
      </c>
      <c r="AL86" s="28">
        <v>86875</v>
      </c>
      <c r="AM86" s="28">
        <v>2145</v>
      </c>
      <c r="AN86" s="28">
        <v>12718</v>
      </c>
      <c r="AO86" s="28">
        <v>26</v>
      </c>
      <c r="AP86" s="28">
        <v>37</v>
      </c>
      <c r="AQ86" s="51">
        <v>16897</v>
      </c>
      <c r="AR86" s="51" t="s">
        <v>1939</v>
      </c>
      <c r="AS86" s="51">
        <v>53164</v>
      </c>
      <c r="AT86" s="51">
        <v>16982</v>
      </c>
      <c r="AU86" s="51">
        <v>60013</v>
      </c>
      <c r="AV86" s="51">
        <v>57501</v>
      </c>
      <c r="AW86" s="800">
        <v>45293</v>
      </c>
      <c r="AX86" s="800">
        <v>45657</v>
      </c>
      <c r="AY86" s="793" t="s">
        <v>1820</v>
      </c>
      <c r="AZ86" s="15"/>
      <c r="BA86" s="15"/>
      <c r="BB86" s="15"/>
      <c r="BC86" s="15"/>
      <c r="BD86" s="15"/>
      <c r="BE86" s="15"/>
      <c r="BF86" s="15"/>
      <c r="BG86" s="15"/>
      <c r="BH86" s="15"/>
      <c r="BI86" s="15"/>
      <c r="BJ86" s="15"/>
      <c r="BK86" s="15"/>
      <c r="BL86" s="15"/>
      <c r="BM86" s="15"/>
      <c r="BN86" s="15"/>
    </row>
    <row r="87" spans="1:66" s="47" customFormat="1" ht="102" x14ac:dyDescent="0.2">
      <c r="A87" s="32">
        <v>1</v>
      </c>
      <c r="B87" s="34" t="s">
        <v>315</v>
      </c>
      <c r="C87" s="51">
        <v>19</v>
      </c>
      <c r="D87" s="825" t="s">
        <v>517</v>
      </c>
      <c r="E87" s="51">
        <v>1905</v>
      </c>
      <c r="F87" s="825" t="s">
        <v>1498</v>
      </c>
      <c r="G87" s="794">
        <v>1905024</v>
      </c>
      <c r="H87" s="34" t="s">
        <v>2015</v>
      </c>
      <c r="I87" s="51">
        <v>1905024</v>
      </c>
      <c r="J87" s="825" t="s">
        <v>2008</v>
      </c>
      <c r="K87" s="795">
        <v>190502400</v>
      </c>
      <c r="L87" s="329" t="s">
        <v>2016</v>
      </c>
      <c r="M87" s="801">
        <v>190502400</v>
      </c>
      <c r="N87" s="825" t="s">
        <v>2010</v>
      </c>
      <c r="O87" s="794">
        <v>3</v>
      </c>
      <c r="P87" s="794"/>
      <c r="Q87" s="794">
        <v>3</v>
      </c>
      <c r="R87" s="826">
        <v>2020003630123</v>
      </c>
      <c r="S87" s="825" t="s">
        <v>1987</v>
      </c>
      <c r="T87" s="208">
        <f t="shared" si="10"/>
        <v>8.1250000000000003E-2</v>
      </c>
      <c r="U87" s="825" t="s">
        <v>1988</v>
      </c>
      <c r="V87" s="825" t="s">
        <v>2003</v>
      </c>
      <c r="W87" s="825" t="s">
        <v>2013</v>
      </c>
      <c r="X87" s="328">
        <v>13000000</v>
      </c>
      <c r="Y87" s="709"/>
      <c r="Z87" s="709"/>
      <c r="AA87" s="709"/>
      <c r="AB87" s="707">
        <f t="shared" si="8"/>
        <v>13000000</v>
      </c>
      <c r="AC87" s="798" t="s">
        <v>2012</v>
      </c>
      <c r="AD87" s="75"/>
      <c r="AE87" s="72">
        <v>61</v>
      </c>
      <c r="AF87" s="28" t="s">
        <v>1817</v>
      </c>
      <c r="AG87" s="320">
        <v>292684</v>
      </c>
      <c r="AH87" s="28">
        <v>282326</v>
      </c>
      <c r="AI87" s="28">
        <v>135912</v>
      </c>
      <c r="AJ87" s="28">
        <v>45122</v>
      </c>
      <c r="AK87" s="28">
        <v>307101</v>
      </c>
      <c r="AL87" s="28">
        <v>86875</v>
      </c>
      <c r="AM87" s="28">
        <v>2145</v>
      </c>
      <c r="AN87" s="28">
        <v>12718</v>
      </c>
      <c r="AO87" s="28">
        <v>26</v>
      </c>
      <c r="AP87" s="28">
        <v>37</v>
      </c>
      <c r="AQ87" s="51">
        <v>16897</v>
      </c>
      <c r="AR87" s="51" t="s">
        <v>1939</v>
      </c>
      <c r="AS87" s="51">
        <v>53164</v>
      </c>
      <c r="AT87" s="51">
        <v>16982</v>
      </c>
      <c r="AU87" s="51">
        <v>60013</v>
      </c>
      <c r="AV87" s="51">
        <v>57501</v>
      </c>
      <c r="AW87" s="800">
        <v>45293</v>
      </c>
      <c r="AX87" s="800">
        <v>45657</v>
      </c>
      <c r="AY87" s="793" t="s">
        <v>1820</v>
      </c>
      <c r="AZ87" s="15"/>
      <c r="BA87" s="15"/>
      <c r="BB87" s="15"/>
      <c r="BC87" s="15"/>
      <c r="BD87" s="15"/>
      <c r="BE87" s="15"/>
      <c r="BF87" s="15"/>
      <c r="BG87" s="15"/>
      <c r="BH87" s="15"/>
      <c r="BI87" s="15"/>
      <c r="BJ87" s="15"/>
      <c r="BK87" s="15"/>
      <c r="BL87" s="15"/>
      <c r="BM87" s="15"/>
      <c r="BN87" s="15"/>
    </row>
    <row r="88" spans="1:66" s="47" customFormat="1" ht="102" x14ac:dyDescent="0.2">
      <c r="A88" s="32">
        <v>1</v>
      </c>
      <c r="B88" s="34" t="s">
        <v>315</v>
      </c>
      <c r="C88" s="51">
        <v>19</v>
      </c>
      <c r="D88" s="825" t="s">
        <v>517</v>
      </c>
      <c r="E88" s="51">
        <v>1905</v>
      </c>
      <c r="F88" s="825" t="s">
        <v>1498</v>
      </c>
      <c r="G88" s="794">
        <v>1905024</v>
      </c>
      <c r="H88" s="34" t="s">
        <v>2017</v>
      </c>
      <c r="I88" s="51">
        <v>1905024</v>
      </c>
      <c r="J88" s="825" t="s">
        <v>2008</v>
      </c>
      <c r="K88" s="795">
        <v>190502400</v>
      </c>
      <c r="L88" s="329" t="s">
        <v>2018</v>
      </c>
      <c r="M88" s="801">
        <v>190502401</v>
      </c>
      <c r="N88" s="825" t="s">
        <v>2010</v>
      </c>
      <c r="O88" s="794">
        <v>3</v>
      </c>
      <c r="P88" s="794"/>
      <c r="Q88" s="794">
        <v>3</v>
      </c>
      <c r="R88" s="826">
        <v>2020003630123</v>
      </c>
      <c r="S88" s="825" t="s">
        <v>1987</v>
      </c>
      <c r="T88" s="208">
        <f>SUM($X$88:$X$89)/SUM($X$75:$X$89)</f>
        <v>8.1250000000000003E-2</v>
      </c>
      <c r="U88" s="825" t="s">
        <v>1988</v>
      </c>
      <c r="V88" s="825" t="s">
        <v>2003</v>
      </c>
      <c r="W88" s="825" t="s">
        <v>2014</v>
      </c>
      <c r="X88" s="331">
        <v>20000000</v>
      </c>
      <c r="Y88" s="711"/>
      <c r="Z88" s="711"/>
      <c r="AA88" s="711"/>
      <c r="AB88" s="707">
        <f t="shared" si="8"/>
        <v>20000000</v>
      </c>
      <c r="AC88" s="798" t="s">
        <v>2012</v>
      </c>
      <c r="AD88" s="75"/>
      <c r="AE88" s="72">
        <v>61</v>
      </c>
      <c r="AF88" s="28" t="s">
        <v>1817</v>
      </c>
      <c r="AG88" s="320">
        <v>292684</v>
      </c>
      <c r="AH88" s="28">
        <v>282326</v>
      </c>
      <c r="AI88" s="28">
        <v>135912</v>
      </c>
      <c r="AJ88" s="28">
        <v>45122</v>
      </c>
      <c r="AK88" s="28">
        <v>307101</v>
      </c>
      <c r="AL88" s="28">
        <v>86875</v>
      </c>
      <c r="AM88" s="28">
        <v>2145</v>
      </c>
      <c r="AN88" s="28">
        <v>12718</v>
      </c>
      <c r="AO88" s="28">
        <v>26</v>
      </c>
      <c r="AP88" s="28">
        <v>37</v>
      </c>
      <c r="AQ88" s="51">
        <v>16897</v>
      </c>
      <c r="AR88" s="51" t="s">
        <v>1939</v>
      </c>
      <c r="AS88" s="51">
        <v>53164</v>
      </c>
      <c r="AT88" s="51">
        <v>16982</v>
      </c>
      <c r="AU88" s="51">
        <v>60013</v>
      </c>
      <c r="AV88" s="51">
        <v>57501</v>
      </c>
      <c r="AW88" s="800">
        <v>45293</v>
      </c>
      <c r="AX88" s="800">
        <v>45657</v>
      </c>
      <c r="AY88" s="793" t="s">
        <v>1820</v>
      </c>
      <c r="AZ88" s="15"/>
      <c r="BA88" s="15"/>
      <c r="BB88" s="15"/>
      <c r="BC88" s="15"/>
      <c r="BD88" s="15"/>
      <c r="BE88" s="15"/>
      <c r="BF88" s="15"/>
      <c r="BG88" s="15"/>
      <c r="BH88" s="15"/>
      <c r="BI88" s="15"/>
      <c r="BJ88" s="15"/>
      <c r="BK88" s="15"/>
      <c r="BL88" s="15"/>
      <c r="BM88" s="15"/>
      <c r="BN88" s="15"/>
    </row>
    <row r="89" spans="1:66" s="47" customFormat="1" ht="102" x14ac:dyDescent="0.2">
      <c r="A89" s="32">
        <v>1</v>
      </c>
      <c r="B89" s="34" t="s">
        <v>315</v>
      </c>
      <c r="C89" s="51">
        <v>19</v>
      </c>
      <c r="D89" s="825" t="s">
        <v>517</v>
      </c>
      <c r="E89" s="51">
        <v>1905</v>
      </c>
      <c r="F89" s="825" t="s">
        <v>1498</v>
      </c>
      <c r="G89" s="794">
        <v>1905024</v>
      </c>
      <c r="H89" s="34" t="s">
        <v>2017</v>
      </c>
      <c r="I89" s="51">
        <v>1905024</v>
      </c>
      <c r="J89" s="825" t="s">
        <v>2008</v>
      </c>
      <c r="K89" s="795">
        <v>190502400</v>
      </c>
      <c r="L89" s="329" t="s">
        <v>2018</v>
      </c>
      <c r="M89" s="801">
        <v>190502401</v>
      </c>
      <c r="N89" s="825" t="s">
        <v>2010</v>
      </c>
      <c r="O89" s="794">
        <v>3</v>
      </c>
      <c r="P89" s="794"/>
      <c r="Q89" s="794">
        <v>3</v>
      </c>
      <c r="R89" s="826">
        <v>2020003630123</v>
      </c>
      <c r="S89" s="825" t="s">
        <v>1987</v>
      </c>
      <c r="T89" s="208">
        <f>SUM($X$88:$X$89)/SUM($X$75:$X$89)</f>
        <v>8.1250000000000003E-2</v>
      </c>
      <c r="U89" s="825" t="s">
        <v>1988</v>
      </c>
      <c r="V89" s="825" t="s">
        <v>2003</v>
      </c>
      <c r="W89" s="825" t="s">
        <v>2014</v>
      </c>
      <c r="X89" s="331">
        <v>19000000</v>
      </c>
      <c r="Y89" s="711"/>
      <c r="Z89" s="711"/>
      <c r="AA89" s="711"/>
      <c r="AB89" s="707">
        <f t="shared" si="8"/>
        <v>19000000</v>
      </c>
      <c r="AC89" s="798" t="s">
        <v>2012</v>
      </c>
      <c r="AD89" s="75"/>
      <c r="AE89" s="72">
        <v>61</v>
      </c>
      <c r="AF89" s="28" t="s">
        <v>1817</v>
      </c>
      <c r="AG89" s="320">
        <v>292684</v>
      </c>
      <c r="AH89" s="28">
        <v>282326</v>
      </c>
      <c r="AI89" s="28">
        <v>135912</v>
      </c>
      <c r="AJ89" s="28">
        <v>45122</v>
      </c>
      <c r="AK89" s="28">
        <v>307101</v>
      </c>
      <c r="AL89" s="28">
        <v>86875</v>
      </c>
      <c r="AM89" s="28">
        <v>2145</v>
      </c>
      <c r="AN89" s="28">
        <v>12718</v>
      </c>
      <c r="AO89" s="28">
        <v>26</v>
      </c>
      <c r="AP89" s="28">
        <v>37</v>
      </c>
      <c r="AQ89" s="51">
        <v>16897</v>
      </c>
      <c r="AR89" s="51" t="s">
        <v>1939</v>
      </c>
      <c r="AS89" s="51">
        <v>53164</v>
      </c>
      <c r="AT89" s="51">
        <v>16982</v>
      </c>
      <c r="AU89" s="51">
        <v>60013</v>
      </c>
      <c r="AV89" s="51">
        <v>57501</v>
      </c>
      <c r="AW89" s="800">
        <v>45293</v>
      </c>
      <c r="AX89" s="800">
        <v>45657</v>
      </c>
      <c r="AY89" s="793" t="s">
        <v>1820</v>
      </c>
      <c r="AZ89" s="15"/>
      <c r="BA89" s="15"/>
      <c r="BB89" s="15"/>
      <c r="BC89" s="15"/>
      <c r="BD89" s="15"/>
      <c r="BE89" s="15"/>
      <c r="BF89" s="15"/>
      <c r="BG89" s="15"/>
      <c r="BH89" s="15"/>
      <c r="BI89" s="15"/>
      <c r="BJ89" s="15"/>
      <c r="BK89" s="15"/>
      <c r="BL89" s="15"/>
      <c r="BM89" s="15"/>
      <c r="BN89" s="15"/>
    </row>
    <row r="90" spans="1:66" s="47" customFormat="1" ht="102" x14ac:dyDescent="0.2">
      <c r="A90" s="32">
        <v>1</v>
      </c>
      <c r="B90" s="34" t="s">
        <v>315</v>
      </c>
      <c r="C90" s="51">
        <v>19</v>
      </c>
      <c r="D90" s="825" t="s">
        <v>517</v>
      </c>
      <c r="E90" s="51">
        <v>1905</v>
      </c>
      <c r="F90" s="825" t="s">
        <v>1498</v>
      </c>
      <c r="G90" s="794">
        <v>1905021</v>
      </c>
      <c r="H90" s="825" t="s">
        <v>1499</v>
      </c>
      <c r="I90" s="51">
        <v>1905021</v>
      </c>
      <c r="J90" s="825" t="s">
        <v>1499</v>
      </c>
      <c r="K90" s="795">
        <v>190502100</v>
      </c>
      <c r="L90" s="825" t="s">
        <v>2019</v>
      </c>
      <c r="M90" s="801">
        <v>190502100</v>
      </c>
      <c r="N90" s="825" t="s">
        <v>2020</v>
      </c>
      <c r="O90" s="794">
        <v>12</v>
      </c>
      <c r="P90" s="794"/>
      <c r="Q90" s="794">
        <v>12</v>
      </c>
      <c r="R90" s="826">
        <v>2020003630124</v>
      </c>
      <c r="S90" s="825" t="s">
        <v>2021</v>
      </c>
      <c r="T90" s="208">
        <f>SUM($X$90:$X$100)/SUM($X$90:$X$110)</f>
        <v>0.5</v>
      </c>
      <c r="U90" s="825" t="s">
        <v>2022</v>
      </c>
      <c r="V90" s="825" t="s">
        <v>2023</v>
      </c>
      <c r="W90" s="825" t="s">
        <v>2024</v>
      </c>
      <c r="X90" s="328">
        <v>10000000</v>
      </c>
      <c r="Y90" s="709"/>
      <c r="Z90" s="709"/>
      <c r="AA90" s="709"/>
      <c r="AB90" s="707">
        <f t="shared" si="8"/>
        <v>10000000</v>
      </c>
      <c r="AC90" s="798" t="s">
        <v>2025</v>
      </c>
      <c r="AD90" s="75"/>
      <c r="AE90" s="72">
        <v>61</v>
      </c>
      <c r="AF90" s="28" t="s">
        <v>1817</v>
      </c>
      <c r="AG90" s="51">
        <v>289394</v>
      </c>
      <c r="AH90" s="51">
        <v>279112</v>
      </c>
      <c r="AI90" s="51">
        <v>63164</v>
      </c>
      <c r="AJ90" s="51">
        <v>45607</v>
      </c>
      <c r="AK90" s="51">
        <v>365607</v>
      </c>
      <c r="AL90" s="51">
        <v>75612</v>
      </c>
      <c r="AM90" s="51">
        <v>2145</v>
      </c>
      <c r="AN90" s="51">
        <v>12718</v>
      </c>
      <c r="AO90" s="51">
        <v>26</v>
      </c>
      <c r="AP90" s="51">
        <v>37</v>
      </c>
      <c r="AQ90" s="51" t="s">
        <v>1818</v>
      </c>
      <c r="AR90" s="51" t="s">
        <v>1819</v>
      </c>
      <c r="AS90" s="51">
        <v>78</v>
      </c>
      <c r="AT90" s="51">
        <v>16897</v>
      </c>
      <c r="AU90" s="51">
        <v>852</v>
      </c>
      <c r="AV90" s="51">
        <v>568506</v>
      </c>
      <c r="AW90" s="800">
        <v>45293</v>
      </c>
      <c r="AX90" s="800">
        <v>45657</v>
      </c>
      <c r="AY90" s="793" t="s">
        <v>1820</v>
      </c>
      <c r="AZ90" s="15"/>
      <c r="BA90" s="15"/>
      <c r="BB90" s="15"/>
      <c r="BC90" s="15"/>
      <c r="BD90" s="15"/>
      <c r="BE90" s="15"/>
      <c r="BF90" s="15"/>
      <c r="BG90" s="15"/>
      <c r="BH90" s="15"/>
      <c r="BI90" s="15"/>
      <c r="BJ90" s="15"/>
      <c r="BK90" s="15"/>
      <c r="BL90" s="15"/>
      <c r="BM90" s="15"/>
      <c r="BN90" s="15"/>
    </row>
    <row r="91" spans="1:66" s="47" customFormat="1" ht="76.5" x14ac:dyDescent="0.2">
      <c r="A91" s="32">
        <v>1</v>
      </c>
      <c r="B91" s="34" t="s">
        <v>315</v>
      </c>
      <c r="C91" s="51">
        <v>19</v>
      </c>
      <c r="D91" s="825" t="s">
        <v>517</v>
      </c>
      <c r="E91" s="51">
        <v>1905</v>
      </c>
      <c r="F91" s="825" t="s">
        <v>1498</v>
      </c>
      <c r="G91" s="794">
        <v>1905021</v>
      </c>
      <c r="H91" s="825" t="s">
        <v>1499</v>
      </c>
      <c r="I91" s="51">
        <v>1905021</v>
      </c>
      <c r="J91" s="825" t="s">
        <v>1499</v>
      </c>
      <c r="K91" s="795">
        <v>190502100</v>
      </c>
      <c r="L91" s="825" t="s">
        <v>2019</v>
      </c>
      <c r="M91" s="801">
        <v>190502100</v>
      </c>
      <c r="N91" s="825" t="s">
        <v>2020</v>
      </c>
      <c r="O91" s="794">
        <v>12</v>
      </c>
      <c r="P91" s="794"/>
      <c r="Q91" s="794">
        <v>12</v>
      </c>
      <c r="R91" s="826">
        <v>2020003630124</v>
      </c>
      <c r="S91" s="825" t="s">
        <v>2021</v>
      </c>
      <c r="T91" s="208">
        <f t="shared" ref="T91:T99" si="11">SUM($X$90:$X$100)/SUM($X$90:$X$110)</f>
        <v>0.5</v>
      </c>
      <c r="U91" s="825" t="s">
        <v>2022</v>
      </c>
      <c r="V91" s="825" t="s">
        <v>2023</v>
      </c>
      <c r="W91" s="825" t="s">
        <v>2026</v>
      </c>
      <c r="X91" s="328">
        <v>10000000</v>
      </c>
      <c r="Y91" s="709"/>
      <c r="Z91" s="709"/>
      <c r="AA91" s="709"/>
      <c r="AB91" s="707">
        <f t="shared" si="8"/>
        <v>10000000</v>
      </c>
      <c r="AC91" s="798" t="s">
        <v>2025</v>
      </c>
      <c r="AD91" s="75"/>
      <c r="AE91" s="72">
        <v>61</v>
      </c>
      <c r="AF91" s="28" t="s">
        <v>1817</v>
      </c>
      <c r="AG91" s="51">
        <v>289394</v>
      </c>
      <c r="AH91" s="51">
        <v>279112</v>
      </c>
      <c r="AI91" s="51">
        <v>63164</v>
      </c>
      <c r="AJ91" s="51">
        <v>45607</v>
      </c>
      <c r="AK91" s="51">
        <v>365607</v>
      </c>
      <c r="AL91" s="51">
        <v>75612</v>
      </c>
      <c r="AM91" s="51">
        <v>2145</v>
      </c>
      <c r="AN91" s="51">
        <v>12718</v>
      </c>
      <c r="AO91" s="51">
        <v>26</v>
      </c>
      <c r="AP91" s="51">
        <v>37</v>
      </c>
      <c r="AQ91" s="51" t="s">
        <v>1818</v>
      </c>
      <c r="AR91" s="51" t="s">
        <v>1819</v>
      </c>
      <c r="AS91" s="51">
        <v>78</v>
      </c>
      <c r="AT91" s="51">
        <v>16897</v>
      </c>
      <c r="AU91" s="51">
        <v>852</v>
      </c>
      <c r="AV91" s="51">
        <v>568506</v>
      </c>
      <c r="AW91" s="800">
        <v>45293</v>
      </c>
      <c r="AX91" s="800">
        <v>45657</v>
      </c>
      <c r="AY91" s="793" t="s">
        <v>1820</v>
      </c>
      <c r="AZ91" s="15"/>
      <c r="BA91" s="15"/>
      <c r="BB91" s="15"/>
      <c r="BC91" s="15"/>
      <c r="BD91" s="15"/>
      <c r="BE91" s="15"/>
      <c r="BF91" s="15"/>
      <c r="BG91" s="15"/>
      <c r="BH91" s="15"/>
      <c r="BI91" s="15"/>
      <c r="BJ91" s="15"/>
      <c r="BK91" s="15"/>
      <c r="BL91" s="15"/>
      <c r="BM91" s="15"/>
      <c r="BN91" s="15"/>
    </row>
    <row r="92" spans="1:66" s="47" customFormat="1" ht="114.75" x14ac:dyDescent="0.2">
      <c r="A92" s="32">
        <v>1</v>
      </c>
      <c r="B92" s="34" t="s">
        <v>315</v>
      </c>
      <c r="C92" s="51">
        <v>19</v>
      </c>
      <c r="D92" s="825" t="s">
        <v>517</v>
      </c>
      <c r="E92" s="51">
        <v>1905</v>
      </c>
      <c r="F92" s="825" t="s">
        <v>1498</v>
      </c>
      <c r="G92" s="794">
        <v>1905021</v>
      </c>
      <c r="H92" s="825" t="s">
        <v>1499</v>
      </c>
      <c r="I92" s="51">
        <v>1905021</v>
      </c>
      <c r="J92" s="825" t="s">
        <v>1499</v>
      </c>
      <c r="K92" s="795">
        <v>190502100</v>
      </c>
      <c r="L92" s="825" t="s">
        <v>2019</v>
      </c>
      <c r="M92" s="801">
        <v>190502100</v>
      </c>
      <c r="N92" s="825" t="s">
        <v>2020</v>
      </c>
      <c r="O92" s="794">
        <v>12</v>
      </c>
      <c r="P92" s="794"/>
      <c r="Q92" s="794">
        <v>12</v>
      </c>
      <c r="R92" s="826">
        <v>2020003630124</v>
      </c>
      <c r="S92" s="825" t="s">
        <v>2021</v>
      </c>
      <c r="T92" s="208">
        <f t="shared" si="11"/>
        <v>0.5</v>
      </c>
      <c r="U92" s="825" t="s">
        <v>2022</v>
      </c>
      <c r="V92" s="825" t="s">
        <v>2023</v>
      </c>
      <c r="W92" s="825" t="s">
        <v>2027</v>
      </c>
      <c r="X92" s="328">
        <v>10000000</v>
      </c>
      <c r="Y92" s="709"/>
      <c r="Z92" s="709"/>
      <c r="AA92" s="709"/>
      <c r="AB92" s="707">
        <f t="shared" si="8"/>
        <v>10000000</v>
      </c>
      <c r="AC92" s="798" t="s">
        <v>2025</v>
      </c>
      <c r="AD92" s="75"/>
      <c r="AE92" s="72">
        <v>61</v>
      </c>
      <c r="AF92" s="28" t="s">
        <v>1817</v>
      </c>
      <c r="AG92" s="51">
        <v>289394</v>
      </c>
      <c r="AH92" s="51">
        <v>279112</v>
      </c>
      <c r="AI92" s="51">
        <v>63164</v>
      </c>
      <c r="AJ92" s="51">
        <v>45607</v>
      </c>
      <c r="AK92" s="51">
        <v>365607</v>
      </c>
      <c r="AL92" s="51">
        <v>75612</v>
      </c>
      <c r="AM92" s="51">
        <v>2145</v>
      </c>
      <c r="AN92" s="51">
        <v>12718</v>
      </c>
      <c r="AO92" s="51">
        <v>26</v>
      </c>
      <c r="AP92" s="51">
        <v>37</v>
      </c>
      <c r="AQ92" s="51" t="s">
        <v>1818</v>
      </c>
      <c r="AR92" s="51" t="s">
        <v>1819</v>
      </c>
      <c r="AS92" s="51">
        <v>78</v>
      </c>
      <c r="AT92" s="51">
        <v>16897</v>
      </c>
      <c r="AU92" s="51">
        <v>852</v>
      </c>
      <c r="AV92" s="51">
        <v>568506</v>
      </c>
      <c r="AW92" s="800">
        <v>45293</v>
      </c>
      <c r="AX92" s="800">
        <v>45657</v>
      </c>
      <c r="AY92" s="793" t="s">
        <v>1820</v>
      </c>
      <c r="AZ92" s="15"/>
      <c r="BA92" s="15"/>
      <c r="BB92" s="15"/>
      <c r="BC92" s="15"/>
      <c r="BD92" s="15"/>
      <c r="BE92" s="15"/>
      <c r="BF92" s="15"/>
      <c r="BG92" s="15"/>
      <c r="BH92" s="15"/>
      <c r="BI92" s="15"/>
      <c r="BJ92" s="15"/>
      <c r="BK92" s="15"/>
      <c r="BL92" s="15"/>
      <c r="BM92" s="15"/>
      <c r="BN92" s="15"/>
    </row>
    <row r="93" spans="1:66" s="47" customFormat="1" ht="63.75" x14ac:dyDescent="0.2">
      <c r="A93" s="32">
        <v>1</v>
      </c>
      <c r="B93" s="34" t="s">
        <v>315</v>
      </c>
      <c r="C93" s="51">
        <v>19</v>
      </c>
      <c r="D93" s="825" t="s">
        <v>517</v>
      </c>
      <c r="E93" s="51">
        <v>1905</v>
      </c>
      <c r="F93" s="825" t="s">
        <v>1498</v>
      </c>
      <c r="G93" s="794">
        <v>1905021</v>
      </c>
      <c r="H93" s="825" t="s">
        <v>1499</v>
      </c>
      <c r="I93" s="51">
        <v>1905021</v>
      </c>
      <c r="J93" s="825" t="s">
        <v>1499</v>
      </c>
      <c r="K93" s="795">
        <v>190502100</v>
      </c>
      <c r="L93" s="825" t="s">
        <v>2019</v>
      </c>
      <c r="M93" s="801">
        <v>190502100</v>
      </c>
      <c r="N93" s="825" t="s">
        <v>2020</v>
      </c>
      <c r="O93" s="794">
        <v>12</v>
      </c>
      <c r="P93" s="794"/>
      <c r="Q93" s="794">
        <v>12</v>
      </c>
      <c r="R93" s="826">
        <v>2020003630124</v>
      </c>
      <c r="S93" s="825" t="s">
        <v>2021</v>
      </c>
      <c r="T93" s="208">
        <f t="shared" si="11"/>
        <v>0.5</v>
      </c>
      <c r="U93" s="825" t="s">
        <v>2022</v>
      </c>
      <c r="V93" s="825" t="s">
        <v>2023</v>
      </c>
      <c r="W93" s="825" t="s">
        <v>2028</v>
      </c>
      <c r="X93" s="328">
        <v>10000000</v>
      </c>
      <c r="Y93" s="709"/>
      <c r="Z93" s="709"/>
      <c r="AA93" s="709"/>
      <c r="AB93" s="707">
        <f t="shared" si="8"/>
        <v>10000000</v>
      </c>
      <c r="AC93" s="798" t="s">
        <v>2025</v>
      </c>
      <c r="AD93" s="75"/>
      <c r="AE93" s="72">
        <v>61</v>
      </c>
      <c r="AF93" s="28" t="s">
        <v>1817</v>
      </c>
      <c r="AG93" s="51">
        <v>289394</v>
      </c>
      <c r="AH93" s="51">
        <v>279112</v>
      </c>
      <c r="AI93" s="51">
        <v>63164</v>
      </c>
      <c r="AJ93" s="51">
        <v>45607</v>
      </c>
      <c r="AK93" s="51">
        <v>365607</v>
      </c>
      <c r="AL93" s="51">
        <v>75612</v>
      </c>
      <c r="AM93" s="51">
        <v>2145</v>
      </c>
      <c r="AN93" s="51">
        <v>12718</v>
      </c>
      <c r="AO93" s="51">
        <v>26</v>
      </c>
      <c r="AP93" s="51">
        <v>37</v>
      </c>
      <c r="AQ93" s="51" t="s">
        <v>1818</v>
      </c>
      <c r="AR93" s="51" t="s">
        <v>1819</v>
      </c>
      <c r="AS93" s="51">
        <v>78</v>
      </c>
      <c r="AT93" s="51">
        <v>16897</v>
      </c>
      <c r="AU93" s="51">
        <v>852</v>
      </c>
      <c r="AV93" s="51">
        <v>568506</v>
      </c>
      <c r="AW93" s="800">
        <v>45293</v>
      </c>
      <c r="AX93" s="800">
        <v>45657</v>
      </c>
      <c r="AY93" s="793" t="s">
        <v>1820</v>
      </c>
      <c r="AZ93" s="15"/>
      <c r="BA93" s="15"/>
      <c r="BB93" s="15"/>
      <c r="BC93" s="15"/>
      <c r="BD93" s="15"/>
      <c r="BE93" s="15"/>
      <c r="BF93" s="15"/>
      <c r="BG93" s="15"/>
      <c r="BH93" s="15"/>
      <c r="BI93" s="15"/>
      <c r="BJ93" s="15"/>
      <c r="BK93" s="15"/>
      <c r="BL93" s="15"/>
      <c r="BM93" s="15"/>
      <c r="BN93" s="15"/>
    </row>
    <row r="94" spans="1:66" s="47" customFormat="1" ht="89.25" x14ac:dyDescent="0.2">
      <c r="A94" s="32">
        <v>1</v>
      </c>
      <c r="B94" s="34" t="s">
        <v>315</v>
      </c>
      <c r="C94" s="51">
        <v>19</v>
      </c>
      <c r="D94" s="825" t="s">
        <v>517</v>
      </c>
      <c r="E94" s="51">
        <v>1905</v>
      </c>
      <c r="F94" s="825" t="s">
        <v>1498</v>
      </c>
      <c r="G94" s="794">
        <v>1905021</v>
      </c>
      <c r="H94" s="825" t="s">
        <v>1499</v>
      </c>
      <c r="I94" s="51">
        <v>1905021</v>
      </c>
      <c r="J94" s="825" t="s">
        <v>1499</v>
      </c>
      <c r="K94" s="795">
        <v>190502100</v>
      </c>
      <c r="L94" s="825" t="s">
        <v>2019</v>
      </c>
      <c r="M94" s="801">
        <v>190502100</v>
      </c>
      <c r="N94" s="825" t="s">
        <v>2020</v>
      </c>
      <c r="O94" s="794">
        <v>12</v>
      </c>
      <c r="P94" s="794"/>
      <c r="Q94" s="794">
        <v>12</v>
      </c>
      <c r="R94" s="826">
        <v>2020003630124</v>
      </c>
      <c r="S94" s="825" t="s">
        <v>2021</v>
      </c>
      <c r="T94" s="208">
        <f t="shared" si="11"/>
        <v>0.5</v>
      </c>
      <c r="U94" s="825" t="s">
        <v>2022</v>
      </c>
      <c r="V94" s="825" t="s">
        <v>2023</v>
      </c>
      <c r="W94" s="825" t="s">
        <v>2029</v>
      </c>
      <c r="X94" s="328">
        <v>10000000</v>
      </c>
      <c r="Y94" s="709"/>
      <c r="Z94" s="709"/>
      <c r="AA94" s="709"/>
      <c r="AB94" s="707">
        <f t="shared" si="8"/>
        <v>10000000</v>
      </c>
      <c r="AC94" s="798" t="s">
        <v>2025</v>
      </c>
      <c r="AD94" s="75"/>
      <c r="AE94" s="72">
        <v>61</v>
      </c>
      <c r="AF94" s="28" t="s">
        <v>1817</v>
      </c>
      <c r="AG94" s="51">
        <v>289394</v>
      </c>
      <c r="AH94" s="51">
        <v>279112</v>
      </c>
      <c r="AI94" s="51">
        <v>63164</v>
      </c>
      <c r="AJ94" s="51">
        <v>45607</v>
      </c>
      <c r="AK94" s="51">
        <v>365607</v>
      </c>
      <c r="AL94" s="51">
        <v>75612</v>
      </c>
      <c r="AM94" s="51">
        <v>2145</v>
      </c>
      <c r="AN94" s="51">
        <v>12718</v>
      </c>
      <c r="AO94" s="51">
        <v>26</v>
      </c>
      <c r="AP94" s="51">
        <v>37</v>
      </c>
      <c r="AQ94" s="51" t="s">
        <v>1818</v>
      </c>
      <c r="AR94" s="51" t="s">
        <v>1819</v>
      </c>
      <c r="AS94" s="51">
        <v>78</v>
      </c>
      <c r="AT94" s="51">
        <v>16897</v>
      </c>
      <c r="AU94" s="51">
        <v>852</v>
      </c>
      <c r="AV94" s="51">
        <v>568506</v>
      </c>
      <c r="AW94" s="800">
        <v>45293</v>
      </c>
      <c r="AX94" s="800">
        <v>45657</v>
      </c>
      <c r="AY94" s="793" t="s">
        <v>1820</v>
      </c>
      <c r="AZ94" s="15"/>
      <c r="BA94" s="15"/>
      <c r="BB94" s="15"/>
      <c r="BC94" s="15"/>
      <c r="BD94" s="15"/>
      <c r="BE94" s="15"/>
      <c r="BF94" s="15"/>
      <c r="BG94" s="15"/>
      <c r="BH94" s="15"/>
      <c r="BI94" s="15"/>
      <c r="BJ94" s="15"/>
      <c r="BK94" s="15"/>
      <c r="BL94" s="15"/>
      <c r="BM94" s="15"/>
      <c r="BN94" s="15"/>
    </row>
    <row r="95" spans="1:66" s="47" customFormat="1" ht="76.5" x14ac:dyDescent="0.2">
      <c r="A95" s="32">
        <v>1</v>
      </c>
      <c r="B95" s="34" t="s">
        <v>315</v>
      </c>
      <c r="C95" s="51">
        <v>19</v>
      </c>
      <c r="D95" s="825" t="s">
        <v>517</v>
      </c>
      <c r="E95" s="51">
        <v>1905</v>
      </c>
      <c r="F95" s="825" t="s">
        <v>1498</v>
      </c>
      <c r="G95" s="794">
        <v>1905021</v>
      </c>
      <c r="H95" s="825" t="s">
        <v>1499</v>
      </c>
      <c r="I95" s="51">
        <v>1905021</v>
      </c>
      <c r="J95" s="825" t="s">
        <v>1499</v>
      </c>
      <c r="K95" s="795">
        <v>190502100</v>
      </c>
      <c r="L95" s="825" t="s">
        <v>2019</v>
      </c>
      <c r="M95" s="801">
        <v>190502100</v>
      </c>
      <c r="N95" s="825" t="s">
        <v>2020</v>
      </c>
      <c r="O95" s="794">
        <v>12</v>
      </c>
      <c r="P95" s="794"/>
      <c r="Q95" s="794">
        <v>12</v>
      </c>
      <c r="R95" s="826">
        <v>2020003630124</v>
      </c>
      <c r="S95" s="825" t="s">
        <v>2021</v>
      </c>
      <c r="T95" s="208">
        <f t="shared" si="11"/>
        <v>0.5</v>
      </c>
      <c r="U95" s="825" t="s">
        <v>2022</v>
      </c>
      <c r="V95" s="825" t="s">
        <v>2023</v>
      </c>
      <c r="W95" s="825" t="s">
        <v>2030</v>
      </c>
      <c r="X95" s="328">
        <v>10000000</v>
      </c>
      <c r="Y95" s="709"/>
      <c r="Z95" s="709"/>
      <c r="AA95" s="709"/>
      <c r="AB95" s="707">
        <f t="shared" si="8"/>
        <v>10000000</v>
      </c>
      <c r="AC95" s="798" t="s">
        <v>2025</v>
      </c>
      <c r="AD95" s="75"/>
      <c r="AE95" s="72">
        <v>61</v>
      </c>
      <c r="AF95" s="28" t="s">
        <v>1817</v>
      </c>
      <c r="AG95" s="51">
        <v>289394</v>
      </c>
      <c r="AH95" s="51">
        <v>279112</v>
      </c>
      <c r="AI95" s="51">
        <v>63164</v>
      </c>
      <c r="AJ95" s="51">
        <v>45607</v>
      </c>
      <c r="AK95" s="51">
        <v>365607</v>
      </c>
      <c r="AL95" s="51">
        <v>75612</v>
      </c>
      <c r="AM95" s="51">
        <v>2145</v>
      </c>
      <c r="AN95" s="51">
        <v>12718</v>
      </c>
      <c r="AO95" s="51">
        <v>26</v>
      </c>
      <c r="AP95" s="51">
        <v>37</v>
      </c>
      <c r="AQ95" s="51" t="s">
        <v>1818</v>
      </c>
      <c r="AR95" s="51" t="s">
        <v>1819</v>
      </c>
      <c r="AS95" s="51">
        <v>78</v>
      </c>
      <c r="AT95" s="51">
        <v>16897</v>
      </c>
      <c r="AU95" s="51">
        <v>852</v>
      </c>
      <c r="AV95" s="51">
        <v>568506</v>
      </c>
      <c r="AW95" s="800">
        <v>45293</v>
      </c>
      <c r="AX95" s="800">
        <v>45657</v>
      </c>
      <c r="AY95" s="793" t="s">
        <v>1820</v>
      </c>
      <c r="AZ95" s="15"/>
      <c r="BA95" s="15"/>
      <c r="BB95" s="15"/>
      <c r="BC95" s="15"/>
      <c r="BD95" s="15"/>
      <c r="BE95" s="15"/>
      <c r="BF95" s="15"/>
      <c r="BG95" s="15"/>
      <c r="BH95" s="15"/>
      <c r="BI95" s="15"/>
      <c r="BJ95" s="15"/>
      <c r="BK95" s="15"/>
      <c r="BL95" s="15"/>
      <c r="BM95" s="15"/>
      <c r="BN95" s="15"/>
    </row>
    <row r="96" spans="1:66" s="47" customFormat="1" ht="76.5" x14ac:dyDescent="0.2">
      <c r="A96" s="32">
        <v>1</v>
      </c>
      <c r="B96" s="34" t="s">
        <v>315</v>
      </c>
      <c r="C96" s="51">
        <v>19</v>
      </c>
      <c r="D96" s="825" t="s">
        <v>517</v>
      </c>
      <c r="E96" s="51">
        <v>1905</v>
      </c>
      <c r="F96" s="825" t="s">
        <v>1498</v>
      </c>
      <c r="G96" s="794">
        <v>1905021</v>
      </c>
      <c r="H96" s="825" t="s">
        <v>1499</v>
      </c>
      <c r="I96" s="51">
        <v>1905021</v>
      </c>
      <c r="J96" s="825" t="s">
        <v>1499</v>
      </c>
      <c r="K96" s="795">
        <v>190502100</v>
      </c>
      <c r="L96" s="825" t="s">
        <v>2019</v>
      </c>
      <c r="M96" s="801">
        <v>190502100</v>
      </c>
      <c r="N96" s="825" t="s">
        <v>2020</v>
      </c>
      <c r="O96" s="794">
        <v>12</v>
      </c>
      <c r="P96" s="794"/>
      <c r="Q96" s="794">
        <v>12</v>
      </c>
      <c r="R96" s="826">
        <v>2020003630124</v>
      </c>
      <c r="S96" s="825" t="s">
        <v>2021</v>
      </c>
      <c r="T96" s="208">
        <f t="shared" si="11"/>
        <v>0.5</v>
      </c>
      <c r="U96" s="825" t="s">
        <v>2022</v>
      </c>
      <c r="V96" s="825" t="s">
        <v>2023</v>
      </c>
      <c r="W96" s="825" t="s">
        <v>2031</v>
      </c>
      <c r="X96" s="328">
        <v>10000000</v>
      </c>
      <c r="Y96" s="709"/>
      <c r="Z96" s="709"/>
      <c r="AA96" s="709"/>
      <c r="AB96" s="707">
        <f t="shared" si="8"/>
        <v>10000000</v>
      </c>
      <c r="AC96" s="798" t="s">
        <v>2025</v>
      </c>
      <c r="AD96" s="75"/>
      <c r="AE96" s="72">
        <v>61</v>
      </c>
      <c r="AF96" s="28" t="s">
        <v>1817</v>
      </c>
      <c r="AG96" s="51">
        <v>289394</v>
      </c>
      <c r="AH96" s="51">
        <v>279112</v>
      </c>
      <c r="AI96" s="51">
        <v>63164</v>
      </c>
      <c r="AJ96" s="51">
        <v>45607</v>
      </c>
      <c r="AK96" s="51">
        <v>365607</v>
      </c>
      <c r="AL96" s="51">
        <v>75612</v>
      </c>
      <c r="AM96" s="51">
        <v>2145</v>
      </c>
      <c r="AN96" s="51">
        <v>12718</v>
      </c>
      <c r="AO96" s="51">
        <v>26</v>
      </c>
      <c r="AP96" s="51">
        <v>37</v>
      </c>
      <c r="AQ96" s="51" t="s">
        <v>1818</v>
      </c>
      <c r="AR96" s="51" t="s">
        <v>1819</v>
      </c>
      <c r="AS96" s="51">
        <v>78</v>
      </c>
      <c r="AT96" s="51">
        <v>16897</v>
      </c>
      <c r="AU96" s="51">
        <v>852</v>
      </c>
      <c r="AV96" s="51">
        <v>568506</v>
      </c>
      <c r="AW96" s="800">
        <v>45293</v>
      </c>
      <c r="AX96" s="800">
        <v>45657</v>
      </c>
      <c r="AY96" s="793" t="s">
        <v>1820</v>
      </c>
      <c r="AZ96" s="15"/>
      <c r="BA96" s="15"/>
      <c r="BB96" s="15"/>
      <c r="BC96" s="15"/>
      <c r="BD96" s="15"/>
      <c r="BE96" s="15"/>
      <c r="BF96" s="15"/>
      <c r="BG96" s="15"/>
      <c r="BH96" s="15"/>
      <c r="BI96" s="15"/>
      <c r="BJ96" s="15"/>
      <c r="BK96" s="15"/>
      <c r="BL96" s="15"/>
      <c r="BM96" s="15"/>
      <c r="BN96" s="15"/>
    </row>
    <row r="97" spans="1:66" s="47" customFormat="1" ht="89.25" x14ac:dyDescent="0.2">
      <c r="A97" s="32">
        <v>1</v>
      </c>
      <c r="B97" s="34" t="s">
        <v>315</v>
      </c>
      <c r="C97" s="51">
        <v>19</v>
      </c>
      <c r="D97" s="825" t="s">
        <v>517</v>
      </c>
      <c r="E97" s="51">
        <v>1905</v>
      </c>
      <c r="F97" s="825" t="s">
        <v>1498</v>
      </c>
      <c r="G97" s="794">
        <v>1905021</v>
      </c>
      <c r="H97" s="825" t="s">
        <v>1499</v>
      </c>
      <c r="I97" s="51">
        <v>1905021</v>
      </c>
      <c r="J97" s="825" t="s">
        <v>1499</v>
      </c>
      <c r="K97" s="795">
        <v>190502100</v>
      </c>
      <c r="L97" s="825" t="s">
        <v>2019</v>
      </c>
      <c r="M97" s="801">
        <v>190502100</v>
      </c>
      <c r="N97" s="825" t="s">
        <v>2020</v>
      </c>
      <c r="O97" s="794">
        <v>12</v>
      </c>
      <c r="P97" s="794"/>
      <c r="Q97" s="794">
        <v>12</v>
      </c>
      <c r="R97" s="826">
        <v>2020003630124</v>
      </c>
      <c r="S97" s="825" t="s">
        <v>2021</v>
      </c>
      <c r="T97" s="208">
        <f t="shared" si="11"/>
        <v>0.5</v>
      </c>
      <c r="U97" s="825" t="s">
        <v>2022</v>
      </c>
      <c r="V97" s="825" t="s">
        <v>2023</v>
      </c>
      <c r="W97" s="825" t="s">
        <v>2032</v>
      </c>
      <c r="X97" s="328">
        <v>10000000</v>
      </c>
      <c r="Y97" s="709"/>
      <c r="Z97" s="709"/>
      <c r="AA97" s="709"/>
      <c r="AB97" s="707">
        <f t="shared" si="8"/>
        <v>10000000</v>
      </c>
      <c r="AC97" s="798" t="s">
        <v>2025</v>
      </c>
      <c r="AD97" s="75"/>
      <c r="AE97" s="72">
        <v>61</v>
      </c>
      <c r="AF97" s="28" t="s">
        <v>1817</v>
      </c>
      <c r="AG97" s="51">
        <v>289394</v>
      </c>
      <c r="AH97" s="51">
        <v>279112</v>
      </c>
      <c r="AI97" s="51">
        <v>63164</v>
      </c>
      <c r="AJ97" s="51">
        <v>45607</v>
      </c>
      <c r="AK97" s="51">
        <v>365607</v>
      </c>
      <c r="AL97" s="51">
        <v>75612</v>
      </c>
      <c r="AM97" s="51">
        <v>2145</v>
      </c>
      <c r="AN97" s="51">
        <v>12718</v>
      </c>
      <c r="AO97" s="51">
        <v>26</v>
      </c>
      <c r="AP97" s="51">
        <v>37</v>
      </c>
      <c r="AQ97" s="51" t="s">
        <v>1818</v>
      </c>
      <c r="AR97" s="51" t="s">
        <v>1819</v>
      </c>
      <c r="AS97" s="51">
        <v>78</v>
      </c>
      <c r="AT97" s="51">
        <v>16897</v>
      </c>
      <c r="AU97" s="51">
        <v>852</v>
      </c>
      <c r="AV97" s="51">
        <v>568506</v>
      </c>
      <c r="AW97" s="800">
        <v>45293</v>
      </c>
      <c r="AX97" s="800">
        <v>45657</v>
      </c>
      <c r="AY97" s="793" t="s">
        <v>1820</v>
      </c>
      <c r="AZ97" s="15"/>
      <c r="BA97" s="15"/>
      <c r="BB97" s="15"/>
      <c r="BC97" s="15"/>
      <c r="BD97" s="15"/>
      <c r="BE97" s="15"/>
      <c r="BF97" s="15"/>
      <c r="BG97" s="15"/>
      <c r="BH97" s="15"/>
      <c r="BI97" s="15"/>
      <c r="BJ97" s="15"/>
      <c r="BK97" s="15"/>
      <c r="BL97" s="15"/>
      <c r="BM97" s="15"/>
      <c r="BN97" s="15"/>
    </row>
    <row r="98" spans="1:66" s="47" customFormat="1" ht="63.75" x14ac:dyDescent="0.2">
      <c r="A98" s="32">
        <v>1</v>
      </c>
      <c r="B98" s="34" t="s">
        <v>315</v>
      </c>
      <c r="C98" s="51">
        <v>19</v>
      </c>
      <c r="D98" s="825" t="s">
        <v>517</v>
      </c>
      <c r="E98" s="51">
        <v>1905</v>
      </c>
      <c r="F98" s="825" t="s">
        <v>1498</v>
      </c>
      <c r="G98" s="794">
        <v>1905021</v>
      </c>
      <c r="H98" s="825" t="s">
        <v>1499</v>
      </c>
      <c r="I98" s="51">
        <v>1905021</v>
      </c>
      <c r="J98" s="825" t="s">
        <v>1499</v>
      </c>
      <c r="K98" s="795">
        <v>190502100</v>
      </c>
      <c r="L98" s="825" t="s">
        <v>2019</v>
      </c>
      <c r="M98" s="801">
        <v>190502100</v>
      </c>
      <c r="N98" s="825" t="s">
        <v>2020</v>
      </c>
      <c r="O98" s="794">
        <v>12</v>
      </c>
      <c r="P98" s="794"/>
      <c r="Q98" s="794">
        <v>12</v>
      </c>
      <c r="R98" s="826">
        <v>2020003630124</v>
      </c>
      <c r="S98" s="825" t="s">
        <v>2021</v>
      </c>
      <c r="T98" s="208">
        <f t="shared" si="11"/>
        <v>0.5</v>
      </c>
      <c r="U98" s="825" t="s">
        <v>2022</v>
      </c>
      <c r="V98" s="825" t="s">
        <v>2023</v>
      </c>
      <c r="W98" s="825" t="s">
        <v>2033</v>
      </c>
      <c r="X98" s="328">
        <v>6000000</v>
      </c>
      <c r="Y98" s="709"/>
      <c r="Z98" s="709"/>
      <c r="AA98" s="709"/>
      <c r="AB98" s="707">
        <f t="shared" si="8"/>
        <v>6000000</v>
      </c>
      <c r="AC98" s="798" t="s">
        <v>2025</v>
      </c>
      <c r="AD98" s="75"/>
      <c r="AE98" s="72">
        <v>61</v>
      </c>
      <c r="AF98" s="28" t="s">
        <v>1817</v>
      </c>
      <c r="AG98" s="51">
        <v>289394</v>
      </c>
      <c r="AH98" s="51">
        <v>279112</v>
      </c>
      <c r="AI98" s="51">
        <v>63164</v>
      </c>
      <c r="AJ98" s="51">
        <v>45607</v>
      </c>
      <c r="AK98" s="51">
        <v>365607</v>
      </c>
      <c r="AL98" s="51">
        <v>75612</v>
      </c>
      <c r="AM98" s="51">
        <v>2145</v>
      </c>
      <c r="AN98" s="51">
        <v>12718</v>
      </c>
      <c r="AO98" s="51">
        <v>26</v>
      </c>
      <c r="AP98" s="51">
        <v>37</v>
      </c>
      <c r="AQ98" s="51" t="s">
        <v>1818</v>
      </c>
      <c r="AR98" s="51" t="s">
        <v>1819</v>
      </c>
      <c r="AS98" s="51">
        <v>78</v>
      </c>
      <c r="AT98" s="51">
        <v>16897</v>
      </c>
      <c r="AU98" s="51">
        <v>852</v>
      </c>
      <c r="AV98" s="51">
        <v>568506</v>
      </c>
      <c r="AW98" s="800">
        <v>45293</v>
      </c>
      <c r="AX98" s="800">
        <v>45657</v>
      </c>
      <c r="AY98" s="793" t="s">
        <v>1820</v>
      </c>
      <c r="AZ98" s="15"/>
      <c r="BA98" s="15"/>
      <c r="BB98" s="15"/>
      <c r="BC98" s="15"/>
      <c r="BD98" s="15"/>
      <c r="BE98" s="15"/>
      <c r="BF98" s="15"/>
      <c r="BG98" s="15"/>
      <c r="BH98" s="15"/>
      <c r="BI98" s="15"/>
      <c r="BJ98" s="15"/>
      <c r="BK98" s="15"/>
      <c r="BL98" s="15"/>
      <c r="BM98" s="15"/>
      <c r="BN98" s="15"/>
    </row>
    <row r="99" spans="1:66" s="47" customFormat="1" ht="89.25" x14ac:dyDescent="0.2">
      <c r="A99" s="32">
        <v>1</v>
      </c>
      <c r="B99" s="34" t="s">
        <v>315</v>
      </c>
      <c r="C99" s="51">
        <v>19</v>
      </c>
      <c r="D99" s="825" t="s">
        <v>517</v>
      </c>
      <c r="E99" s="51">
        <v>1905</v>
      </c>
      <c r="F99" s="825" t="s">
        <v>1498</v>
      </c>
      <c r="G99" s="794">
        <v>1905021</v>
      </c>
      <c r="H99" s="825" t="s">
        <v>1499</v>
      </c>
      <c r="I99" s="51">
        <v>1905021</v>
      </c>
      <c r="J99" s="825" t="s">
        <v>1499</v>
      </c>
      <c r="K99" s="795">
        <v>190502100</v>
      </c>
      <c r="L99" s="825" t="s">
        <v>2019</v>
      </c>
      <c r="M99" s="801">
        <v>190502100</v>
      </c>
      <c r="N99" s="825" t="s">
        <v>2020</v>
      </c>
      <c r="O99" s="794">
        <v>12</v>
      </c>
      <c r="P99" s="794"/>
      <c r="Q99" s="794">
        <v>12</v>
      </c>
      <c r="R99" s="826">
        <v>2020003630124</v>
      </c>
      <c r="S99" s="825" t="s">
        <v>2021</v>
      </c>
      <c r="T99" s="208">
        <f t="shared" si="11"/>
        <v>0.5</v>
      </c>
      <c r="U99" s="825" t="s">
        <v>2022</v>
      </c>
      <c r="V99" s="825" t="s">
        <v>2023</v>
      </c>
      <c r="W99" s="825" t="s">
        <v>2034</v>
      </c>
      <c r="X99" s="328">
        <v>10000000</v>
      </c>
      <c r="Y99" s="709"/>
      <c r="Z99" s="709"/>
      <c r="AA99" s="709"/>
      <c r="AB99" s="707">
        <f t="shared" si="8"/>
        <v>10000000</v>
      </c>
      <c r="AC99" s="798" t="s">
        <v>2025</v>
      </c>
      <c r="AD99" s="75"/>
      <c r="AE99" s="72">
        <v>61</v>
      </c>
      <c r="AF99" s="28" t="s">
        <v>1817</v>
      </c>
      <c r="AG99" s="51">
        <v>289394</v>
      </c>
      <c r="AH99" s="51">
        <v>279112</v>
      </c>
      <c r="AI99" s="51">
        <v>63164</v>
      </c>
      <c r="AJ99" s="51">
        <v>45607</v>
      </c>
      <c r="AK99" s="51">
        <v>365607</v>
      </c>
      <c r="AL99" s="51">
        <v>75612</v>
      </c>
      <c r="AM99" s="51">
        <v>2145</v>
      </c>
      <c r="AN99" s="51">
        <v>12718</v>
      </c>
      <c r="AO99" s="51">
        <v>26</v>
      </c>
      <c r="AP99" s="51">
        <v>37</v>
      </c>
      <c r="AQ99" s="51" t="s">
        <v>1818</v>
      </c>
      <c r="AR99" s="51" t="s">
        <v>1819</v>
      </c>
      <c r="AS99" s="51">
        <v>78</v>
      </c>
      <c r="AT99" s="51">
        <v>16897</v>
      </c>
      <c r="AU99" s="51">
        <v>852</v>
      </c>
      <c r="AV99" s="51">
        <v>568506</v>
      </c>
      <c r="AW99" s="800">
        <v>45293</v>
      </c>
      <c r="AX99" s="800">
        <v>45657</v>
      </c>
      <c r="AY99" s="793" t="s">
        <v>1820</v>
      </c>
      <c r="AZ99" s="15"/>
      <c r="BA99" s="15"/>
      <c r="BB99" s="15"/>
      <c r="BC99" s="15"/>
      <c r="BD99" s="15"/>
      <c r="BE99" s="15"/>
      <c r="BF99" s="15"/>
      <c r="BG99" s="15"/>
      <c r="BH99" s="15"/>
      <c r="BI99" s="15"/>
      <c r="BJ99" s="15"/>
      <c r="BK99" s="15"/>
      <c r="BL99" s="15"/>
      <c r="BM99" s="15"/>
      <c r="BN99" s="15"/>
    </row>
    <row r="100" spans="1:66" s="47" customFormat="1" ht="63.75" x14ac:dyDescent="0.2">
      <c r="A100" s="32">
        <v>1</v>
      </c>
      <c r="B100" s="34" t="s">
        <v>315</v>
      </c>
      <c r="C100" s="51">
        <v>19</v>
      </c>
      <c r="D100" s="825" t="s">
        <v>517</v>
      </c>
      <c r="E100" s="51">
        <v>1905</v>
      </c>
      <c r="F100" s="825" t="s">
        <v>1498</v>
      </c>
      <c r="G100" s="794">
        <v>1905021</v>
      </c>
      <c r="H100" s="825" t="s">
        <v>1499</v>
      </c>
      <c r="I100" s="51">
        <v>1905021</v>
      </c>
      <c r="J100" s="825" t="s">
        <v>1499</v>
      </c>
      <c r="K100" s="795">
        <v>190502100</v>
      </c>
      <c r="L100" s="825" t="s">
        <v>2019</v>
      </c>
      <c r="M100" s="801">
        <v>190502100</v>
      </c>
      <c r="N100" s="825" t="s">
        <v>2020</v>
      </c>
      <c r="O100" s="794">
        <v>12</v>
      </c>
      <c r="P100" s="794"/>
      <c r="Q100" s="794">
        <v>12</v>
      </c>
      <c r="R100" s="826">
        <v>2020003630124</v>
      </c>
      <c r="S100" s="825" t="s">
        <v>2021</v>
      </c>
      <c r="T100" s="208">
        <f>SUM($X$90:$X$100)/SUM($X$90:$X$110)</f>
        <v>0.5</v>
      </c>
      <c r="U100" s="825" t="s">
        <v>2022</v>
      </c>
      <c r="V100" s="825" t="s">
        <v>2023</v>
      </c>
      <c r="W100" s="825" t="s">
        <v>2035</v>
      </c>
      <c r="X100" s="328">
        <v>6000000</v>
      </c>
      <c r="Y100" s="709"/>
      <c r="Z100" s="709"/>
      <c r="AA100" s="709"/>
      <c r="AB100" s="707">
        <f t="shared" si="8"/>
        <v>6000000</v>
      </c>
      <c r="AC100" s="798" t="s">
        <v>2025</v>
      </c>
      <c r="AD100" s="75"/>
      <c r="AE100" s="72">
        <v>61</v>
      </c>
      <c r="AF100" s="28" t="s">
        <v>1817</v>
      </c>
      <c r="AG100" s="51">
        <v>289394</v>
      </c>
      <c r="AH100" s="51">
        <v>279112</v>
      </c>
      <c r="AI100" s="51">
        <v>63164</v>
      </c>
      <c r="AJ100" s="51">
        <v>45607</v>
      </c>
      <c r="AK100" s="51">
        <v>365607</v>
      </c>
      <c r="AL100" s="51">
        <v>75612</v>
      </c>
      <c r="AM100" s="51">
        <v>2145</v>
      </c>
      <c r="AN100" s="51">
        <v>12718</v>
      </c>
      <c r="AO100" s="51">
        <v>26</v>
      </c>
      <c r="AP100" s="51">
        <v>37</v>
      </c>
      <c r="AQ100" s="51" t="s">
        <v>1818</v>
      </c>
      <c r="AR100" s="51" t="s">
        <v>1819</v>
      </c>
      <c r="AS100" s="51">
        <v>78</v>
      </c>
      <c r="AT100" s="51">
        <v>16897</v>
      </c>
      <c r="AU100" s="51">
        <v>852</v>
      </c>
      <c r="AV100" s="51">
        <v>568506</v>
      </c>
      <c r="AW100" s="800">
        <v>45293</v>
      </c>
      <c r="AX100" s="800">
        <v>45657</v>
      </c>
      <c r="AY100" s="793" t="s">
        <v>1820</v>
      </c>
      <c r="AZ100" s="15"/>
      <c r="BA100" s="15"/>
      <c r="BB100" s="15"/>
      <c r="BC100" s="15"/>
      <c r="BD100" s="15"/>
      <c r="BE100" s="15"/>
      <c r="BF100" s="15"/>
      <c r="BG100" s="15"/>
      <c r="BH100" s="15"/>
      <c r="BI100" s="15"/>
      <c r="BJ100" s="15"/>
      <c r="BK100" s="15"/>
      <c r="BL100" s="15"/>
      <c r="BM100" s="15"/>
      <c r="BN100" s="15"/>
    </row>
    <row r="101" spans="1:66" s="47" customFormat="1" ht="114.75" x14ac:dyDescent="0.2">
      <c r="A101" s="32">
        <v>1</v>
      </c>
      <c r="B101" s="34" t="s">
        <v>315</v>
      </c>
      <c r="C101" s="51">
        <v>19</v>
      </c>
      <c r="D101" s="825" t="s">
        <v>517</v>
      </c>
      <c r="E101" s="51">
        <v>1905</v>
      </c>
      <c r="F101" s="825" t="s">
        <v>1498</v>
      </c>
      <c r="G101" s="794">
        <v>1905021</v>
      </c>
      <c r="H101" s="825" t="s">
        <v>2036</v>
      </c>
      <c r="I101" s="51">
        <v>1905021</v>
      </c>
      <c r="J101" s="825" t="s">
        <v>1499</v>
      </c>
      <c r="K101" s="795">
        <v>190502100</v>
      </c>
      <c r="L101" s="825" t="s">
        <v>2037</v>
      </c>
      <c r="M101" s="801">
        <v>190502100</v>
      </c>
      <c r="N101" s="825" t="s">
        <v>1994</v>
      </c>
      <c r="O101" s="794">
        <v>11</v>
      </c>
      <c r="P101" s="794"/>
      <c r="Q101" s="794">
        <v>11</v>
      </c>
      <c r="R101" s="826">
        <v>2020003630124</v>
      </c>
      <c r="S101" s="825" t="s">
        <v>2021</v>
      </c>
      <c r="T101" s="208">
        <f>SUM($X$101:$X$110)/SUM( $X$90:$X$110)</f>
        <v>0.5</v>
      </c>
      <c r="U101" s="825" t="s">
        <v>2022</v>
      </c>
      <c r="V101" s="825" t="s">
        <v>2023</v>
      </c>
      <c r="W101" s="825" t="s">
        <v>2038</v>
      </c>
      <c r="X101" s="328">
        <v>10000000</v>
      </c>
      <c r="Y101" s="709"/>
      <c r="Z101" s="709"/>
      <c r="AA101" s="709"/>
      <c r="AB101" s="707">
        <f t="shared" si="8"/>
        <v>10000000</v>
      </c>
      <c r="AC101" s="798" t="s">
        <v>2025</v>
      </c>
      <c r="AD101" s="75"/>
      <c r="AE101" s="72">
        <v>61</v>
      </c>
      <c r="AF101" s="28" t="s">
        <v>1817</v>
      </c>
      <c r="AG101" s="51">
        <v>289394</v>
      </c>
      <c r="AH101" s="51">
        <v>279112</v>
      </c>
      <c r="AI101" s="51">
        <v>63164</v>
      </c>
      <c r="AJ101" s="51">
        <v>45607</v>
      </c>
      <c r="AK101" s="51">
        <v>365607</v>
      </c>
      <c r="AL101" s="51">
        <v>75612</v>
      </c>
      <c r="AM101" s="51">
        <v>2145</v>
      </c>
      <c r="AN101" s="51">
        <v>12718</v>
      </c>
      <c r="AO101" s="51">
        <v>26</v>
      </c>
      <c r="AP101" s="51">
        <v>37</v>
      </c>
      <c r="AQ101" s="51" t="s">
        <v>1818</v>
      </c>
      <c r="AR101" s="51" t="s">
        <v>1819</v>
      </c>
      <c r="AS101" s="51">
        <v>78</v>
      </c>
      <c r="AT101" s="51">
        <v>16897</v>
      </c>
      <c r="AU101" s="51">
        <v>852</v>
      </c>
      <c r="AV101" s="51">
        <v>568506</v>
      </c>
      <c r="AW101" s="800">
        <v>45293</v>
      </c>
      <c r="AX101" s="800">
        <v>45657</v>
      </c>
      <c r="AY101" s="793" t="s">
        <v>1820</v>
      </c>
      <c r="AZ101" s="15"/>
      <c r="BA101" s="15"/>
      <c r="BB101" s="15"/>
      <c r="BC101" s="15"/>
      <c r="BD101" s="15"/>
      <c r="BE101" s="15"/>
      <c r="BF101" s="15"/>
      <c r="BG101" s="15"/>
      <c r="BH101" s="15"/>
      <c r="BI101" s="15"/>
      <c r="BJ101" s="15"/>
      <c r="BK101" s="15"/>
      <c r="BL101" s="15"/>
      <c r="BM101" s="15"/>
      <c r="BN101" s="15"/>
    </row>
    <row r="102" spans="1:66" s="47" customFormat="1" ht="114.75" x14ac:dyDescent="0.2">
      <c r="A102" s="32">
        <v>1</v>
      </c>
      <c r="B102" s="34" t="s">
        <v>315</v>
      </c>
      <c r="C102" s="51">
        <v>19</v>
      </c>
      <c r="D102" s="825" t="s">
        <v>517</v>
      </c>
      <c r="E102" s="51">
        <v>1905</v>
      </c>
      <c r="F102" s="825" t="s">
        <v>1498</v>
      </c>
      <c r="G102" s="794">
        <v>1905021</v>
      </c>
      <c r="H102" s="825" t="s">
        <v>2036</v>
      </c>
      <c r="I102" s="51">
        <v>1905021</v>
      </c>
      <c r="J102" s="825" t="s">
        <v>1499</v>
      </c>
      <c r="K102" s="795">
        <v>190502100</v>
      </c>
      <c r="L102" s="825" t="s">
        <v>2037</v>
      </c>
      <c r="M102" s="801">
        <v>190502100</v>
      </c>
      <c r="N102" s="825" t="s">
        <v>1994</v>
      </c>
      <c r="O102" s="794">
        <v>11</v>
      </c>
      <c r="P102" s="794"/>
      <c r="Q102" s="794">
        <v>11</v>
      </c>
      <c r="R102" s="826">
        <v>2020003630124</v>
      </c>
      <c r="S102" s="825" t="s">
        <v>2021</v>
      </c>
      <c r="T102" s="208">
        <f t="shared" ref="T102:T110" si="12">SUM($X$101:$X$110)/SUM( $X$90:$X$110)</f>
        <v>0.5</v>
      </c>
      <c r="U102" s="825" t="s">
        <v>2022</v>
      </c>
      <c r="V102" s="825" t="s">
        <v>2023</v>
      </c>
      <c r="W102" s="825" t="s">
        <v>2039</v>
      </c>
      <c r="X102" s="328">
        <v>10000000</v>
      </c>
      <c r="Y102" s="709"/>
      <c r="Z102" s="709"/>
      <c r="AA102" s="709"/>
      <c r="AB102" s="707">
        <f t="shared" si="8"/>
        <v>10000000</v>
      </c>
      <c r="AC102" s="798" t="s">
        <v>2025</v>
      </c>
      <c r="AD102" s="75"/>
      <c r="AE102" s="72">
        <v>61</v>
      </c>
      <c r="AF102" s="28" t="s">
        <v>1817</v>
      </c>
      <c r="AG102" s="51">
        <v>289394</v>
      </c>
      <c r="AH102" s="51">
        <v>279112</v>
      </c>
      <c r="AI102" s="51">
        <v>63164</v>
      </c>
      <c r="AJ102" s="51">
        <v>45607</v>
      </c>
      <c r="AK102" s="51">
        <v>365607</v>
      </c>
      <c r="AL102" s="51">
        <v>75612</v>
      </c>
      <c r="AM102" s="51">
        <v>2145</v>
      </c>
      <c r="AN102" s="51">
        <v>12718</v>
      </c>
      <c r="AO102" s="51">
        <v>26</v>
      </c>
      <c r="AP102" s="51">
        <v>37</v>
      </c>
      <c r="AQ102" s="51" t="s">
        <v>1818</v>
      </c>
      <c r="AR102" s="51" t="s">
        <v>1819</v>
      </c>
      <c r="AS102" s="51">
        <v>78</v>
      </c>
      <c r="AT102" s="51">
        <v>16897</v>
      </c>
      <c r="AU102" s="51">
        <v>852</v>
      </c>
      <c r="AV102" s="51">
        <v>568506</v>
      </c>
      <c r="AW102" s="800">
        <v>45293</v>
      </c>
      <c r="AX102" s="800">
        <v>45657</v>
      </c>
      <c r="AY102" s="793" t="s">
        <v>1820</v>
      </c>
      <c r="AZ102" s="15"/>
      <c r="BA102" s="15"/>
      <c r="BB102" s="15"/>
      <c r="BC102" s="15"/>
      <c r="BD102" s="15"/>
      <c r="BE102" s="15"/>
      <c r="BF102" s="15"/>
      <c r="BG102" s="15"/>
      <c r="BH102" s="15"/>
      <c r="BI102" s="15"/>
      <c r="BJ102" s="15"/>
      <c r="BK102" s="15"/>
      <c r="BL102" s="15"/>
      <c r="BM102" s="15"/>
      <c r="BN102" s="15"/>
    </row>
    <row r="103" spans="1:66" s="47" customFormat="1" ht="114.75" x14ac:dyDescent="0.2">
      <c r="A103" s="32">
        <v>1</v>
      </c>
      <c r="B103" s="34" t="s">
        <v>315</v>
      </c>
      <c r="C103" s="51">
        <v>19</v>
      </c>
      <c r="D103" s="825" t="s">
        <v>517</v>
      </c>
      <c r="E103" s="51">
        <v>1905</v>
      </c>
      <c r="F103" s="825" t="s">
        <v>1498</v>
      </c>
      <c r="G103" s="794">
        <v>1905021</v>
      </c>
      <c r="H103" s="825" t="s">
        <v>2036</v>
      </c>
      <c r="I103" s="51">
        <v>1905021</v>
      </c>
      <c r="J103" s="825" t="s">
        <v>1499</v>
      </c>
      <c r="K103" s="795">
        <v>190502100</v>
      </c>
      <c r="L103" s="825" t="s">
        <v>2037</v>
      </c>
      <c r="M103" s="801">
        <v>190502100</v>
      </c>
      <c r="N103" s="825" t="s">
        <v>1994</v>
      </c>
      <c r="O103" s="794">
        <v>11</v>
      </c>
      <c r="P103" s="794"/>
      <c r="Q103" s="794">
        <v>11</v>
      </c>
      <c r="R103" s="826">
        <v>2020003630124</v>
      </c>
      <c r="S103" s="825" t="s">
        <v>2021</v>
      </c>
      <c r="T103" s="208">
        <f t="shared" si="12"/>
        <v>0.5</v>
      </c>
      <c r="U103" s="825" t="s">
        <v>2022</v>
      </c>
      <c r="V103" s="825" t="s">
        <v>2023</v>
      </c>
      <c r="W103" s="825" t="s">
        <v>2040</v>
      </c>
      <c r="X103" s="328">
        <v>10000000</v>
      </c>
      <c r="Y103" s="709"/>
      <c r="Z103" s="709"/>
      <c r="AA103" s="709"/>
      <c r="AB103" s="707">
        <f t="shared" si="8"/>
        <v>10000000</v>
      </c>
      <c r="AC103" s="798" t="s">
        <v>2025</v>
      </c>
      <c r="AD103" s="75"/>
      <c r="AE103" s="72">
        <v>61</v>
      </c>
      <c r="AF103" s="28" t="s">
        <v>1817</v>
      </c>
      <c r="AG103" s="51">
        <v>289394</v>
      </c>
      <c r="AH103" s="51">
        <v>279112</v>
      </c>
      <c r="AI103" s="51">
        <v>63164</v>
      </c>
      <c r="AJ103" s="51">
        <v>45607</v>
      </c>
      <c r="AK103" s="51">
        <v>365607</v>
      </c>
      <c r="AL103" s="51">
        <v>75612</v>
      </c>
      <c r="AM103" s="51">
        <v>2145</v>
      </c>
      <c r="AN103" s="51">
        <v>12718</v>
      </c>
      <c r="AO103" s="51">
        <v>26</v>
      </c>
      <c r="AP103" s="51">
        <v>37</v>
      </c>
      <c r="AQ103" s="51" t="s">
        <v>1818</v>
      </c>
      <c r="AR103" s="51" t="s">
        <v>1819</v>
      </c>
      <c r="AS103" s="51">
        <v>78</v>
      </c>
      <c r="AT103" s="51">
        <v>16897</v>
      </c>
      <c r="AU103" s="51">
        <v>852</v>
      </c>
      <c r="AV103" s="51">
        <v>568506</v>
      </c>
      <c r="AW103" s="800">
        <v>45293</v>
      </c>
      <c r="AX103" s="800">
        <v>45657</v>
      </c>
      <c r="AY103" s="793" t="s">
        <v>1820</v>
      </c>
      <c r="AZ103" s="15"/>
      <c r="BA103" s="15"/>
      <c r="BB103" s="15"/>
      <c r="BC103" s="15"/>
      <c r="BD103" s="15"/>
      <c r="BE103" s="15"/>
      <c r="BF103" s="15"/>
      <c r="BG103" s="15"/>
      <c r="BH103" s="15"/>
      <c r="BI103" s="15"/>
      <c r="BJ103" s="15"/>
      <c r="BK103" s="15"/>
      <c r="BL103" s="15"/>
      <c r="BM103" s="15"/>
      <c r="BN103" s="15"/>
    </row>
    <row r="104" spans="1:66" s="47" customFormat="1" ht="114.75" x14ac:dyDescent="0.2">
      <c r="A104" s="32">
        <v>1</v>
      </c>
      <c r="B104" s="34" t="s">
        <v>315</v>
      </c>
      <c r="C104" s="51">
        <v>19</v>
      </c>
      <c r="D104" s="825" t="s">
        <v>517</v>
      </c>
      <c r="E104" s="51">
        <v>1905</v>
      </c>
      <c r="F104" s="825" t="s">
        <v>1498</v>
      </c>
      <c r="G104" s="794">
        <v>1905021</v>
      </c>
      <c r="H104" s="825" t="s">
        <v>2036</v>
      </c>
      <c r="I104" s="51">
        <v>1905021</v>
      </c>
      <c r="J104" s="825" t="s">
        <v>1499</v>
      </c>
      <c r="K104" s="795">
        <v>190502100</v>
      </c>
      <c r="L104" s="825" t="s">
        <v>2037</v>
      </c>
      <c r="M104" s="801">
        <v>190502100</v>
      </c>
      <c r="N104" s="825" t="s">
        <v>1994</v>
      </c>
      <c r="O104" s="794">
        <v>11</v>
      </c>
      <c r="P104" s="794"/>
      <c r="Q104" s="794">
        <v>11</v>
      </c>
      <c r="R104" s="826">
        <v>2020003630124</v>
      </c>
      <c r="S104" s="825" t="s">
        <v>2021</v>
      </c>
      <c r="T104" s="208">
        <f t="shared" si="12"/>
        <v>0.5</v>
      </c>
      <c r="U104" s="825" t="s">
        <v>2022</v>
      </c>
      <c r="V104" s="825" t="s">
        <v>2023</v>
      </c>
      <c r="W104" s="825" t="s">
        <v>2041</v>
      </c>
      <c r="X104" s="328">
        <v>10000000</v>
      </c>
      <c r="Y104" s="709"/>
      <c r="Z104" s="709"/>
      <c r="AA104" s="709"/>
      <c r="AB104" s="707">
        <f t="shared" si="8"/>
        <v>10000000</v>
      </c>
      <c r="AC104" s="798" t="s">
        <v>2025</v>
      </c>
      <c r="AD104" s="75"/>
      <c r="AE104" s="72">
        <v>61</v>
      </c>
      <c r="AF104" s="28" t="s">
        <v>1817</v>
      </c>
      <c r="AG104" s="51">
        <v>289394</v>
      </c>
      <c r="AH104" s="51">
        <v>279112</v>
      </c>
      <c r="AI104" s="51">
        <v>63164</v>
      </c>
      <c r="AJ104" s="51">
        <v>45607</v>
      </c>
      <c r="AK104" s="51">
        <v>365607</v>
      </c>
      <c r="AL104" s="51">
        <v>75612</v>
      </c>
      <c r="AM104" s="51">
        <v>2145</v>
      </c>
      <c r="AN104" s="51">
        <v>12718</v>
      </c>
      <c r="AO104" s="51">
        <v>26</v>
      </c>
      <c r="AP104" s="51">
        <v>37</v>
      </c>
      <c r="AQ104" s="51" t="s">
        <v>1818</v>
      </c>
      <c r="AR104" s="51" t="s">
        <v>1819</v>
      </c>
      <c r="AS104" s="51">
        <v>78</v>
      </c>
      <c r="AT104" s="51">
        <v>16897</v>
      </c>
      <c r="AU104" s="51">
        <v>852</v>
      </c>
      <c r="AV104" s="51">
        <v>568506</v>
      </c>
      <c r="AW104" s="800">
        <v>45293</v>
      </c>
      <c r="AX104" s="800">
        <v>45657</v>
      </c>
      <c r="AY104" s="793" t="s">
        <v>1820</v>
      </c>
      <c r="AZ104" s="15"/>
      <c r="BA104" s="15"/>
      <c r="BB104" s="15"/>
      <c r="BC104" s="15"/>
      <c r="BD104" s="15"/>
      <c r="BE104" s="15"/>
      <c r="BF104" s="15"/>
      <c r="BG104" s="15"/>
      <c r="BH104" s="15"/>
      <c r="BI104" s="15"/>
      <c r="BJ104" s="15"/>
      <c r="BK104" s="15"/>
      <c r="BL104" s="15"/>
      <c r="BM104" s="15"/>
      <c r="BN104" s="15"/>
    </row>
    <row r="105" spans="1:66" s="47" customFormat="1" ht="114.75" x14ac:dyDescent="0.2">
      <c r="A105" s="32">
        <v>1</v>
      </c>
      <c r="B105" s="34" t="s">
        <v>315</v>
      </c>
      <c r="C105" s="51">
        <v>19</v>
      </c>
      <c r="D105" s="825" t="s">
        <v>517</v>
      </c>
      <c r="E105" s="51">
        <v>1905</v>
      </c>
      <c r="F105" s="825" t="s">
        <v>1498</v>
      </c>
      <c r="G105" s="794">
        <v>1905021</v>
      </c>
      <c r="H105" s="825" t="s">
        <v>2036</v>
      </c>
      <c r="I105" s="51">
        <v>1905021</v>
      </c>
      <c r="J105" s="825" t="s">
        <v>1499</v>
      </c>
      <c r="K105" s="795">
        <v>190502100</v>
      </c>
      <c r="L105" s="825" t="s">
        <v>2037</v>
      </c>
      <c r="M105" s="801">
        <v>190502100</v>
      </c>
      <c r="N105" s="825" t="s">
        <v>1994</v>
      </c>
      <c r="O105" s="794">
        <v>11</v>
      </c>
      <c r="P105" s="794"/>
      <c r="Q105" s="794">
        <v>11</v>
      </c>
      <c r="R105" s="826">
        <v>2020003630124</v>
      </c>
      <c r="S105" s="825" t="s">
        <v>2021</v>
      </c>
      <c r="T105" s="208">
        <f t="shared" si="12"/>
        <v>0.5</v>
      </c>
      <c r="U105" s="825" t="s">
        <v>2022</v>
      </c>
      <c r="V105" s="825" t="s">
        <v>2023</v>
      </c>
      <c r="W105" s="825" t="s">
        <v>2042</v>
      </c>
      <c r="X105" s="328">
        <v>10000000</v>
      </c>
      <c r="Y105" s="709"/>
      <c r="Z105" s="709"/>
      <c r="AA105" s="709"/>
      <c r="AB105" s="707">
        <f t="shared" si="8"/>
        <v>10000000</v>
      </c>
      <c r="AC105" s="798" t="s">
        <v>2025</v>
      </c>
      <c r="AD105" s="75"/>
      <c r="AE105" s="72">
        <v>61</v>
      </c>
      <c r="AF105" s="28" t="s">
        <v>1817</v>
      </c>
      <c r="AG105" s="51">
        <v>289394</v>
      </c>
      <c r="AH105" s="51">
        <v>279112</v>
      </c>
      <c r="AI105" s="51">
        <v>63164</v>
      </c>
      <c r="AJ105" s="51">
        <v>45607</v>
      </c>
      <c r="AK105" s="51">
        <v>365607</v>
      </c>
      <c r="AL105" s="51">
        <v>75612</v>
      </c>
      <c r="AM105" s="51">
        <v>2145</v>
      </c>
      <c r="AN105" s="51">
        <v>12718</v>
      </c>
      <c r="AO105" s="51">
        <v>26</v>
      </c>
      <c r="AP105" s="51">
        <v>37</v>
      </c>
      <c r="AQ105" s="51" t="s">
        <v>1818</v>
      </c>
      <c r="AR105" s="51" t="s">
        <v>1819</v>
      </c>
      <c r="AS105" s="51">
        <v>78</v>
      </c>
      <c r="AT105" s="51">
        <v>16897</v>
      </c>
      <c r="AU105" s="51">
        <v>852</v>
      </c>
      <c r="AV105" s="51">
        <v>568506</v>
      </c>
      <c r="AW105" s="800">
        <v>45293</v>
      </c>
      <c r="AX105" s="800">
        <v>45657</v>
      </c>
      <c r="AY105" s="793" t="s">
        <v>1820</v>
      </c>
      <c r="AZ105" s="15"/>
      <c r="BA105" s="15"/>
      <c r="BB105" s="15"/>
      <c r="BC105" s="15"/>
      <c r="BD105" s="15"/>
      <c r="BE105" s="15"/>
      <c r="BF105" s="15"/>
      <c r="BG105" s="15"/>
      <c r="BH105" s="15"/>
      <c r="BI105" s="15"/>
      <c r="BJ105" s="15"/>
      <c r="BK105" s="15"/>
      <c r="BL105" s="15"/>
      <c r="BM105" s="15"/>
      <c r="BN105" s="15"/>
    </row>
    <row r="106" spans="1:66" s="47" customFormat="1" ht="114.75" x14ac:dyDescent="0.2">
      <c r="A106" s="32">
        <v>1</v>
      </c>
      <c r="B106" s="34" t="s">
        <v>315</v>
      </c>
      <c r="C106" s="51">
        <v>19</v>
      </c>
      <c r="D106" s="825" t="s">
        <v>517</v>
      </c>
      <c r="E106" s="51">
        <v>1905</v>
      </c>
      <c r="F106" s="825" t="s">
        <v>1498</v>
      </c>
      <c r="G106" s="794">
        <v>1905021</v>
      </c>
      <c r="H106" s="825" t="s">
        <v>2036</v>
      </c>
      <c r="I106" s="51">
        <v>1905021</v>
      </c>
      <c r="J106" s="825" t="s">
        <v>1499</v>
      </c>
      <c r="K106" s="795">
        <v>190502100</v>
      </c>
      <c r="L106" s="825" t="s">
        <v>2037</v>
      </c>
      <c r="M106" s="801">
        <v>190502100</v>
      </c>
      <c r="N106" s="825" t="s">
        <v>1994</v>
      </c>
      <c r="O106" s="794">
        <v>11</v>
      </c>
      <c r="P106" s="794"/>
      <c r="Q106" s="794">
        <v>11</v>
      </c>
      <c r="R106" s="826">
        <v>2020003630124</v>
      </c>
      <c r="S106" s="825" t="s">
        <v>2021</v>
      </c>
      <c r="T106" s="208">
        <f t="shared" si="12"/>
        <v>0.5</v>
      </c>
      <c r="U106" s="825" t="s">
        <v>2022</v>
      </c>
      <c r="V106" s="825" t="s">
        <v>2023</v>
      </c>
      <c r="W106" s="825" t="s">
        <v>2043</v>
      </c>
      <c r="X106" s="328">
        <v>10000000</v>
      </c>
      <c r="Y106" s="709"/>
      <c r="Z106" s="709"/>
      <c r="AA106" s="709"/>
      <c r="AB106" s="707">
        <f t="shared" si="8"/>
        <v>10000000</v>
      </c>
      <c r="AC106" s="798" t="s">
        <v>2025</v>
      </c>
      <c r="AD106" s="75"/>
      <c r="AE106" s="72">
        <v>61</v>
      </c>
      <c r="AF106" s="28" t="s">
        <v>1817</v>
      </c>
      <c r="AG106" s="51">
        <v>289394</v>
      </c>
      <c r="AH106" s="51">
        <v>279112</v>
      </c>
      <c r="AI106" s="51">
        <v>63164</v>
      </c>
      <c r="AJ106" s="51">
        <v>45607</v>
      </c>
      <c r="AK106" s="51">
        <v>365607</v>
      </c>
      <c r="AL106" s="51">
        <v>75612</v>
      </c>
      <c r="AM106" s="51">
        <v>2145</v>
      </c>
      <c r="AN106" s="51">
        <v>12718</v>
      </c>
      <c r="AO106" s="51">
        <v>26</v>
      </c>
      <c r="AP106" s="51">
        <v>37</v>
      </c>
      <c r="AQ106" s="51" t="s">
        <v>1818</v>
      </c>
      <c r="AR106" s="51" t="s">
        <v>1819</v>
      </c>
      <c r="AS106" s="51">
        <v>78</v>
      </c>
      <c r="AT106" s="51">
        <v>16897</v>
      </c>
      <c r="AU106" s="51">
        <v>852</v>
      </c>
      <c r="AV106" s="51">
        <v>568506</v>
      </c>
      <c r="AW106" s="800">
        <v>45293</v>
      </c>
      <c r="AX106" s="800">
        <v>45657</v>
      </c>
      <c r="AY106" s="793" t="s">
        <v>1820</v>
      </c>
      <c r="AZ106" s="15"/>
      <c r="BA106" s="15"/>
      <c r="BB106" s="15"/>
      <c r="BC106" s="15"/>
      <c r="BD106" s="15"/>
      <c r="BE106" s="15"/>
      <c r="BF106" s="15"/>
      <c r="BG106" s="15"/>
      <c r="BH106" s="15"/>
      <c r="BI106" s="15"/>
      <c r="BJ106" s="15"/>
      <c r="BK106" s="15"/>
      <c r="BL106" s="15"/>
      <c r="BM106" s="15"/>
      <c r="BN106" s="15"/>
    </row>
    <row r="107" spans="1:66" s="47" customFormat="1" ht="114.75" x14ac:dyDescent="0.2">
      <c r="A107" s="32">
        <v>1</v>
      </c>
      <c r="B107" s="34" t="s">
        <v>315</v>
      </c>
      <c r="C107" s="51">
        <v>19</v>
      </c>
      <c r="D107" s="825" t="s">
        <v>517</v>
      </c>
      <c r="E107" s="51">
        <v>1905</v>
      </c>
      <c r="F107" s="825" t="s">
        <v>1498</v>
      </c>
      <c r="G107" s="794">
        <v>1905021</v>
      </c>
      <c r="H107" s="825" t="s">
        <v>2036</v>
      </c>
      <c r="I107" s="51">
        <v>1905021</v>
      </c>
      <c r="J107" s="825" t="s">
        <v>1499</v>
      </c>
      <c r="K107" s="795">
        <v>190502100</v>
      </c>
      <c r="L107" s="825" t="s">
        <v>2037</v>
      </c>
      <c r="M107" s="801">
        <v>190502100</v>
      </c>
      <c r="N107" s="825" t="s">
        <v>1994</v>
      </c>
      <c r="O107" s="794">
        <v>11</v>
      </c>
      <c r="P107" s="794"/>
      <c r="Q107" s="794">
        <v>11</v>
      </c>
      <c r="R107" s="826">
        <v>2020003630124</v>
      </c>
      <c r="S107" s="825" t="s">
        <v>2021</v>
      </c>
      <c r="T107" s="208">
        <f t="shared" si="12"/>
        <v>0.5</v>
      </c>
      <c r="U107" s="825" t="s">
        <v>2022</v>
      </c>
      <c r="V107" s="825" t="s">
        <v>2023</v>
      </c>
      <c r="W107" s="825" t="s">
        <v>2044</v>
      </c>
      <c r="X107" s="328">
        <v>10000000</v>
      </c>
      <c r="Y107" s="709"/>
      <c r="Z107" s="709"/>
      <c r="AA107" s="709"/>
      <c r="AB107" s="707">
        <f t="shared" si="8"/>
        <v>10000000</v>
      </c>
      <c r="AC107" s="798" t="s">
        <v>2025</v>
      </c>
      <c r="AD107" s="75"/>
      <c r="AE107" s="72">
        <v>61</v>
      </c>
      <c r="AF107" s="28" t="s">
        <v>1817</v>
      </c>
      <c r="AG107" s="51">
        <v>289394</v>
      </c>
      <c r="AH107" s="51">
        <v>279112</v>
      </c>
      <c r="AI107" s="51">
        <v>63164</v>
      </c>
      <c r="AJ107" s="51">
        <v>45607</v>
      </c>
      <c r="AK107" s="51">
        <v>365607</v>
      </c>
      <c r="AL107" s="51">
        <v>75612</v>
      </c>
      <c r="AM107" s="51">
        <v>2145</v>
      </c>
      <c r="AN107" s="51">
        <v>12718</v>
      </c>
      <c r="AO107" s="51">
        <v>26</v>
      </c>
      <c r="AP107" s="51">
        <v>37</v>
      </c>
      <c r="AQ107" s="51" t="s">
        <v>1818</v>
      </c>
      <c r="AR107" s="51" t="s">
        <v>1819</v>
      </c>
      <c r="AS107" s="51">
        <v>78</v>
      </c>
      <c r="AT107" s="51">
        <v>16897</v>
      </c>
      <c r="AU107" s="51">
        <v>852</v>
      </c>
      <c r="AV107" s="51">
        <v>568506</v>
      </c>
      <c r="AW107" s="800">
        <v>45293</v>
      </c>
      <c r="AX107" s="800">
        <v>45657</v>
      </c>
      <c r="AY107" s="793" t="s">
        <v>1820</v>
      </c>
      <c r="AZ107" s="15"/>
      <c r="BA107" s="15"/>
      <c r="BB107" s="15"/>
      <c r="BC107" s="15"/>
      <c r="BD107" s="15"/>
      <c r="BE107" s="15"/>
      <c r="BF107" s="15"/>
      <c r="BG107" s="15"/>
      <c r="BH107" s="15"/>
      <c r="BI107" s="15"/>
      <c r="BJ107" s="15"/>
      <c r="BK107" s="15"/>
      <c r="BL107" s="15"/>
      <c r="BM107" s="15"/>
      <c r="BN107" s="15"/>
    </row>
    <row r="108" spans="1:66" s="47" customFormat="1" ht="114.75" x14ac:dyDescent="0.2">
      <c r="A108" s="32">
        <v>1</v>
      </c>
      <c r="B108" s="34" t="s">
        <v>315</v>
      </c>
      <c r="C108" s="51">
        <v>19</v>
      </c>
      <c r="D108" s="825" t="s">
        <v>517</v>
      </c>
      <c r="E108" s="51">
        <v>1905</v>
      </c>
      <c r="F108" s="825" t="s">
        <v>1498</v>
      </c>
      <c r="G108" s="794">
        <v>1905021</v>
      </c>
      <c r="H108" s="825" t="s">
        <v>2036</v>
      </c>
      <c r="I108" s="51">
        <v>1905021</v>
      </c>
      <c r="J108" s="825" t="s">
        <v>1499</v>
      </c>
      <c r="K108" s="795">
        <v>190502100</v>
      </c>
      <c r="L108" s="825" t="s">
        <v>2037</v>
      </c>
      <c r="M108" s="801">
        <v>190502100</v>
      </c>
      <c r="N108" s="825" t="s">
        <v>1994</v>
      </c>
      <c r="O108" s="794">
        <v>11</v>
      </c>
      <c r="P108" s="794"/>
      <c r="Q108" s="794">
        <v>11</v>
      </c>
      <c r="R108" s="826">
        <v>2020003630124</v>
      </c>
      <c r="S108" s="825" t="s">
        <v>2021</v>
      </c>
      <c r="T108" s="208">
        <f t="shared" si="12"/>
        <v>0.5</v>
      </c>
      <c r="U108" s="825" t="s">
        <v>2022</v>
      </c>
      <c r="V108" s="825" t="s">
        <v>2023</v>
      </c>
      <c r="W108" s="825" t="s">
        <v>2045</v>
      </c>
      <c r="X108" s="328">
        <v>10000000</v>
      </c>
      <c r="Y108" s="709"/>
      <c r="Z108" s="709"/>
      <c r="AA108" s="709"/>
      <c r="AB108" s="707">
        <f t="shared" si="8"/>
        <v>10000000</v>
      </c>
      <c r="AC108" s="798" t="s">
        <v>2025</v>
      </c>
      <c r="AD108" s="75"/>
      <c r="AE108" s="72">
        <v>61</v>
      </c>
      <c r="AF108" s="28" t="s">
        <v>1817</v>
      </c>
      <c r="AG108" s="51">
        <v>289394</v>
      </c>
      <c r="AH108" s="51">
        <v>279112</v>
      </c>
      <c r="AI108" s="51">
        <v>63164</v>
      </c>
      <c r="AJ108" s="51">
        <v>45607</v>
      </c>
      <c r="AK108" s="51">
        <v>365607</v>
      </c>
      <c r="AL108" s="51">
        <v>75612</v>
      </c>
      <c r="AM108" s="51">
        <v>2145</v>
      </c>
      <c r="AN108" s="51">
        <v>12718</v>
      </c>
      <c r="AO108" s="51">
        <v>26</v>
      </c>
      <c r="AP108" s="51">
        <v>37</v>
      </c>
      <c r="AQ108" s="51" t="s">
        <v>1818</v>
      </c>
      <c r="AR108" s="51" t="s">
        <v>1819</v>
      </c>
      <c r="AS108" s="51">
        <v>78</v>
      </c>
      <c r="AT108" s="51">
        <v>16897</v>
      </c>
      <c r="AU108" s="51">
        <v>852</v>
      </c>
      <c r="AV108" s="51">
        <v>568506</v>
      </c>
      <c r="AW108" s="800">
        <v>45293</v>
      </c>
      <c r="AX108" s="800">
        <v>45657</v>
      </c>
      <c r="AY108" s="793" t="s">
        <v>1820</v>
      </c>
      <c r="AZ108" s="15"/>
      <c r="BA108" s="15"/>
      <c r="BB108" s="15"/>
      <c r="BC108" s="15"/>
      <c r="BD108" s="15"/>
      <c r="BE108" s="15"/>
      <c r="BF108" s="15"/>
      <c r="BG108" s="15"/>
      <c r="BH108" s="15"/>
      <c r="BI108" s="15"/>
      <c r="BJ108" s="15"/>
      <c r="BK108" s="15"/>
      <c r="BL108" s="15"/>
      <c r="BM108" s="15"/>
      <c r="BN108" s="15"/>
    </row>
    <row r="109" spans="1:66" s="47" customFormat="1" ht="114.75" x14ac:dyDescent="0.2">
      <c r="A109" s="32">
        <v>1</v>
      </c>
      <c r="B109" s="34" t="s">
        <v>315</v>
      </c>
      <c r="C109" s="51">
        <v>19</v>
      </c>
      <c r="D109" s="825" t="s">
        <v>517</v>
      </c>
      <c r="E109" s="51">
        <v>1905</v>
      </c>
      <c r="F109" s="825" t="s">
        <v>1498</v>
      </c>
      <c r="G109" s="794">
        <v>1905021</v>
      </c>
      <c r="H109" s="825" t="s">
        <v>2036</v>
      </c>
      <c r="I109" s="51">
        <v>1905021</v>
      </c>
      <c r="J109" s="825" t="s">
        <v>1499</v>
      </c>
      <c r="K109" s="795">
        <v>190502100</v>
      </c>
      <c r="L109" s="825" t="s">
        <v>2037</v>
      </c>
      <c r="M109" s="801">
        <v>190502100</v>
      </c>
      <c r="N109" s="825" t="s">
        <v>1994</v>
      </c>
      <c r="O109" s="794">
        <v>11</v>
      </c>
      <c r="P109" s="794"/>
      <c r="Q109" s="794">
        <v>11</v>
      </c>
      <c r="R109" s="826">
        <v>2020003630124</v>
      </c>
      <c r="S109" s="825" t="s">
        <v>2021</v>
      </c>
      <c r="T109" s="208">
        <f t="shared" si="12"/>
        <v>0.5</v>
      </c>
      <c r="U109" s="825" t="s">
        <v>2022</v>
      </c>
      <c r="V109" s="825" t="s">
        <v>2023</v>
      </c>
      <c r="W109" s="825" t="s">
        <v>2046</v>
      </c>
      <c r="X109" s="328">
        <v>11000000</v>
      </c>
      <c r="Y109" s="709"/>
      <c r="Z109" s="709"/>
      <c r="AA109" s="709"/>
      <c r="AB109" s="707">
        <f t="shared" si="8"/>
        <v>11000000</v>
      </c>
      <c r="AC109" s="798" t="s">
        <v>2025</v>
      </c>
      <c r="AD109" s="75"/>
      <c r="AE109" s="72">
        <v>61</v>
      </c>
      <c r="AF109" s="28" t="s">
        <v>1817</v>
      </c>
      <c r="AG109" s="51">
        <v>289394</v>
      </c>
      <c r="AH109" s="51">
        <v>279112</v>
      </c>
      <c r="AI109" s="51">
        <v>63164</v>
      </c>
      <c r="AJ109" s="51">
        <v>45607</v>
      </c>
      <c r="AK109" s="51">
        <v>365607</v>
      </c>
      <c r="AL109" s="51">
        <v>75612</v>
      </c>
      <c r="AM109" s="51">
        <v>2145</v>
      </c>
      <c r="AN109" s="51">
        <v>12718</v>
      </c>
      <c r="AO109" s="51">
        <v>26</v>
      </c>
      <c r="AP109" s="51">
        <v>37</v>
      </c>
      <c r="AQ109" s="51" t="s">
        <v>1818</v>
      </c>
      <c r="AR109" s="51" t="s">
        <v>1819</v>
      </c>
      <c r="AS109" s="51">
        <v>78</v>
      </c>
      <c r="AT109" s="51">
        <v>16897</v>
      </c>
      <c r="AU109" s="51">
        <v>852</v>
      </c>
      <c r="AV109" s="51">
        <v>568506</v>
      </c>
      <c r="AW109" s="800">
        <v>45293</v>
      </c>
      <c r="AX109" s="800">
        <v>45657</v>
      </c>
      <c r="AY109" s="793" t="s">
        <v>1820</v>
      </c>
      <c r="AZ109" s="15"/>
      <c r="BA109" s="15"/>
      <c r="BB109" s="15"/>
      <c r="BC109" s="15"/>
      <c r="BD109" s="15"/>
      <c r="BE109" s="15"/>
      <c r="BF109" s="15"/>
      <c r="BG109" s="15"/>
      <c r="BH109" s="15"/>
      <c r="BI109" s="15"/>
      <c r="BJ109" s="15"/>
      <c r="BK109" s="15"/>
      <c r="BL109" s="15"/>
      <c r="BM109" s="15"/>
      <c r="BN109" s="15"/>
    </row>
    <row r="110" spans="1:66" s="47" customFormat="1" ht="114.75" x14ac:dyDescent="0.2">
      <c r="A110" s="32">
        <v>1</v>
      </c>
      <c r="B110" s="34" t="s">
        <v>315</v>
      </c>
      <c r="C110" s="51">
        <v>19</v>
      </c>
      <c r="D110" s="825" t="s">
        <v>517</v>
      </c>
      <c r="E110" s="51">
        <v>1905</v>
      </c>
      <c r="F110" s="825" t="s">
        <v>1498</v>
      </c>
      <c r="G110" s="794">
        <v>1905021</v>
      </c>
      <c r="H110" s="825" t="s">
        <v>2036</v>
      </c>
      <c r="I110" s="51">
        <v>1905021</v>
      </c>
      <c r="J110" s="825" t="s">
        <v>1499</v>
      </c>
      <c r="K110" s="795">
        <v>190502100</v>
      </c>
      <c r="L110" s="825" t="s">
        <v>2037</v>
      </c>
      <c r="M110" s="801">
        <v>190502100</v>
      </c>
      <c r="N110" s="825" t="s">
        <v>1994</v>
      </c>
      <c r="O110" s="794">
        <v>11</v>
      </c>
      <c r="P110" s="794"/>
      <c r="Q110" s="794">
        <v>11</v>
      </c>
      <c r="R110" s="826">
        <v>2020003630124</v>
      </c>
      <c r="S110" s="825" t="s">
        <v>2021</v>
      </c>
      <c r="T110" s="208">
        <f t="shared" si="12"/>
        <v>0.5</v>
      </c>
      <c r="U110" s="825" t="s">
        <v>2022</v>
      </c>
      <c r="V110" s="825" t="s">
        <v>2023</v>
      </c>
      <c r="W110" s="825" t="s">
        <v>2047</v>
      </c>
      <c r="X110" s="328">
        <v>11000000</v>
      </c>
      <c r="Y110" s="709"/>
      <c r="Z110" s="709"/>
      <c r="AA110" s="709"/>
      <c r="AB110" s="707">
        <f t="shared" si="8"/>
        <v>11000000</v>
      </c>
      <c r="AC110" s="798" t="s">
        <v>2025</v>
      </c>
      <c r="AD110" s="75"/>
      <c r="AE110" s="72">
        <v>61</v>
      </c>
      <c r="AF110" s="28" t="s">
        <v>1817</v>
      </c>
      <c r="AG110" s="51">
        <v>289394</v>
      </c>
      <c r="AH110" s="51">
        <v>279112</v>
      </c>
      <c r="AI110" s="51">
        <v>63164</v>
      </c>
      <c r="AJ110" s="51">
        <v>45607</v>
      </c>
      <c r="AK110" s="51">
        <v>365607</v>
      </c>
      <c r="AL110" s="51">
        <v>75612</v>
      </c>
      <c r="AM110" s="51">
        <v>2145</v>
      </c>
      <c r="AN110" s="51">
        <v>12718</v>
      </c>
      <c r="AO110" s="51">
        <v>26</v>
      </c>
      <c r="AP110" s="51">
        <v>37</v>
      </c>
      <c r="AQ110" s="51" t="s">
        <v>1818</v>
      </c>
      <c r="AR110" s="51" t="s">
        <v>1819</v>
      </c>
      <c r="AS110" s="51">
        <v>78</v>
      </c>
      <c r="AT110" s="51">
        <v>16897</v>
      </c>
      <c r="AU110" s="51">
        <v>852</v>
      </c>
      <c r="AV110" s="51">
        <v>568506</v>
      </c>
      <c r="AW110" s="800">
        <v>45293</v>
      </c>
      <c r="AX110" s="800">
        <v>45657</v>
      </c>
      <c r="AY110" s="793" t="s">
        <v>1820</v>
      </c>
      <c r="AZ110" s="15"/>
      <c r="BA110" s="15"/>
      <c r="BB110" s="15"/>
      <c r="BC110" s="15"/>
      <c r="BD110" s="15"/>
      <c r="BE110" s="15"/>
      <c r="BF110" s="15"/>
      <c r="BG110" s="15"/>
      <c r="BH110" s="15"/>
      <c r="BI110" s="15"/>
      <c r="BJ110" s="15"/>
      <c r="BK110" s="15"/>
      <c r="BL110" s="15"/>
      <c r="BM110" s="15"/>
      <c r="BN110" s="15"/>
    </row>
    <row r="111" spans="1:66" s="47" customFormat="1" ht="74.25" customHeight="1" x14ac:dyDescent="0.2">
      <c r="A111" s="32">
        <v>1</v>
      </c>
      <c r="B111" s="34" t="s">
        <v>315</v>
      </c>
      <c r="C111" s="51">
        <v>19</v>
      </c>
      <c r="D111" s="825" t="s">
        <v>517</v>
      </c>
      <c r="E111" s="51">
        <v>1905</v>
      </c>
      <c r="F111" s="825" t="s">
        <v>1498</v>
      </c>
      <c r="G111" s="794">
        <v>1905020</v>
      </c>
      <c r="H111" s="34" t="s">
        <v>2048</v>
      </c>
      <c r="I111" s="51">
        <v>1905020</v>
      </c>
      <c r="J111" s="825" t="s">
        <v>2048</v>
      </c>
      <c r="K111" s="795">
        <v>190502000</v>
      </c>
      <c r="L111" s="825" t="s">
        <v>2049</v>
      </c>
      <c r="M111" s="801">
        <v>190502000</v>
      </c>
      <c r="N111" s="825" t="s">
        <v>2049</v>
      </c>
      <c r="O111" s="794">
        <v>12</v>
      </c>
      <c r="P111" s="794"/>
      <c r="Q111" s="794">
        <v>12</v>
      </c>
      <c r="R111" s="826">
        <v>2020003630125</v>
      </c>
      <c r="S111" s="825" t="s">
        <v>2050</v>
      </c>
      <c r="T111" s="208">
        <f>SUM($X$111:$X$114)/SUM($X$111:$X$123)</f>
        <v>0.25</v>
      </c>
      <c r="U111" s="825" t="s">
        <v>2051</v>
      </c>
      <c r="V111" s="825" t="s">
        <v>2052</v>
      </c>
      <c r="W111" s="825" t="s">
        <v>2053</v>
      </c>
      <c r="X111" s="328">
        <v>10000000</v>
      </c>
      <c r="Y111" s="709"/>
      <c r="Z111" s="709"/>
      <c r="AA111" s="709"/>
      <c r="AB111" s="707">
        <f t="shared" si="8"/>
        <v>10000000</v>
      </c>
      <c r="AC111" s="798" t="s">
        <v>2054</v>
      </c>
      <c r="AD111" s="75"/>
      <c r="AE111" s="72">
        <v>61</v>
      </c>
      <c r="AF111" s="28" t="s">
        <v>1817</v>
      </c>
      <c r="AG111" s="51">
        <v>283947</v>
      </c>
      <c r="AH111" s="51">
        <v>294321</v>
      </c>
      <c r="AI111" s="51">
        <v>135754</v>
      </c>
      <c r="AJ111" s="51">
        <v>4464</v>
      </c>
      <c r="AK111" s="51">
        <v>308178</v>
      </c>
      <c r="AL111" s="51">
        <v>89696</v>
      </c>
      <c r="AM111" s="51">
        <v>2145</v>
      </c>
      <c r="AN111" s="51">
        <v>12718</v>
      </c>
      <c r="AO111" s="51">
        <v>26</v>
      </c>
      <c r="AP111" s="51">
        <v>37</v>
      </c>
      <c r="AQ111" s="51" t="s">
        <v>1818</v>
      </c>
      <c r="AR111" s="51" t="s">
        <v>1819</v>
      </c>
      <c r="AS111" s="51">
        <v>8856</v>
      </c>
      <c r="AT111" s="51">
        <v>24486</v>
      </c>
      <c r="AU111" s="51" t="s">
        <v>2055</v>
      </c>
      <c r="AV111" s="51">
        <v>578268</v>
      </c>
      <c r="AW111" s="800">
        <v>45293</v>
      </c>
      <c r="AX111" s="800">
        <v>45657</v>
      </c>
      <c r="AY111" s="793" t="s">
        <v>1820</v>
      </c>
      <c r="AZ111" s="15"/>
      <c r="BA111" s="15"/>
      <c r="BB111" s="15"/>
      <c r="BC111" s="15"/>
      <c r="BD111" s="15"/>
      <c r="BE111" s="15"/>
      <c r="BF111" s="15"/>
      <c r="BG111" s="15"/>
      <c r="BH111" s="15"/>
      <c r="BI111" s="15"/>
      <c r="BJ111" s="15"/>
      <c r="BK111" s="15"/>
      <c r="BL111" s="15"/>
      <c r="BM111" s="15"/>
      <c r="BN111" s="15"/>
    </row>
    <row r="112" spans="1:66" s="47" customFormat="1" ht="63.75" x14ac:dyDescent="0.2">
      <c r="A112" s="32">
        <v>1</v>
      </c>
      <c r="B112" s="34" t="s">
        <v>315</v>
      </c>
      <c r="C112" s="51">
        <v>19</v>
      </c>
      <c r="D112" s="825" t="s">
        <v>517</v>
      </c>
      <c r="E112" s="51">
        <v>1905</v>
      </c>
      <c r="F112" s="825" t="s">
        <v>1498</v>
      </c>
      <c r="G112" s="794">
        <v>1905020</v>
      </c>
      <c r="H112" s="34" t="s">
        <v>2048</v>
      </c>
      <c r="I112" s="51">
        <v>1905020</v>
      </c>
      <c r="J112" s="825" t="s">
        <v>2048</v>
      </c>
      <c r="K112" s="795">
        <v>190502000</v>
      </c>
      <c r="L112" s="825" t="s">
        <v>2049</v>
      </c>
      <c r="M112" s="801">
        <v>190502000</v>
      </c>
      <c r="N112" s="825" t="s">
        <v>2049</v>
      </c>
      <c r="O112" s="794">
        <v>12</v>
      </c>
      <c r="P112" s="794"/>
      <c r="Q112" s="794">
        <v>12</v>
      </c>
      <c r="R112" s="826">
        <v>2020003630125</v>
      </c>
      <c r="S112" s="825" t="s">
        <v>2050</v>
      </c>
      <c r="T112" s="208">
        <f>SUM($X$111:$X$114)/SUM($X$111:$X$123)</f>
        <v>0.25</v>
      </c>
      <c r="U112" s="825" t="s">
        <v>2051</v>
      </c>
      <c r="V112" s="825" t="s">
        <v>2052</v>
      </c>
      <c r="W112" s="825" t="s">
        <v>2056</v>
      </c>
      <c r="X112" s="328">
        <v>20000000</v>
      </c>
      <c r="Y112" s="709"/>
      <c r="Z112" s="709"/>
      <c r="AA112" s="709"/>
      <c r="AB112" s="707">
        <f t="shared" si="8"/>
        <v>20000000</v>
      </c>
      <c r="AC112" s="798" t="s">
        <v>2054</v>
      </c>
      <c r="AD112" s="75"/>
      <c r="AE112" s="72">
        <v>61</v>
      </c>
      <c r="AF112" s="28" t="s">
        <v>1817</v>
      </c>
      <c r="AG112" s="51">
        <v>283947</v>
      </c>
      <c r="AH112" s="51">
        <v>294321</v>
      </c>
      <c r="AI112" s="51">
        <v>135754</v>
      </c>
      <c r="AJ112" s="51">
        <v>4464</v>
      </c>
      <c r="AK112" s="51">
        <v>308178</v>
      </c>
      <c r="AL112" s="51">
        <v>89696</v>
      </c>
      <c r="AM112" s="51">
        <v>2145</v>
      </c>
      <c r="AN112" s="51">
        <v>12718</v>
      </c>
      <c r="AO112" s="51">
        <v>26</v>
      </c>
      <c r="AP112" s="51">
        <v>37</v>
      </c>
      <c r="AQ112" s="51" t="s">
        <v>1818</v>
      </c>
      <c r="AR112" s="51" t="s">
        <v>1819</v>
      </c>
      <c r="AS112" s="51">
        <v>8856</v>
      </c>
      <c r="AT112" s="51">
        <v>24486</v>
      </c>
      <c r="AU112" s="51" t="s">
        <v>2055</v>
      </c>
      <c r="AV112" s="51">
        <v>578268</v>
      </c>
      <c r="AW112" s="800">
        <v>45293</v>
      </c>
      <c r="AX112" s="800">
        <v>45657</v>
      </c>
      <c r="AY112" s="793" t="s">
        <v>1820</v>
      </c>
      <c r="AZ112" s="15"/>
      <c r="BA112" s="15"/>
      <c r="BB112" s="15"/>
      <c r="BC112" s="15"/>
      <c r="BD112" s="15"/>
      <c r="BE112" s="15"/>
      <c r="BF112" s="15"/>
      <c r="BG112" s="15"/>
      <c r="BH112" s="15"/>
      <c r="BI112" s="15"/>
      <c r="BJ112" s="15"/>
      <c r="BK112" s="15"/>
      <c r="BL112" s="15"/>
      <c r="BM112" s="15"/>
      <c r="BN112" s="15"/>
    </row>
    <row r="113" spans="1:66" s="47" customFormat="1" ht="63.75" x14ac:dyDescent="0.2">
      <c r="A113" s="32">
        <v>1</v>
      </c>
      <c r="B113" s="34" t="s">
        <v>315</v>
      </c>
      <c r="C113" s="51">
        <v>19</v>
      </c>
      <c r="D113" s="825" t="s">
        <v>517</v>
      </c>
      <c r="E113" s="51">
        <v>1905</v>
      </c>
      <c r="F113" s="825" t="s">
        <v>1498</v>
      </c>
      <c r="G113" s="794">
        <v>1905020</v>
      </c>
      <c r="H113" s="34" t="s">
        <v>2048</v>
      </c>
      <c r="I113" s="51">
        <v>1905020</v>
      </c>
      <c r="J113" s="825" t="s">
        <v>2048</v>
      </c>
      <c r="K113" s="795">
        <v>190502000</v>
      </c>
      <c r="L113" s="825" t="s">
        <v>2049</v>
      </c>
      <c r="M113" s="801">
        <v>190502000</v>
      </c>
      <c r="N113" s="825" t="s">
        <v>2049</v>
      </c>
      <c r="O113" s="794">
        <v>12</v>
      </c>
      <c r="P113" s="794"/>
      <c r="Q113" s="794">
        <v>12</v>
      </c>
      <c r="R113" s="826">
        <v>2020003630125</v>
      </c>
      <c r="S113" s="825" t="s">
        <v>2050</v>
      </c>
      <c r="T113" s="208">
        <f>SUM($X$111:$X$114)/SUM($X$111:$X$123)</f>
        <v>0.25</v>
      </c>
      <c r="U113" s="825" t="s">
        <v>2051</v>
      </c>
      <c r="V113" s="825" t="s">
        <v>2052</v>
      </c>
      <c r="W113" s="825" t="s">
        <v>2057</v>
      </c>
      <c r="X113" s="328">
        <v>10000000</v>
      </c>
      <c r="Y113" s="709"/>
      <c r="Z113" s="709"/>
      <c r="AA113" s="709"/>
      <c r="AB113" s="707">
        <f t="shared" si="8"/>
        <v>10000000</v>
      </c>
      <c r="AC113" s="798" t="s">
        <v>2054</v>
      </c>
      <c r="AD113" s="75"/>
      <c r="AE113" s="72">
        <v>61</v>
      </c>
      <c r="AF113" s="28" t="s">
        <v>1817</v>
      </c>
      <c r="AG113" s="51">
        <v>283947</v>
      </c>
      <c r="AH113" s="51">
        <v>294321</v>
      </c>
      <c r="AI113" s="51">
        <v>135754</v>
      </c>
      <c r="AJ113" s="51">
        <v>4464</v>
      </c>
      <c r="AK113" s="51">
        <v>308178</v>
      </c>
      <c r="AL113" s="51">
        <v>89696</v>
      </c>
      <c r="AM113" s="51">
        <v>2145</v>
      </c>
      <c r="AN113" s="51">
        <v>12718</v>
      </c>
      <c r="AO113" s="51">
        <v>26</v>
      </c>
      <c r="AP113" s="51">
        <v>37</v>
      </c>
      <c r="AQ113" s="51" t="s">
        <v>1818</v>
      </c>
      <c r="AR113" s="51" t="s">
        <v>1819</v>
      </c>
      <c r="AS113" s="51">
        <v>8856</v>
      </c>
      <c r="AT113" s="51">
        <v>24486</v>
      </c>
      <c r="AU113" s="51" t="s">
        <v>2055</v>
      </c>
      <c r="AV113" s="51">
        <v>578268</v>
      </c>
      <c r="AW113" s="800">
        <v>45293</v>
      </c>
      <c r="AX113" s="800">
        <v>45657</v>
      </c>
      <c r="AY113" s="793" t="s">
        <v>1820</v>
      </c>
      <c r="AZ113" s="15"/>
      <c r="BA113" s="15"/>
      <c r="BB113" s="15"/>
      <c r="BC113" s="15"/>
      <c r="BD113" s="15"/>
      <c r="BE113" s="15"/>
      <c r="BF113" s="15"/>
      <c r="BG113" s="15"/>
      <c r="BH113" s="15"/>
      <c r="BI113" s="15"/>
      <c r="BJ113" s="15"/>
      <c r="BK113" s="15"/>
      <c r="BL113" s="15"/>
      <c r="BM113" s="15"/>
      <c r="BN113" s="15"/>
    </row>
    <row r="114" spans="1:66" s="47" customFormat="1" ht="63.75" x14ac:dyDescent="0.2">
      <c r="A114" s="32">
        <v>1</v>
      </c>
      <c r="B114" s="34" t="s">
        <v>315</v>
      </c>
      <c r="C114" s="51">
        <v>19</v>
      </c>
      <c r="D114" s="825" t="s">
        <v>517</v>
      </c>
      <c r="E114" s="51">
        <v>1905</v>
      </c>
      <c r="F114" s="825" t="s">
        <v>1498</v>
      </c>
      <c r="G114" s="794">
        <v>1905020</v>
      </c>
      <c r="H114" s="34" t="s">
        <v>2048</v>
      </c>
      <c r="I114" s="51">
        <v>1905020</v>
      </c>
      <c r="J114" s="825" t="s">
        <v>2048</v>
      </c>
      <c r="K114" s="795">
        <v>190502000</v>
      </c>
      <c r="L114" s="825" t="s">
        <v>2049</v>
      </c>
      <c r="M114" s="801">
        <v>190502000</v>
      </c>
      <c r="N114" s="825" t="s">
        <v>2049</v>
      </c>
      <c r="O114" s="794">
        <v>12</v>
      </c>
      <c r="P114" s="794"/>
      <c r="Q114" s="794">
        <v>12</v>
      </c>
      <c r="R114" s="826">
        <v>2020003630125</v>
      </c>
      <c r="S114" s="825" t="s">
        <v>2050</v>
      </c>
      <c r="T114" s="208">
        <f>SUM($X$111:$X$114)/SUM($X$111:$X$123)</f>
        <v>0.25</v>
      </c>
      <c r="U114" s="825" t="s">
        <v>2051</v>
      </c>
      <c r="V114" s="825" t="s">
        <v>2052</v>
      </c>
      <c r="W114" s="825" t="s">
        <v>2058</v>
      </c>
      <c r="X114" s="328">
        <v>8000000</v>
      </c>
      <c r="Y114" s="709"/>
      <c r="Z114" s="709"/>
      <c r="AA114" s="709"/>
      <c r="AB114" s="707">
        <f t="shared" si="8"/>
        <v>8000000</v>
      </c>
      <c r="AC114" s="798" t="s">
        <v>2054</v>
      </c>
      <c r="AD114" s="75"/>
      <c r="AE114" s="72">
        <v>61</v>
      </c>
      <c r="AF114" s="28" t="s">
        <v>1817</v>
      </c>
      <c r="AG114" s="51">
        <v>283947</v>
      </c>
      <c r="AH114" s="51">
        <v>294321</v>
      </c>
      <c r="AI114" s="51">
        <v>135754</v>
      </c>
      <c r="AJ114" s="51">
        <v>4464</v>
      </c>
      <c r="AK114" s="51">
        <v>308178</v>
      </c>
      <c r="AL114" s="51">
        <v>89696</v>
      </c>
      <c r="AM114" s="51">
        <v>2145</v>
      </c>
      <c r="AN114" s="51">
        <v>12718</v>
      </c>
      <c r="AO114" s="51">
        <v>26</v>
      </c>
      <c r="AP114" s="51">
        <v>37</v>
      </c>
      <c r="AQ114" s="51" t="s">
        <v>1818</v>
      </c>
      <c r="AR114" s="51" t="s">
        <v>1819</v>
      </c>
      <c r="AS114" s="51">
        <v>8856</v>
      </c>
      <c r="AT114" s="51">
        <v>24486</v>
      </c>
      <c r="AU114" s="51" t="s">
        <v>2055</v>
      </c>
      <c r="AV114" s="51">
        <v>578268</v>
      </c>
      <c r="AW114" s="800">
        <v>45293</v>
      </c>
      <c r="AX114" s="800">
        <v>45657</v>
      </c>
      <c r="AY114" s="793" t="s">
        <v>1820</v>
      </c>
      <c r="AZ114" s="15"/>
      <c r="BA114" s="15"/>
      <c r="BB114" s="15"/>
      <c r="BC114" s="15"/>
      <c r="BD114" s="15"/>
      <c r="BE114" s="15"/>
      <c r="BF114" s="15"/>
      <c r="BG114" s="15"/>
      <c r="BH114" s="15"/>
      <c r="BI114" s="15"/>
      <c r="BJ114" s="15"/>
      <c r="BK114" s="15"/>
      <c r="BL114" s="15"/>
      <c r="BM114" s="15"/>
      <c r="BN114" s="15"/>
    </row>
    <row r="115" spans="1:66" s="47" customFormat="1" ht="102" x14ac:dyDescent="0.2">
      <c r="A115" s="32">
        <v>1</v>
      </c>
      <c r="B115" s="34" t="s">
        <v>315</v>
      </c>
      <c r="C115" s="51">
        <v>19</v>
      </c>
      <c r="D115" s="825" t="s">
        <v>517</v>
      </c>
      <c r="E115" s="51">
        <v>1905</v>
      </c>
      <c r="F115" s="825" t="s">
        <v>1498</v>
      </c>
      <c r="G115" s="794">
        <v>1905022</v>
      </c>
      <c r="H115" s="825" t="s">
        <v>2059</v>
      </c>
      <c r="I115" s="332">
        <v>1905022</v>
      </c>
      <c r="J115" s="825" t="s">
        <v>1511</v>
      </c>
      <c r="K115" s="795">
        <v>190502200</v>
      </c>
      <c r="L115" s="329" t="s">
        <v>1512</v>
      </c>
      <c r="M115" s="801">
        <v>190502200</v>
      </c>
      <c r="N115" s="825" t="s">
        <v>1512</v>
      </c>
      <c r="O115" s="794">
        <v>12</v>
      </c>
      <c r="P115" s="794"/>
      <c r="Q115" s="794">
        <v>12</v>
      </c>
      <c r="R115" s="826">
        <v>2020003630125</v>
      </c>
      <c r="S115" s="825" t="s">
        <v>2050</v>
      </c>
      <c r="T115" s="208">
        <f>SUM($X$115:$X$117)/SUM($X$111:$X$123)</f>
        <v>0.4375</v>
      </c>
      <c r="U115" s="825" t="s">
        <v>2051</v>
      </c>
      <c r="V115" s="825" t="s">
        <v>2060</v>
      </c>
      <c r="W115" s="825" t="s">
        <v>2061</v>
      </c>
      <c r="X115" s="328">
        <f>27413133+6586867</f>
        <v>34000000</v>
      </c>
      <c r="Y115" s="709"/>
      <c r="Z115" s="709"/>
      <c r="AA115" s="709"/>
      <c r="AB115" s="707">
        <f t="shared" si="8"/>
        <v>34000000</v>
      </c>
      <c r="AC115" s="798" t="s">
        <v>2062</v>
      </c>
      <c r="AD115" s="75"/>
      <c r="AE115" s="72">
        <v>61</v>
      </c>
      <c r="AF115" s="28" t="s">
        <v>1817</v>
      </c>
      <c r="AG115" s="51">
        <v>283947</v>
      </c>
      <c r="AH115" s="51">
        <v>294321</v>
      </c>
      <c r="AI115" s="51">
        <v>135754</v>
      </c>
      <c r="AJ115" s="51">
        <v>4464</v>
      </c>
      <c r="AK115" s="51">
        <v>308178</v>
      </c>
      <c r="AL115" s="51">
        <v>89696</v>
      </c>
      <c r="AM115" s="51">
        <v>2145</v>
      </c>
      <c r="AN115" s="51">
        <v>12718</v>
      </c>
      <c r="AO115" s="51">
        <v>26</v>
      </c>
      <c r="AP115" s="51">
        <v>37</v>
      </c>
      <c r="AQ115" s="51" t="s">
        <v>1818</v>
      </c>
      <c r="AR115" s="51" t="s">
        <v>1819</v>
      </c>
      <c r="AS115" s="51">
        <v>8856</v>
      </c>
      <c r="AT115" s="51">
        <v>24486</v>
      </c>
      <c r="AU115" s="51" t="s">
        <v>2055</v>
      </c>
      <c r="AV115" s="51">
        <v>578268</v>
      </c>
      <c r="AW115" s="800">
        <v>45293</v>
      </c>
      <c r="AX115" s="800">
        <v>45657</v>
      </c>
      <c r="AY115" s="793" t="s">
        <v>1820</v>
      </c>
      <c r="AZ115" s="15"/>
      <c r="BA115" s="15"/>
      <c r="BB115" s="15"/>
      <c r="BC115" s="15"/>
      <c r="BD115" s="15"/>
      <c r="BE115" s="15"/>
      <c r="BF115" s="15"/>
      <c r="BG115" s="15"/>
      <c r="BH115" s="15"/>
      <c r="BI115" s="15"/>
      <c r="BJ115" s="15"/>
      <c r="BK115" s="15"/>
      <c r="BL115" s="15"/>
      <c r="BM115" s="15"/>
      <c r="BN115" s="15"/>
    </row>
    <row r="116" spans="1:66" s="47" customFormat="1" ht="102" x14ac:dyDescent="0.2">
      <c r="A116" s="32">
        <v>1</v>
      </c>
      <c r="B116" s="34" t="s">
        <v>315</v>
      </c>
      <c r="C116" s="51">
        <v>19</v>
      </c>
      <c r="D116" s="825" t="s">
        <v>517</v>
      </c>
      <c r="E116" s="51">
        <v>1905</v>
      </c>
      <c r="F116" s="825" t="s">
        <v>1498</v>
      </c>
      <c r="G116" s="794">
        <v>1905022</v>
      </c>
      <c r="H116" s="825" t="s">
        <v>2059</v>
      </c>
      <c r="I116" s="332">
        <v>1905022</v>
      </c>
      <c r="J116" s="825" t="s">
        <v>1511</v>
      </c>
      <c r="K116" s="795">
        <v>190502200</v>
      </c>
      <c r="L116" s="329" t="s">
        <v>1512</v>
      </c>
      <c r="M116" s="801">
        <v>190502200</v>
      </c>
      <c r="N116" s="825" t="s">
        <v>1512</v>
      </c>
      <c r="O116" s="794">
        <v>12</v>
      </c>
      <c r="P116" s="794"/>
      <c r="Q116" s="794">
        <v>12</v>
      </c>
      <c r="R116" s="826">
        <v>2020003630125</v>
      </c>
      <c r="S116" s="825" t="s">
        <v>2050</v>
      </c>
      <c r="T116" s="208">
        <f>SUM($X$115:$X$117)/SUM($X$111:$X$123)</f>
        <v>0.4375</v>
      </c>
      <c r="U116" s="825" t="s">
        <v>2051</v>
      </c>
      <c r="V116" s="825" t="s">
        <v>2060</v>
      </c>
      <c r="W116" s="825" t="s">
        <v>2063</v>
      </c>
      <c r="X116" s="328">
        <v>25000000</v>
      </c>
      <c r="Y116" s="709"/>
      <c r="Z116" s="709"/>
      <c r="AA116" s="709"/>
      <c r="AB116" s="707">
        <f t="shared" si="8"/>
        <v>25000000</v>
      </c>
      <c r="AC116" s="798" t="s">
        <v>2062</v>
      </c>
      <c r="AD116" s="75"/>
      <c r="AE116" s="72">
        <v>61</v>
      </c>
      <c r="AF116" s="28" t="s">
        <v>1817</v>
      </c>
      <c r="AG116" s="51">
        <v>283947</v>
      </c>
      <c r="AH116" s="51">
        <v>294321</v>
      </c>
      <c r="AI116" s="51">
        <v>135754</v>
      </c>
      <c r="AJ116" s="51">
        <v>4464</v>
      </c>
      <c r="AK116" s="51">
        <v>308178</v>
      </c>
      <c r="AL116" s="51">
        <v>89696</v>
      </c>
      <c r="AM116" s="51">
        <v>2145</v>
      </c>
      <c r="AN116" s="51">
        <v>12718</v>
      </c>
      <c r="AO116" s="51">
        <v>26</v>
      </c>
      <c r="AP116" s="51">
        <v>37</v>
      </c>
      <c r="AQ116" s="51" t="s">
        <v>1818</v>
      </c>
      <c r="AR116" s="51" t="s">
        <v>1819</v>
      </c>
      <c r="AS116" s="51">
        <v>8856</v>
      </c>
      <c r="AT116" s="51">
        <v>24486</v>
      </c>
      <c r="AU116" s="51" t="s">
        <v>2055</v>
      </c>
      <c r="AV116" s="51">
        <v>578268</v>
      </c>
      <c r="AW116" s="800">
        <v>45293</v>
      </c>
      <c r="AX116" s="800">
        <v>45657</v>
      </c>
      <c r="AY116" s="793" t="s">
        <v>1820</v>
      </c>
      <c r="AZ116" s="15"/>
      <c r="BA116" s="15"/>
      <c r="BB116" s="15"/>
      <c r="BC116" s="15"/>
      <c r="BD116" s="15"/>
      <c r="BE116" s="15"/>
      <c r="BF116" s="15"/>
      <c r="BG116" s="15"/>
      <c r="BH116" s="15"/>
      <c r="BI116" s="15"/>
      <c r="BJ116" s="15"/>
      <c r="BK116" s="15"/>
      <c r="BL116" s="15"/>
      <c r="BM116" s="15"/>
      <c r="BN116" s="15"/>
    </row>
    <row r="117" spans="1:66" s="47" customFormat="1" ht="146.25" customHeight="1" x14ac:dyDescent="0.2">
      <c r="A117" s="32">
        <v>1</v>
      </c>
      <c r="B117" s="34" t="s">
        <v>315</v>
      </c>
      <c r="C117" s="51">
        <v>19</v>
      </c>
      <c r="D117" s="825" t="s">
        <v>517</v>
      </c>
      <c r="E117" s="51">
        <v>1905</v>
      </c>
      <c r="F117" s="825" t="s">
        <v>1498</v>
      </c>
      <c r="G117" s="794">
        <v>1905022</v>
      </c>
      <c r="H117" s="825" t="s">
        <v>2059</v>
      </c>
      <c r="I117" s="332">
        <v>1905022</v>
      </c>
      <c r="J117" s="825" t="s">
        <v>1511</v>
      </c>
      <c r="K117" s="795">
        <v>190502200</v>
      </c>
      <c r="L117" s="329" t="s">
        <v>1512</v>
      </c>
      <c r="M117" s="801">
        <v>190502200</v>
      </c>
      <c r="N117" s="825" t="s">
        <v>1512</v>
      </c>
      <c r="O117" s="794">
        <v>12</v>
      </c>
      <c r="P117" s="794"/>
      <c r="Q117" s="794">
        <v>12</v>
      </c>
      <c r="R117" s="826">
        <v>2020003630125</v>
      </c>
      <c r="S117" s="825" t="s">
        <v>2050</v>
      </c>
      <c r="T117" s="208">
        <f>SUM($X$115:$X$117)/SUM($X$111:$X$123)</f>
        <v>0.4375</v>
      </c>
      <c r="U117" s="825" t="s">
        <v>2051</v>
      </c>
      <c r="V117" s="825" t="s">
        <v>2060</v>
      </c>
      <c r="W117" s="825" t="s">
        <v>2064</v>
      </c>
      <c r="X117" s="328">
        <v>25000000</v>
      </c>
      <c r="Y117" s="709"/>
      <c r="Z117" s="709"/>
      <c r="AA117" s="709"/>
      <c r="AB117" s="707">
        <f t="shared" si="8"/>
        <v>25000000</v>
      </c>
      <c r="AC117" s="798" t="s">
        <v>2062</v>
      </c>
      <c r="AD117" s="75"/>
      <c r="AE117" s="72">
        <v>61</v>
      </c>
      <c r="AF117" s="28" t="s">
        <v>1817</v>
      </c>
      <c r="AG117" s="51">
        <v>283947</v>
      </c>
      <c r="AH117" s="51">
        <v>294321</v>
      </c>
      <c r="AI117" s="51">
        <v>135754</v>
      </c>
      <c r="AJ117" s="51">
        <v>4464</v>
      </c>
      <c r="AK117" s="51">
        <v>308178</v>
      </c>
      <c r="AL117" s="51">
        <v>89696</v>
      </c>
      <c r="AM117" s="51">
        <v>2145</v>
      </c>
      <c r="AN117" s="51">
        <v>12718</v>
      </c>
      <c r="AO117" s="51">
        <v>26</v>
      </c>
      <c r="AP117" s="51">
        <v>37</v>
      </c>
      <c r="AQ117" s="51" t="s">
        <v>1818</v>
      </c>
      <c r="AR117" s="51" t="s">
        <v>1819</v>
      </c>
      <c r="AS117" s="51">
        <v>8856</v>
      </c>
      <c r="AT117" s="51">
        <v>24486</v>
      </c>
      <c r="AU117" s="51" t="s">
        <v>2055</v>
      </c>
      <c r="AV117" s="51">
        <v>578268</v>
      </c>
      <c r="AW117" s="800">
        <v>45293</v>
      </c>
      <c r="AX117" s="800">
        <v>45657</v>
      </c>
      <c r="AY117" s="793" t="s">
        <v>1820</v>
      </c>
      <c r="AZ117" s="15"/>
      <c r="BA117" s="15"/>
      <c r="BB117" s="15"/>
      <c r="BC117" s="15"/>
      <c r="BD117" s="15"/>
      <c r="BE117" s="15"/>
      <c r="BF117" s="15"/>
      <c r="BG117" s="15"/>
      <c r="BH117" s="15"/>
      <c r="BI117" s="15"/>
      <c r="BJ117" s="15"/>
      <c r="BK117" s="15"/>
      <c r="BL117" s="15"/>
      <c r="BM117" s="15"/>
      <c r="BN117" s="15"/>
    </row>
    <row r="118" spans="1:66" s="47" customFormat="1" ht="114.75" x14ac:dyDescent="0.2">
      <c r="A118" s="32">
        <v>1</v>
      </c>
      <c r="B118" s="34" t="s">
        <v>315</v>
      </c>
      <c r="C118" s="51">
        <v>19</v>
      </c>
      <c r="D118" s="825" t="s">
        <v>517</v>
      </c>
      <c r="E118" s="51">
        <v>1905</v>
      </c>
      <c r="F118" s="825" t="s">
        <v>1498</v>
      </c>
      <c r="G118" s="794" t="s">
        <v>70</v>
      </c>
      <c r="H118" s="825" t="s">
        <v>2065</v>
      </c>
      <c r="I118" s="51">
        <v>1905015</v>
      </c>
      <c r="J118" s="825" t="s">
        <v>490</v>
      </c>
      <c r="K118" s="794" t="s">
        <v>70</v>
      </c>
      <c r="L118" s="825" t="s">
        <v>2066</v>
      </c>
      <c r="M118" s="801" t="s">
        <v>2067</v>
      </c>
      <c r="N118" s="825" t="s">
        <v>2002</v>
      </c>
      <c r="O118" s="794">
        <v>1</v>
      </c>
      <c r="P118" s="794"/>
      <c r="Q118" s="794">
        <v>1</v>
      </c>
      <c r="R118" s="826">
        <v>2020003630125</v>
      </c>
      <c r="S118" s="825" t="s">
        <v>2050</v>
      </c>
      <c r="T118" s="208">
        <f t="shared" ref="T118:T123" si="13">SUM($X$118:$X$123)/SUM($X$111:$X$123)</f>
        <v>0.3125</v>
      </c>
      <c r="U118" s="825" t="s">
        <v>1883</v>
      </c>
      <c r="V118" s="825" t="s">
        <v>1891</v>
      </c>
      <c r="W118" s="825" t="s">
        <v>2068</v>
      </c>
      <c r="X118" s="328">
        <v>10000000</v>
      </c>
      <c r="Y118" s="709"/>
      <c r="Z118" s="709"/>
      <c r="AA118" s="709"/>
      <c r="AB118" s="707">
        <f t="shared" si="8"/>
        <v>10000000</v>
      </c>
      <c r="AC118" s="798" t="s">
        <v>2069</v>
      </c>
      <c r="AD118" s="75"/>
      <c r="AE118" s="72">
        <v>61</v>
      </c>
      <c r="AF118" s="28" t="s">
        <v>1817</v>
      </c>
      <c r="AG118" s="51">
        <v>283947</v>
      </c>
      <c r="AH118" s="51">
        <v>294321</v>
      </c>
      <c r="AI118" s="51">
        <v>135754</v>
      </c>
      <c r="AJ118" s="51">
        <v>4464</v>
      </c>
      <c r="AK118" s="51">
        <v>308178</v>
      </c>
      <c r="AL118" s="51">
        <v>89696</v>
      </c>
      <c r="AM118" s="51">
        <v>2145</v>
      </c>
      <c r="AN118" s="51">
        <v>12718</v>
      </c>
      <c r="AO118" s="51">
        <v>26</v>
      </c>
      <c r="AP118" s="51">
        <v>37</v>
      </c>
      <c r="AQ118" s="51" t="s">
        <v>1818</v>
      </c>
      <c r="AR118" s="51" t="s">
        <v>1819</v>
      </c>
      <c r="AS118" s="51">
        <v>8856</v>
      </c>
      <c r="AT118" s="51">
        <v>24486</v>
      </c>
      <c r="AU118" s="51" t="s">
        <v>2055</v>
      </c>
      <c r="AV118" s="51">
        <v>578268</v>
      </c>
      <c r="AW118" s="800">
        <v>45293</v>
      </c>
      <c r="AX118" s="800">
        <v>45657</v>
      </c>
      <c r="AY118" s="793" t="s">
        <v>1820</v>
      </c>
      <c r="AZ118" s="15"/>
      <c r="BA118" s="15"/>
      <c r="BB118" s="15"/>
      <c r="BC118" s="15"/>
      <c r="BD118" s="15"/>
      <c r="BE118" s="15"/>
      <c r="BF118" s="15"/>
      <c r="BG118" s="15"/>
      <c r="BH118" s="15"/>
      <c r="BI118" s="15"/>
      <c r="BJ118" s="15"/>
      <c r="BK118" s="15"/>
      <c r="BL118" s="15"/>
      <c r="BM118" s="15"/>
      <c r="BN118" s="15"/>
    </row>
    <row r="119" spans="1:66" s="47" customFormat="1" ht="76.5" x14ac:dyDescent="0.2">
      <c r="A119" s="32">
        <v>1</v>
      </c>
      <c r="B119" s="34" t="s">
        <v>315</v>
      </c>
      <c r="C119" s="51">
        <v>19</v>
      </c>
      <c r="D119" s="825" t="s">
        <v>517</v>
      </c>
      <c r="E119" s="51">
        <v>1905</v>
      </c>
      <c r="F119" s="825" t="s">
        <v>1498</v>
      </c>
      <c r="G119" s="794" t="s">
        <v>70</v>
      </c>
      <c r="H119" s="825" t="s">
        <v>2065</v>
      </c>
      <c r="I119" s="51">
        <v>1905015</v>
      </c>
      <c r="J119" s="825" t="s">
        <v>490</v>
      </c>
      <c r="K119" s="794" t="s">
        <v>70</v>
      </c>
      <c r="L119" s="825" t="s">
        <v>2066</v>
      </c>
      <c r="M119" s="801" t="s">
        <v>2067</v>
      </c>
      <c r="N119" s="825" t="s">
        <v>2002</v>
      </c>
      <c r="O119" s="794">
        <v>1</v>
      </c>
      <c r="P119" s="794"/>
      <c r="Q119" s="794">
        <v>1</v>
      </c>
      <c r="R119" s="826">
        <v>2020003630125</v>
      </c>
      <c r="S119" s="825" t="s">
        <v>2050</v>
      </c>
      <c r="T119" s="208">
        <f t="shared" si="13"/>
        <v>0.3125</v>
      </c>
      <c r="U119" s="825" t="s">
        <v>1883</v>
      </c>
      <c r="V119" s="825" t="s">
        <v>1891</v>
      </c>
      <c r="W119" s="825" t="s">
        <v>2070</v>
      </c>
      <c r="X119" s="328">
        <v>5000000</v>
      </c>
      <c r="Y119" s="709"/>
      <c r="Z119" s="709"/>
      <c r="AA119" s="709"/>
      <c r="AB119" s="707">
        <f t="shared" si="8"/>
        <v>5000000</v>
      </c>
      <c r="AC119" s="798" t="s">
        <v>2069</v>
      </c>
      <c r="AD119" s="75"/>
      <c r="AE119" s="72">
        <v>61</v>
      </c>
      <c r="AF119" s="28" t="s">
        <v>1817</v>
      </c>
      <c r="AG119" s="51">
        <v>283947</v>
      </c>
      <c r="AH119" s="51">
        <v>294321</v>
      </c>
      <c r="AI119" s="51">
        <v>135754</v>
      </c>
      <c r="AJ119" s="51">
        <v>4464</v>
      </c>
      <c r="AK119" s="51">
        <v>308178</v>
      </c>
      <c r="AL119" s="51">
        <v>89696</v>
      </c>
      <c r="AM119" s="51">
        <v>2145</v>
      </c>
      <c r="AN119" s="51">
        <v>12718</v>
      </c>
      <c r="AO119" s="51">
        <v>26</v>
      </c>
      <c r="AP119" s="51">
        <v>37</v>
      </c>
      <c r="AQ119" s="51" t="s">
        <v>1818</v>
      </c>
      <c r="AR119" s="51" t="s">
        <v>1819</v>
      </c>
      <c r="AS119" s="51">
        <v>8856</v>
      </c>
      <c r="AT119" s="51">
        <v>24486</v>
      </c>
      <c r="AU119" s="51" t="s">
        <v>2055</v>
      </c>
      <c r="AV119" s="51">
        <v>578268</v>
      </c>
      <c r="AW119" s="800">
        <v>45293</v>
      </c>
      <c r="AX119" s="800">
        <v>45657</v>
      </c>
      <c r="AY119" s="793" t="s">
        <v>1820</v>
      </c>
      <c r="AZ119" s="15"/>
      <c r="BA119" s="15"/>
      <c r="BB119" s="15"/>
      <c r="BC119" s="15"/>
      <c r="BD119" s="15"/>
      <c r="BE119" s="15"/>
      <c r="BF119" s="15"/>
      <c r="BG119" s="15"/>
      <c r="BH119" s="15"/>
      <c r="BI119" s="15"/>
      <c r="BJ119" s="15"/>
      <c r="BK119" s="15"/>
      <c r="BL119" s="15"/>
      <c r="BM119" s="15"/>
      <c r="BN119" s="15"/>
    </row>
    <row r="120" spans="1:66" s="47" customFormat="1" ht="63.75" x14ac:dyDescent="0.2">
      <c r="A120" s="32">
        <v>1</v>
      </c>
      <c r="B120" s="34" t="s">
        <v>315</v>
      </c>
      <c r="C120" s="51">
        <v>19</v>
      </c>
      <c r="D120" s="825" t="s">
        <v>517</v>
      </c>
      <c r="E120" s="51">
        <v>1905</v>
      </c>
      <c r="F120" s="825" t="s">
        <v>1498</v>
      </c>
      <c r="G120" s="794" t="s">
        <v>70</v>
      </c>
      <c r="H120" s="825" t="s">
        <v>2065</v>
      </c>
      <c r="I120" s="51">
        <v>1905015</v>
      </c>
      <c r="J120" s="825" t="s">
        <v>490</v>
      </c>
      <c r="K120" s="794" t="s">
        <v>70</v>
      </c>
      <c r="L120" s="825" t="s">
        <v>2066</v>
      </c>
      <c r="M120" s="801" t="s">
        <v>2067</v>
      </c>
      <c r="N120" s="825" t="s">
        <v>2002</v>
      </c>
      <c r="O120" s="794">
        <v>1</v>
      </c>
      <c r="P120" s="794"/>
      <c r="Q120" s="794">
        <v>1</v>
      </c>
      <c r="R120" s="826">
        <v>2020003630125</v>
      </c>
      <c r="S120" s="825" t="s">
        <v>2050</v>
      </c>
      <c r="T120" s="208">
        <f t="shared" si="13"/>
        <v>0.3125</v>
      </c>
      <c r="U120" s="825" t="s">
        <v>1883</v>
      </c>
      <c r="V120" s="825" t="s">
        <v>1891</v>
      </c>
      <c r="W120" s="825" t="s">
        <v>2071</v>
      </c>
      <c r="X120" s="328">
        <v>10000000</v>
      </c>
      <c r="Y120" s="709"/>
      <c r="Z120" s="709"/>
      <c r="AA120" s="709"/>
      <c r="AB120" s="707">
        <f t="shared" si="8"/>
        <v>10000000</v>
      </c>
      <c r="AC120" s="798" t="s">
        <v>2069</v>
      </c>
      <c r="AD120" s="75"/>
      <c r="AE120" s="72">
        <v>61</v>
      </c>
      <c r="AF120" s="28" t="s">
        <v>1817</v>
      </c>
      <c r="AG120" s="51">
        <v>283947</v>
      </c>
      <c r="AH120" s="51">
        <v>294321</v>
      </c>
      <c r="AI120" s="51">
        <v>135754</v>
      </c>
      <c r="AJ120" s="51">
        <v>4464</v>
      </c>
      <c r="AK120" s="51">
        <v>308178</v>
      </c>
      <c r="AL120" s="51">
        <v>89696</v>
      </c>
      <c r="AM120" s="51">
        <v>2145</v>
      </c>
      <c r="AN120" s="51">
        <v>12718</v>
      </c>
      <c r="AO120" s="51">
        <v>26</v>
      </c>
      <c r="AP120" s="51">
        <v>37</v>
      </c>
      <c r="AQ120" s="51" t="s">
        <v>1818</v>
      </c>
      <c r="AR120" s="51" t="s">
        <v>1819</v>
      </c>
      <c r="AS120" s="51">
        <v>8856</v>
      </c>
      <c r="AT120" s="51">
        <v>24486</v>
      </c>
      <c r="AU120" s="51" t="s">
        <v>2055</v>
      </c>
      <c r="AV120" s="51">
        <v>578268</v>
      </c>
      <c r="AW120" s="800">
        <v>45293</v>
      </c>
      <c r="AX120" s="800">
        <v>45657</v>
      </c>
      <c r="AY120" s="793" t="s">
        <v>1820</v>
      </c>
      <c r="AZ120" s="15"/>
      <c r="BA120" s="15"/>
      <c r="BB120" s="15"/>
      <c r="BC120" s="15"/>
      <c r="BD120" s="15"/>
      <c r="BE120" s="15"/>
      <c r="BF120" s="15"/>
      <c r="BG120" s="15"/>
      <c r="BH120" s="15"/>
      <c r="BI120" s="15"/>
      <c r="BJ120" s="15"/>
      <c r="BK120" s="15"/>
      <c r="BL120" s="15"/>
      <c r="BM120" s="15"/>
      <c r="BN120" s="15"/>
    </row>
    <row r="121" spans="1:66" s="47" customFormat="1" ht="63.75" x14ac:dyDescent="0.2">
      <c r="A121" s="32">
        <v>1</v>
      </c>
      <c r="B121" s="34" t="s">
        <v>315</v>
      </c>
      <c r="C121" s="51">
        <v>19</v>
      </c>
      <c r="D121" s="825" t="s">
        <v>517</v>
      </c>
      <c r="E121" s="51">
        <v>1905</v>
      </c>
      <c r="F121" s="825" t="s">
        <v>1498</v>
      </c>
      <c r="G121" s="794" t="s">
        <v>70</v>
      </c>
      <c r="H121" s="825" t="s">
        <v>2065</v>
      </c>
      <c r="I121" s="51">
        <v>1905015</v>
      </c>
      <c r="J121" s="825" t="s">
        <v>490</v>
      </c>
      <c r="K121" s="794" t="s">
        <v>70</v>
      </c>
      <c r="L121" s="825" t="s">
        <v>2066</v>
      </c>
      <c r="M121" s="801" t="s">
        <v>2067</v>
      </c>
      <c r="N121" s="825" t="s">
        <v>2002</v>
      </c>
      <c r="O121" s="794">
        <v>1</v>
      </c>
      <c r="P121" s="794"/>
      <c r="Q121" s="794">
        <v>1</v>
      </c>
      <c r="R121" s="826">
        <v>2020003630125</v>
      </c>
      <c r="S121" s="825" t="s">
        <v>2050</v>
      </c>
      <c r="T121" s="208">
        <f t="shared" si="13"/>
        <v>0.3125</v>
      </c>
      <c r="U121" s="825" t="s">
        <v>1883</v>
      </c>
      <c r="V121" s="825" t="s">
        <v>1891</v>
      </c>
      <c r="W121" s="825" t="s">
        <v>2072</v>
      </c>
      <c r="X121" s="328">
        <v>10000000</v>
      </c>
      <c r="Y121" s="709"/>
      <c r="Z121" s="709"/>
      <c r="AA121" s="709"/>
      <c r="AB121" s="707">
        <f t="shared" si="8"/>
        <v>10000000</v>
      </c>
      <c r="AC121" s="798" t="s">
        <v>2069</v>
      </c>
      <c r="AD121" s="75"/>
      <c r="AE121" s="72">
        <v>61</v>
      </c>
      <c r="AF121" s="28" t="s">
        <v>1817</v>
      </c>
      <c r="AG121" s="51">
        <v>283947</v>
      </c>
      <c r="AH121" s="51">
        <v>294321</v>
      </c>
      <c r="AI121" s="51">
        <v>135754</v>
      </c>
      <c r="AJ121" s="51">
        <v>4464</v>
      </c>
      <c r="AK121" s="51">
        <v>308178</v>
      </c>
      <c r="AL121" s="51">
        <v>89696</v>
      </c>
      <c r="AM121" s="51">
        <v>2145</v>
      </c>
      <c r="AN121" s="51">
        <v>12718</v>
      </c>
      <c r="AO121" s="51">
        <v>26</v>
      </c>
      <c r="AP121" s="51">
        <v>37</v>
      </c>
      <c r="AQ121" s="51" t="s">
        <v>1818</v>
      </c>
      <c r="AR121" s="51" t="s">
        <v>1819</v>
      </c>
      <c r="AS121" s="51">
        <v>8856</v>
      </c>
      <c r="AT121" s="51">
        <v>24486</v>
      </c>
      <c r="AU121" s="51" t="s">
        <v>2055</v>
      </c>
      <c r="AV121" s="51">
        <v>578268</v>
      </c>
      <c r="AW121" s="800">
        <v>45293</v>
      </c>
      <c r="AX121" s="800">
        <v>45657</v>
      </c>
      <c r="AY121" s="793" t="s">
        <v>1820</v>
      </c>
      <c r="AZ121" s="15"/>
      <c r="BA121" s="15"/>
      <c r="BB121" s="15"/>
      <c r="BC121" s="15"/>
      <c r="BD121" s="15"/>
      <c r="BE121" s="15"/>
      <c r="BF121" s="15"/>
      <c r="BG121" s="15"/>
      <c r="BH121" s="15"/>
      <c r="BI121" s="15"/>
      <c r="BJ121" s="15"/>
      <c r="BK121" s="15"/>
      <c r="BL121" s="15"/>
      <c r="BM121" s="15"/>
      <c r="BN121" s="15"/>
    </row>
    <row r="122" spans="1:66" s="47" customFormat="1" ht="63.75" x14ac:dyDescent="0.2">
      <c r="A122" s="32">
        <v>1</v>
      </c>
      <c r="B122" s="34" t="s">
        <v>315</v>
      </c>
      <c r="C122" s="51">
        <v>19</v>
      </c>
      <c r="D122" s="825" t="s">
        <v>517</v>
      </c>
      <c r="E122" s="51">
        <v>1905</v>
      </c>
      <c r="F122" s="825" t="s">
        <v>1498</v>
      </c>
      <c r="G122" s="794" t="s">
        <v>70</v>
      </c>
      <c r="H122" s="825" t="s">
        <v>2065</v>
      </c>
      <c r="I122" s="51">
        <v>1905015</v>
      </c>
      <c r="J122" s="825" t="s">
        <v>490</v>
      </c>
      <c r="K122" s="794" t="s">
        <v>70</v>
      </c>
      <c r="L122" s="825" t="s">
        <v>2066</v>
      </c>
      <c r="M122" s="801" t="s">
        <v>2067</v>
      </c>
      <c r="N122" s="825" t="s">
        <v>2002</v>
      </c>
      <c r="O122" s="794">
        <v>1</v>
      </c>
      <c r="P122" s="794"/>
      <c r="Q122" s="794">
        <v>1</v>
      </c>
      <c r="R122" s="826">
        <v>2020003630125</v>
      </c>
      <c r="S122" s="825" t="s">
        <v>2050</v>
      </c>
      <c r="T122" s="208">
        <f t="shared" si="13"/>
        <v>0.3125</v>
      </c>
      <c r="U122" s="825" t="s">
        <v>1883</v>
      </c>
      <c r="V122" s="825" t="s">
        <v>1891</v>
      </c>
      <c r="W122" s="825" t="s">
        <v>2073</v>
      </c>
      <c r="X122" s="328">
        <v>10000000</v>
      </c>
      <c r="Y122" s="709"/>
      <c r="Z122" s="709"/>
      <c r="AA122" s="709"/>
      <c r="AB122" s="707">
        <f t="shared" si="8"/>
        <v>10000000</v>
      </c>
      <c r="AC122" s="798" t="s">
        <v>2069</v>
      </c>
      <c r="AD122" s="75"/>
      <c r="AE122" s="72">
        <v>61</v>
      </c>
      <c r="AF122" s="28" t="s">
        <v>1817</v>
      </c>
      <c r="AG122" s="51">
        <v>283947</v>
      </c>
      <c r="AH122" s="51">
        <v>294321</v>
      </c>
      <c r="AI122" s="51">
        <v>135754</v>
      </c>
      <c r="AJ122" s="51">
        <v>4464</v>
      </c>
      <c r="AK122" s="51">
        <v>308178</v>
      </c>
      <c r="AL122" s="51">
        <v>89696</v>
      </c>
      <c r="AM122" s="51">
        <v>2145</v>
      </c>
      <c r="AN122" s="51">
        <v>12718</v>
      </c>
      <c r="AO122" s="51">
        <v>26</v>
      </c>
      <c r="AP122" s="51">
        <v>37</v>
      </c>
      <c r="AQ122" s="51" t="s">
        <v>1818</v>
      </c>
      <c r="AR122" s="51" t="s">
        <v>1819</v>
      </c>
      <c r="AS122" s="51">
        <v>8856</v>
      </c>
      <c r="AT122" s="51">
        <v>24486</v>
      </c>
      <c r="AU122" s="51" t="s">
        <v>2055</v>
      </c>
      <c r="AV122" s="51">
        <v>578268</v>
      </c>
      <c r="AW122" s="800">
        <v>45293</v>
      </c>
      <c r="AX122" s="800">
        <v>45657</v>
      </c>
      <c r="AY122" s="793" t="s">
        <v>1820</v>
      </c>
      <c r="AZ122" s="15"/>
      <c r="BA122" s="15"/>
      <c r="BB122" s="15"/>
      <c r="BC122" s="15"/>
      <c r="BD122" s="15"/>
      <c r="BE122" s="15"/>
      <c r="BF122" s="15"/>
      <c r="BG122" s="15"/>
      <c r="BH122" s="15"/>
      <c r="BI122" s="15"/>
      <c r="BJ122" s="15"/>
      <c r="BK122" s="15"/>
      <c r="BL122" s="15"/>
      <c r="BM122" s="15"/>
      <c r="BN122" s="15"/>
    </row>
    <row r="123" spans="1:66" s="47" customFormat="1" ht="63.75" x14ac:dyDescent="0.2">
      <c r="A123" s="32">
        <v>1</v>
      </c>
      <c r="B123" s="34" t="s">
        <v>315</v>
      </c>
      <c r="C123" s="51">
        <v>19</v>
      </c>
      <c r="D123" s="825" t="s">
        <v>517</v>
      </c>
      <c r="E123" s="51">
        <v>1905</v>
      </c>
      <c r="F123" s="825" t="s">
        <v>1498</v>
      </c>
      <c r="G123" s="794" t="s">
        <v>70</v>
      </c>
      <c r="H123" s="825" t="s">
        <v>2065</v>
      </c>
      <c r="I123" s="51">
        <v>1905015</v>
      </c>
      <c r="J123" s="825" t="s">
        <v>490</v>
      </c>
      <c r="K123" s="794" t="s">
        <v>70</v>
      </c>
      <c r="L123" s="825" t="s">
        <v>2066</v>
      </c>
      <c r="M123" s="801" t="s">
        <v>2067</v>
      </c>
      <c r="N123" s="825" t="s">
        <v>2002</v>
      </c>
      <c r="O123" s="794">
        <v>1</v>
      </c>
      <c r="P123" s="794"/>
      <c r="Q123" s="794">
        <v>1</v>
      </c>
      <c r="R123" s="826">
        <v>2020003630125</v>
      </c>
      <c r="S123" s="825" t="s">
        <v>2050</v>
      </c>
      <c r="T123" s="208">
        <f t="shared" si="13"/>
        <v>0.3125</v>
      </c>
      <c r="U123" s="825" t="s">
        <v>1883</v>
      </c>
      <c r="V123" s="825" t="s">
        <v>1891</v>
      </c>
      <c r="W123" s="825" t="s">
        <v>2074</v>
      </c>
      <c r="X123" s="328">
        <v>15000000</v>
      </c>
      <c r="Y123" s="709">
        <v>14400000</v>
      </c>
      <c r="Z123" s="709"/>
      <c r="AA123" s="709"/>
      <c r="AB123" s="707">
        <f t="shared" si="8"/>
        <v>600000</v>
      </c>
      <c r="AC123" s="798" t="s">
        <v>2075</v>
      </c>
      <c r="AD123" s="75"/>
      <c r="AE123" s="72">
        <v>61</v>
      </c>
      <c r="AF123" s="28" t="s">
        <v>1817</v>
      </c>
      <c r="AG123" s="51">
        <v>283947</v>
      </c>
      <c r="AH123" s="51">
        <v>294321</v>
      </c>
      <c r="AI123" s="51">
        <v>135754</v>
      </c>
      <c r="AJ123" s="51">
        <v>4464</v>
      </c>
      <c r="AK123" s="51">
        <v>308178</v>
      </c>
      <c r="AL123" s="51">
        <v>89696</v>
      </c>
      <c r="AM123" s="51">
        <v>2145</v>
      </c>
      <c r="AN123" s="51">
        <v>12718</v>
      </c>
      <c r="AO123" s="51">
        <v>26</v>
      </c>
      <c r="AP123" s="51">
        <v>37</v>
      </c>
      <c r="AQ123" s="51" t="s">
        <v>1818</v>
      </c>
      <c r="AR123" s="51" t="s">
        <v>1819</v>
      </c>
      <c r="AS123" s="51">
        <v>8856</v>
      </c>
      <c r="AT123" s="51">
        <v>24486</v>
      </c>
      <c r="AU123" s="51" t="s">
        <v>2055</v>
      </c>
      <c r="AV123" s="51">
        <v>578268</v>
      </c>
      <c r="AW123" s="800">
        <v>45293</v>
      </c>
      <c r="AX123" s="800">
        <v>45657</v>
      </c>
      <c r="AY123" s="793" t="s">
        <v>1820</v>
      </c>
      <c r="AZ123" s="15"/>
      <c r="BA123" s="15"/>
      <c r="BB123" s="15"/>
      <c r="BC123" s="15"/>
      <c r="BD123" s="15"/>
      <c r="BE123" s="15"/>
      <c r="BF123" s="15"/>
      <c r="BG123" s="15"/>
      <c r="BH123" s="15"/>
      <c r="BI123" s="15"/>
      <c r="BJ123" s="15"/>
      <c r="BK123" s="15"/>
      <c r="BL123" s="15"/>
      <c r="BM123" s="15"/>
      <c r="BN123" s="15"/>
    </row>
    <row r="124" spans="1:66" s="47" customFormat="1" ht="165.75" x14ac:dyDescent="0.2">
      <c r="A124" s="28">
        <v>1</v>
      </c>
      <c r="B124" s="34" t="s">
        <v>315</v>
      </c>
      <c r="C124" s="28">
        <v>19</v>
      </c>
      <c r="D124" s="34" t="s">
        <v>517</v>
      </c>
      <c r="E124" s="28">
        <v>1905</v>
      </c>
      <c r="F124" s="34" t="s">
        <v>2076</v>
      </c>
      <c r="G124" s="28">
        <v>1905023</v>
      </c>
      <c r="H124" s="34" t="s">
        <v>2077</v>
      </c>
      <c r="I124" s="28">
        <v>1905023</v>
      </c>
      <c r="J124" s="34" t="s">
        <v>2077</v>
      </c>
      <c r="K124" s="215">
        <v>190502300</v>
      </c>
      <c r="L124" s="34" t="s">
        <v>2078</v>
      </c>
      <c r="M124" s="215">
        <v>190502300</v>
      </c>
      <c r="N124" s="34" t="s">
        <v>2078</v>
      </c>
      <c r="O124" s="842">
        <v>12</v>
      </c>
      <c r="P124" s="842"/>
      <c r="Q124" s="842">
        <v>12</v>
      </c>
      <c r="R124" s="79">
        <v>2020003630126</v>
      </c>
      <c r="S124" s="34" t="s">
        <v>2079</v>
      </c>
      <c r="T124" s="500">
        <f>SUM($X$124:$X$128)/SUM($X$124:$X$131)</f>
        <v>0.49541284403669728</v>
      </c>
      <c r="U124" s="34" t="s">
        <v>2080</v>
      </c>
      <c r="V124" s="34" t="s">
        <v>2081</v>
      </c>
      <c r="W124" s="34" t="s">
        <v>2082</v>
      </c>
      <c r="X124" s="775">
        <v>20000000</v>
      </c>
      <c r="Y124" s="775"/>
      <c r="Z124" s="775"/>
      <c r="AA124" s="775"/>
      <c r="AB124" s="707">
        <f t="shared" si="8"/>
        <v>20000000</v>
      </c>
      <c r="AC124" s="135" t="s">
        <v>2083</v>
      </c>
      <c r="AD124" s="842"/>
      <c r="AE124" s="842">
        <v>61</v>
      </c>
      <c r="AF124" s="28" t="s">
        <v>2084</v>
      </c>
      <c r="AG124" s="320">
        <v>289394</v>
      </c>
      <c r="AH124" s="28">
        <v>279112</v>
      </c>
      <c r="AI124" s="28">
        <v>63164</v>
      </c>
      <c r="AJ124" s="28">
        <v>45607</v>
      </c>
      <c r="AK124" s="28">
        <v>365607</v>
      </c>
      <c r="AL124" s="28">
        <v>75612</v>
      </c>
      <c r="AM124" s="28">
        <v>2145</v>
      </c>
      <c r="AN124" s="28">
        <v>12718</v>
      </c>
      <c r="AO124" s="28">
        <v>26</v>
      </c>
      <c r="AP124" s="28">
        <v>37</v>
      </c>
      <c r="AQ124" s="28" t="s">
        <v>1818</v>
      </c>
      <c r="AR124" s="28" t="s">
        <v>1819</v>
      </c>
      <c r="AS124" s="28">
        <v>78</v>
      </c>
      <c r="AT124" s="28">
        <v>16897</v>
      </c>
      <c r="AU124" s="28">
        <v>852</v>
      </c>
      <c r="AV124" s="28">
        <v>568506</v>
      </c>
      <c r="AW124" s="843">
        <v>45293</v>
      </c>
      <c r="AX124" s="843">
        <v>45657</v>
      </c>
      <c r="AY124" s="28" t="s">
        <v>1820</v>
      </c>
      <c r="AZ124" s="15"/>
      <c r="BA124" s="15"/>
      <c r="BB124" s="15"/>
      <c r="BC124" s="15"/>
      <c r="BD124" s="15"/>
      <c r="BE124" s="15"/>
      <c r="BF124" s="15"/>
      <c r="BG124" s="15"/>
      <c r="BH124" s="15"/>
      <c r="BI124" s="15"/>
      <c r="BJ124" s="15"/>
      <c r="BK124" s="15"/>
      <c r="BL124" s="15"/>
      <c r="BM124" s="15"/>
      <c r="BN124" s="15"/>
    </row>
    <row r="125" spans="1:66" s="47" customFormat="1" ht="102" x14ac:dyDescent="0.2">
      <c r="A125" s="28">
        <v>1</v>
      </c>
      <c r="B125" s="34" t="s">
        <v>315</v>
      </c>
      <c r="C125" s="28">
        <v>19</v>
      </c>
      <c r="D125" s="34" t="s">
        <v>517</v>
      </c>
      <c r="E125" s="28">
        <v>1905</v>
      </c>
      <c r="F125" s="34" t="s">
        <v>2076</v>
      </c>
      <c r="G125" s="28">
        <v>1905023</v>
      </c>
      <c r="H125" s="34" t="s">
        <v>2077</v>
      </c>
      <c r="I125" s="28">
        <v>1905023</v>
      </c>
      <c r="J125" s="34" t="s">
        <v>2077</v>
      </c>
      <c r="K125" s="215">
        <v>190502300</v>
      </c>
      <c r="L125" s="34" t="s">
        <v>2078</v>
      </c>
      <c r="M125" s="215">
        <v>190502300</v>
      </c>
      <c r="N125" s="34" t="s">
        <v>2078</v>
      </c>
      <c r="O125" s="842">
        <v>12</v>
      </c>
      <c r="P125" s="842"/>
      <c r="Q125" s="842">
        <v>12</v>
      </c>
      <c r="R125" s="79">
        <v>2020003630126</v>
      </c>
      <c r="S125" s="34" t="s">
        <v>2079</v>
      </c>
      <c r="T125" s="500">
        <f t="shared" ref="T125:T128" si="14">SUM($X$124:$X$128)/SUM($X$124:$X$131)</f>
        <v>0.49541284403669728</v>
      </c>
      <c r="U125" s="34" t="s">
        <v>2080</v>
      </c>
      <c r="V125" s="34" t="s">
        <v>2081</v>
      </c>
      <c r="W125" s="34" t="s">
        <v>2085</v>
      </c>
      <c r="X125" s="775">
        <v>25000000</v>
      </c>
      <c r="Y125" s="775"/>
      <c r="Z125" s="775"/>
      <c r="AA125" s="775"/>
      <c r="AB125" s="707">
        <f t="shared" si="8"/>
        <v>25000000</v>
      </c>
      <c r="AC125" s="135" t="s">
        <v>2083</v>
      </c>
      <c r="AD125" s="842"/>
      <c r="AE125" s="842">
        <v>61</v>
      </c>
      <c r="AF125" s="28" t="s">
        <v>2084</v>
      </c>
      <c r="AG125" s="320">
        <v>289394</v>
      </c>
      <c r="AH125" s="28">
        <v>279112</v>
      </c>
      <c r="AI125" s="28">
        <v>63164</v>
      </c>
      <c r="AJ125" s="28">
        <v>45607</v>
      </c>
      <c r="AK125" s="28">
        <v>365607</v>
      </c>
      <c r="AL125" s="28">
        <v>75612</v>
      </c>
      <c r="AM125" s="28">
        <v>2145</v>
      </c>
      <c r="AN125" s="28">
        <v>12718</v>
      </c>
      <c r="AO125" s="28">
        <v>26</v>
      </c>
      <c r="AP125" s="28">
        <v>37</v>
      </c>
      <c r="AQ125" s="28" t="s">
        <v>1818</v>
      </c>
      <c r="AR125" s="28" t="s">
        <v>1819</v>
      </c>
      <c r="AS125" s="28">
        <v>78</v>
      </c>
      <c r="AT125" s="28">
        <v>16897</v>
      </c>
      <c r="AU125" s="28">
        <v>852</v>
      </c>
      <c r="AV125" s="28">
        <v>568506</v>
      </c>
      <c r="AW125" s="843">
        <v>45293</v>
      </c>
      <c r="AX125" s="843">
        <v>45657</v>
      </c>
      <c r="AY125" s="28" t="s">
        <v>1820</v>
      </c>
      <c r="AZ125" s="15"/>
      <c r="BA125" s="15"/>
      <c r="BB125" s="15"/>
      <c r="BC125" s="15"/>
      <c r="BD125" s="15"/>
      <c r="BE125" s="15"/>
      <c r="BF125" s="15"/>
      <c r="BG125" s="15"/>
      <c r="BH125" s="15"/>
      <c r="BI125" s="15"/>
      <c r="BJ125" s="15"/>
      <c r="BK125" s="15"/>
      <c r="BL125" s="15"/>
      <c r="BM125" s="15"/>
      <c r="BN125" s="15"/>
    </row>
    <row r="126" spans="1:66" s="47" customFormat="1" ht="76.5" x14ac:dyDescent="0.2">
      <c r="A126" s="28">
        <v>1</v>
      </c>
      <c r="B126" s="34" t="s">
        <v>315</v>
      </c>
      <c r="C126" s="28">
        <v>19</v>
      </c>
      <c r="D126" s="34" t="s">
        <v>517</v>
      </c>
      <c r="E126" s="28">
        <v>1905</v>
      </c>
      <c r="F126" s="34" t="s">
        <v>2076</v>
      </c>
      <c r="G126" s="28">
        <v>1905023</v>
      </c>
      <c r="H126" s="34" t="s">
        <v>2077</v>
      </c>
      <c r="I126" s="28">
        <v>1905023</v>
      </c>
      <c r="J126" s="34" t="s">
        <v>2077</v>
      </c>
      <c r="K126" s="215">
        <v>190502300</v>
      </c>
      <c r="L126" s="34" t="s">
        <v>2078</v>
      </c>
      <c r="M126" s="215">
        <v>190502300</v>
      </c>
      <c r="N126" s="34" t="s">
        <v>2078</v>
      </c>
      <c r="O126" s="842">
        <v>12</v>
      </c>
      <c r="P126" s="842"/>
      <c r="Q126" s="842">
        <v>12</v>
      </c>
      <c r="R126" s="79">
        <v>2020003630126</v>
      </c>
      <c r="S126" s="34" t="s">
        <v>2079</v>
      </c>
      <c r="T126" s="500">
        <f t="shared" si="14"/>
        <v>0.49541284403669728</v>
      </c>
      <c r="U126" s="34" t="s">
        <v>2080</v>
      </c>
      <c r="V126" s="34" t="s">
        <v>2081</v>
      </c>
      <c r="W126" s="34" t="s">
        <v>2086</v>
      </c>
      <c r="X126" s="775">
        <v>24000000</v>
      </c>
      <c r="Y126" s="775"/>
      <c r="Z126" s="775"/>
      <c r="AA126" s="775"/>
      <c r="AB126" s="707">
        <f t="shared" si="8"/>
        <v>24000000</v>
      </c>
      <c r="AC126" s="135" t="s">
        <v>2083</v>
      </c>
      <c r="AD126" s="842"/>
      <c r="AE126" s="842">
        <v>61</v>
      </c>
      <c r="AF126" s="28" t="s">
        <v>2084</v>
      </c>
      <c r="AG126" s="320">
        <v>289394</v>
      </c>
      <c r="AH126" s="28">
        <v>279112</v>
      </c>
      <c r="AI126" s="28">
        <v>63164</v>
      </c>
      <c r="AJ126" s="28">
        <v>45607</v>
      </c>
      <c r="AK126" s="28">
        <v>365607</v>
      </c>
      <c r="AL126" s="28">
        <v>75612</v>
      </c>
      <c r="AM126" s="28">
        <v>2145</v>
      </c>
      <c r="AN126" s="28">
        <v>12718</v>
      </c>
      <c r="AO126" s="28">
        <v>26</v>
      </c>
      <c r="AP126" s="28">
        <v>37</v>
      </c>
      <c r="AQ126" s="28" t="s">
        <v>1818</v>
      </c>
      <c r="AR126" s="28" t="s">
        <v>1819</v>
      </c>
      <c r="AS126" s="28">
        <v>78</v>
      </c>
      <c r="AT126" s="28">
        <v>16897</v>
      </c>
      <c r="AU126" s="28">
        <v>852</v>
      </c>
      <c r="AV126" s="28">
        <v>568506</v>
      </c>
      <c r="AW126" s="843">
        <v>45293</v>
      </c>
      <c r="AX126" s="843">
        <v>45657</v>
      </c>
      <c r="AY126" s="28" t="s">
        <v>1820</v>
      </c>
      <c r="AZ126" s="15"/>
      <c r="BA126" s="15"/>
      <c r="BB126" s="15"/>
      <c r="BC126" s="15"/>
      <c r="BD126" s="15"/>
      <c r="BE126" s="15"/>
      <c r="BF126" s="15"/>
      <c r="BG126" s="15"/>
      <c r="BH126" s="15"/>
      <c r="BI126" s="15"/>
      <c r="BJ126" s="15"/>
      <c r="BK126" s="15"/>
      <c r="BL126" s="15"/>
      <c r="BM126" s="15"/>
      <c r="BN126" s="15"/>
    </row>
    <row r="127" spans="1:66" s="47" customFormat="1" ht="63.75" x14ac:dyDescent="0.2">
      <c r="A127" s="28">
        <v>1</v>
      </c>
      <c r="B127" s="34" t="s">
        <v>315</v>
      </c>
      <c r="C127" s="28">
        <v>19</v>
      </c>
      <c r="D127" s="34" t="s">
        <v>517</v>
      </c>
      <c r="E127" s="28">
        <v>1905</v>
      </c>
      <c r="F127" s="34" t="s">
        <v>2076</v>
      </c>
      <c r="G127" s="28">
        <v>1905023</v>
      </c>
      <c r="H127" s="34" t="s">
        <v>2077</v>
      </c>
      <c r="I127" s="28">
        <v>1905023</v>
      </c>
      <c r="J127" s="34" t="s">
        <v>2077</v>
      </c>
      <c r="K127" s="215">
        <v>190502300</v>
      </c>
      <c r="L127" s="34" t="s">
        <v>2078</v>
      </c>
      <c r="M127" s="215">
        <v>190502300</v>
      </c>
      <c r="N127" s="34" t="s">
        <v>2078</v>
      </c>
      <c r="O127" s="842">
        <v>12</v>
      </c>
      <c r="P127" s="842"/>
      <c r="Q127" s="842">
        <v>12</v>
      </c>
      <c r="R127" s="79">
        <v>2020003630126</v>
      </c>
      <c r="S127" s="34" t="s">
        <v>2079</v>
      </c>
      <c r="T127" s="500">
        <f t="shared" si="14"/>
        <v>0.49541284403669728</v>
      </c>
      <c r="U127" s="34" t="s">
        <v>2080</v>
      </c>
      <c r="V127" s="34" t="s">
        <v>2081</v>
      </c>
      <c r="W127" s="34" t="s">
        <v>2087</v>
      </c>
      <c r="X127" s="775">
        <v>19000000</v>
      </c>
      <c r="Y127" s="775"/>
      <c r="Z127" s="775"/>
      <c r="AA127" s="775"/>
      <c r="AB127" s="707">
        <f t="shared" si="8"/>
        <v>19000000</v>
      </c>
      <c r="AC127" s="135" t="s">
        <v>2083</v>
      </c>
      <c r="AD127" s="842"/>
      <c r="AE127" s="842">
        <v>61</v>
      </c>
      <c r="AF127" s="28" t="s">
        <v>2084</v>
      </c>
      <c r="AG127" s="320">
        <v>289394</v>
      </c>
      <c r="AH127" s="28">
        <v>279112</v>
      </c>
      <c r="AI127" s="28">
        <v>63164</v>
      </c>
      <c r="AJ127" s="28">
        <v>45607</v>
      </c>
      <c r="AK127" s="28">
        <v>365607</v>
      </c>
      <c r="AL127" s="28">
        <v>75612</v>
      </c>
      <c r="AM127" s="28">
        <v>2145</v>
      </c>
      <c r="AN127" s="28">
        <v>12718</v>
      </c>
      <c r="AO127" s="28">
        <v>26</v>
      </c>
      <c r="AP127" s="28">
        <v>37</v>
      </c>
      <c r="AQ127" s="28" t="s">
        <v>1818</v>
      </c>
      <c r="AR127" s="28" t="s">
        <v>1819</v>
      </c>
      <c r="AS127" s="28">
        <v>78</v>
      </c>
      <c r="AT127" s="28">
        <v>16897</v>
      </c>
      <c r="AU127" s="28">
        <v>852</v>
      </c>
      <c r="AV127" s="28">
        <v>568506</v>
      </c>
      <c r="AW127" s="843">
        <v>45293</v>
      </c>
      <c r="AX127" s="843">
        <v>45657</v>
      </c>
      <c r="AY127" s="28" t="s">
        <v>1820</v>
      </c>
      <c r="AZ127" s="15"/>
      <c r="BA127" s="15"/>
      <c r="BB127" s="15"/>
      <c r="BC127" s="15"/>
      <c r="BD127" s="15"/>
      <c r="BE127" s="15"/>
      <c r="BF127" s="15"/>
      <c r="BG127" s="15"/>
      <c r="BH127" s="15"/>
      <c r="BI127" s="15"/>
      <c r="BJ127" s="15"/>
      <c r="BK127" s="15"/>
      <c r="BL127" s="15"/>
      <c r="BM127" s="15"/>
      <c r="BN127" s="15"/>
    </row>
    <row r="128" spans="1:66" s="47" customFormat="1" ht="153" x14ac:dyDescent="0.2">
      <c r="A128" s="28">
        <v>1</v>
      </c>
      <c r="B128" s="34" t="s">
        <v>315</v>
      </c>
      <c r="C128" s="28">
        <v>19</v>
      </c>
      <c r="D128" s="34" t="s">
        <v>517</v>
      </c>
      <c r="E128" s="28">
        <v>1905</v>
      </c>
      <c r="F128" s="34" t="s">
        <v>2076</v>
      </c>
      <c r="G128" s="28">
        <v>1905023</v>
      </c>
      <c r="H128" s="34" t="s">
        <v>2077</v>
      </c>
      <c r="I128" s="28">
        <v>1905023</v>
      </c>
      <c r="J128" s="34" t="s">
        <v>2077</v>
      </c>
      <c r="K128" s="215">
        <v>190502300</v>
      </c>
      <c r="L128" s="34" t="s">
        <v>2078</v>
      </c>
      <c r="M128" s="215">
        <v>190502300</v>
      </c>
      <c r="N128" s="34" t="s">
        <v>2078</v>
      </c>
      <c r="O128" s="842">
        <v>12</v>
      </c>
      <c r="P128" s="842"/>
      <c r="Q128" s="842">
        <v>12</v>
      </c>
      <c r="R128" s="79">
        <v>2020003630126</v>
      </c>
      <c r="S128" s="34" t="s">
        <v>2079</v>
      </c>
      <c r="T128" s="500">
        <f t="shared" si="14"/>
        <v>0.49541284403669728</v>
      </c>
      <c r="U128" s="34" t="s">
        <v>2080</v>
      </c>
      <c r="V128" s="34" t="s">
        <v>2081</v>
      </c>
      <c r="W128" s="34" t="s">
        <v>2088</v>
      </c>
      <c r="X128" s="775">
        <v>20000000</v>
      </c>
      <c r="Y128" s="775"/>
      <c r="Z128" s="775"/>
      <c r="AA128" s="775"/>
      <c r="AB128" s="707">
        <f t="shared" si="8"/>
        <v>20000000</v>
      </c>
      <c r="AC128" s="135" t="s">
        <v>2083</v>
      </c>
      <c r="AD128" s="842"/>
      <c r="AE128" s="842">
        <v>61</v>
      </c>
      <c r="AF128" s="28" t="s">
        <v>2084</v>
      </c>
      <c r="AG128" s="320">
        <v>289394</v>
      </c>
      <c r="AH128" s="28">
        <v>279112</v>
      </c>
      <c r="AI128" s="28">
        <v>63164</v>
      </c>
      <c r="AJ128" s="28">
        <v>45607</v>
      </c>
      <c r="AK128" s="28">
        <v>365607</v>
      </c>
      <c r="AL128" s="28">
        <v>75612</v>
      </c>
      <c r="AM128" s="28">
        <v>2145</v>
      </c>
      <c r="AN128" s="28">
        <v>12718</v>
      </c>
      <c r="AO128" s="28">
        <v>26</v>
      </c>
      <c r="AP128" s="28">
        <v>37</v>
      </c>
      <c r="AQ128" s="28" t="s">
        <v>1818</v>
      </c>
      <c r="AR128" s="28" t="s">
        <v>1819</v>
      </c>
      <c r="AS128" s="28">
        <v>78</v>
      </c>
      <c r="AT128" s="28">
        <v>16897</v>
      </c>
      <c r="AU128" s="28">
        <v>852</v>
      </c>
      <c r="AV128" s="28">
        <v>568506</v>
      </c>
      <c r="AW128" s="843">
        <v>45293</v>
      </c>
      <c r="AX128" s="843">
        <v>45657</v>
      </c>
      <c r="AY128" s="28" t="s">
        <v>1820</v>
      </c>
      <c r="AZ128" s="15"/>
      <c r="BA128" s="15"/>
      <c r="BB128" s="15"/>
      <c r="BC128" s="15"/>
      <c r="BD128" s="15"/>
      <c r="BE128" s="15"/>
      <c r="BF128" s="15"/>
      <c r="BG128" s="15"/>
      <c r="BH128" s="15"/>
      <c r="BI128" s="15"/>
      <c r="BJ128" s="15"/>
      <c r="BK128" s="15"/>
      <c r="BL128" s="15"/>
      <c r="BM128" s="15"/>
      <c r="BN128" s="15"/>
    </row>
    <row r="129" spans="1:66" s="47" customFormat="1" ht="102" x14ac:dyDescent="0.2">
      <c r="A129" s="28">
        <v>1</v>
      </c>
      <c r="B129" s="34" t="s">
        <v>315</v>
      </c>
      <c r="C129" s="28">
        <v>19</v>
      </c>
      <c r="D129" s="34" t="s">
        <v>517</v>
      </c>
      <c r="E129" s="28">
        <v>1905</v>
      </c>
      <c r="F129" s="34" t="s">
        <v>2076</v>
      </c>
      <c r="G129" s="28">
        <v>1905031</v>
      </c>
      <c r="H129" s="34" t="s">
        <v>1974</v>
      </c>
      <c r="I129" s="28">
        <v>1905031</v>
      </c>
      <c r="J129" s="34" t="s">
        <v>1974</v>
      </c>
      <c r="K129" s="280">
        <v>190503100</v>
      </c>
      <c r="L129" s="34" t="s">
        <v>1975</v>
      </c>
      <c r="M129" s="280">
        <v>190503100</v>
      </c>
      <c r="N129" s="34" t="s">
        <v>1975</v>
      </c>
      <c r="O129" s="842">
        <v>12</v>
      </c>
      <c r="P129" s="842"/>
      <c r="Q129" s="842">
        <v>12</v>
      </c>
      <c r="R129" s="79">
        <v>2020003630126</v>
      </c>
      <c r="S129" s="34" t="s">
        <v>2079</v>
      </c>
      <c r="T129" s="500">
        <f>SUM($X$129:$X$131)/SUM($X$124:$X$131)</f>
        <v>0.50458715596330272</v>
      </c>
      <c r="U129" s="34" t="s">
        <v>2080</v>
      </c>
      <c r="V129" s="34" t="s">
        <v>2089</v>
      </c>
      <c r="W129" s="34" t="s">
        <v>2085</v>
      </c>
      <c r="X129" s="775">
        <v>30000000</v>
      </c>
      <c r="Y129" s="775"/>
      <c r="Z129" s="775"/>
      <c r="AA129" s="775"/>
      <c r="AB129" s="707">
        <f t="shared" si="8"/>
        <v>30000000</v>
      </c>
      <c r="AC129" s="135" t="s">
        <v>2090</v>
      </c>
      <c r="AD129" s="842"/>
      <c r="AE129" s="842">
        <v>61</v>
      </c>
      <c r="AF129" s="28" t="s">
        <v>2084</v>
      </c>
      <c r="AG129" s="320">
        <v>289394</v>
      </c>
      <c r="AH129" s="28">
        <v>279112</v>
      </c>
      <c r="AI129" s="28">
        <v>63164</v>
      </c>
      <c r="AJ129" s="28">
        <v>45607</v>
      </c>
      <c r="AK129" s="28">
        <v>365607</v>
      </c>
      <c r="AL129" s="28">
        <v>75612</v>
      </c>
      <c r="AM129" s="28">
        <v>2145</v>
      </c>
      <c r="AN129" s="28">
        <v>12718</v>
      </c>
      <c r="AO129" s="28">
        <v>26</v>
      </c>
      <c r="AP129" s="28">
        <v>37</v>
      </c>
      <c r="AQ129" s="28" t="s">
        <v>1818</v>
      </c>
      <c r="AR129" s="28" t="s">
        <v>1819</v>
      </c>
      <c r="AS129" s="28">
        <v>78</v>
      </c>
      <c r="AT129" s="28">
        <v>16897</v>
      </c>
      <c r="AU129" s="28">
        <v>852</v>
      </c>
      <c r="AV129" s="28">
        <v>568506</v>
      </c>
      <c r="AW129" s="843">
        <v>45293</v>
      </c>
      <c r="AX129" s="843">
        <v>45657</v>
      </c>
      <c r="AY129" s="28" t="s">
        <v>1820</v>
      </c>
      <c r="AZ129" s="15"/>
      <c r="BA129" s="15"/>
      <c r="BB129" s="15"/>
      <c r="BC129" s="15"/>
      <c r="BD129" s="15"/>
      <c r="BE129" s="15"/>
      <c r="BF129" s="15"/>
      <c r="BG129" s="15"/>
      <c r="BH129" s="15"/>
      <c r="BI129" s="15"/>
      <c r="BJ129" s="15"/>
      <c r="BK129" s="15"/>
      <c r="BL129" s="15"/>
      <c r="BM129" s="15"/>
      <c r="BN129" s="15"/>
    </row>
    <row r="130" spans="1:66" s="47" customFormat="1" ht="76.5" x14ac:dyDescent="0.2">
      <c r="A130" s="842"/>
      <c r="B130" s="34" t="s">
        <v>315</v>
      </c>
      <c r="C130" s="28">
        <v>19</v>
      </c>
      <c r="D130" s="34" t="s">
        <v>517</v>
      </c>
      <c r="E130" s="28">
        <v>1905</v>
      </c>
      <c r="F130" s="34" t="s">
        <v>2076</v>
      </c>
      <c r="G130" s="28">
        <v>1905031</v>
      </c>
      <c r="H130" s="34" t="s">
        <v>1974</v>
      </c>
      <c r="I130" s="28">
        <v>1905031</v>
      </c>
      <c r="J130" s="34" t="s">
        <v>1974</v>
      </c>
      <c r="K130" s="280">
        <v>190503100</v>
      </c>
      <c r="L130" s="34" t="s">
        <v>1975</v>
      </c>
      <c r="M130" s="280">
        <v>190503100</v>
      </c>
      <c r="N130" s="34" t="s">
        <v>1975</v>
      </c>
      <c r="O130" s="842">
        <v>12</v>
      </c>
      <c r="P130" s="842"/>
      <c r="Q130" s="842">
        <v>12</v>
      </c>
      <c r="R130" s="79">
        <v>2020003630126</v>
      </c>
      <c r="S130" s="34" t="s">
        <v>2079</v>
      </c>
      <c r="T130" s="500">
        <f t="shared" ref="T130:T131" si="15">SUM($X$129:$X$131)/SUM($X$124:$X$131)</f>
        <v>0.50458715596330272</v>
      </c>
      <c r="U130" s="34" t="s">
        <v>2080</v>
      </c>
      <c r="V130" s="34" t="s">
        <v>2089</v>
      </c>
      <c r="W130" s="34" t="s">
        <v>2091</v>
      </c>
      <c r="X130" s="775">
        <v>30000000</v>
      </c>
      <c r="Y130" s="775"/>
      <c r="Z130" s="775"/>
      <c r="AA130" s="775"/>
      <c r="AB130" s="707">
        <f t="shared" si="8"/>
        <v>30000000</v>
      </c>
      <c r="AC130" s="135" t="s">
        <v>2090</v>
      </c>
      <c r="AD130" s="842"/>
      <c r="AE130" s="842">
        <v>61</v>
      </c>
      <c r="AF130" s="28" t="s">
        <v>2084</v>
      </c>
      <c r="AG130" s="320">
        <v>289394</v>
      </c>
      <c r="AH130" s="28">
        <v>279112</v>
      </c>
      <c r="AI130" s="28">
        <v>63164</v>
      </c>
      <c r="AJ130" s="28">
        <v>45607</v>
      </c>
      <c r="AK130" s="28">
        <v>365607</v>
      </c>
      <c r="AL130" s="28">
        <v>75612</v>
      </c>
      <c r="AM130" s="28">
        <v>2145</v>
      </c>
      <c r="AN130" s="28">
        <v>12718</v>
      </c>
      <c r="AO130" s="28">
        <v>26</v>
      </c>
      <c r="AP130" s="28">
        <v>37</v>
      </c>
      <c r="AQ130" s="28" t="s">
        <v>1818</v>
      </c>
      <c r="AR130" s="28" t="s">
        <v>1819</v>
      </c>
      <c r="AS130" s="28">
        <v>78</v>
      </c>
      <c r="AT130" s="28">
        <v>16897</v>
      </c>
      <c r="AU130" s="28">
        <v>852</v>
      </c>
      <c r="AV130" s="28">
        <v>568506</v>
      </c>
      <c r="AW130" s="843">
        <v>45293</v>
      </c>
      <c r="AX130" s="843">
        <v>45657</v>
      </c>
      <c r="AY130" s="28" t="s">
        <v>1820</v>
      </c>
      <c r="AZ130" s="15"/>
      <c r="BA130" s="15"/>
      <c r="BB130" s="15"/>
      <c r="BC130" s="15"/>
      <c r="BD130" s="15"/>
      <c r="BE130" s="15"/>
      <c r="BF130" s="15"/>
      <c r="BG130" s="15"/>
      <c r="BH130" s="15"/>
      <c r="BI130" s="15"/>
      <c r="BJ130" s="15"/>
      <c r="BK130" s="15"/>
      <c r="BL130" s="15"/>
      <c r="BM130" s="15"/>
      <c r="BN130" s="15"/>
    </row>
    <row r="131" spans="1:66" s="47" customFormat="1" ht="127.5" x14ac:dyDescent="0.2">
      <c r="A131" s="842"/>
      <c r="B131" s="34" t="s">
        <v>315</v>
      </c>
      <c r="C131" s="28">
        <v>19</v>
      </c>
      <c r="D131" s="34" t="s">
        <v>517</v>
      </c>
      <c r="E131" s="28">
        <v>1905</v>
      </c>
      <c r="F131" s="34" t="s">
        <v>2076</v>
      </c>
      <c r="G131" s="28">
        <v>1905031</v>
      </c>
      <c r="H131" s="34" t="s">
        <v>1974</v>
      </c>
      <c r="I131" s="28">
        <v>1905031</v>
      </c>
      <c r="J131" s="34" t="s">
        <v>1974</v>
      </c>
      <c r="K131" s="280">
        <v>190503100</v>
      </c>
      <c r="L131" s="34" t="s">
        <v>1975</v>
      </c>
      <c r="M131" s="280">
        <v>190503100</v>
      </c>
      <c r="N131" s="34" t="s">
        <v>1975</v>
      </c>
      <c r="O131" s="842">
        <v>12</v>
      </c>
      <c r="P131" s="842"/>
      <c r="Q131" s="842">
        <v>12</v>
      </c>
      <c r="R131" s="79">
        <v>2020003630126</v>
      </c>
      <c r="S131" s="34" t="s">
        <v>2079</v>
      </c>
      <c r="T131" s="500">
        <f t="shared" si="15"/>
        <v>0.50458715596330272</v>
      </c>
      <c r="U131" s="34" t="s">
        <v>2080</v>
      </c>
      <c r="V131" s="34" t="s">
        <v>2089</v>
      </c>
      <c r="W131" s="34" t="s">
        <v>2092</v>
      </c>
      <c r="X131" s="775">
        <v>50000000</v>
      </c>
      <c r="Y131" s="775"/>
      <c r="Z131" s="775"/>
      <c r="AA131" s="775"/>
      <c r="AB131" s="707">
        <f t="shared" si="8"/>
        <v>50000000</v>
      </c>
      <c r="AC131" s="135" t="s">
        <v>2090</v>
      </c>
      <c r="AD131" s="842"/>
      <c r="AE131" s="842">
        <v>61</v>
      </c>
      <c r="AF131" s="28" t="s">
        <v>2084</v>
      </c>
      <c r="AG131" s="320">
        <v>289394</v>
      </c>
      <c r="AH131" s="28">
        <v>279112</v>
      </c>
      <c r="AI131" s="28">
        <v>63164</v>
      </c>
      <c r="AJ131" s="28">
        <v>45607</v>
      </c>
      <c r="AK131" s="28">
        <v>365607</v>
      </c>
      <c r="AL131" s="28">
        <v>75612</v>
      </c>
      <c r="AM131" s="28">
        <v>2145</v>
      </c>
      <c r="AN131" s="28">
        <v>12718</v>
      </c>
      <c r="AO131" s="28">
        <v>26</v>
      </c>
      <c r="AP131" s="28">
        <v>37</v>
      </c>
      <c r="AQ131" s="28" t="s">
        <v>1818</v>
      </c>
      <c r="AR131" s="28" t="s">
        <v>1819</v>
      </c>
      <c r="AS131" s="28">
        <v>78</v>
      </c>
      <c r="AT131" s="28">
        <v>16897</v>
      </c>
      <c r="AU131" s="28">
        <v>852</v>
      </c>
      <c r="AV131" s="28">
        <v>568506</v>
      </c>
      <c r="AW131" s="843">
        <v>45293</v>
      </c>
      <c r="AX131" s="843">
        <v>45657</v>
      </c>
      <c r="AY131" s="28" t="s">
        <v>1820</v>
      </c>
      <c r="AZ131" s="15"/>
      <c r="BA131" s="15"/>
      <c r="BB131" s="15"/>
      <c r="BC131" s="15"/>
      <c r="BD131" s="15"/>
      <c r="BE131" s="15"/>
      <c r="BF131" s="15"/>
      <c r="BG131" s="15"/>
      <c r="BH131" s="15"/>
      <c r="BI131" s="15"/>
      <c r="BJ131" s="15"/>
      <c r="BK131" s="15"/>
      <c r="BL131" s="15"/>
      <c r="BM131" s="15"/>
      <c r="BN131" s="15"/>
    </row>
    <row r="132" spans="1:66" s="47" customFormat="1" ht="114.75" x14ac:dyDescent="0.2">
      <c r="A132" s="28">
        <v>1</v>
      </c>
      <c r="B132" s="34" t="s">
        <v>315</v>
      </c>
      <c r="C132" s="28">
        <v>19</v>
      </c>
      <c r="D132" s="34" t="s">
        <v>517</v>
      </c>
      <c r="E132" s="28">
        <v>1905</v>
      </c>
      <c r="F132" s="34" t="s">
        <v>2076</v>
      </c>
      <c r="G132" s="28">
        <v>1905012</v>
      </c>
      <c r="H132" s="34" t="s">
        <v>2093</v>
      </c>
      <c r="I132" s="28">
        <v>1905012</v>
      </c>
      <c r="J132" s="34" t="s">
        <v>2093</v>
      </c>
      <c r="K132" s="215">
        <v>190501200</v>
      </c>
      <c r="L132" s="34" t="s">
        <v>2093</v>
      </c>
      <c r="M132" s="215">
        <v>190501200</v>
      </c>
      <c r="N132" s="34" t="s">
        <v>2093</v>
      </c>
      <c r="O132" s="842">
        <v>1</v>
      </c>
      <c r="P132" s="842"/>
      <c r="Q132" s="842">
        <v>1</v>
      </c>
      <c r="R132" s="79">
        <v>2020003630127</v>
      </c>
      <c r="S132" s="34" t="s">
        <v>2094</v>
      </c>
      <c r="T132" s="500">
        <f>SUM($X$132:$X$139)/SUM($X$132:$X$149)</f>
        <v>0.5</v>
      </c>
      <c r="U132" s="34" t="s">
        <v>2095</v>
      </c>
      <c r="V132" s="34" t="s">
        <v>2096</v>
      </c>
      <c r="W132" s="34" t="s">
        <v>2097</v>
      </c>
      <c r="X132" s="328">
        <v>6000000</v>
      </c>
      <c r="Y132" s="328"/>
      <c r="Z132" s="328"/>
      <c r="AA132" s="328"/>
      <c r="AB132" s="707">
        <f t="shared" si="8"/>
        <v>6000000</v>
      </c>
      <c r="AC132" s="203" t="s">
        <v>2098</v>
      </c>
      <c r="AD132" s="842"/>
      <c r="AE132" s="842">
        <v>61</v>
      </c>
      <c r="AF132" s="28" t="s">
        <v>2084</v>
      </c>
      <c r="AG132" s="320">
        <v>289394</v>
      </c>
      <c r="AH132" s="28">
        <v>279112</v>
      </c>
      <c r="AI132" s="28">
        <v>63164</v>
      </c>
      <c r="AJ132" s="28">
        <v>45607</v>
      </c>
      <c r="AK132" s="28">
        <v>365607</v>
      </c>
      <c r="AL132" s="28">
        <v>75612</v>
      </c>
      <c r="AM132" s="28">
        <v>2145</v>
      </c>
      <c r="AN132" s="28">
        <v>12718</v>
      </c>
      <c r="AO132" s="28">
        <v>26</v>
      </c>
      <c r="AP132" s="28">
        <v>37</v>
      </c>
      <c r="AQ132" s="28" t="s">
        <v>1818</v>
      </c>
      <c r="AR132" s="28" t="s">
        <v>1819</v>
      </c>
      <c r="AS132" s="28">
        <v>78</v>
      </c>
      <c r="AT132" s="28">
        <v>16897</v>
      </c>
      <c r="AU132" s="28">
        <v>852</v>
      </c>
      <c r="AV132" s="28">
        <v>568506</v>
      </c>
      <c r="AW132" s="843">
        <v>45293</v>
      </c>
      <c r="AX132" s="843">
        <v>45657</v>
      </c>
      <c r="AY132" s="28" t="s">
        <v>1820</v>
      </c>
      <c r="AZ132" s="15"/>
      <c r="BA132" s="15"/>
      <c r="BB132" s="15"/>
      <c r="BC132" s="15"/>
      <c r="BD132" s="15"/>
      <c r="BE132" s="15"/>
      <c r="BF132" s="15"/>
      <c r="BG132" s="15"/>
      <c r="BH132" s="15"/>
      <c r="BI132" s="15"/>
      <c r="BJ132" s="15"/>
      <c r="BK132" s="15"/>
      <c r="BL132" s="15"/>
      <c r="BM132" s="15"/>
      <c r="BN132" s="15"/>
    </row>
    <row r="133" spans="1:66" s="47" customFormat="1" ht="114.75" x14ac:dyDescent="0.2">
      <c r="A133" s="28">
        <v>1</v>
      </c>
      <c r="B133" s="34" t="s">
        <v>315</v>
      </c>
      <c r="C133" s="28">
        <v>19</v>
      </c>
      <c r="D133" s="34" t="s">
        <v>517</v>
      </c>
      <c r="E133" s="28">
        <v>1905</v>
      </c>
      <c r="F133" s="34" t="s">
        <v>2076</v>
      </c>
      <c r="G133" s="28">
        <v>1905012</v>
      </c>
      <c r="H133" s="34" t="s">
        <v>2093</v>
      </c>
      <c r="I133" s="28">
        <v>1905012</v>
      </c>
      <c r="J133" s="34" t="s">
        <v>2093</v>
      </c>
      <c r="K133" s="215">
        <v>190501200</v>
      </c>
      <c r="L133" s="34" t="s">
        <v>2093</v>
      </c>
      <c r="M133" s="215">
        <v>190501200</v>
      </c>
      <c r="N133" s="34" t="s">
        <v>2093</v>
      </c>
      <c r="O133" s="842">
        <v>1</v>
      </c>
      <c r="P133" s="842"/>
      <c r="Q133" s="842">
        <v>1</v>
      </c>
      <c r="R133" s="79">
        <v>2020003630127</v>
      </c>
      <c r="S133" s="34" t="s">
        <v>2094</v>
      </c>
      <c r="T133" s="500">
        <f t="shared" ref="T133:T139" si="16">SUM($X$132:$X$139)/SUM($X$132:$X$149)</f>
        <v>0.5</v>
      </c>
      <c r="U133" s="34" t="s">
        <v>2095</v>
      </c>
      <c r="V133" s="34" t="s">
        <v>2096</v>
      </c>
      <c r="W133" s="34" t="s">
        <v>2097</v>
      </c>
      <c r="X133" s="328">
        <v>37500000</v>
      </c>
      <c r="Y133" s="328"/>
      <c r="Z133" s="328"/>
      <c r="AA133" s="328"/>
      <c r="AB133" s="707">
        <f t="shared" si="8"/>
        <v>37500000</v>
      </c>
      <c r="AC133" s="203" t="s">
        <v>2099</v>
      </c>
      <c r="AD133" s="842"/>
      <c r="AE133" s="842">
        <v>20</v>
      </c>
      <c r="AF133" s="28" t="s">
        <v>327</v>
      </c>
      <c r="AG133" s="320">
        <v>289394</v>
      </c>
      <c r="AH133" s="28">
        <v>279112</v>
      </c>
      <c r="AI133" s="28">
        <v>63164</v>
      </c>
      <c r="AJ133" s="28">
        <v>45607</v>
      </c>
      <c r="AK133" s="28">
        <v>365607</v>
      </c>
      <c r="AL133" s="28">
        <v>75612</v>
      </c>
      <c r="AM133" s="28">
        <v>2145</v>
      </c>
      <c r="AN133" s="28">
        <v>12718</v>
      </c>
      <c r="AO133" s="28">
        <v>26</v>
      </c>
      <c r="AP133" s="28">
        <v>37</v>
      </c>
      <c r="AQ133" s="28" t="s">
        <v>1818</v>
      </c>
      <c r="AR133" s="28" t="s">
        <v>1819</v>
      </c>
      <c r="AS133" s="28">
        <v>78</v>
      </c>
      <c r="AT133" s="28">
        <v>16897</v>
      </c>
      <c r="AU133" s="28">
        <v>852</v>
      </c>
      <c r="AV133" s="28">
        <v>568506</v>
      </c>
      <c r="AW133" s="843">
        <v>45293</v>
      </c>
      <c r="AX133" s="843">
        <v>45657</v>
      </c>
      <c r="AY133" s="28" t="s">
        <v>1820</v>
      </c>
      <c r="AZ133" s="15"/>
      <c r="BA133" s="15"/>
      <c r="BB133" s="15"/>
      <c r="BC133" s="15"/>
      <c r="BD133" s="15"/>
      <c r="BE133" s="15"/>
      <c r="BF133" s="15"/>
      <c r="BG133" s="15"/>
      <c r="BH133" s="15"/>
      <c r="BI133" s="15"/>
      <c r="BJ133" s="15"/>
      <c r="BK133" s="15"/>
      <c r="BL133" s="15"/>
      <c r="BM133" s="15"/>
      <c r="BN133" s="15"/>
    </row>
    <row r="134" spans="1:66" s="47" customFormat="1" ht="114.75" x14ac:dyDescent="0.2">
      <c r="A134" s="28" t="s">
        <v>2100</v>
      </c>
      <c r="B134" s="34" t="s">
        <v>315</v>
      </c>
      <c r="C134" s="28">
        <v>19</v>
      </c>
      <c r="D134" s="34" t="s">
        <v>517</v>
      </c>
      <c r="E134" s="28">
        <v>1905</v>
      </c>
      <c r="F134" s="34" t="s">
        <v>2076</v>
      </c>
      <c r="G134" s="28">
        <v>1905012</v>
      </c>
      <c r="H134" s="34" t="s">
        <v>2093</v>
      </c>
      <c r="I134" s="28">
        <v>1905012</v>
      </c>
      <c r="J134" s="34" t="s">
        <v>2093</v>
      </c>
      <c r="K134" s="215">
        <v>190501200</v>
      </c>
      <c r="L134" s="34" t="s">
        <v>2093</v>
      </c>
      <c r="M134" s="215">
        <v>190501200</v>
      </c>
      <c r="N134" s="34" t="s">
        <v>2093</v>
      </c>
      <c r="O134" s="842">
        <v>1</v>
      </c>
      <c r="P134" s="842"/>
      <c r="Q134" s="842">
        <v>1</v>
      </c>
      <c r="R134" s="79">
        <v>2020003630127</v>
      </c>
      <c r="S134" s="34" t="s">
        <v>2094</v>
      </c>
      <c r="T134" s="500">
        <f t="shared" si="16"/>
        <v>0.5</v>
      </c>
      <c r="U134" s="34" t="s">
        <v>2095</v>
      </c>
      <c r="V134" s="34" t="s">
        <v>2096</v>
      </c>
      <c r="W134" s="34" t="s">
        <v>2101</v>
      </c>
      <c r="X134" s="328">
        <v>6000000</v>
      </c>
      <c r="Y134" s="328"/>
      <c r="Z134" s="328"/>
      <c r="AA134" s="328"/>
      <c r="AB134" s="707">
        <f t="shared" si="8"/>
        <v>6000000</v>
      </c>
      <c r="AC134" s="203" t="s">
        <v>2098</v>
      </c>
      <c r="AD134" s="842"/>
      <c r="AE134" s="842">
        <v>61</v>
      </c>
      <c r="AF134" s="28" t="s">
        <v>2084</v>
      </c>
      <c r="AG134" s="320">
        <v>289394</v>
      </c>
      <c r="AH134" s="28">
        <v>279112</v>
      </c>
      <c r="AI134" s="28">
        <v>63164</v>
      </c>
      <c r="AJ134" s="28">
        <v>45607</v>
      </c>
      <c r="AK134" s="28">
        <v>365607</v>
      </c>
      <c r="AL134" s="28">
        <v>75612</v>
      </c>
      <c r="AM134" s="28">
        <v>2145</v>
      </c>
      <c r="AN134" s="28">
        <v>12718</v>
      </c>
      <c r="AO134" s="28">
        <v>26</v>
      </c>
      <c r="AP134" s="28">
        <v>37</v>
      </c>
      <c r="AQ134" s="28" t="s">
        <v>1818</v>
      </c>
      <c r="AR134" s="28" t="s">
        <v>1819</v>
      </c>
      <c r="AS134" s="28">
        <v>78</v>
      </c>
      <c r="AT134" s="28">
        <v>16897</v>
      </c>
      <c r="AU134" s="28">
        <v>852</v>
      </c>
      <c r="AV134" s="28">
        <v>568506</v>
      </c>
      <c r="AW134" s="843">
        <v>45293</v>
      </c>
      <c r="AX134" s="843">
        <v>45657</v>
      </c>
      <c r="AY134" s="28" t="s">
        <v>1820</v>
      </c>
      <c r="AZ134" s="15"/>
      <c r="BA134" s="15"/>
      <c r="BB134" s="15"/>
      <c r="BC134" s="15"/>
      <c r="BD134" s="15"/>
      <c r="BE134" s="15"/>
      <c r="BF134" s="15"/>
      <c r="BG134" s="15"/>
      <c r="BH134" s="15"/>
      <c r="BI134" s="15"/>
      <c r="BJ134" s="15"/>
      <c r="BK134" s="15"/>
      <c r="BL134" s="15"/>
      <c r="BM134" s="15"/>
      <c r="BN134" s="15"/>
    </row>
    <row r="135" spans="1:66" s="47" customFormat="1" ht="114.75" x14ac:dyDescent="0.2">
      <c r="A135" s="28">
        <v>1</v>
      </c>
      <c r="B135" s="34" t="s">
        <v>315</v>
      </c>
      <c r="C135" s="28">
        <v>19</v>
      </c>
      <c r="D135" s="34" t="s">
        <v>517</v>
      </c>
      <c r="E135" s="28">
        <v>1905</v>
      </c>
      <c r="F135" s="34" t="s">
        <v>2076</v>
      </c>
      <c r="G135" s="28">
        <v>1905012</v>
      </c>
      <c r="H135" s="34" t="s">
        <v>2093</v>
      </c>
      <c r="I135" s="28">
        <v>1905012</v>
      </c>
      <c r="J135" s="34" t="s">
        <v>2093</v>
      </c>
      <c r="K135" s="215">
        <v>190501200</v>
      </c>
      <c r="L135" s="34" t="s">
        <v>2093</v>
      </c>
      <c r="M135" s="215">
        <v>190501200</v>
      </c>
      <c r="N135" s="34" t="s">
        <v>2093</v>
      </c>
      <c r="O135" s="842">
        <v>1</v>
      </c>
      <c r="P135" s="842"/>
      <c r="Q135" s="842">
        <v>1</v>
      </c>
      <c r="R135" s="79">
        <v>2020003630127</v>
      </c>
      <c r="S135" s="34" t="s">
        <v>2094</v>
      </c>
      <c r="T135" s="500">
        <f t="shared" si="16"/>
        <v>0.5</v>
      </c>
      <c r="U135" s="34" t="s">
        <v>2095</v>
      </c>
      <c r="V135" s="34" t="s">
        <v>2096</v>
      </c>
      <c r="W135" s="34" t="s">
        <v>2101</v>
      </c>
      <c r="X135" s="328">
        <v>37500000</v>
      </c>
      <c r="Y135" s="328"/>
      <c r="Z135" s="328"/>
      <c r="AA135" s="328"/>
      <c r="AB135" s="707">
        <f t="shared" si="8"/>
        <v>37500000</v>
      </c>
      <c r="AC135" s="203" t="s">
        <v>2099</v>
      </c>
      <c r="AD135" s="842"/>
      <c r="AE135" s="842">
        <v>20</v>
      </c>
      <c r="AF135" s="28" t="s">
        <v>327</v>
      </c>
      <c r="AG135" s="320">
        <v>289394</v>
      </c>
      <c r="AH135" s="28">
        <v>279112</v>
      </c>
      <c r="AI135" s="28">
        <v>63164</v>
      </c>
      <c r="AJ135" s="28">
        <v>45607</v>
      </c>
      <c r="AK135" s="28">
        <v>365607</v>
      </c>
      <c r="AL135" s="28">
        <v>75612</v>
      </c>
      <c r="AM135" s="28">
        <v>2145</v>
      </c>
      <c r="AN135" s="28">
        <v>12718</v>
      </c>
      <c r="AO135" s="28">
        <v>26</v>
      </c>
      <c r="AP135" s="28">
        <v>37</v>
      </c>
      <c r="AQ135" s="28" t="s">
        <v>1818</v>
      </c>
      <c r="AR135" s="28" t="s">
        <v>1819</v>
      </c>
      <c r="AS135" s="28">
        <v>78</v>
      </c>
      <c r="AT135" s="28">
        <v>16897</v>
      </c>
      <c r="AU135" s="28">
        <v>852</v>
      </c>
      <c r="AV135" s="28">
        <v>568506</v>
      </c>
      <c r="AW135" s="843">
        <v>45293</v>
      </c>
      <c r="AX135" s="843">
        <v>45657</v>
      </c>
      <c r="AY135" s="28" t="s">
        <v>1820</v>
      </c>
      <c r="AZ135" s="15"/>
      <c r="BA135" s="15"/>
      <c r="BB135" s="15"/>
      <c r="BC135" s="15"/>
      <c r="BD135" s="15"/>
      <c r="BE135" s="15"/>
      <c r="BF135" s="15"/>
      <c r="BG135" s="15"/>
      <c r="BH135" s="15"/>
      <c r="BI135" s="15"/>
      <c r="BJ135" s="15"/>
      <c r="BK135" s="15"/>
      <c r="BL135" s="15"/>
      <c r="BM135" s="15"/>
      <c r="BN135" s="15"/>
    </row>
    <row r="136" spans="1:66" s="47" customFormat="1" ht="114.75" x14ac:dyDescent="0.2">
      <c r="A136" s="28">
        <v>1</v>
      </c>
      <c r="B136" s="34" t="s">
        <v>315</v>
      </c>
      <c r="C136" s="28">
        <v>19</v>
      </c>
      <c r="D136" s="34" t="s">
        <v>517</v>
      </c>
      <c r="E136" s="28">
        <v>1905</v>
      </c>
      <c r="F136" s="34" t="s">
        <v>2076</v>
      </c>
      <c r="G136" s="28">
        <v>1905012</v>
      </c>
      <c r="H136" s="34" t="s">
        <v>2093</v>
      </c>
      <c r="I136" s="28">
        <v>1905012</v>
      </c>
      <c r="J136" s="34" t="s">
        <v>2093</v>
      </c>
      <c r="K136" s="215">
        <v>190501200</v>
      </c>
      <c r="L136" s="34" t="s">
        <v>2093</v>
      </c>
      <c r="M136" s="215">
        <v>190501200</v>
      </c>
      <c r="N136" s="34" t="s">
        <v>2093</v>
      </c>
      <c r="O136" s="842">
        <v>1</v>
      </c>
      <c r="P136" s="842"/>
      <c r="Q136" s="842">
        <v>1</v>
      </c>
      <c r="R136" s="79">
        <v>2020003630127</v>
      </c>
      <c r="S136" s="34" t="s">
        <v>2094</v>
      </c>
      <c r="T136" s="500">
        <f t="shared" si="16"/>
        <v>0.5</v>
      </c>
      <c r="U136" s="34" t="s">
        <v>2095</v>
      </c>
      <c r="V136" s="34" t="s">
        <v>2096</v>
      </c>
      <c r="W136" s="34" t="s">
        <v>2102</v>
      </c>
      <c r="X136" s="328">
        <v>6000000</v>
      </c>
      <c r="Y136" s="328"/>
      <c r="Z136" s="328"/>
      <c r="AA136" s="328"/>
      <c r="AB136" s="707">
        <f t="shared" si="8"/>
        <v>6000000</v>
      </c>
      <c r="AC136" s="203" t="s">
        <v>2098</v>
      </c>
      <c r="AD136" s="842"/>
      <c r="AE136" s="842">
        <v>61</v>
      </c>
      <c r="AF136" s="28" t="s">
        <v>2084</v>
      </c>
      <c r="AG136" s="320">
        <v>289394</v>
      </c>
      <c r="AH136" s="28">
        <v>279112</v>
      </c>
      <c r="AI136" s="28">
        <v>63164</v>
      </c>
      <c r="AJ136" s="28">
        <v>45607</v>
      </c>
      <c r="AK136" s="28">
        <v>365607</v>
      </c>
      <c r="AL136" s="28">
        <v>75612</v>
      </c>
      <c r="AM136" s="28">
        <v>2145</v>
      </c>
      <c r="AN136" s="28">
        <v>12718</v>
      </c>
      <c r="AO136" s="28">
        <v>26</v>
      </c>
      <c r="AP136" s="28">
        <v>37</v>
      </c>
      <c r="AQ136" s="28" t="s">
        <v>1818</v>
      </c>
      <c r="AR136" s="28" t="s">
        <v>1819</v>
      </c>
      <c r="AS136" s="28">
        <v>78</v>
      </c>
      <c r="AT136" s="28">
        <v>16897</v>
      </c>
      <c r="AU136" s="28">
        <v>852</v>
      </c>
      <c r="AV136" s="28">
        <v>568506</v>
      </c>
      <c r="AW136" s="843">
        <v>45293</v>
      </c>
      <c r="AX136" s="843">
        <v>45657</v>
      </c>
      <c r="AY136" s="28" t="s">
        <v>1820</v>
      </c>
      <c r="AZ136" s="15"/>
      <c r="BA136" s="15"/>
      <c r="BB136" s="15"/>
      <c r="BC136" s="15"/>
      <c r="BD136" s="15"/>
      <c r="BE136" s="15"/>
      <c r="BF136" s="15"/>
      <c r="BG136" s="15"/>
      <c r="BH136" s="15"/>
      <c r="BI136" s="15"/>
      <c r="BJ136" s="15"/>
      <c r="BK136" s="15"/>
      <c r="BL136" s="15"/>
      <c r="BM136" s="15"/>
      <c r="BN136" s="15"/>
    </row>
    <row r="137" spans="1:66" s="47" customFormat="1" ht="114.75" x14ac:dyDescent="0.2">
      <c r="A137" s="28">
        <v>1</v>
      </c>
      <c r="B137" s="34" t="s">
        <v>315</v>
      </c>
      <c r="C137" s="28">
        <v>19</v>
      </c>
      <c r="D137" s="34" t="s">
        <v>517</v>
      </c>
      <c r="E137" s="28">
        <v>1905</v>
      </c>
      <c r="F137" s="34" t="s">
        <v>2076</v>
      </c>
      <c r="G137" s="28">
        <v>1905012</v>
      </c>
      <c r="H137" s="34" t="s">
        <v>2093</v>
      </c>
      <c r="I137" s="28">
        <v>1905012</v>
      </c>
      <c r="J137" s="34" t="s">
        <v>2093</v>
      </c>
      <c r="K137" s="215">
        <v>190501200</v>
      </c>
      <c r="L137" s="34" t="s">
        <v>2093</v>
      </c>
      <c r="M137" s="215">
        <v>190501200</v>
      </c>
      <c r="N137" s="34" t="s">
        <v>2093</v>
      </c>
      <c r="O137" s="842">
        <v>1</v>
      </c>
      <c r="P137" s="842"/>
      <c r="Q137" s="842">
        <v>1</v>
      </c>
      <c r="R137" s="79">
        <v>2020003630127</v>
      </c>
      <c r="S137" s="34" t="s">
        <v>2094</v>
      </c>
      <c r="T137" s="500">
        <f t="shared" si="16"/>
        <v>0.5</v>
      </c>
      <c r="U137" s="34" t="s">
        <v>2095</v>
      </c>
      <c r="V137" s="34" t="s">
        <v>2096</v>
      </c>
      <c r="W137" s="34" t="s">
        <v>2102</v>
      </c>
      <c r="X137" s="328">
        <v>37500000</v>
      </c>
      <c r="Y137" s="328"/>
      <c r="Z137" s="328"/>
      <c r="AA137" s="328"/>
      <c r="AB137" s="707">
        <f t="shared" si="8"/>
        <v>37500000</v>
      </c>
      <c r="AC137" s="203" t="s">
        <v>2103</v>
      </c>
      <c r="AD137" s="842"/>
      <c r="AE137" s="842">
        <v>20</v>
      </c>
      <c r="AF137" s="28" t="s">
        <v>327</v>
      </c>
      <c r="AG137" s="320">
        <v>289394</v>
      </c>
      <c r="AH137" s="28">
        <v>279112</v>
      </c>
      <c r="AI137" s="28">
        <v>63164</v>
      </c>
      <c r="AJ137" s="28">
        <v>45607</v>
      </c>
      <c r="AK137" s="28">
        <v>365607</v>
      </c>
      <c r="AL137" s="28">
        <v>75612</v>
      </c>
      <c r="AM137" s="28">
        <v>2145</v>
      </c>
      <c r="AN137" s="28">
        <v>12718</v>
      </c>
      <c r="AO137" s="28">
        <v>26</v>
      </c>
      <c r="AP137" s="28">
        <v>37</v>
      </c>
      <c r="AQ137" s="28" t="s">
        <v>1818</v>
      </c>
      <c r="AR137" s="28" t="s">
        <v>1819</v>
      </c>
      <c r="AS137" s="28">
        <v>78</v>
      </c>
      <c r="AT137" s="28">
        <v>16897</v>
      </c>
      <c r="AU137" s="28">
        <v>852</v>
      </c>
      <c r="AV137" s="28">
        <v>568506</v>
      </c>
      <c r="AW137" s="843">
        <v>45293</v>
      </c>
      <c r="AX137" s="843">
        <v>45657</v>
      </c>
      <c r="AY137" s="28" t="s">
        <v>1820</v>
      </c>
      <c r="AZ137" s="15"/>
      <c r="BA137" s="15"/>
      <c r="BB137" s="15"/>
      <c r="BC137" s="15"/>
      <c r="BD137" s="15"/>
      <c r="BE137" s="15"/>
      <c r="BF137" s="15"/>
      <c r="BG137" s="15"/>
      <c r="BH137" s="15"/>
      <c r="BI137" s="15"/>
      <c r="BJ137" s="15"/>
      <c r="BK137" s="15"/>
      <c r="BL137" s="15"/>
      <c r="BM137" s="15"/>
      <c r="BN137" s="15"/>
    </row>
    <row r="138" spans="1:66" s="47" customFormat="1" ht="114.75" x14ac:dyDescent="0.2">
      <c r="A138" s="28">
        <v>1</v>
      </c>
      <c r="B138" s="34" t="s">
        <v>315</v>
      </c>
      <c r="C138" s="28">
        <v>19</v>
      </c>
      <c r="D138" s="34" t="s">
        <v>517</v>
      </c>
      <c r="E138" s="28">
        <v>1905</v>
      </c>
      <c r="F138" s="34" t="s">
        <v>2076</v>
      </c>
      <c r="G138" s="28">
        <v>1905012</v>
      </c>
      <c r="H138" s="34" t="s">
        <v>2093</v>
      </c>
      <c r="I138" s="28">
        <v>1905012</v>
      </c>
      <c r="J138" s="34" t="s">
        <v>2093</v>
      </c>
      <c r="K138" s="215">
        <v>190501200</v>
      </c>
      <c r="L138" s="34" t="s">
        <v>2093</v>
      </c>
      <c r="M138" s="215">
        <v>190501200</v>
      </c>
      <c r="N138" s="34" t="s">
        <v>2093</v>
      </c>
      <c r="O138" s="842">
        <v>1</v>
      </c>
      <c r="P138" s="842"/>
      <c r="Q138" s="842">
        <v>1</v>
      </c>
      <c r="R138" s="79">
        <v>2020003630127</v>
      </c>
      <c r="S138" s="34" t="s">
        <v>2094</v>
      </c>
      <c r="T138" s="500">
        <f t="shared" si="16"/>
        <v>0.5</v>
      </c>
      <c r="U138" s="34" t="s">
        <v>2095</v>
      </c>
      <c r="V138" s="34" t="s">
        <v>2096</v>
      </c>
      <c r="W138" s="34" t="s">
        <v>2104</v>
      </c>
      <c r="X138" s="328">
        <v>6000000</v>
      </c>
      <c r="Y138" s="328"/>
      <c r="Z138" s="328"/>
      <c r="AA138" s="328"/>
      <c r="AB138" s="707">
        <f t="shared" si="8"/>
        <v>6000000</v>
      </c>
      <c r="AC138" s="203" t="s">
        <v>2105</v>
      </c>
      <c r="AD138" s="842"/>
      <c r="AE138" s="842">
        <v>61</v>
      </c>
      <c r="AF138" s="28" t="s">
        <v>2084</v>
      </c>
      <c r="AG138" s="320">
        <v>289394</v>
      </c>
      <c r="AH138" s="28">
        <v>279112</v>
      </c>
      <c r="AI138" s="28">
        <v>63164</v>
      </c>
      <c r="AJ138" s="28">
        <v>45607</v>
      </c>
      <c r="AK138" s="28">
        <v>365607</v>
      </c>
      <c r="AL138" s="28">
        <v>75612</v>
      </c>
      <c r="AM138" s="28">
        <v>2145</v>
      </c>
      <c r="AN138" s="28">
        <v>12718</v>
      </c>
      <c r="AO138" s="28">
        <v>26</v>
      </c>
      <c r="AP138" s="28">
        <v>37</v>
      </c>
      <c r="AQ138" s="28" t="s">
        <v>1818</v>
      </c>
      <c r="AR138" s="28" t="s">
        <v>1819</v>
      </c>
      <c r="AS138" s="28">
        <v>78</v>
      </c>
      <c r="AT138" s="28">
        <v>16897</v>
      </c>
      <c r="AU138" s="28">
        <v>852</v>
      </c>
      <c r="AV138" s="28">
        <v>568506</v>
      </c>
      <c r="AW138" s="843">
        <v>45293</v>
      </c>
      <c r="AX138" s="843">
        <v>45657</v>
      </c>
      <c r="AY138" s="28" t="s">
        <v>1820</v>
      </c>
      <c r="AZ138" s="15"/>
      <c r="BA138" s="15"/>
      <c r="BB138" s="15"/>
      <c r="BC138" s="15"/>
      <c r="BD138" s="15"/>
      <c r="BE138" s="15"/>
      <c r="BF138" s="15"/>
      <c r="BG138" s="15"/>
      <c r="BH138" s="15"/>
      <c r="BI138" s="15"/>
      <c r="BJ138" s="15"/>
      <c r="BK138" s="15"/>
      <c r="BL138" s="15"/>
      <c r="BM138" s="15"/>
      <c r="BN138" s="15"/>
    </row>
    <row r="139" spans="1:66" s="47" customFormat="1" ht="114.75" x14ac:dyDescent="0.2">
      <c r="A139" s="28">
        <v>1</v>
      </c>
      <c r="B139" s="34" t="s">
        <v>315</v>
      </c>
      <c r="C139" s="28">
        <v>19</v>
      </c>
      <c r="D139" s="34" t="s">
        <v>517</v>
      </c>
      <c r="E139" s="28">
        <v>1905</v>
      </c>
      <c r="F139" s="34" t="s">
        <v>2076</v>
      </c>
      <c r="G139" s="28">
        <v>1905012</v>
      </c>
      <c r="H139" s="34" t="s">
        <v>2093</v>
      </c>
      <c r="I139" s="28">
        <v>1905012</v>
      </c>
      <c r="J139" s="34" t="s">
        <v>2093</v>
      </c>
      <c r="K139" s="215">
        <v>190501200</v>
      </c>
      <c r="L139" s="34" t="s">
        <v>2093</v>
      </c>
      <c r="M139" s="215">
        <v>190501200</v>
      </c>
      <c r="N139" s="34" t="s">
        <v>2093</v>
      </c>
      <c r="O139" s="842">
        <v>1</v>
      </c>
      <c r="P139" s="842"/>
      <c r="Q139" s="842">
        <v>1</v>
      </c>
      <c r="R139" s="79">
        <v>2020003630127</v>
      </c>
      <c r="S139" s="34" t="s">
        <v>2094</v>
      </c>
      <c r="T139" s="500">
        <f t="shared" si="16"/>
        <v>0.5</v>
      </c>
      <c r="U139" s="34" t="s">
        <v>2095</v>
      </c>
      <c r="V139" s="34" t="s">
        <v>2096</v>
      </c>
      <c r="W139" s="34" t="s">
        <v>2104</v>
      </c>
      <c r="X139" s="328">
        <v>37500000</v>
      </c>
      <c r="Y139" s="328"/>
      <c r="Z139" s="328"/>
      <c r="AA139" s="328"/>
      <c r="AB139" s="707">
        <f t="shared" si="8"/>
        <v>37500000</v>
      </c>
      <c r="AC139" s="203" t="s">
        <v>2099</v>
      </c>
      <c r="AD139" s="842"/>
      <c r="AE139" s="842">
        <v>20</v>
      </c>
      <c r="AF139" s="28" t="s">
        <v>327</v>
      </c>
      <c r="AG139" s="320">
        <v>289394</v>
      </c>
      <c r="AH139" s="28">
        <v>279112</v>
      </c>
      <c r="AI139" s="28">
        <v>63164</v>
      </c>
      <c r="AJ139" s="28">
        <v>45607</v>
      </c>
      <c r="AK139" s="28">
        <v>365607</v>
      </c>
      <c r="AL139" s="28">
        <v>75612</v>
      </c>
      <c r="AM139" s="28">
        <v>2145</v>
      </c>
      <c r="AN139" s="28">
        <v>12718</v>
      </c>
      <c r="AO139" s="28">
        <v>26</v>
      </c>
      <c r="AP139" s="28">
        <v>37</v>
      </c>
      <c r="AQ139" s="28" t="s">
        <v>1818</v>
      </c>
      <c r="AR139" s="28" t="s">
        <v>1819</v>
      </c>
      <c r="AS139" s="28">
        <v>78</v>
      </c>
      <c r="AT139" s="28">
        <v>16897</v>
      </c>
      <c r="AU139" s="28">
        <v>852</v>
      </c>
      <c r="AV139" s="28">
        <v>568506</v>
      </c>
      <c r="AW139" s="843">
        <v>45293</v>
      </c>
      <c r="AX139" s="843">
        <v>45657</v>
      </c>
      <c r="AY139" s="28" t="s">
        <v>1820</v>
      </c>
      <c r="AZ139" s="15"/>
      <c r="BA139" s="15"/>
      <c r="BB139" s="15"/>
      <c r="BC139" s="15"/>
      <c r="BD139" s="15"/>
      <c r="BE139" s="15"/>
      <c r="BF139" s="15"/>
      <c r="BG139" s="15"/>
      <c r="BH139" s="15"/>
      <c r="BI139" s="15"/>
      <c r="BJ139" s="15"/>
      <c r="BK139" s="15"/>
      <c r="BL139" s="15"/>
      <c r="BM139" s="15"/>
      <c r="BN139" s="15"/>
    </row>
    <row r="140" spans="1:66" s="47" customFormat="1" ht="63.75" x14ac:dyDescent="0.2">
      <c r="A140" s="28">
        <v>1</v>
      </c>
      <c r="B140" s="34" t="s">
        <v>315</v>
      </c>
      <c r="C140" s="28">
        <v>19</v>
      </c>
      <c r="D140" s="34" t="s">
        <v>517</v>
      </c>
      <c r="E140" s="28">
        <v>1905</v>
      </c>
      <c r="F140" s="34" t="s">
        <v>2076</v>
      </c>
      <c r="G140" s="28">
        <v>1905026</v>
      </c>
      <c r="H140" s="34" t="s">
        <v>2106</v>
      </c>
      <c r="I140" s="28">
        <v>1905026</v>
      </c>
      <c r="J140" s="34" t="s">
        <v>2106</v>
      </c>
      <c r="K140" s="215">
        <v>190502600</v>
      </c>
      <c r="L140" s="34" t="s">
        <v>2107</v>
      </c>
      <c r="M140" s="215">
        <v>190502600</v>
      </c>
      <c r="N140" s="34" t="s">
        <v>2107</v>
      </c>
      <c r="O140" s="842">
        <v>12</v>
      </c>
      <c r="P140" s="842"/>
      <c r="Q140" s="842">
        <v>12</v>
      </c>
      <c r="R140" s="79">
        <v>2020003630127</v>
      </c>
      <c r="S140" s="34" t="s">
        <v>2094</v>
      </c>
      <c r="T140" s="500">
        <f>SUM($X$140:$X$144)/SUM($X$132:$X$149)</f>
        <v>0.2413793103448276</v>
      </c>
      <c r="U140" s="34" t="s">
        <v>2095</v>
      </c>
      <c r="V140" s="34" t="s">
        <v>2108</v>
      </c>
      <c r="W140" s="34" t="s">
        <v>2109</v>
      </c>
      <c r="X140" s="844">
        <v>16800000</v>
      </c>
      <c r="Y140" s="844"/>
      <c r="Z140" s="844"/>
      <c r="AA140" s="844"/>
      <c r="AB140" s="707">
        <f t="shared" si="8"/>
        <v>16800000</v>
      </c>
      <c r="AC140" s="845" t="s">
        <v>2110</v>
      </c>
      <c r="AD140" s="842"/>
      <c r="AE140" s="842">
        <v>61</v>
      </c>
      <c r="AF140" s="28" t="s">
        <v>2084</v>
      </c>
      <c r="AG140" s="320">
        <v>289394</v>
      </c>
      <c r="AH140" s="28">
        <v>279112</v>
      </c>
      <c r="AI140" s="28">
        <v>63164</v>
      </c>
      <c r="AJ140" s="28">
        <v>45607</v>
      </c>
      <c r="AK140" s="28">
        <v>365607</v>
      </c>
      <c r="AL140" s="28">
        <v>75612</v>
      </c>
      <c r="AM140" s="28">
        <v>2145</v>
      </c>
      <c r="AN140" s="28">
        <v>12718</v>
      </c>
      <c r="AO140" s="28">
        <v>26</v>
      </c>
      <c r="AP140" s="28">
        <v>37</v>
      </c>
      <c r="AQ140" s="28" t="s">
        <v>1818</v>
      </c>
      <c r="AR140" s="28" t="s">
        <v>1819</v>
      </c>
      <c r="AS140" s="28">
        <v>78</v>
      </c>
      <c r="AT140" s="28">
        <v>16897</v>
      </c>
      <c r="AU140" s="28">
        <v>852</v>
      </c>
      <c r="AV140" s="28">
        <v>568506</v>
      </c>
      <c r="AW140" s="843">
        <v>45293</v>
      </c>
      <c r="AX140" s="843">
        <v>45657</v>
      </c>
      <c r="AY140" s="28" t="s">
        <v>1820</v>
      </c>
      <c r="AZ140" s="15"/>
      <c r="BA140" s="15"/>
      <c r="BB140" s="15"/>
      <c r="BC140" s="15"/>
      <c r="BD140" s="15"/>
      <c r="BE140" s="15"/>
      <c r="BF140" s="15"/>
      <c r="BG140" s="15"/>
      <c r="BH140" s="15"/>
      <c r="BI140" s="15"/>
      <c r="BJ140" s="15"/>
      <c r="BK140" s="15"/>
      <c r="BL140" s="15"/>
      <c r="BM140" s="15"/>
      <c r="BN140" s="15"/>
    </row>
    <row r="141" spans="1:66" s="47" customFormat="1" ht="63.75" x14ac:dyDescent="0.2">
      <c r="A141" s="28">
        <v>1</v>
      </c>
      <c r="B141" s="34" t="s">
        <v>315</v>
      </c>
      <c r="C141" s="28">
        <v>19</v>
      </c>
      <c r="D141" s="34" t="s">
        <v>517</v>
      </c>
      <c r="E141" s="28">
        <v>1905</v>
      </c>
      <c r="F141" s="34" t="s">
        <v>2076</v>
      </c>
      <c r="G141" s="28">
        <v>1905026</v>
      </c>
      <c r="H141" s="34" t="s">
        <v>2106</v>
      </c>
      <c r="I141" s="28">
        <v>1905026</v>
      </c>
      <c r="J141" s="34" t="s">
        <v>2106</v>
      </c>
      <c r="K141" s="215">
        <v>190502600</v>
      </c>
      <c r="L141" s="34" t="s">
        <v>2107</v>
      </c>
      <c r="M141" s="215">
        <v>190502600</v>
      </c>
      <c r="N141" s="34" t="s">
        <v>2107</v>
      </c>
      <c r="O141" s="842">
        <v>12</v>
      </c>
      <c r="P141" s="842"/>
      <c r="Q141" s="842">
        <v>12</v>
      </c>
      <c r="R141" s="79">
        <v>2020003630127</v>
      </c>
      <c r="S141" s="34" t="s">
        <v>2094</v>
      </c>
      <c r="T141" s="500">
        <f t="shared" ref="T141:T144" si="17">SUM($X$140:$X$144)/SUM($X$132:$X$149)</f>
        <v>0.2413793103448276</v>
      </c>
      <c r="U141" s="34" t="s">
        <v>2095</v>
      </c>
      <c r="V141" s="34" t="s">
        <v>2108</v>
      </c>
      <c r="W141" s="34" t="s">
        <v>2111</v>
      </c>
      <c r="X141" s="844">
        <v>16800000</v>
      </c>
      <c r="Y141" s="844"/>
      <c r="Z141" s="844"/>
      <c r="AA141" s="844"/>
      <c r="AB141" s="707">
        <f t="shared" si="8"/>
        <v>16800000</v>
      </c>
      <c r="AC141" s="845" t="s">
        <v>2112</v>
      </c>
      <c r="AD141" s="842"/>
      <c r="AE141" s="842">
        <v>61</v>
      </c>
      <c r="AF141" s="28" t="s">
        <v>2084</v>
      </c>
      <c r="AG141" s="320">
        <v>289394</v>
      </c>
      <c r="AH141" s="28">
        <v>279112</v>
      </c>
      <c r="AI141" s="28">
        <v>63164</v>
      </c>
      <c r="AJ141" s="28">
        <v>45607</v>
      </c>
      <c r="AK141" s="28">
        <v>365607</v>
      </c>
      <c r="AL141" s="28">
        <v>75612</v>
      </c>
      <c r="AM141" s="28">
        <v>2145</v>
      </c>
      <c r="AN141" s="28">
        <v>12718</v>
      </c>
      <c r="AO141" s="28">
        <v>26</v>
      </c>
      <c r="AP141" s="28">
        <v>37</v>
      </c>
      <c r="AQ141" s="28" t="s">
        <v>1818</v>
      </c>
      <c r="AR141" s="28" t="s">
        <v>1819</v>
      </c>
      <c r="AS141" s="28">
        <v>78</v>
      </c>
      <c r="AT141" s="28">
        <v>16897</v>
      </c>
      <c r="AU141" s="28">
        <v>852</v>
      </c>
      <c r="AV141" s="28">
        <v>568506</v>
      </c>
      <c r="AW141" s="843">
        <v>45293</v>
      </c>
      <c r="AX141" s="843">
        <v>45657</v>
      </c>
      <c r="AY141" s="28" t="s">
        <v>1820</v>
      </c>
      <c r="AZ141" s="15"/>
      <c r="BA141" s="15"/>
      <c r="BB141" s="15"/>
      <c r="BC141" s="15"/>
      <c r="BD141" s="15"/>
      <c r="BE141" s="15"/>
      <c r="BF141" s="15"/>
      <c r="BG141" s="15"/>
      <c r="BH141" s="15"/>
      <c r="BI141" s="15"/>
      <c r="BJ141" s="15"/>
      <c r="BK141" s="15"/>
      <c r="BL141" s="15"/>
      <c r="BM141" s="15"/>
      <c r="BN141" s="15"/>
    </row>
    <row r="142" spans="1:66" s="47" customFormat="1" ht="63.75" x14ac:dyDescent="0.2">
      <c r="A142" s="28">
        <v>1</v>
      </c>
      <c r="B142" s="34" t="s">
        <v>315</v>
      </c>
      <c r="C142" s="28">
        <v>19</v>
      </c>
      <c r="D142" s="34" t="s">
        <v>517</v>
      </c>
      <c r="E142" s="28">
        <v>1905</v>
      </c>
      <c r="F142" s="34" t="s">
        <v>2076</v>
      </c>
      <c r="G142" s="28">
        <v>1905026</v>
      </c>
      <c r="H142" s="34" t="s">
        <v>2106</v>
      </c>
      <c r="I142" s="28">
        <v>1905026</v>
      </c>
      <c r="J142" s="34" t="s">
        <v>2106</v>
      </c>
      <c r="K142" s="215">
        <v>190502600</v>
      </c>
      <c r="L142" s="34" t="s">
        <v>2107</v>
      </c>
      <c r="M142" s="215">
        <v>190502600</v>
      </c>
      <c r="N142" s="34" t="s">
        <v>2107</v>
      </c>
      <c r="O142" s="842">
        <v>12</v>
      </c>
      <c r="P142" s="842"/>
      <c r="Q142" s="842">
        <v>12</v>
      </c>
      <c r="R142" s="79">
        <v>2020003630127</v>
      </c>
      <c r="S142" s="34" t="s">
        <v>2094</v>
      </c>
      <c r="T142" s="500">
        <f t="shared" si="17"/>
        <v>0.2413793103448276</v>
      </c>
      <c r="U142" s="34" t="s">
        <v>2095</v>
      </c>
      <c r="V142" s="34" t="s">
        <v>2108</v>
      </c>
      <c r="W142" s="34" t="s">
        <v>2113</v>
      </c>
      <c r="X142" s="844">
        <v>16800000</v>
      </c>
      <c r="Y142" s="844"/>
      <c r="Z142" s="844"/>
      <c r="AA142" s="844"/>
      <c r="AB142" s="707">
        <f t="shared" si="8"/>
        <v>16800000</v>
      </c>
      <c r="AC142" s="845" t="s">
        <v>2112</v>
      </c>
      <c r="AD142" s="842"/>
      <c r="AE142" s="842">
        <v>61</v>
      </c>
      <c r="AF142" s="28" t="s">
        <v>2084</v>
      </c>
      <c r="AG142" s="320">
        <v>289394</v>
      </c>
      <c r="AH142" s="28">
        <v>279112</v>
      </c>
      <c r="AI142" s="28">
        <v>63164</v>
      </c>
      <c r="AJ142" s="28">
        <v>45607</v>
      </c>
      <c r="AK142" s="28">
        <v>365607</v>
      </c>
      <c r="AL142" s="28">
        <v>75612</v>
      </c>
      <c r="AM142" s="28">
        <v>2145</v>
      </c>
      <c r="AN142" s="28">
        <v>12718</v>
      </c>
      <c r="AO142" s="28">
        <v>26</v>
      </c>
      <c r="AP142" s="28">
        <v>37</v>
      </c>
      <c r="AQ142" s="28" t="s">
        <v>1818</v>
      </c>
      <c r="AR142" s="28" t="s">
        <v>1819</v>
      </c>
      <c r="AS142" s="28">
        <v>78</v>
      </c>
      <c r="AT142" s="28">
        <v>16897</v>
      </c>
      <c r="AU142" s="28">
        <v>852</v>
      </c>
      <c r="AV142" s="28">
        <v>568506</v>
      </c>
      <c r="AW142" s="843">
        <v>45293</v>
      </c>
      <c r="AX142" s="843">
        <v>45657</v>
      </c>
      <c r="AY142" s="28" t="s">
        <v>1820</v>
      </c>
      <c r="AZ142" s="15"/>
      <c r="BA142" s="15"/>
      <c r="BB142" s="15"/>
      <c r="BC142" s="15"/>
      <c r="BD142" s="15"/>
      <c r="BE142" s="15"/>
      <c r="BF142" s="15"/>
      <c r="BG142" s="15"/>
      <c r="BH142" s="15"/>
      <c r="BI142" s="15"/>
      <c r="BJ142" s="15"/>
      <c r="BK142" s="15"/>
      <c r="BL142" s="15"/>
      <c r="BM142" s="15"/>
      <c r="BN142" s="15"/>
    </row>
    <row r="143" spans="1:66" s="47" customFormat="1" ht="63.75" x14ac:dyDescent="0.2">
      <c r="A143" s="28">
        <v>1</v>
      </c>
      <c r="B143" s="34" t="s">
        <v>315</v>
      </c>
      <c r="C143" s="28">
        <v>19</v>
      </c>
      <c r="D143" s="34" t="s">
        <v>517</v>
      </c>
      <c r="E143" s="28">
        <v>1905</v>
      </c>
      <c r="F143" s="34" t="s">
        <v>2076</v>
      </c>
      <c r="G143" s="28">
        <v>1905026</v>
      </c>
      <c r="H143" s="34" t="s">
        <v>2106</v>
      </c>
      <c r="I143" s="28">
        <v>1905026</v>
      </c>
      <c r="J143" s="34" t="s">
        <v>2106</v>
      </c>
      <c r="K143" s="215">
        <v>190502600</v>
      </c>
      <c r="L143" s="34" t="s">
        <v>2107</v>
      </c>
      <c r="M143" s="215">
        <v>190502600</v>
      </c>
      <c r="N143" s="34" t="s">
        <v>2107</v>
      </c>
      <c r="O143" s="842">
        <v>12</v>
      </c>
      <c r="P143" s="842"/>
      <c r="Q143" s="842">
        <v>12</v>
      </c>
      <c r="R143" s="79">
        <v>2020003630127</v>
      </c>
      <c r="S143" s="34" t="s">
        <v>2094</v>
      </c>
      <c r="T143" s="500">
        <f t="shared" si="17"/>
        <v>0.2413793103448276</v>
      </c>
      <c r="U143" s="34" t="s">
        <v>2095</v>
      </c>
      <c r="V143" s="34" t="s">
        <v>2108</v>
      </c>
      <c r="W143" s="34" t="s">
        <v>2114</v>
      </c>
      <c r="X143" s="844">
        <v>16800000</v>
      </c>
      <c r="Y143" s="844"/>
      <c r="Z143" s="844"/>
      <c r="AA143" s="844"/>
      <c r="AB143" s="707">
        <f t="shared" ref="AB143:AB206" si="18">X143-Y143+Z143-AA143</f>
        <v>16800000</v>
      </c>
      <c r="AC143" s="845" t="s">
        <v>2112</v>
      </c>
      <c r="AD143" s="842"/>
      <c r="AE143" s="842">
        <v>61</v>
      </c>
      <c r="AF143" s="28" t="s">
        <v>2084</v>
      </c>
      <c r="AG143" s="320">
        <v>289394</v>
      </c>
      <c r="AH143" s="28">
        <v>279112</v>
      </c>
      <c r="AI143" s="28">
        <v>63164</v>
      </c>
      <c r="AJ143" s="28">
        <v>45607</v>
      </c>
      <c r="AK143" s="28">
        <v>365607</v>
      </c>
      <c r="AL143" s="28">
        <v>75612</v>
      </c>
      <c r="AM143" s="28">
        <v>2145</v>
      </c>
      <c r="AN143" s="28">
        <v>12718</v>
      </c>
      <c r="AO143" s="28">
        <v>26</v>
      </c>
      <c r="AP143" s="28">
        <v>37</v>
      </c>
      <c r="AQ143" s="28" t="s">
        <v>1818</v>
      </c>
      <c r="AR143" s="28" t="s">
        <v>1819</v>
      </c>
      <c r="AS143" s="28">
        <v>78</v>
      </c>
      <c r="AT143" s="28">
        <v>16897</v>
      </c>
      <c r="AU143" s="28">
        <v>852</v>
      </c>
      <c r="AV143" s="28">
        <v>568506</v>
      </c>
      <c r="AW143" s="843">
        <v>45293</v>
      </c>
      <c r="AX143" s="843">
        <v>45657</v>
      </c>
      <c r="AY143" s="28" t="s">
        <v>1820</v>
      </c>
      <c r="AZ143" s="15"/>
      <c r="BA143" s="15"/>
      <c r="BB143" s="15"/>
      <c r="BC143" s="15"/>
      <c r="BD143" s="15"/>
      <c r="BE143" s="15"/>
      <c r="BF143" s="15"/>
      <c r="BG143" s="15"/>
      <c r="BH143" s="15"/>
      <c r="BI143" s="15"/>
      <c r="BJ143" s="15"/>
      <c r="BK143" s="15"/>
      <c r="BL143" s="15"/>
      <c r="BM143" s="15"/>
      <c r="BN143" s="15"/>
    </row>
    <row r="144" spans="1:66" s="47" customFormat="1" ht="63.75" x14ac:dyDescent="0.2">
      <c r="A144" s="28">
        <v>1</v>
      </c>
      <c r="B144" s="34" t="s">
        <v>315</v>
      </c>
      <c r="C144" s="28">
        <v>19</v>
      </c>
      <c r="D144" s="34" t="s">
        <v>517</v>
      </c>
      <c r="E144" s="28">
        <v>1905</v>
      </c>
      <c r="F144" s="34" t="s">
        <v>2076</v>
      </c>
      <c r="G144" s="28">
        <v>1905026</v>
      </c>
      <c r="H144" s="34" t="s">
        <v>2106</v>
      </c>
      <c r="I144" s="28">
        <v>1905026</v>
      </c>
      <c r="J144" s="34" t="s">
        <v>2106</v>
      </c>
      <c r="K144" s="215">
        <v>190502600</v>
      </c>
      <c r="L144" s="34" t="s">
        <v>2107</v>
      </c>
      <c r="M144" s="215">
        <v>190502600</v>
      </c>
      <c r="N144" s="34" t="s">
        <v>2107</v>
      </c>
      <c r="O144" s="842">
        <v>12</v>
      </c>
      <c r="P144" s="842"/>
      <c r="Q144" s="842">
        <v>12</v>
      </c>
      <c r="R144" s="79">
        <v>2020003630127</v>
      </c>
      <c r="S144" s="34" t="s">
        <v>2094</v>
      </c>
      <c r="T144" s="500">
        <f t="shared" si="17"/>
        <v>0.2413793103448276</v>
      </c>
      <c r="U144" s="34" t="s">
        <v>2095</v>
      </c>
      <c r="V144" s="34" t="s">
        <v>2108</v>
      </c>
      <c r="W144" s="34" t="s">
        <v>2115</v>
      </c>
      <c r="X144" s="844">
        <v>16800000</v>
      </c>
      <c r="Y144" s="844"/>
      <c r="Z144" s="844"/>
      <c r="AA144" s="844"/>
      <c r="AB144" s="707">
        <f t="shared" si="18"/>
        <v>16800000</v>
      </c>
      <c r="AC144" s="845" t="s">
        <v>2112</v>
      </c>
      <c r="AD144" s="842"/>
      <c r="AE144" s="842">
        <v>61</v>
      </c>
      <c r="AF144" s="28" t="s">
        <v>2084</v>
      </c>
      <c r="AG144" s="320">
        <v>289394</v>
      </c>
      <c r="AH144" s="28">
        <v>279112</v>
      </c>
      <c r="AI144" s="28">
        <v>63164</v>
      </c>
      <c r="AJ144" s="28">
        <v>45607</v>
      </c>
      <c r="AK144" s="28">
        <v>365607</v>
      </c>
      <c r="AL144" s="28">
        <v>75612</v>
      </c>
      <c r="AM144" s="28">
        <v>2145</v>
      </c>
      <c r="AN144" s="28">
        <v>12718</v>
      </c>
      <c r="AO144" s="28">
        <v>26</v>
      </c>
      <c r="AP144" s="28">
        <v>37</v>
      </c>
      <c r="AQ144" s="28" t="s">
        <v>1818</v>
      </c>
      <c r="AR144" s="28" t="s">
        <v>1819</v>
      </c>
      <c r="AS144" s="28">
        <v>78</v>
      </c>
      <c r="AT144" s="28">
        <v>16897</v>
      </c>
      <c r="AU144" s="28">
        <v>852</v>
      </c>
      <c r="AV144" s="28">
        <v>568506</v>
      </c>
      <c r="AW144" s="843">
        <v>45293</v>
      </c>
      <c r="AX144" s="843">
        <v>45657</v>
      </c>
      <c r="AY144" s="28" t="s">
        <v>1820</v>
      </c>
      <c r="AZ144" s="15"/>
      <c r="BA144" s="15"/>
      <c r="BB144" s="15"/>
      <c r="BC144" s="15"/>
      <c r="BD144" s="15"/>
      <c r="BE144" s="15"/>
      <c r="BF144" s="15"/>
      <c r="BG144" s="15"/>
      <c r="BH144" s="15"/>
      <c r="BI144" s="15"/>
      <c r="BJ144" s="15"/>
      <c r="BK144" s="15"/>
      <c r="BL144" s="15"/>
      <c r="BM144" s="15"/>
      <c r="BN144" s="15"/>
    </row>
    <row r="145" spans="1:66" s="47" customFormat="1" ht="63.75" x14ac:dyDescent="0.2">
      <c r="A145" s="28">
        <v>1</v>
      </c>
      <c r="B145" s="34" t="s">
        <v>315</v>
      </c>
      <c r="C145" s="28">
        <v>19</v>
      </c>
      <c r="D145" s="34" t="s">
        <v>517</v>
      </c>
      <c r="E145" s="28">
        <v>1905</v>
      </c>
      <c r="F145" s="34" t="s">
        <v>2076</v>
      </c>
      <c r="G145" s="28">
        <v>1905027</v>
      </c>
      <c r="H145" s="34" t="s">
        <v>2116</v>
      </c>
      <c r="I145" s="28">
        <v>1905027</v>
      </c>
      <c r="J145" s="34" t="s">
        <v>2116</v>
      </c>
      <c r="K145" s="215">
        <v>190502700</v>
      </c>
      <c r="L145" s="34" t="s">
        <v>2117</v>
      </c>
      <c r="M145" s="215">
        <v>190502700</v>
      </c>
      <c r="N145" s="34" t="s">
        <v>2117</v>
      </c>
      <c r="O145" s="205">
        <v>12</v>
      </c>
      <c r="P145" s="205"/>
      <c r="Q145" s="205">
        <v>12</v>
      </c>
      <c r="R145" s="79">
        <v>2020003630127</v>
      </c>
      <c r="S145" s="34" t="s">
        <v>2094</v>
      </c>
      <c r="T145" s="500">
        <f>SUM($X$145:$X$149)/SUM($X$132:$X$149)</f>
        <v>0.25862068965517243</v>
      </c>
      <c r="U145" s="34" t="s">
        <v>2095</v>
      </c>
      <c r="V145" s="34" t="s">
        <v>2108</v>
      </c>
      <c r="W145" s="34" t="s">
        <v>2118</v>
      </c>
      <c r="X145" s="328">
        <v>18000000</v>
      </c>
      <c r="Y145" s="328"/>
      <c r="Z145" s="328"/>
      <c r="AA145" s="328"/>
      <c r="AB145" s="707">
        <f t="shared" si="18"/>
        <v>18000000</v>
      </c>
      <c r="AC145" s="203" t="s">
        <v>2119</v>
      </c>
      <c r="AD145" s="205"/>
      <c r="AE145" s="205">
        <v>61</v>
      </c>
      <c r="AF145" s="28" t="s">
        <v>2084</v>
      </c>
      <c r="AG145" s="320">
        <v>289394</v>
      </c>
      <c r="AH145" s="28">
        <v>279112</v>
      </c>
      <c r="AI145" s="28">
        <v>63164</v>
      </c>
      <c r="AJ145" s="28">
        <v>45607</v>
      </c>
      <c r="AK145" s="28">
        <v>365607</v>
      </c>
      <c r="AL145" s="28">
        <v>75612</v>
      </c>
      <c r="AM145" s="28">
        <v>2145</v>
      </c>
      <c r="AN145" s="28">
        <v>12718</v>
      </c>
      <c r="AO145" s="28">
        <v>26</v>
      </c>
      <c r="AP145" s="28">
        <v>37</v>
      </c>
      <c r="AQ145" s="28" t="s">
        <v>1818</v>
      </c>
      <c r="AR145" s="28" t="s">
        <v>1819</v>
      </c>
      <c r="AS145" s="28">
        <v>78</v>
      </c>
      <c r="AT145" s="28">
        <v>16897</v>
      </c>
      <c r="AU145" s="28">
        <v>852</v>
      </c>
      <c r="AV145" s="28">
        <v>568506</v>
      </c>
      <c r="AW145" s="843">
        <v>45293</v>
      </c>
      <c r="AX145" s="843">
        <v>45657</v>
      </c>
      <c r="AY145" s="28" t="s">
        <v>1820</v>
      </c>
      <c r="AZ145" s="15"/>
      <c r="BA145" s="15"/>
      <c r="BB145" s="15"/>
      <c r="BC145" s="15"/>
      <c r="BD145" s="15"/>
      <c r="BE145" s="15"/>
      <c r="BF145" s="15"/>
      <c r="BG145" s="15"/>
      <c r="BH145" s="15"/>
      <c r="BI145" s="15"/>
      <c r="BJ145" s="15"/>
      <c r="BK145" s="15"/>
      <c r="BL145" s="15"/>
      <c r="BM145" s="15"/>
      <c r="BN145" s="15"/>
    </row>
    <row r="146" spans="1:66" s="47" customFormat="1" ht="63.75" x14ac:dyDescent="0.2">
      <c r="A146" s="28">
        <v>1</v>
      </c>
      <c r="B146" s="34" t="s">
        <v>315</v>
      </c>
      <c r="C146" s="28">
        <v>19</v>
      </c>
      <c r="D146" s="34" t="s">
        <v>517</v>
      </c>
      <c r="E146" s="28">
        <v>1905</v>
      </c>
      <c r="F146" s="34" t="s">
        <v>2076</v>
      </c>
      <c r="G146" s="28">
        <v>1905027</v>
      </c>
      <c r="H146" s="34" t="s">
        <v>2116</v>
      </c>
      <c r="I146" s="28">
        <v>1905027</v>
      </c>
      <c r="J146" s="34" t="s">
        <v>2116</v>
      </c>
      <c r="K146" s="215">
        <v>190502700</v>
      </c>
      <c r="L146" s="34" t="s">
        <v>2117</v>
      </c>
      <c r="M146" s="215">
        <v>190502700</v>
      </c>
      <c r="N146" s="34" t="s">
        <v>2117</v>
      </c>
      <c r="O146" s="205">
        <v>12</v>
      </c>
      <c r="P146" s="205"/>
      <c r="Q146" s="205">
        <v>12</v>
      </c>
      <c r="R146" s="79">
        <v>2020003630127</v>
      </c>
      <c r="S146" s="34" t="s">
        <v>2094</v>
      </c>
      <c r="T146" s="500">
        <f t="shared" ref="T146:T149" si="19">SUM($X$145:$X$149)/SUM($X$132:$X$149)</f>
        <v>0.25862068965517243</v>
      </c>
      <c r="U146" s="34" t="s">
        <v>2095</v>
      </c>
      <c r="V146" s="34" t="s">
        <v>2108</v>
      </c>
      <c r="W146" s="34" t="s">
        <v>2120</v>
      </c>
      <c r="X146" s="328">
        <v>18000000</v>
      </c>
      <c r="Y146" s="328"/>
      <c r="Z146" s="328"/>
      <c r="AA146" s="328"/>
      <c r="AB146" s="707">
        <f t="shared" si="18"/>
        <v>18000000</v>
      </c>
      <c r="AC146" s="203" t="s">
        <v>2119</v>
      </c>
      <c r="AD146" s="205"/>
      <c r="AE146" s="205">
        <v>61</v>
      </c>
      <c r="AF146" s="28" t="s">
        <v>2084</v>
      </c>
      <c r="AG146" s="320">
        <v>289394</v>
      </c>
      <c r="AH146" s="28">
        <v>279112</v>
      </c>
      <c r="AI146" s="28">
        <v>63164</v>
      </c>
      <c r="AJ146" s="28">
        <v>45607</v>
      </c>
      <c r="AK146" s="28">
        <v>365607</v>
      </c>
      <c r="AL146" s="28">
        <v>75612</v>
      </c>
      <c r="AM146" s="28">
        <v>2145</v>
      </c>
      <c r="AN146" s="28">
        <v>12718</v>
      </c>
      <c r="AO146" s="28">
        <v>26</v>
      </c>
      <c r="AP146" s="28">
        <v>37</v>
      </c>
      <c r="AQ146" s="28" t="s">
        <v>1818</v>
      </c>
      <c r="AR146" s="28" t="s">
        <v>1819</v>
      </c>
      <c r="AS146" s="28">
        <v>78</v>
      </c>
      <c r="AT146" s="28">
        <v>16897</v>
      </c>
      <c r="AU146" s="28">
        <v>852</v>
      </c>
      <c r="AV146" s="28">
        <v>568506</v>
      </c>
      <c r="AW146" s="843">
        <v>45293</v>
      </c>
      <c r="AX146" s="843">
        <v>45657</v>
      </c>
      <c r="AY146" s="28" t="s">
        <v>1820</v>
      </c>
      <c r="AZ146" s="15"/>
      <c r="BA146" s="15"/>
      <c r="BB146" s="15"/>
      <c r="BC146" s="15"/>
      <c r="BD146" s="15"/>
      <c r="BE146" s="15"/>
      <c r="BF146" s="15"/>
      <c r="BG146" s="15"/>
      <c r="BH146" s="15"/>
      <c r="BI146" s="15"/>
      <c r="BJ146" s="15"/>
      <c r="BK146" s="15"/>
      <c r="BL146" s="15"/>
      <c r="BM146" s="15"/>
      <c r="BN146" s="15"/>
    </row>
    <row r="147" spans="1:66" s="47" customFormat="1" ht="63.75" x14ac:dyDescent="0.2">
      <c r="A147" s="28">
        <v>1</v>
      </c>
      <c r="B147" s="34" t="s">
        <v>315</v>
      </c>
      <c r="C147" s="28">
        <v>19</v>
      </c>
      <c r="D147" s="34" t="s">
        <v>517</v>
      </c>
      <c r="E147" s="28">
        <v>1905</v>
      </c>
      <c r="F147" s="34" t="s">
        <v>2076</v>
      </c>
      <c r="G147" s="28">
        <v>1905027</v>
      </c>
      <c r="H147" s="34" t="s">
        <v>2116</v>
      </c>
      <c r="I147" s="28">
        <v>1905027</v>
      </c>
      <c r="J147" s="34" t="s">
        <v>2116</v>
      </c>
      <c r="K147" s="215">
        <v>190502700</v>
      </c>
      <c r="L147" s="34" t="s">
        <v>2117</v>
      </c>
      <c r="M147" s="215">
        <v>190502700</v>
      </c>
      <c r="N147" s="34" t="s">
        <v>2117</v>
      </c>
      <c r="O147" s="205">
        <v>12</v>
      </c>
      <c r="P147" s="205"/>
      <c r="Q147" s="205">
        <v>12</v>
      </c>
      <c r="R147" s="79">
        <v>2020003630127</v>
      </c>
      <c r="S147" s="34" t="s">
        <v>2094</v>
      </c>
      <c r="T147" s="500">
        <f t="shared" si="19"/>
        <v>0.25862068965517243</v>
      </c>
      <c r="U147" s="34" t="s">
        <v>2095</v>
      </c>
      <c r="V147" s="34" t="s">
        <v>2108</v>
      </c>
      <c r="W147" s="34" t="s">
        <v>2121</v>
      </c>
      <c r="X147" s="328">
        <v>18000000</v>
      </c>
      <c r="Y147" s="328"/>
      <c r="Z147" s="328"/>
      <c r="AA147" s="328"/>
      <c r="AB147" s="707">
        <f t="shared" si="18"/>
        <v>18000000</v>
      </c>
      <c r="AC147" s="203" t="s">
        <v>2119</v>
      </c>
      <c r="AD147" s="205"/>
      <c r="AE147" s="205">
        <v>61</v>
      </c>
      <c r="AF147" s="28" t="s">
        <v>2084</v>
      </c>
      <c r="AG147" s="320">
        <v>289394</v>
      </c>
      <c r="AH147" s="28">
        <v>279112</v>
      </c>
      <c r="AI147" s="28">
        <v>63164</v>
      </c>
      <c r="AJ147" s="28">
        <v>45607</v>
      </c>
      <c r="AK147" s="28">
        <v>365607</v>
      </c>
      <c r="AL147" s="28">
        <v>75612</v>
      </c>
      <c r="AM147" s="28">
        <v>2145</v>
      </c>
      <c r="AN147" s="28">
        <v>12718</v>
      </c>
      <c r="AO147" s="28">
        <v>26</v>
      </c>
      <c r="AP147" s="28">
        <v>37</v>
      </c>
      <c r="AQ147" s="28" t="s">
        <v>1818</v>
      </c>
      <c r="AR147" s="28" t="s">
        <v>1819</v>
      </c>
      <c r="AS147" s="28">
        <v>78</v>
      </c>
      <c r="AT147" s="28">
        <v>16897</v>
      </c>
      <c r="AU147" s="28">
        <v>852</v>
      </c>
      <c r="AV147" s="28">
        <v>568506</v>
      </c>
      <c r="AW147" s="843">
        <v>45293</v>
      </c>
      <c r="AX147" s="843">
        <v>45657</v>
      </c>
      <c r="AY147" s="28" t="s">
        <v>1820</v>
      </c>
      <c r="AZ147" s="15"/>
      <c r="BA147" s="15"/>
      <c r="BB147" s="15"/>
      <c r="BC147" s="15"/>
      <c r="BD147" s="15"/>
      <c r="BE147" s="15"/>
      <c r="BF147" s="15"/>
      <c r="BG147" s="15"/>
      <c r="BH147" s="15"/>
      <c r="BI147" s="15"/>
      <c r="BJ147" s="15"/>
      <c r="BK147" s="15"/>
      <c r="BL147" s="15"/>
      <c r="BM147" s="15"/>
      <c r="BN147" s="15"/>
    </row>
    <row r="148" spans="1:66" s="47" customFormat="1" ht="63.75" x14ac:dyDescent="0.2">
      <c r="A148" s="28">
        <v>1</v>
      </c>
      <c r="B148" s="34" t="s">
        <v>315</v>
      </c>
      <c r="C148" s="28">
        <v>19</v>
      </c>
      <c r="D148" s="34" t="s">
        <v>517</v>
      </c>
      <c r="E148" s="28">
        <v>1905</v>
      </c>
      <c r="F148" s="34" t="s">
        <v>2076</v>
      </c>
      <c r="G148" s="28">
        <v>1905027</v>
      </c>
      <c r="H148" s="34" t="s">
        <v>2116</v>
      </c>
      <c r="I148" s="28">
        <v>1905027</v>
      </c>
      <c r="J148" s="34" t="s">
        <v>2116</v>
      </c>
      <c r="K148" s="215">
        <v>190502700</v>
      </c>
      <c r="L148" s="34" t="s">
        <v>2117</v>
      </c>
      <c r="M148" s="215">
        <v>190502700</v>
      </c>
      <c r="N148" s="34" t="s">
        <v>2117</v>
      </c>
      <c r="O148" s="205">
        <v>12</v>
      </c>
      <c r="P148" s="205"/>
      <c r="Q148" s="205">
        <v>12</v>
      </c>
      <c r="R148" s="79">
        <v>2020003630127</v>
      </c>
      <c r="S148" s="34" t="s">
        <v>2094</v>
      </c>
      <c r="T148" s="500">
        <f t="shared" si="19"/>
        <v>0.25862068965517243</v>
      </c>
      <c r="U148" s="34" t="s">
        <v>2095</v>
      </c>
      <c r="V148" s="34" t="s">
        <v>2108</v>
      </c>
      <c r="W148" s="34" t="s">
        <v>2115</v>
      </c>
      <c r="X148" s="328">
        <v>18000000</v>
      </c>
      <c r="Y148" s="328"/>
      <c r="Z148" s="328"/>
      <c r="AA148" s="328"/>
      <c r="AB148" s="707">
        <f t="shared" si="18"/>
        <v>18000000</v>
      </c>
      <c r="AC148" s="203" t="s">
        <v>2122</v>
      </c>
      <c r="AD148" s="205"/>
      <c r="AE148" s="205">
        <v>61</v>
      </c>
      <c r="AF148" s="28" t="s">
        <v>2084</v>
      </c>
      <c r="AG148" s="320">
        <v>289394</v>
      </c>
      <c r="AH148" s="28">
        <v>279112</v>
      </c>
      <c r="AI148" s="28">
        <v>63164</v>
      </c>
      <c r="AJ148" s="28">
        <v>45607</v>
      </c>
      <c r="AK148" s="28">
        <v>365607</v>
      </c>
      <c r="AL148" s="28">
        <v>75612</v>
      </c>
      <c r="AM148" s="28">
        <v>2145</v>
      </c>
      <c r="AN148" s="28">
        <v>12718</v>
      </c>
      <c r="AO148" s="28">
        <v>26</v>
      </c>
      <c r="AP148" s="28">
        <v>37</v>
      </c>
      <c r="AQ148" s="28" t="s">
        <v>1818</v>
      </c>
      <c r="AR148" s="28" t="s">
        <v>1819</v>
      </c>
      <c r="AS148" s="28">
        <v>78</v>
      </c>
      <c r="AT148" s="28">
        <v>16897</v>
      </c>
      <c r="AU148" s="28">
        <v>852</v>
      </c>
      <c r="AV148" s="28">
        <v>568506</v>
      </c>
      <c r="AW148" s="843">
        <v>45293</v>
      </c>
      <c r="AX148" s="843">
        <v>45657</v>
      </c>
      <c r="AY148" s="28" t="s">
        <v>1820</v>
      </c>
      <c r="AZ148" s="15"/>
      <c r="BA148" s="15"/>
      <c r="BB148" s="15"/>
      <c r="BC148" s="15"/>
      <c r="BD148" s="15"/>
      <c r="BE148" s="15"/>
      <c r="BF148" s="15"/>
      <c r="BG148" s="15"/>
      <c r="BH148" s="15"/>
      <c r="BI148" s="15"/>
      <c r="BJ148" s="15"/>
      <c r="BK148" s="15"/>
      <c r="BL148" s="15"/>
      <c r="BM148" s="15"/>
      <c r="BN148" s="15"/>
    </row>
    <row r="149" spans="1:66" s="47" customFormat="1" ht="63.75" x14ac:dyDescent="0.2">
      <c r="A149" s="846">
        <v>1</v>
      </c>
      <c r="B149" s="191" t="s">
        <v>315</v>
      </c>
      <c r="C149" s="846">
        <v>19</v>
      </c>
      <c r="D149" s="191" t="s">
        <v>517</v>
      </c>
      <c r="E149" s="846">
        <v>1905</v>
      </c>
      <c r="F149" s="191" t="s">
        <v>2076</v>
      </c>
      <c r="G149" s="846">
        <v>1905027</v>
      </c>
      <c r="H149" s="191" t="s">
        <v>2116</v>
      </c>
      <c r="I149" s="846">
        <v>1905027</v>
      </c>
      <c r="J149" s="191" t="s">
        <v>2116</v>
      </c>
      <c r="K149" s="847">
        <v>190502700</v>
      </c>
      <c r="L149" s="191" t="s">
        <v>2117</v>
      </c>
      <c r="M149" s="847">
        <v>190502700</v>
      </c>
      <c r="N149" s="191" t="s">
        <v>2117</v>
      </c>
      <c r="O149" s="491">
        <v>12</v>
      </c>
      <c r="P149" s="205"/>
      <c r="Q149" s="205">
        <v>12</v>
      </c>
      <c r="R149" s="79">
        <v>2020003630127</v>
      </c>
      <c r="S149" s="191" t="s">
        <v>2094</v>
      </c>
      <c r="T149" s="500">
        <f t="shared" si="19"/>
        <v>0.25862068965517243</v>
      </c>
      <c r="U149" s="191" t="s">
        <v>2095</v>
      </c>
      <c r="V149" s="191" t="s">
        <v>2108</v>
      </c>
      <c r="W149" s="191" t="s">
        <v>2123</v>
      </c>
      <c r="X149" s="328">
        <v>18000000</v>
      </c>
      <c r="Y149" s="328"/>
      <c r="Z149" s="328"/>
      <c r="AA149" s="328"/>
      <c r="AB149" s="707">
        <f t="shared" si="18"/>
        <v>18000000</v>
      </c>
      <c r="AC149" s="203" t="s">
        <v>2119</v>
      </c>
      <c r="AD149" s="205"/>
      <c r="AE149" s="205">
        <v>61</v>
      </c>
      <c r="AF149" s="28" t="s">
        <v>2084</v>
      </c>
      <c r="AG149" s="320">
        <v>289394</v>
      </c>
      <c r="AH149" s="28">
        <v>279112</v>
      </c>
      <c r="AI149" s="28">
        <v>63164</v>
      </c>
      <c r="AJ149" s="28">
        <v>45607</v>
      </c>
      <c r="AK149" s="28">
        <v>365607</v>
      </c>
      <c r="AL149" s="28">
        <v>75612</v>
      </c>
      <c r="AM149" s="28">
        <v>2145</v>
      </c>
      <c r="AN149" s="28">
        <v>12718</v>
      </c>
      <c r="AO149" s="28">
        <v>26</v>
      </c>
      <c r="AP149" s="28">
        <v>37</v>
      </c>
      <c r="AQ149" s="28" t="s">
        <v>1818</v>
      </c>
      <c r="AR149" s="28" t="s">
        <v>1819</v>
      </c>
      <c r="AS149" s="28">
        <v>78</v>
      </c>
      <c r="AT149" s="28">
        <v>16897</v>
      </c>
      <c r="AU149" s="28">
        <v>852</v>
      </c>
      <c r="AV149" s="28">
        <v>568506</v>
      </c>
      <c r="AW149" s="843">
        <v>45293</v>
      </c>
      <c r="AX149" s="843">
        <v>45657</v>
      </c>
      <c r="AY149" s="28" t="s">
        <v>1820</v>
      </c>
      <c r="AZ149" s="15"/>
      <c r="BA149" s="15"/>
      <c r="BB149" s="15"/>
      <c r="BC149" s="15"/>
      <c r="BD149" s="15"/>
      <c r="BE149" s="15"/>
      <c r="BF149" s="15"/>
      <c r="BG149" s="15"/>
      <c r="BH149" s="15"/>
      <c r="BI149" s="15"/>
      <c r="BJ149" s="15"/>
      <c r="BK149" s="15"/>
      <c r="BL149" s="15"/>
      <c r="BM149" s="15"/>
      <c r="BN149" s="15"/>
    </row>
    <row r="150" spans="1:66" s="47" customFormat="1" ht="63.75" x14ac:dyDescent="0.2">
      <c r="A150" s="28">
        <v>1</v>
      </c>
      <c r="B150" s="34" t="s">
        <v>315</v>
      </c>
      <c r="C150" s="28">
        <v>19</v>
      </c>
      <c r="D150" s="34" t="s">
        <v>517</v>
      </c>
      <c r="E150" s="28">
        <v>1905</v>
      </c>
      <c r="F150" s="34" t="s">
        <v>2076</v>
      </c>
      <c r="G150" s="28" t="s">
        <v>70</v>
      </c>
      <c r="H150" s="34" t="s">
        <v>2124</v>
      </c>
      <c r="I150" s="28">
        <v>1905015</v>
      </c>
      <c r="J150" s="34" t="s">
        <v>877</v>
      </c>
      <c r="K150" s="280" t="s">
        <v>70</v>
      </c>
      <c r="L150" s="34" t="s">
        <v>2125</v>
      </c>
      <c r="M150" s="215" t="s">
        <v>2126</v>
      </c>
      <c r="N150" s="34" t="s">
        <v>492</v>
      </c>
      <c r="O150" s="205">
        <v>2</v>
      </c>
      <c r="P150" s="205"/>
      <c r="Q150" s="205">
        <v>2</v>
      </c>
      <c r="R150" s="79">
        <v>2020003630128</v>
      </c>
      <c r="S150" s="34" t="s">
        <v>2127</v>
      </c>
      <c r="T150" s="500">
        <f>SUM($X$150:$X$153)/SUM($X$150:$X$162)</f>
        <v>0.1426448736998514</v>
      </c>
      <c r="U150" s="34" t="s">
        <v>2128</v>
      </c>
      <c r="V150" s="34" t="s">
        <v>2129</v>
      </c>
      <c r="W150" s="34" t="s">
        <v>2130</v>
      </c>
      <c r="X150" s="328">
        <v>24000000</v>
      </c>
      <c r="Y150" s="328"/>
      <c r="Z150" s="328"/>
      <c r="AA150" s="328"/>
      <c r="AB150" s="707">
        <f t="shared" si="18"/>
        <v>24000000</v>
      </c>
      <c r="AC150" s="848" t="s">
        <v>2131</v>
      </c>
      <c r="AD150" s="205"/>
      <c r="AE150" s="205">
        <v>61</v>
      </c>
      <c r="AF150" s="28" t="s">
        <v>2084</v>
      </c>
      <c r="AG150" s="320">
        <v>292684</v>
      </c>
      <c r="AH150" s="28">
        <v>282326</v>
      </c>
      <c r="AI150" s="28">
        <v>135912</v>
      </c>
      <c r="AJ150" s="28">
        <v>45122</v>
      </c>
      <c r="AK150" s="28">
        <v>307101</v>
      </c>
      <c r="AL150" s="28">
        <v>86875</v>
      </c>
      <c r="AM150" s="28">
        <v>2145</v>
      </c>
      <c r="AN150" s="28">
        <v>12718</v>
      </c>
      <c r="AO150" s="28">
        <v>26</v>
      </c>
      <c r="AP150" s="28">
        <v>37</v>
      </c>
      <c r="AQ150" s="28" t="s">
        <v>1818</v>
      </c>
      <c r="AR150" s="28" t="s">
        <v>1819</v>
      </c>
      <c r="AS150" s="28">
        <v>53164</v>
      </c>
      <c r="AT150" s="28">
        <v>16982</v>
      </c>
      <c r="AU150" s="28">
        <v>60013</v>
      </c>
      <c r="AV150" s="28">
        <v>57501</v>
      </c>
      <c r="AW150" s="843">
        <v>45293</v>
      </c>
      <c r="AX150" s="843">
        <v>45657</v>
      </c>
      <c r="AY150" s="28" t="s">
        <v>1820</v>
      </c>
      <c r="AZ150" s="15"/>
      <c r="BA150" s="15"/>
      <c r="BB150" s="15"/>
      <c r="BC150" s="15"/>
      <c r="BD150" s="15"/>
      <c r="BE150" s="15"/>
      <c r="BF150" s="15"/>
      <c r="BG150" s="15"/>
      <c r="BH150" s="15"/>
      <c r="BI150" s="15"/>
      <c r="BJ150" s="15"/>
      <c r="BK150" s="15"/>
      <c r="BL150" s="15"/>
      <c r="BM150" s="15"/>
      <c r="BN150" s="15"/>
    </row>
    <row r="151" spans="1:66" s="47" customFormat="1" ht="76.5" x14ac:dyDescent="0.2">
      <c r="A151" s="28">
        <v>1</v>
      </c>
      <c r="B151" s="34" t="s">
        <v>315</v>
      </c>
      <c r="C151" s="28">
        <v>19</v>
      </c>
      <c r="D151" s="34" t="s">
        <v>517</v>
      </c>
      <c r="E151" s="28">
        <v>1905</v>
      </c>
      <c r="F151" s="34" t="s">
        <v>2076</v>
      </c>
      <c r="G151" s="28" t="s">
        <v>70</v>
      </c>
      <c r="H151" s="34" t="s">
        <v>2124</v>
      </c>
      <c r="I151" s="28">
        <v>1905015</v>
      </c>
      <c r="J151" s="34" t="s">
        <v>877</v>
      </c>
      <c r="K151" s="280" t="s">
        <v>70</v>
      </c>
      <c r="L151" s="34" t="s">
        <v>2125</v>
      </c>
      <c r="M151" s="215" t="s">
        <v>2126</v>
      </c>
      <c r="N151" s="34" t="s">
        <v>492</v>
      </c>
      <c r="O151" s="205">
        <v>2</v>
      </c>
      <c r="P151" s="205"/>
      <c r="Q151" s="205">
        <v>2</v>
      </c>
      <c r="R151" s="79">
        <v>2020003630128</v>
      </c>
      <c r="S151" s="34" t="s">
        <v>2127</v>
      </c>
      <c r="T151" s="500">
        <f t="shared" ref="T151:T153" si="20">SUM($X$150:$X$153)/SUM($X$150:$X$162)</f>
        <v>0.1426448736998514</v>
      </c>
      <c r="U151" s="34" t="s">
        <v>2128</v>
      </c>
      <c r="V151" s="34" t="s">
        <v>2129</v>
      </c>
      <c r="W151" s="34" t="s">
        <v>2132</v>
      </c>
      <c r="X151" s="328">
        <v>24000000</v>
      </c>
      <c r="Y151" s="328"/>
      <c r="Z151" s="328"/>
      <c r="AA151" s="328"/>
      <c r="AB151" s="707">
        <f t="shared" si="18"/>
        <v>24000000</v>
      </c>
      <c r="AC151" s="848" t="s">
        <v>2133</v>
      </c>
      <c r="AD151" s="205"/>
      <c r="AE151" s="205">
        <v>61</v>
      </c>
      <c r="AF151" s="28" t="s">
        <v>2084</v>
      </c>
      <c r="AG151" s="320">
        <v>292684</v>
      </c>
      <c r="AH151" s="28">
        <v>282326</v>
      </c>
      <c r="AI151" s="28">
        <v>135912</v>
      </c>
      <c r="AJ151" s="28">
        <v>45122</v>
      </c>
      <c r="AK151" s="28">
        <v>307101</v>
      </c>
      <c r="AL151" s="28">
        <v>86875</v>
      </c>
      <c r="AM151" s="28">
        <v>2145</v>
      </c>
      <c r="AN151" s="28">
        <v>12718</v>
      </c>
      <c r="AO151" s="28">
        <v>26</v>
      </c>
      <c r="AP151" s="28">
        <v>37</v>
      </c>
      <c r="AQ151" s="28" t="s">
        <v>1818</v>
      </c>
      <c r="AR151" s="28" t="s">
        <v>1819</v>
      </c>
      <c r="AS151" s="28">
        <v>53164</v>
      </c>
      <c r="AT151" s="28">
        <v>16982</v>
      </c>
      <c r="AU151" s="28">
        <v>60013</v>
      </c>
      <c r="AV151" s="28">
        <v>57501</v>
      </c>
      <c r="AW151" s="843">
        <v>45293</v>
      </c>
      <c r="AX151" s="843">
        <v>45657</v>
      </c>
      <c r="AY151" s="28" t="s">
        <v>1820</v>
      </c>
      <c r="AZ151" s="15"/>
      <c r="BA151" s="15"/>
      <c r="BB151" s="15"/>
      <c r="BC151" s="15"/>
      <c r="BD151" s="15"/>
      <c r="BE151" s="15"/>
      <c r="BF151" s="15"/>
      <c r="BG151" s="15"/>
      <c r="BH151" s="15"/>
      <c r="BI151" s="15"/>
      <c r="BJ151" s="15"/>
      <c r="BK151" s="15"/>
      <c r="BL151" s="15"/>
      <c r="BM151" s="15"/>
      <c r="BN151" s="15"/>
    </row>
    <row r="152" spans="1:66" s="47" customFormat="1" ht="63.75" x14ac:dyDescent="0.2">
      <c r="A152" s="28">
        <v>1</v>
      </c>
      <c r="B152" s="34" t="s">
        <v>315</v>
      </c>
      <c r="C152" s="28">
        <v>19</v>
      </c>
      <c r="D152" s="34" t="s">
        <v>517</v>
      </c>
      <c r="E152" s="28">
        <v>1905</v>
      </c>
      <c r="F152" s="34" t="s">
        <v>2076</v>
      </c>
      <c r="G152" s="28" t="s">
        <v>70</v>
      </c>
      <c r="H152" s="34" t="s">
        <v>2124</v>
      </c>
      <c r="I152" s="28">
        <v>1905015</v>
      </c>
      <c r="J152" s="34" t="s">
        <v>877</v>
      </c>
      <c r="K152" s="280" t="s">
        <v>70</v>
      </c>
      <c r="L152" s="34" t="s">
        <v>2125</v>
      </c>
      <c r="M152" s="215" t="s">
        <v>2126</v>
      </c>
      <c r="N152" s="34" t="s">
        <v>492</v>
      </c>
      <c r="O152" s="205">
        <v>2</v>
      </c>
      <c r="P152" s="205"/>
      <c r="Q152" s="205">
        <v>2</v>
      </c>
      <c r="R152" s="79">
        <v>2020003630128</v>
      </c>
      <c r="S152" s="34" t="s">
        <v>2127</v>
      </c>
      <c r="T152" s="500">
        <f t="shared" si="20"/>
        <v>0.1426448736998514</v>
      </c>
      <c r="U152" s="34" t="s">
        <v>2128</v>
      </c>
      <c r="V152" s="34" t="s">
        <v>2129</v>
      </c>
      <c r="W152" s="34" t="s">
        <v>2134</v>
      </c>
      <c r="X152" s="328">
        <v>24000000</v>
      </c>
      <c r="Y152" s="328"/>
      <c r="Z152" s="328"/>
      <c r="AA152" s="328"/>
      <c r="AB152" s="707">
        <f t="shared" si="18"/>
        <v>24000000</v>
      </c>
      <c r="AC152" s="848" t="s">
        <v>2133</v>
      </c>
      <c r="AD152" s="205"/>
      <c r="AE152" s="205">
        <v>61</v>
      </c>
      <c r="AF152" s="28" t="s">
        <v>2084</v>
      </c>
      <c r="AG152" s="320">
        <v>292684</v>
      </c>
      <c r="AH152" s="28">
        <v>282326</v>
      </c>
      <c r="AI152" s="28">
        <v>135912</v>
      </c>
      <c r="AJ152" s="28">
        <v>45122</v>
      </c>
      <c r="AK152" s="28">
        <v>307101</v>
      </c>
      <c r="AL152" s="28">
        <v>86875</v>
      </c>
      <c r="AM152" s="28">
        <v>2145</v>
      </c>
      <c r="AN152" s="28">
        <v>12718</v>
      </c>
      <c r="AO152" s="28">
        <v>26</v>
      </c>
      <c r="AP152" s="28">
        <v>37</v>
      </c>
      <c r="AQ152" s="28" t="s">
        <v>1818</v>
      </c>
      <c r="AR152" s="28" t="s">
        <v>1819</v>
      </c>
      <c r="AS152" s="28">
        <v>53164</v>
      </c>
      <c r="AT152" s="28">
        <v>16982</v>
      </c>
      <c r="AU152" s="28">
        <v>60013</v>
      </c>
      <c r="AV152" s="28">
        <v>57501</v>
      </c>
      <c r="AW152" s="843">
        <v>45293</v>
      </c>
      <c r="AX152" s="843">
        <v>45657</v>
      </c>
      <c r="AY152" s="28" t="s">
        <v>1820</v>
      </c>
      <c r="AZ152" s="15"/>
      <c r="BA152" s="15"/>
      <c r="BB152" s="15"/>
      <c r="BC152" s="15"/>
      <c r="BD152" s="15"/>
      <c r="BE152" s="15"/>
      <c r="BF152" s="15"/>
      <c r="BG152" s="15"/>
      <c r="BH152" s="15"/>
      <c r="BI152" s="15"/>
      <c r="BJ152" s="15"/>
      <c r="BK152" s="15"/>
      <c r="BL152" s="15"/>
      <c r="BM152" s="15"/>
      <c r="BN152" s="15"/>
    </row>
    <row r="153" spans="1:66" s="47" customFormat="1" ht="102" x14ac:dyDescent="0.2">
      <c r="A153" s="28">
        <v>1</v>
      </c>
      <c r="B153" s="34" t="s">
        <v>315</v>
      </c>
      <c r="C153" s="28">
        <v>19</v>
      </c>
      <c r="D153" s="34" t="s">
        <v>517</v>
      </c>
      <c r="E153" s="28">
        <v>1905</v>
      </c>
      <c r="F153" s="34" t="s">
        <v>2076</v>
      </c>
      <c r="G153" s="28" t="s">
        <v>70</v>
      </c>
      <c r="H153" s="34" t="s">
        <v>2124</v>
      </c>
      <c r="I153" s="28">
        <v>1905015</v>
      </c>
      <c r="J153" s="34" t="s">
        <v>877</v>
      </c>
      <c r="K153" s="280" t="s">
        <v>70</v>
      </c>
      <c r="L153" s="34" t="s">
        <v>2125</v>
      </c>
      <c r="M153" s="215" t="s">
        <v>2126</v>
      </c>
      <c r="N153" s="34" t="s">
        <v>492</v>
      </c>
      <c r="O153" s="205">
        <v>2</v>
      </c>
      <c r="P153" s="205"/>
      <c r="Q153" s="205">
        <v>2</v>
      </c>
      <c r="R153" s="79">
        <v>2020003630128</v>
      </c>
      <c r="S153" s="34" t="s">
        <v>2127</v>
      </c>
      <c r="T153" s="500">
        <f t="shared" si="20"/>
        <v>0.1426448736998514</v>
      </c>
      <c r="U153" s="34" t="s">
        <v>2128</v>
      </c>
      <c r="V153" s="34" t="s">
        <v>2129</v>
      </c>
      <c r="W153" s="34" t="s">
        <v>2135</v>
      </c>
      <c r="X153" s="328">
        <v>24000000</v>
      </c>
      <c r="Y153" s="328"/>
      <c r="Z153" s="328"/>
      <c r="AA153" s="328"/>
      <c r="AB153" s="707">
        <f t="shared" si="18"/>
        <v>24000000</v>
      </c>
      <c r="AC153" s="848" t="s">
        <v>2133</v>
      </c>
      <c r="AD153" s="205"/>
      <c r="AE153" s="205">
        <v>61</v>
      </c>
      <c r="AF153" s="28" t="s">
        <v>2084</v>
      </c>
      <c r="AG153" s="320">
        <v>292684</v>
      </c>
      <c r="AH153" s="28">
        <v>282326</v>
      </c>
      <c r="AI153" s="28">
        <v>135912</v>
      </c>
      <c r="AJ153" s="28">
        <v>45122</v>
      </c>
      <c r="AK153" s="28">
        <v>307101</v>
      </c>
      <c r="AL153" s="28">
        <v>86875</v>
      </c>
      <c r="AM153" s="28">
        <v>2145</v>
      </c>
      <c r="AN153" s="28">
        <v>12718</v>
      </c>
      <c r="AO153" s="28">
        <v>26</v>
      </c>
      <c r="AP153" s="28">
        <v>37</v>
      </c>
      <c r="AQ153" s="28" t="s">
        <v>1818</v>
      </c>
      <c r="AR153" s="28" t="s">
        <v>1819</v>
      </c>
      <c r="AS153" s="28">
        <v>53164</v>
      </c>
      <c r="AT153" s="28">
        <v>16982</v>
      </c>
      <c r="AU153" s="28">
        <v>60013</v>
      </c>
      <c r="AV153" s="28">
        <v>57501</v>
      </c>
      <c r="AW153" s="843">
        <v>45293</v>
      </c>
      <c r="AX153" s="843">
        <v>45657</v>
      </c>
      <c r="AY153" s="28" t="s">
        <v>1820</v>
      </c>
      <c r="AZ153" s="15"/>
      <c r="BA153" s="15"/>
      <c r="BB153" s="15"/>
      <c r="BC153" s="15"/>
      <c r="BD153" s="15"/>
      <c r="BE153" s="15"/>
      <c r="BF153" s="15"/>
      <c r="BG153" s="15"/>
      <c r="BH153" s="15"/>
      <c r="BI153" s="15"/>
      <c r="BJ153" s="15"/>
      <c r="BK153" s="15"/>
      <c r="BL153" s="15"/>
      <c r="BM153" s="15"/>
      <c r="BN153" s="15"/>
    </row>
    <row r="154" spans="1:66" s="47" customFormat="1" ht="76.5" x14ac:dyDescent="0.2">
      <c r="A154" s="28">
        <v>1</v>
      </c>
      <c r="B154" s="34" t="s">
        <v>315</v>
      </c>
      <c r="C154" s="28">
        <v>19</v>
      </c>
      <c r="D154" s="34" t="s">
        <v>517</v>
      </c>
      <c r="E154" s="28">
        <v>1905</v>
      </c>
      <c r="F154" s="34" t="s">
        <v>2076</v>
      </c>
      <c r="G154" s="28">
        <v>1905026</v>
      </c>
      <c r="H154" s="34" t="s">
        <v>2106</v>
      </c>
      <c r="I154" s="28">
        <v>1905026</v>
      </c>
      <c r="J154" s="34" t="s">
        <v>2106</v>
      </c>
      <c r="K154" s="215">
        <v>190502600</v>
      </c>
      <c r="L154" s="34" t="s">
        <v>2107</v>
      </c>
      <c r="M154" s="215">
        <v>190502600</v>
      </c>
      <c r="N154" s="34" t="s">
        <v>2107</v>
      </c>
      <c r="O154" s="205">
        <v>12</v>
      </c>
      <c r="P154" s="205"/>
      <c r="Q154" s="205">
        <v>12</v>
      </c>
      <c r="R154" s="79">
        <v>2020003630128</v>
      </c>
      <c r="S154" s="34" t="s">
        <v>2127</v>
      </c>
      <c r="T154" s="500">
        <f>SUM($X$154:$X$162)/SUM($X$150:$X$162)</f>
        <v>0.85735512630014854</v>
      </c>
      <c r="U154" s="34" t="s">
        <v>2128</v>
      </c>
      <c r="V154" s="34" t="s">
        <v>2136</v>
      </c>
      <c r="W154" s="34" t="s">
        <v>2137</v>
      </c>
      <c r="X154" s="328">
        <v>140000000</v>
      </c>
      <c r="Y154" s="328">
        <f>140000000</f>
        <v>140000000</v>
      </c>
      <c r="Z154" s="328"/>
      <c r="AA154" s="328"/>
      <c r="AB154" s="707">
        <f t="shared" si="18"/>
        <v>0</v>
      </c>
      <c r="AC154" s="848" t="s">
        <v>2138</v>
      </c>
      <c r="AD154" s="205"/>
      <c r="AE154" s="205">
        <v>20</v>
      </c>
      <c r="AF154" s="28" t="s">
        <v>327</v>
      </c>
      <c r="AG154" s="320">
        <v>292684</v>
      </c>
      <c r="AH154" s="28">
        <v>282326</v>
      </c>
      <c r="AI154" s="28">
        <v>135912</v>
      </c>
      <c r="AJ154" s="28">
        <v>45122</v>
      </c>
      <c r="AK154" s="28">
        <v>307101</v>
      </c>
      <c r="AL154" s="28">
        <v>86875</v>
      </c>
      <c r="AM154" s="28">
        <v>2145</v>
      </c>
      <c r="AN154" s="28">
        <v>12718</v>
      </c>
      <c r="AO154" s="28">
        <v>26</v>
      </c>
      <c r="AP154" s="28">
        <v>37</v>
      </c>
      <c r="AQ154" s="28" t="s">
        <v>1818</v>
      </c>
      <c r="AR154" s="28" t="s">
        <v>1819</v>
      </c>
      <c r="AS154" s="28">
        <v>53164</v>
      </c>
      <c r="AT154" s="28">
        <v>16982</v>
      </c>
      <c r="AU154" s="28">
        <v>60013</v>
      </c>
      <c r="AV154" s="28">
        <v>57501</v>
      </c>
      <c r="AW154" s="843">
        <v>45293</v>
      </c>
      <c r="AX154" s="843">
        <v>45657</v>
      </c>
      <c r="AY154" s="28" t="s">
        <v>1820</v>
      </c>
      <c r="AZ154" s="15"/>
      <c r="BA154" s="15"/>
      <c r="BB154" s="15"/>
      <c r="BC154" s="15"/>
      <c r="BD154" s="15"/>
      <c r="BE154" s="15"/>
      <c r="BF154" s="15"/>
      <c r="BG154" s="15"/>
      <c r="BH154" s="15"/>
      <c r="BI154" s="15"/>
      <c r="BJ154" s="15"/>
      <c r="BK154" s="15"/>
      <c r="BL154" s="15"/>
      <c r="BM154" s="15"/>
      <c r="BN154" s="15"/>
    </row>
    <row r="155" spans="1:66" s="47" customFormat="1" ht="76.5" x14ac:dyDescent="0.2">
      <c r="A155" s="28">
        <v>1</v>
      </c>
      <c r="B155" s="34" t="s">
        <v>315</v>
      </c>
      <c r="C155" s="28">
        <v>19</v>
      </c>
      <c r="D155" s="34" t="s">
        <v>517</v>
      </c>
      <c r="E155" s="28">
        <v>1905</v>
      </c>
      <c r="F155" s="34" t="s">
        <v>2076</v>
      </c>
      <c r="G155" s="28">
        <v>1905026</v>
      </c>
      <c r="H155" s="34" t="s">
        <v>2106</v>
      </c>
      <c r="I155" s="28">
        <v>1905026</v>
      </c>
      <c r="J155" s="34" t="s">
        <v>2106</v>
      </c>
      <c r="K155" s="215">
        <v>190502600</v>
      </c>
      <c r="L155" s="34" t="s">
        <v>2107</v>
      </c>
      <c r="M155" s="215">
        <v>190502600</v>
      </c>
      <c r="N155" s="34" t="s">
        <v>2107</v>
      </c>
      <c r="O155" s="205">
        <v>12</v>
      </c>
      <c r="P155" s="205"/>
      <c r="Q155" s="205">
        <v>12</v>
      </c>
      <c r="R155" s="79">
        <v>2020003630128</v>
      </c>
      <c r="S155" s="34" t="s">
        <v>2127</v>
      </c>
      <c r="T155" s="500">
        <f t="shared" ref="T155:T162" si="21">SUM($X$154:$X$162)/SUM($X$150:$X$162)</f>
        <v>0.85735512630014854</v>
      </c>
      <c r="U155" s="34" t="s">
        <v>2128</v>
      </c>
      <c r="V155" s="34" t="s">
        <v>2136</v>
      </c>
      <c r="W155" s="34" t="s">
        <v>2137</v>
      </c>
      <c r="X155" s="328">
        <v>308000000</v>
      </c>
      <c r="Y155" s="328"/>
      <c r="Z155" s="328"/>
      <c r="AA155" s="328"/>
      <c r="AB155" s="707">
        <f t="shared" si="18"/>
        <v>308000000</v>
      </c>
      <c r="AC155" s="848" t="s">
        <v>2139</v>
      </c>
      <c r="AD155" s="205"/>
      <c r="AE155" s="28">
        <v>111</v>
      </c>
      <c r="AF155" s="28" t="s">
        <v>2140</v>
      </c>
      <c r="AG155" s="320">
        <v>292684</v>
      </c>
      <c r="AH155" s="28">
        <v>282326</v>
      </c>
      <c r="AI155" s="28">
        <v>135912</v>
      </c>
      <c r="AJ155" s="28">
        <v>45122</v>
      </c>
      <c r="AK155" s="28">
        <v>307101</v>
      </c>
      <c r="AL155" s="28">
        <v>86875</v>
      </c>
      <c r="AM155" s="28">
        <v>2145</v>
      </c>
      <c r="AN155" s="28">
        <v>12718</v>
      </c>
      <c r="AO155" s="28">
        <v>26</v>
      </c>
      <c r="AP155" s="28">
        <v>37</v>
      </c>
      <c r="AQ155" s="28" t="s">
        <v>1818</v>
      </c>
      <c r="AR155" s="28" t="s">
        <v>1819</v>
      </c>
      <c r="AS155" s="28">
        <v>53164</v>
      </c>
      <c r="AT155" s="28">
        <v>16982</v>
      </c>
      <c r="AU155" s="28">
        <v>60013</v>
      </c>
      <c r="AV155" s="28">
        <v>57501</v>
      </c>
      <c r="AW155" s="843">
        <v>45293</v>
      </c>
      <c r="AX155" s="843">
        <v>45657</v>
      </c>
      <c r="AY155" s="28" t="s">
        <v>1820</v>
      </c>
      <c r="AZ155" s="15"/>
      <c r="BA155" s="15"/>
      <c r="BB155" s="15"/>
      <c r="BC155" s="15"/>
      <c r="BD155" s="15"/>
      <c r="BE155" s="15"/>
      <c r="BF155" s="15"/>
      <c r="BG155" s="15"/>
      <c r="BH155" s="15"/>
      <c r="BI155" s="15"/>
      <c r="BJ155" s="15"/>
      <c r="BK155" s="15"/>
      <c r="BL155" s="15"/>
      <c r="BM155" s="15"/>
      <c r="BN155" s="15"/>
    </row>
    <row r="156" spans="1:66" s="47" customFormat="1" ht="76.5" x14ac:dyDescent="0.2">
      <c r="A156" s="28">
        <v>1</v>
      </c>
      <c r="B156" s="34" t="s">
        <v>315</v>
      </c>
      <c r="C156" s="28">
        <v>19</v>
      </c>
      <c r="D156" s="34" t="s">
        <v>517</v>
      </c>
      <c r="E156" s="28">
        <v>1905</v>
      </c>
      <c r="F156" s="34" t="s">
        <v>2076</v>
      </c>
      <c r="G156" s="28">
        <v>1905026</v>
      </c>
      <c r="H156" s="34" t="s">
        <v>2106</v>
      </c>
      <c r="I156" s="28">
        <v>1905026</v>
      </c>
      <c r="J156" s="34" t="s">
        <v>2106</v>
      </c>
      <c r="K156" s="215">
        <v>190502600</v>
      </c>
      <c r="L156" s="34" t="s">
        <v>2107</v>
      </c>
      <c r="M156" s="215">
        <v>190502600</v>
      </c>
      <c r="N156" s="34" t="s">
        <v>2107</v>
      </c>
      <c r="O156" s="205">
        <v>12</v>
      </c>
      <c r="P156" s="205"/>
      <c r="Q156" s="205">
        <v>12</v>
      </c>
      <c r="R156" s="79">
        <v>2020003630128</v>
      </c>
      <c r="S156" s="34" t="s">
        <v>2127</v>
      </c>
      <c r="T156" s="500">
        <f t="shared" si="21"/>
        <v>0.85735512630014854</v>
      </c>
      <c r="U156" s="34" t="s">
        <v>2128</v>
      </c>
      <c r="V156" s="34" t="s">
        <v>2136</v>
      </c>
      <c r="W156" s="34" t="s">
        <v>2137</v>
      </c>
      <c r="X156" s="328">
        <v>36000000</v>
      </c>
      <c r="Y156" s="328"/>
      <c r="Z156" s="328"/>
      <c r="AA156" s="328"/>
      <c r="AB156" s="707">
        <f t="shared" si="18"/>
        <v>36000000</v>
      </c>
      <c r="AC156" s="848" t="s">
        <v>2141</v>
      </c>
      <c r="AD156" s="205"/>
      <c r="AE156" s="205">
        <v>61</v>
      </c>
      <c r="AF156" s="28" t="s">
        <v>2084</v>
      </c>
      <c r="AG156" s="320">
        <v>292684</v>
      </c>
      <c r="AH156" s="28">
        <v>282326</v>
      </c>
      <c r="AI156" s="28">
        <v>135912</v>
      </c>
      <c r="AJ156" s="28">
        <v>45122</v>
      </c>
      <c r="AK156" s="28">
        <v>307101</v>
      </c>
      <c r="AL156" s="28">
        <v>86875</v>
      </c>
      <c r="AM156" s="28">
        <v>2145</v>
      </c>
      <c r="AN156" s="28">
        <v>12718</v>
      </c>
      <c r="AO156" s="28">
        <v>26</v>
      </c>
      <c r="AP156" s="28">
        <v>37</v>
      </c>
      <c r="AQ156" s="28" t="s">
        <v>1818</v>
      </c>
      <c r="AR156" s="28" t="s">
        <v>1819</v>
      </c>
      <c r="AS156" s="28">
        <v>53164</v>
      </c>
      <c r="AT156" s="28">
        <v>16982</v>
      </c>
      <c r="AU156" s="28">
        <v>60013</v>
      </c>
      <c r="AV156" s="28">
        <v>57501</v>
      </c>
      <c r="AW156" s="843">
        <v>45293</v>
      </c>
      <c r="AX156" s="843">
        <v>45657</v>
      </c>
      <c r="AY156" s="28" t="s">
        <v>1820</v>
      </c>
      <c r="AZ156" s="15"/>
      <c r="BA156" s="15"/>
      <c r="BB156" s="15"/>
      <c r="BC156" s="15"/>
      <c r="BD156" s="15"/>
      <c r="BE156" s="15"/>
      <c r="BF156" s="15"/>
      <c r="BG156" s="15"/>
      <c r="BH156" s="15"/>
      <c r="BI156" s="15"/>
      <c r="BJ156" s="15"/>
      <c r="BK156" s="15"/>
      <c r="BL156" s="15"/>
      <c r="BM156" s="15"/>
      <c r="BN156" s="15"/>
    </row>
    <row r="157" spans="1:66" s="47" customFormat="1" ht="102" x14ac:dyDescent="0.2">
      <c r="A157" s="28">
        <v>1</v>
      </c>
      <c r="B157" s="34" t="s">
        <v>315</v>
      </c>
      <c r="C157" s="28">
        <v>19</v>
      </c>
      <c r="D157" s="34" t="s">
        <v>517</v>
      </c>
      <c r="E157" s="28">
        <v>1905</v>
      </c>
      <c r="F157" s="34" t="s">
        <v>2076</v>
      </c>
      <c r="G157" s="28">
        <v>1905026</v>
      </c>
      <c r="H157" s="34" t="s">
        <v>2106</v>
      </c>
      <c r="I157" s="28">
        <v>1905026</v>
      </c>
      <c r="J157" s="34" t="s">
        <v>2106</v>
      </c>
      <c r="K157" s="215">
        <v>190502600</v>
      </c>
      <c r="L157" s="34" t="s">
        <v>2107</v>
      </c>
      <c r="M157" s="215">
        <v>190502600</v>
      </c>
      <c r="N157" s="34" t="s">
        <v>2107</v>
      </c>
      <c r="O157" s="205">
        <v>12</v>
      </c>
      <c r="P157" s="205"/>
      <c r="Q157" s="205">
        <v>12</v>
      </c>
      <c r="R157" s="79">
        <v>2020003630128</v>
      </c>
      <c r="S157" s="34" t="s">
        <v>2127</v>
      </c>
      <c r="T157" s="500">
        <f t="shared" si="21"/>
        <v>0.85735512630014854</v>
      </c>
      <c r="U157" s="34" t="s">
        <v>2128</v>
      </c>
      <c r="V157" s="34" t="s">
        <v>2136</v>
      </c>
      <c r="W157" s="34" t="s">
        <v>2142</v>
      </c>
      <c r="X157" s="328">
        <v>12000000</v>
      </c>
      <c r="Y157" s="328"/>
      <c r="Z157" s="328"/>
      <c r="AA157" s="328"/>
      <c r="AB157" s="707">
        <f t="shared" si="18"/>
        <v>12000000</v>
      </c>
      <c r="AC157" s="848" t="s">
        <v>2143</v>
      </c>
      <c r="AD157" s="205"/>
      <c r="AE157" s="28">
        <v>111</v>
      </c>
      <c r="AF157" s="28" t="s">
        <v>2140</v>
      </c>
      <c r="AG157" s="320">
        <v>292684</v>
      </c>
      <c r="AH157" s="28">
        <v>282326</v>
      </c>
      <c r="AI157" s="28">
        <v>135912</v>
      </c>
      <c r="AJ157" s="28">
        <v>45122</v>
      </c>
      <c r="AK157" s="28">
        <v>307101</v>
      </c>
      <c r="AL157" s="28">
        <v>86875</v>
      </c>
      <c r="AM157" s="28">
        <v>2145</v>
      </c>
      <c r="AN157" s="28">
        <v>12718</v>
      </c>
      <c r="AO157" s="28">
        <v>26</v>
      </c>
      <c r="AP157" s="28">
        <v>37</v>
      </c>
      <c r="AQ157" s="28" t="s">
        <v>1818</v>
      </c>
      <c r="AR157" s="28" t="s">
        <v>1819</v>
      </c>
      <c r="AS157" s="28">
        <v>53164</v>
      </c>
      <c r="AT157" s="28">
        <v>16982</v>
      </c>
      <c r="AU157" s="28">
        <v>60013</v>
      </c>
      <c r="AV157" s="28">
        <v>57501</v>
      </c>
      <c r="AW157" s="843">
        <v>45293</v>
      </c>
      <c r="AX157" s="843">
        <v>45657</v>
      </c>
      <c r="AY157" s="28" t="s">
        <v>1820</v>
      </c>
      <c r="AZ157" s="15"/>
      <c r="BA157" s="15"/>
      <c r="BB157" s="15"/>
      <c r="BC157" s="15"/>
      <c r="BD157" s="15"/>
      <c r="BE157" s="15"/>
      <c r="BF157" s="15"/>
      <c r="BG157" s="15"/>
      <c r="BH157" s="15"/>
      <c r="BI157" s="15"/>
      <c r="BJ157" s="15"/>
      <c r="BK157" s="15"/>
      <c r="BL157" s="15"/>
      <c r="BM157" s="15"/>
      <c r="BN157" s="15"/>
    </row>
    <row r="158" spans="1:66" s="47" customFormat="1" ht="102" x14ac:dyDescent="0.2">
      <c r="A158" s="28">
        <v>1</v>
      </c>
      <c r="B158" s="34" t="s">
        <v>315</v>
      </c>
      <c r="C158" s="28">
        <v>19</v>
      </c>
      <c r="D158" s="34" t="s">
        <v>517</v>
      </c>
      <c r="E158" s="28">
        <v>1905</v>
      </c>
      <c r="F158" s="34" t="s">
        <v>2076</v>
      </c>
      <c r="G158" s="28">
        <v>1905026</v>
      </c>
      <c r="H158" s="34" t="s">
        <v>2106</v>
      </c>
      <c r="I158" s="28">
        <v>1905026</v>
      </c>
      <c r="J158" s="34" t="s">
        <v>2106</v>
      </c>
      <c r="K158" s="215">
        <v>190502600</v>
      </c>
      <c r="L158" s="34" t="s">
        <v>2107</v>
      </c>
      <c r="M158" s="215">
        <v>190502600</v>
      </c>
      <c r="N158" s="34" t="s">
        <v>2107</v>
      </c>
      <c r="O158" s="205">
        <v>12</v>
      </c>
      <c r="P158" s="205"/>
      <c r="Q158" s="205">
        <v>12</v>
      </c>
      <c r="R158" s="79">
        <v>2020003630128</v>
      </c>
      <c r="S158" s="34" t="s">
        <v>2127</v>
      </c>
      <c r="T158" s="500">
        <f t="shared" si="21"/>
        <v>0.85735512630014854</v>
      </c>
      <c r="U158" s="34" t="s">
        <v>2128</v>
      </c>
      <c r="V158" s="34" t="s">
        <v>2136</v>
      </c>
      <c r="W158" s="34" t="s">
        <v>2142</v>
      </c>
      <c r="X158" s="328">
        <v>5000000</v>
      </c>
      <c r="Y158" s="328"/>
      <c r="Z158" s="328"/>
      <c r="AA158" s="328"/>
      <c r="AB158" s="707">
        <f t="shared" si="18"/>
        <v>5000000</v>
      </c>
      <c r="AC158" s="848" t="s">
        <v>2144</v>
      </c>
      <c r="AD158" s="205"/>
      <c r="AE158" s="205">
        <v>20</v>
      </c>
      <c r="AF158" s="28" t="s">
        <v>327</v>
      </c>
      <c r="AG158" s="320">
        <v>292684</v>
      </c>
      <c r="AH158" s="28">
        <v>282326</v>
      </c>
      <c r="AI158" s="28">
        <v>135912</v>
      </c>
      <c r="AJ158" s="28">
        <v>45122</v>
      </c>
      <c r="AK158" s="28">
        <v>307101</v>
      </c>
      <c r="AL158" s="28">
        <v>86875</v>
      </c>
      <c r="AM158" s="28">
        <v>2145</v>
      </c>
      <c r="AN158" s="28">
        <v>12718</v>
      </c>
      <c r="AO158" s="28">
        <v>26</v>
      </c>
      <c r="AP158" s="28">
        <v>37</v>
      </c>
      <c r="AQ158" s="28" t="s">
        <v>1818</v>
      </c>
      <c r="AR158" s="28" t="s">
        <v>1819</v>
      </c>
      <c r="AS158" s="28">
        <v>53164</v>
      </c>
      <c r="AT158" s="28">
        <v>16982</v>
      </c>
      <c r="AU158" s="28">
        <v>60013</v>
      </c>
      <c r="AV158" s="28">
        <v>57501</v>
      </c>
      <c r="AW158" s="843">
        <v>45293</v>
      </c>
      <c r="AX158" s="843">
        <v>45657</v>
      </c>
      <c r="AY158" s="28" t="s">
        <v>1820</v>
      </c>
      <c r="AZ158" s="15"/>
      <c r="BA158" s="15"/>
      <c r="BB158" s="15"/>
      <c r="BC158" s="15"/>
      <c r="BD158" s="15"/>
      <c r="BE158" s="15"/>
      <c r="BF158" s="15"/>
      <c r="BG158" s="15"/>
      <c r="BH158" s="15"/>
      <c r="BI158" s="15"/>
      <c r="BJ158" s="15"/>
      <c r="BK158" s="15"/>
      <c r="BL158" s="15"/>
      <c r="BM158" s="15"/>
      <c r="BN158" s="15"/>
    </row>
    <row r="159" spans="1:66" s="47" customFormat="1" ht="89.25" x14ac:dyDescent="0.2">
      <c r="A159" s="28">
        <v>1</v>
      </c>
      <c r="B159" s="34" t="s">
        <v>315</v>
      </c>
      <c r="C159" s="28">
        <v>19</v>
      </c>
      <c r="D159" s="34" t="s">
        <v>517</v>
      </c>
      <c r="E159" s="28">
        <v>1905</v>
      </c>
      <c r="F159" s="34" t="s">
        <v>2076</v>
      </c>
      <c r="G159" s="28">
        <v>1905026</v>
      </c>
      <c r="H159" s="34" t="s">
        <v>2106</v>
      </c>
      <c r="I159" s="28">
        <v>1905026</v>
      </c>
      <c r="J159" s="34" t="s">
        <v>2106</v>
      </c>
      <c r="K159" s="215">
        <v>190502600</v>
      </c>
      <c r="L159" s="34" t="s">
        <v>2107</v>
      </c>
      <c r="M159" s="215">
        <v>190502600</v>
      </c>
      <c r="N159" s="34" t="s">
        <v>2107</v>
      </c>
      <c r="O159" s="205">
        <v>12</v>
      </c>
      <c r="P159" s="205"/>
      <c r="Q159" s="205">
        <v>12</v>
      </c>
      <c r="R159" s="79">
        <v>2020003630128</v>
      </c>
      <c r="S159" s="34" t="s">
        <v>2127</v>
      </c>
      <c r="T159" s="500">
        <f t="shared" si="21"/>
        <v>0.85735512630014854</v>
      </c>
      <c r="U159" s="34" t="s">
        <v>2128</v>
      </c>
      <c r="V159" s="34" t="s">
        <v>2136</v>
      </c>
      <c r="W159" s="34" t="s">
        <v>2145</v>
      </c>
      <c r="X159" s="328">
        <v>8000000</v>
      </c>
      <c r="Y159" s="328"/>
      <c r="Z159" s="328"/>
      <c r="AA159" s="328"/>
      <c r="AB159" s="707">
        <f t="shared" si="18"/>
        <v>8000000</v>
      </c>
      <c r="AC159" s="848" t="s">
        <v>2146</v>
      </c>
      <c r="AD159" s="205"/>
      <c r="AE159" s="28">
        <v>111</v>
      </c>
      <c r="AF159" s="28" t="s">
        <v>2140</v>
      </c>
      <c r="AG159" s="320">
        <v>292684</v>
      </c>
      <c r="AH159" s="28">
        <v>282326</v>
      </c>
      <c r="AI159" s="28">
        <v>135912</v>
      </c>
      <c r="AJ159" s="28">
        <v>45122</v>
      </c>
      <c r="AK159" s="28">
        <v>307101</v>
      </c>
      <c r="AL159" s="28">
        <v>86875</v>
      </c>
      <c r="AM159" s="28">
        <v>2145</v>
      </c>
      <c r="AN159" s="28">
        <v>12718</v>
      </c>
      <c r="AO159" s="28">
        <v>26</v>
      </c>
      <c r="AP159" s="28">
        <v>37</v>
      </c>
      <c r="AQ159" s="28" t="s">
        <v>1818</v>
      </c>
      <c r="AR159" s="28" t="s">
        <v>1819</v>
      </c>
      <c r="AS159" s="28">
        <v>53164</v>
      </c>
      <c r="AT159" s="28">
        <v>16982</v>
      </c>
      <c r="AU159" s="28">
        <v>60013</v>
      </c>
      <c r="AV159" s="28">
        <v>57501</v>
      </c>
      <c r="AW159" s="843">
        <v>45293</v>
      </c>
      <c r="AX159" s="843">
        <v>45657</v>
      </c>
      <c r="AY159" s="28" t="s">
        <v>1820</v>
      </c>
      <c r="AZ159" s="15"/>
      <c r="BA159" s="15"/>
      <c r="BB159" s="15"/>
      <c r="BC159" s="15"/>
      <c r="BD159" s="15"/>
      <c r="BE159" s="15"/>
      <c r="BF159" s="15"/>
      <c r="BG159" s="15"/>
      <c r="BH159" s="15"/>
      <c r="BI159" s="15"/>
      <c r="BJ159" s="15"/>
      <c r="BK159" s="15"/>
      <c r="BL159" s="15"/>
      <c r="BM159" s="15"/>
      <c r="BN159" s="15"/>
    </row>
    <row r="160" spans="1:66" s="47" customFormat="1" ht="63.75" x14ac:dyDescent="0.2">
      <c r="A160" s="28">
        <v>1</v>
      </c>
      <c r="B160" s="34" t="s">
        <v>315</v>
      </c>
      <c r="C160" s="28">
        <v>19</v>
      </c>
      <c r="D160" s="34" t="s">
        <v>517</v>
      </c>
      <c r="E160" s="28">
        <v>1905</v>
      </c>
      <c r="F160" s="34" t="s">
        <v>2076</v>
      </c>
      <c r="G160" s="28">
        <v>1905026</v>
      </c>
      <c r="H160" s="34" t="s">
        <v>2106</v>
      </c>
      <c r="I160" s="28">
        <v>1905026</v>
      </c>
      <c r="J160" s="34" t="s">
        <v>2106</v>
      </c>
      <c r="K160" s="215">
        <v>190502600</v>
      </c>
      <c r="L160" s="34" t="s">
        <v>2107</v>
      </c>
      <c r="M160" s="215">
        <v>190502600</v>
      </c>
      <c r="N160" s="34" t="s">
        <v>2107</v>
      </c>
      <c r="O160" s="205">
        <v>12</v>
      </c>
      <c r="P160" s="205"/>
      <c r="Q160" s="205">
        <v>12</v>
      </c>
      <c r="R160" s="79">
        <v>2020003630128</v>
      </c>
      <c r="S160" s="34" t="s">
        <v>2127</v>
      </c>
      <c r="T160" s="500">
        <f t="shared" si="21"/>
        <v>0.85735512630014854</v>
      </c>
      <c r="U160" s="34" t="s">
        <v>2128</v>
      </c>
      <c r="V160" s="34" t="s">
        <v>2136</v>
      </c>
      <c r="W160" s="34" t="s">
        <v>2147</v>
      </c>
      <c r="X160" s="328">
        <v>5000000</v>
      </c>
      <c r="Y160" s="328"/>
      <c r="Z160" s="328"/>
      <c r="AA160" s="328"/>
      <c r="AB160" s="707">
        <f t="shared" si="18"/>
        <v>5000000</v>
      </c>
      <c r="AC160" s="848" t="s">
        <v>2148</v>
      </c>
      <c r="AD160" s="205"/>
      <c r="AE160" s="28">
        <v>111</v>
      </c>
      <c r="AF160" s="28" t="s">
        <v>2140</v>
      </c>
      <c r="AG160" s="320">
        <v>292684</v>
      </c>
      <c r="AH160" s="28">
        <v>282326</v>
      </c>
      <c r="AI160" s="28">
        <v>135912</v>
      </c>
      <c r="AJ160" s="28">
        <v>45122</v>
      </c>
      <c r="AK160" s="28">
        <v>307101</v>
      </c>
      <c r="AL160" s="28">
        <v>86875</v>
      </c>
      <c r="AM160" s="28">
        <v>2145</v>
      </c>
      <c r="AN160" s="28">
        <v>12718</v>
      </c>
      <c r="AO160" s="28">
        <v>26</v>
      </c>
      <c r="AP160" s="28">
        <v>37</v>
      </c>
      <c r="AQ160" s="28" t="s">
        <v>1818</v>
      </c>
      <c r="AR160" s="28" t="s">
        <v>1819</v>
      </c>
      <c r="AS160" s="28">
        <v>53164</v>
      </c>
      <c r="AT160" s="28">
        <v>16982</v>
      </c>
      <c r="AU160" s="28">
        <v>60013</v>
      </c>
      <c r="AV160" s="28">
        <v>57501</v>
      </c>
      <c r="AW160" s="843">
        <v>45293</v>
      </c>
      <c r="AX160" s="843">
        <v>45657</v>
      </c>
      <c r="AY160" s="28" t="s">
        <v>1820</v>
      </c>
      <c r="AZ160" s="15"/>
      <c r="BA160" s="15"/>
      <c r="BB160" s="15"/>
      <c r="BC160" s="15"/>
      <c r="BD160" s="15"/>
      <c r="BE160" s="15"/>
      <c r="BF160" s="15"/>
      <c r="BG160" s="15"/>
      <c r="BH160" s="15"/>
      <c r="BI160" s="15"/>
      <c r="BJ160" s="15"/>
      <c r="BK160" s="15"/>
      <c r="BL160" s="15"/>
      <c r="BM160" s="15"/>
      <c r="BN160" s="15"/>
    </row>
    <row r="161" spans="1:66" s="47" customFormat="1" ht="63.75" x14ac:dyDescent="0.2">
      <c r="A161" s="28">
        <v>1</v>
      </c>
      <c r="B161" s="34" t="s">
        <v>315</v>
      </c>
      <c r="C161" s="28">
        <v>19</v>
      </c>
      <c r="D161" s="34" t="s">
        <v>517</v>
      </c>
      <c r="E161" s="28">
        <v>1905</v>
      </c>
      <c r="F161" s="34" t="s">
        <v>2076</v>
      </c>
      <c r="G161" s="28">
        <v>1905026</v>
      </c>
      <c r="H161" s="34" t="s">
        <v>2106</v>
      </c>
      <c r="I161" s="28">
        <v>1905026</v>
      </c>
      <c r="J161" s="34" t="s">
        <v>2106</v>
      </c>
      <c r="K161" s="215">
        <v>190502600</v>
      </c>
      <c r="L161" s="34" t="s">
        <v>2107</v>
      </c>
      <c r="M161" s="215">
        <v>190502600</v>
      </c>
      <c r="N161" s="34" t="s">
        <v>2107</v>
      </c>
      <c r="O161" s="205">
        <v>12</v>
      </c>
      <c r="P161" s="205"/>
      <c r="Q161" s="205">
        <v>12</v>
      </c>
      <c r="R161" s="79">
        <v>2020003630128</v>
      </c>
      <c r="S161" s="34" t="s">
        <v>2127</v>
      </c>
      <c r="T161" s="500">
        <f t="shared" si="21"/>
        <v>0.85735512630014854</v>
      </c>
      <c r="U161" s="34" t="s">
        <v>2128</v>
      </c>
      <c r="V161" s="34" t="s">
        <v>2136</v>
      </c>
      <c r="W161" s="34" t="s">
        <v>2147</v>
      </c>
      <c r="X161" s="328">
        <v>5000000</v>
      </c>
      <c r="Y161" s="328"/>
      <c r="Z161" s="328"/>
      <c r="AA161" s="328"/>
      <c r="AB161" s="707">
        <f t="shared" si="18"/>
        <v>5000000</v>
      </c>
      <c r="AC161" s="848" t="s">
        <v>2149</v>
      </c>
      <c r="AD161" s="205"/>
      <c r="AE161" s="205">
        <v>20</v>
      </c>
      <c r="AF161" s="28" t="s">
        <v>327</v>
      </c>
      <c r="AG161" s="320">
        <v>292684</v>
      </c>
      <c r="AH161" s="28">
        <v>282326</v>
      </c>
      <c r="AI161" s="28">
        <v>135912</v>
      </c>
      <c r="AJ161" s="28">
        <v>45122</v>
      </c>
      <c r="AK161" s="28">
        <v>307101</v>
      </c>
      <c r="AL161" s="28">
        <v>86875</v>
      </c>
      <c r="AM161" s="28">
        <v>2145</v>
      </c>
      <c r="AN161" s="28">
        <v>12718</v>
      </c>
      <c r="AO161" s="28">
        <v>26</v>
      </c>
      <c r="AP161" s="28">
        <v>37</v>
      </c>
      <c r="AQ161" s="28" t="s">
        <v>1818</v>
      </c>
      <c r="AR161" s="28" t="s">
        <v>1819</v>
      </c>
      <c r="AS161" s="28">
        <v>53164</v>
      </c>
      <c r="AT161" s="28">
        <v>16982</v>
      </c>
      <c r="AU161" s="28">
        <v>60013</v>
      </c>
      <c r="AV161" s="28">
        <v>57501</v>
      </c>
      <c r="AW161" s="843">
        <v>45293</v>
      </c>
      <c r="AX161" s="843">
        <v>45657</v>
      </c>
      <c r="AY161" s="28" t="s">
        <v>1820</v>
      </c>
      <c r="AZ161" s="15"/>
      <c r="BA161" s="15"/>
      <c r="BB161" s="15"/>
      <c r="BC161" s="15"/>
      <c r="BD161" s="15"/>
      <c r="BE161" s="15"/>
      <c r="BF161" s="15"/>
      <c r="BG161" s="15"/>
      <c r="BH161" s="15"/>
      <c r="BI161" s="15"/>
      <c r="BJ161" s="15"/>
      <c r="BK161" s="15"/>
      <c r="BL161" s="15"/>
      <c r="BM161" s="15"/>
      <c r="BN161" s="15"/>
    </row>
    <row r="162" spans="1:66" s="47" customFormat="1" ht="63.75" x14ac:dyDescent="0.2">
      <c r="A162" s="28">
        <v>1</v>
      </c>
      <c r="B162" s="34" t="s">
        <v>315</v>
      </c>
      <c r="C162" s="28">
        <v>19</v>
      </c>
      <c r="D162" s="34" t="s">
        <v>517</v>
      </c>
      <c r="E162" s="28">
        <v>1905</v>
      </c>
      <c r="F162" s="34" t="s">
        <v>2076</v>
      </c>
      <c r="G162" s="28">
        <v>1905026</v>
      </c>
      <c r="H162" s="34" t="s">
        <v>2106</v>
      </c>
      <c r="I162" s="28">
        <v>1905026</v>
      </c>
      <c r="J162" s="34" t="s">
        <v>2106</v>
      </c>
      <c r="K162" s="215">
        <v>190502600</v>
      </c>
      <c r="L162" s="34" t="s">
        <v>2107</v>
      </c>
      <c r="M162" s="215">
        <v>190502600</v>
      </c>
      <c r="N162" s="34" t="s">
        <v>2107</v>
      </c>
      <c r="O162" s="205">
        <v>12</v>
      </c>
      <c r="P162" s="205"/>
      <c r="Q162" s="205">
        <v>12</v>
      </c>
      <c r="R162" s="79">
        <v>2020003630128</v>
      </c>
      <c r="S162" s="34" t="s">
        <v>2127</v>
      </c>
      <c r="T162" s="500">
        <f t="shared" si="21"/>
        <v>0.85735512630014854</v>
      </c>
      <c r="U162" s="34" t="s">
        <v>2128</v>
      </c>
      <c r="V162" s="34" t="s">
        <v>2136</v>
      </c>
      <c r="W162" s="34" t="s">
        <v>2150</v>
      </c>
      <c r="X162" s="328">
        <v>58000000</v>
      </c>
      <c r="Y162" s="328"/>
      <c r="Z162" s="328"/>
      <c r="AA162" s="328"/>
      <c r="AB162" s="707">
        <f t="shared" si="18"/>
        <v>58000000</v>
      </c>
      <c r="AC162" s="848" t="s">
        <v>2151</v>
      </c>
      <c r="AD162" s="205"/>
      <c r="AE162" s="205">
        <v>61</v>
      </c>
      <c r="AF162" s="28" t="s">
        <v>2084</v>
      </c>
      <c r="AG162" s="320">
        <v>292684</v>
      </c>
      <c r="AH162" s="28">
        <v>282326</v>
      </c>
      <c r="AI162" s="28">
        <v>135912</v>
      </c>
      <c r="AJ162" s="28">
        <v>45122</v>
      </c>
      <c r="AK162" s="28">
        <v>307101</v>
      </c>
      <c r="AL162" s="28">
        <v>86875</v>
      </c>
      <c r="AM162" s="28">
        <v>2145</v>
      </c>
      <c r="AN162" s="28">
        <v>12718</v>
      </c>
      <c r="AO162" s="28">
        <v>26</v>
      </c>
      <c r="AP162" s="28">
        <v>37</v>
      </c>
      <c r="AQ162" s="28" t="s">
        <v>1818</v>
      </c>
      <c r="AR162" s="28" t="s">
        <v>1819</v>
      </c>
      <c r="AS162" s="28">
        <v>53164</v>
      </c>
      <c r="AT162" s="28">
        <v>16982</v>
      </c>
      <c r="AU162" s="28">
        <v>60013</v>
      </c>
      <c r="AV162" s="28">
        <v>57501</v>
      </c>
      <c r="AW162" s="843">
        <v>45293</v>
      </c>
      <c r="AX162" s="843">
        <v>45657</v>
      </c>
      <c r="AY162" s="28" t="s">
        <v>1820</v>
      </c>
      <c r="AZ162" s="15"/>
      <c r="BA162" s="15"/>
      <c r="BB162" s="15"/>
      <c r="BC162" s="15"/>
      <c r="BD162" s="15"/>
      <c r="BE162" s="15"/>
      <c r="BF162" s="15"/>
      <c r="BG162" s="15"/>
      <c r="BH162" s="15"/>
      <c r="BI162" s="15"/>
      <c r="BJ162" s="15"/>
      <c r="BK162" s="15"/>
      <c r="BL162" s="15"/>
      <c r="BM162" s="15"/>
      <c r="BN162" s="15"/>
    </row>
    <row r="163" spans="1:66" s="47" customFormat="1" ht="102" x14ac:dyDescent="0.2">
      <c r="A163" s="28">
        <v>1</v>
      </c>
      <c r="B163" s="34" t="s">
        <v>315</v>
      </c>
      <c r="C163" s="28">
        <v>19</v>
      </c>
      <c r="D163" s="34" t="s">
        <v>517</v>
      </c>
      <c r="E163" s="28">
        <v>1905</v>
      </c>
      <c r="F163" s="34" t="s">
        <v>2076</v>
      </c>
      <c r="G163" s="28">
        <v>1905014</v>
      </c>
      <c r="H163" s="34" t="s">
        <v>180</v>
      </c>
      <c r="I163" s="28">
        <v>1905014</v>
      </c>
      <c r="J163" s="34" t="s">
        <v>180</v>
      </c>
      <c r="K163" s="280">
        <v>190501400</v>
      </c>
      <c r="L163" s="34" t="s">
        <v>1355</v>
      </c>
      <c r="M163" s="280">
        <v>190501400</v>
      </c>
      <c r="N163" s="34" t="s">
        <v>1355</v>
      </c>
      <c r="O163" s="205">
        <v>12</v>
      </c>
      <c r="P163" s="205"/>
      <c r="Q163" s="205">
        <v>12</v>
      </c>
      <c r="R163" s="79">
        <v>2020003630129</v>
      </c>
      <c r="S163" s="34" t="s">
        <v>2152</v>
      </c>
      <c r="T163" s="500">
        <f>SUM($X$163:$X$164)/SUM($X$163:$X$176)</f>
        <v>0.17335473515248795</v>
      </c>
      <c r="U163" s="34" t="s">
        <v>2153</v>
      </c>
      <c r="V163" s="34" t="s">
        <v>2154</v>
      </c>
      <c r="W163" s="34" t="s">
        <v>2155</v>
      </c>
      <c r="X163" s="849">
        <v>27000000</v>
      </c>
      <c r="Y163" s="849"/>
      <c r="Z163" s="849"/>
      <c r="AA163" s="849"/>
      <c r="AB163" s="707">
        <f t="shared" si="18"/>
        <v>27000000</v>
      </c>
      <c r="AC163" s="850" t="s">
        <v>2156</v>
      </c>
      <c r="AD163" s="205"/>
      <c r="AE163" s="205">
        <v>61</v>
      </c>
      <c r="AF163" s="28" t="s">
        <v>2084</v>
      </c>
      <c r="AG163" s="320">
        <v>292684</v>
      </c>
      <c r="AH163" s="28">
        <v>282326</v>
      </c>
      <c r="AI163" s="28">
        <v>135912</v>
      </c>
      <c r="AJ163" s="28">
        <v>45122</v>
      </c>
      <c r="AK163" s="28">
        <v>307101</v>
      </c>
      <c r="AL163" s="28">
        <v>86875</v>
      </c>
      <c r="AM163" s="28">
        <v>2145</v>
      </c>
      <c r="AN163" s="28">
        <v>12718</v>
      </c>
      <c r="AO163" s="28">
        <v>26</v>
      </c>
      <c r="AP163" s="28">
        <v>37</v>
      </c>
      <c r="AQ163" s="28" t="s">
        <v>1818</v>
      </c>
      <c r="AR163" s="28" t="s">
        <v>1819</v>
      </c>
      <c r="AS163" s="28">
        <v>53164</v>
      </c>
      <c r="AT163" s="28">
        <v>16982</v>
      </c>
      <c r="AU163" s="28">
        <v>60013</v>
      </c>
      <c r="AV163" s="28">
        <v>57501</v>
      </c>
      <c r="AW163" s="843">
        <v>45293</v>
      </c>
      <c r="AX163" s="843">
        <v>45657</v>
      </c>
      <c r="AY163" s="28" t="s">
        <v>1820</v>
      </c>
      <c r="AZ163" s="15"/>
      <c r="BA163" s="15"/>
      <c r="BB163" s="15"/>
      <c r="BC163" s="15"/>
      <c r="BD163" s="15"/>
      <c r="BE163" s="15"/>
      <c r="BF163" s="15"/>
      <c r="BG163" s="15"/>
      <c r="BH163" s="15"/>
      <c r="BI163" s="15"/>
      <c r="BJ163" s="15"/>
      <c r="BK163" s="15"/>
      <c r="BL163" s="15"/>
      <c r="BM163" s="15"/>
      <c r="BN163" s="15"/>
    </row>
    <row r="164" spans="1:66" s="47" customFormat="1" ht="140.25" x14ac:dyDescent="0.2">
      <c r="A164" s="28">
        <v>1</v>
      </c>
      <c r="B164" s="34" t="s">
        <v>315</v>
      </c>
      <c r="C164" s="28">
        <v>19</v>
      </c>
      <c r="D164" s="34" t="s">
        <v>517</v>
      </c>
      <c r="E164" s="28">
        <v>1905</v>
      </c>
      <c r="F164" s="34" t="s">
        <v>2076</v>
      </c>
      <c r="G164" s="28">
        <v>1905014</v>
      </c>
      <c r="H164" s="34" t="s">
        <v>180</v>
      </c>
      <c r="I164" s="28">
        <v>1905014</v>
      </c>
      <c r="J164" s="34" t="s">
        <v>180</v>
      </c>
      <c r="K164" s="280">
        <v>190501400</v>
      </c>
      <c r="L164" s="34" t="s">
        <v>1355</v>
      </c>
      <c r="M164" s="280">
        <v>190501400</v>
      </c>
      <c r="N164" s="34" t="s">
        <v>1355</v>
      </c>
      <c r="O164" s="205">
        <v>12</v>
      </c>
      <c r="P164" s="205"/>
      <c r="Q164" s="205">
        <v>12</v>
      </c>
      <c r="R164" s="79">
        <v>2020003630129</v>
      </c>
      <c r="S164" s="34" t="s">
        <v>2152</v>
      </c>
      <c r="T164" s="500">
        <f>SUM($X$163:$X$164)/SUM($X$163:$X$176)</f>
        <v>0.17335473515248795</v>
      </c>
      <c r="U164" s="34" t="s">
        <v>2153</v>
      </c>
      <c r="V164" s="34" t="s">
        <v>2154</v>
      </c>
      <c r="W164" s="34" t="s">
        <v>2157</v>
      </c>
      <c r="X164" s="849">
        <v>27000000</v>
      </c>
      <c r="Y164" s="849"/>
      <c r="Z164" s="849"/>
      <c r="AA164" s="849"/>
      <c r="AB164" s="707">
        <f t="shared" si="18"/>
        <v>27000000</v>
      </c>
      <c r="AC164" s="850" t="s">
        <v>2158</v>
      </c>
      <c r="AD164" s="205"/>
      <c r="AE164" s="205">
        <v>61</v>
      </c>
      <c r="AF164" s="28" t="s">
        <v>2084</v>
      </c>
      <c r="AG164" s="320">
        <v>292684</v>
      </c>
      <c r="AH164" s="28">
        <v>282326</v>
      </c>
      <c r="AI164" s="28">
        <v>135912</v>
      </c>
      <c r="AJ164" s="28">
        <v>45122</v>
      </c>
      <c r="AK164" s="28">
        <v>307101</v>
      </c>
      <c r="AL164" s="28">
        <v>86875</v>
      </c>
      <c r="AM164" s="28">
        <v>2145</v>
      </c>
      <c r="AN164" s="28">
        <v>12718</v>
      </c>
      <c r="AO164" s="28">
        <v>26</v>
      </c>
      <c r="AP164" s="28">
        <v>37</v>
      </c>
      <c r="AQ164" s="28" t="s">
        <v>1818</v>
      </c>
      <c r="AR164" s="28" t="s">
        <v>1819</v>
      </c>
      <c r="AS164" s="28">
        <v>53164</v>
      </c>
      <c r="AT164" s="28">
        <v>16982</v>
      </c>
      <c r="AU164" s="28">
        <v>60013</v>
      </c>
      <c r="AV164" s="28">
        <v>57501</v>
      </c>
      <c r="AW164" s="843">
        <v>45293</v>
      </c>
      <c r="AX164" s="843">
        <v>45657</v>
      </c>
      <c r="AY164" s="28" t="s">
        <v>1820</v>
      </c>
      <c r="AZ164" s="15"/>
      <c r="BA164" s="15"/>
      <c r="BB164" s="15"/>
      <c r="BC164" s="15"/>
      <c r="BD164" s="15"/>
      <c r="BE164" s="15"/>
      <c r="BF164" s="15"/>
      <c r="BG164" s="15"/>
      <c r="BH164" s="15"/>
      <c r="BI164" s="15"/>
      <c r="BJ164" s="15"/>
      <c r="BK164" s="15"/>
      <c r="BL164" s="15"/>
      <c r="BM164" s="15"/>
      <c r="BN164" s="15"/>
    </row>
    <row r="165" spans="1:66" s="47" customFormat="1" ht="63.75" x14ac:dyDescent="0.2">
      <c r="A165" s="28">
        <v>1</v>
      </c>
      <c r="B165" s="34" t="s">
        <v>315</v>
      </c>
      <c r="C165" s="28">
        <v>19</v>
      </c>
      <c r="D165" s="34" t="s">
        <v>517</v>
      </c>
      <c r="E165" s="28">
        <v>1905</v>
      </c>
      <c r="F165" s="34" t="s">
        <v>2076</v>
      </c>
      <c r="G165" s="207">
        <v>1905026</v>
      </c>
      <c r="H165" s="34" t="s">
        <v>2159</v>
      </c>
      <c r="I165" s="28">
        <v>1905026</v>
      </c>
      <c r="J165" s="34" t="s">
        <v>2159</v>
      </c>
      <c r="K165" s="215">
        <v>190502600</v>
      </c>
      <c r="L165" s="34" t="s">
        <v>2107</v>
      </c>
      <c r="M165" s="215">
        <v>190502600</v>
      </c>
      <c r="N165" s="34" t="s">
        <v>2107</v>
      </c>
      <c r="O165" s="205">
        <v>12</v>
      </c>
      <c r="P165" s="205"/>
      <c r="Q165" s="205">
        <v>12</v>
      </c>
      <c r="R165" s="79">
        <v>2020003630129</v>
      </c>
      <c r="S165" s="34" t="s">
        <v>2152</v>
      </c>
      <c r="T165" s="500">
        <f>SUM($X$165:$X$176)/SUM($X$163:$X$176)</f>
        <v>0.826645264847512</v>
      </c>
      <c r="U165" s="34" t="s">
        <v>2153</v>
      </c>
      <c r="V165" s="34" t="s">
        <v>2160</v>
      </c>
      <c r="W165" s="34" t="s">
        <v>2161</v>
      </c>
      <c r="X165" s="849">
        <v>30000000</v>
      </c>
      <c r="Y165" s="849"/>
      <c r="Z165" s="849"/>
      <c r="AA165" s="849"/>
      <c r="AB165" s="707">
        <f t="shared" si="18"/>
        <v>30000000</v>
      </c>
      <c r="AC165" s="850" t="s">
        <v>2162</v>
      </c>
      <c r="AD165" s="205"/>
      <c r="AE165" s="28">
        <v>113</v>
      </c>
      <c r="AF165" s="28" t="s">
        <v>2163</v>
      </c>
      <c r="AG165" s="320">
        <v>292684</v>
      </c>
      <c r="AH165" s="28">
        <v>282326</v>
      </c>
      <c r="AI165" s="28">
        <v>135912</v>
      </c>
      <c r="AJ165" s="28">
        <v>45122</v>
      </c>
      <c r="AK165" s="28">
        <v>307101</v>
      </c>
      <c r="AL165" s="28">
        <v>86875</v>
      </c>
      <c r="AM165" s="28">
        <v>2145</v>
      </c>
      <c r="AN165" s="28">
        <v>12718</v>
      </c>
      <c r="AO165" s="28">
        <v>26</v>
      </c>
      <c r="AP165" s="28">
        <v>37</v>
      </c>
      <c r="AQ165" s="28" t="s">
        <v>1818</v>
      </c>
      <c r="AR165" s="28" t="s">
        <v>1819</v>
      </c>
      <c r="AS165" s="28">
        <v>53164</v>
      </c>
      <c r="AT165" s="28">
        <v>16982</v>
      </c>
      <c r="AU165" s="28">
        <v>60013</v>
      </c>
      <c r="AV165" s="28">
        <v>57501</v>
      </c>
      <c r="AW165" s="843">
        <v>45293</v>
      </c>
      <c r="AX165" s="843">
        <v>45657</v>
      </c>
      <c r="AY165" s="28" t="s">
        <v>1820</v>
      </c>
      <c r="AZ165" s="15"/>
      <c r="BA165" s="15"/>
      <c r="BB165" s="15"/>
      <c r="BC165" s="15"/>
      <c r="BD165" s="15"/>
      <c r="BE165" s="15"/>
      <c r="BF165" s="15"/>
      <c r="BG165" s="15"/>
      <c r="BH165" s="15"/>
      <c r="BI165" s="15"/>
      <c r="BJ165" s="15"/>
      <c r="BK165" s="15"/>
      <c r="BL165" s="15"/>
      <c r="BM165" s="15"/>
      <c r="BN165" s="15"/>
    </row>
    <row r="166" spans="1:66" s="47" customFormat="1" ht="63.75" x14ac:dyDescent="0.2">
      <c r="A166" s="28">
        <v>1</v>
      </c>
      <c r="B166" s="34" t="s">
        <v>315</v>
      </c>
      <c r="C166" s="28">
        <v>19</v>
      </c>
      <c r="D166" s="34" t="s">
        <v>517</v>
      </c>
      <c r="E166" s="28">
        <v>1905</v>
      </c>
      <c r="F166" s="34" t="s">
        <v>2076</v>
      </c>
      <c r="G166" s="207">
        <v>1905026</v>
      </c>
      <c r="H166" s="34" t="s">
        <v>2159</v>
      </c>
      <c r="I166" s="28">
        <v>1905026</v>
      </c>
      <c r="J166" s="34" t="s">
        <v>2159</v>
      </c>
      <c r="K166" s="215">
        <v>190502600</v>
      </c>
      <c r="L166" s="34" t="s">
        <v>2107</v>
      </c>
      <c r="M166" s="215">
        <v>190502600</v>
      </c>
      <c r="N166" s="34" t="s">
        <v>2107</v>
      </c>
      <c r="O166" s="205">
        <v>12</v>
      </c>
      <c r="P166" s="205"/>
      <c r="Q166" s="205">
        <v>12</v>
      </c>
      <c r="R166" s="79">
        <v>2020003630129</v>
      </c>
      <c r="S166" s="34" t="s">
        <v>2152</v>
      </c>
      <c r="T166" s="500">
        <f t="shared" ref="T166:T176" si="22">SUM($X$165:$X$176)/SUM($X$163:$X$176)</f>
        <v>0.826645264847512</v>
      </c>
      <c r="U166" s="34" t="s">
        <v>2153</v>
      </c>
      <c r="V166" s="34" t="s">
        <v>2160</v>
      </c>
      <c r="W166" s="34" t="s">
        <v>2164</v>
      </c>
      <c r="X166" s="849">
        <v>30000000</v>
      </c>
      <c r="Y166" s="849"/>
      <c r="Z166" s="849"/>
      <c r="AA166" s="849"/>
      <c r="AB166" s="707">
        <f t="shared" si="18"/>
        <v>30000000</v>
      </c>
      <c r="AC166" s="850" t="s">
        <v>2162</v>
      </c>
      <c r="AD166" s="205"/>
      <c r="AE166" s="28">
        <v>113</v>
      </c>
      <c r="AF166" s="28" t="s">
        <v>2163</v>
      </c>
      <c r="AG166" s="320">
        <v>292684</v>
      </c>
      <c r="AH166" s="28">
        <v>282326</v>
      </c>
      <c r="AI166" s="28">
        <v>135912</v>
      </c>
      <c r="AJ166" s="28">
        <v>45122</v>
      </c>
      <c r="AK166" s="28">
        <v>307101</v>
      </c>
      <c r="AL166" s="28">
        <v>86875</v>
      </c>
      <c r="AM166" s="28">
        <v>2145</v>
      </c>
      <c r="AN166" s="28">
        <v>12718</v>
      </c>
      <c r="AO166" s="28">
        <v>26</v>
      </c>
      <c r="AP166" s="28">
        <v>37</v>
      </c>
      <c r="AQ166" s="28" t="s">
        <v>1818</v>
      </c>
      <c r="AR166" s="28" t="s">
        <v>1819</v>
      </c>
      <c r="AS166" s="28">
        <v>53164</v>
      </c>
      <c r="AT166" s="28">
        <v>16982</v>
      </c>
      <c r="AU166" s="28">
        <v>60013</v>
      </c>
      <c r="AV166" s="28">
        <v>57501</v>
      </c>
      <c r="AW166" s="843">
        <v>45293</v>
      </c>
      <c r="AX166" s="843">
        <v>45657</v>
      </c>
      <c r="AY166" s="28" t="s">
        <v>1820</v>
      </c>
      <c r="AZ166" s="15"/>
      <c r="BA166" s="15"/>
      <c r="BB166" s="15"/>
      <c r="BC166" s="15"/>
      <c r="BD166" s="15"/>
      <c r="BE166" s="15"/>
      <c r="BF166" s="15"/>
      <c r="BG166" s="15"/>
      <c r="BH166" s="15"/>
      <c r="BI166" s="15"/>
      <c r="BJ166" s="15"/>
      <c r="BK166" s="15"/>
      <c r="BL166" s="15"/>
      <c r="BM166" s="15"/>
      <c r="BN166" s="15"/>
    </row>
    <row r="167" spans="1:66" s="47" customFormat="1" ht="63.75" x14ac:dyDescent="0.2">
      <c r="A167" s="28">
        <v>1</v>
      </c>
      <c r="B167" s="34" t="s">
        <v>315</v>
      </c>
      <c r="C167" s="28">
        <v>19</v>
      </c>
      <c r="D167" s="34" t="s">
        <v>517</v>
      </c>
      <c r="E167" s="28">
        <v>1905</v>
      </c>
      <c r="F167" s="34" t="s">
        <v>2076</v>
      </c>
      <c r="G167" s="207">
        <v>1905026</v>
      </c>
      <c r="H167" s="34" t="s">
        <v>2159</v>
      </c>
      <c r="I167" s="28">
        <v>1905026</v>
      </c>
      <c r="J167" s="34" t="s">
        <v>2159</v>
      </c>
      <c r="K167" s="215">
        <v>190502600</v>
      </c>
      <c r="L167" s="34" t="s">
        <v>2107</v>
      </c>
      <c r="M167" s="215">
        <v>190502600</v>
      </c>
      <c r="N167" s="34" t="s">
        <v>2107</v>
      </c>
      <c r="O167" s="205">
        <v>12</v>
      </c>
      <c r="P167" s="205"/>
      <c r="Q167" s="205">
        <v>12</v>
      </c>
      <c r="R167" s="79">
        <v>2020003630129</v>
      </c>
      <c r="S167" s="34" t="s">
        <v>2152</v>
      </c>
      <c r="T167" s="500">
        <f t="shared" si="22"/>
        <v>0.826645264847512</v>
      </c>
      <c r="U167" s="34" t="s">
        <v>2153</v>
      </c>
      <c r="V167" s="34" t="s">
        <v>2160</v>
      </c>
      <c r="W167" s="34" t="s">
        <v>2165</v>
      </c>
      <c r="X167" s="849">
        <v>30000000</v>
      </c>
      <c r="Y167" s="849"/>
      <c r="Z167" s="849"/>
      <c r="AA167" s="849"/>
      <c r="AB167" s="707">
        <f t="shared" si="18"/>
        <v>30000000</v>
      </c>
      <c r="AC167" s="850" t="s">
        <v>2166</v>
      </c>
      <c r="AD167" s="205"/>
      <c r="AE167" s="28">
        <v>113</v>
      </c>
      <c r="AF167" s="28" t="s">
        <v>2163</v>
      </c>
      <c r="AG167" s="320">
        <v>292684</v>
      </c>
      <c r="AH167" s="28">
        <v>282326</v>
      </c>
      <c r="AI167" s="28">
        <v>135912</v>
      </c>
      <c r="AJ167" s="28">
        <v>45122</v>
      </c>
      <c r="AK167" s="28">
        <v>307101</v>
      </c>
      <c r="AL167" s="28">
        <v>86875</v>
      </c>
      <c r="AM167" s="28">
        <v>2145</v>
      </c>
      <c r="AN167" s="28">
        <v>12718</v>
      </c>
      <c r="AO167" s="28">
        <v>26</v>
      </c>
      <c r="AP167" s="28">
        <v>37</v>
      </c>
      <c r="AQ167" s="28" t="s">
        <v>1818</v>
      </c>
      <c r="AR167" s="28" t="s">
        <v>1819</v>
      </c>
      <c r="AS167" s="28">
        <v>53164</v>
      </c>
      <c r="AT167" s="28">
        <v>16982</v>
      </c>
      <c r="AU167" s="28">
        <v>60013</v>
      </c>
      <c r="AV167" s="28">
        <v>57501</v>
      </c>
      <c r="AW167" s="843">
        <v>45293</v>
      </c>
      <c r="AX167" s="843">
        <v>45657</v>
      </c>
      <c r="AY167" s="28" t="s">
        <v>1820</v>
      </c>
      <c r="AZ167" s="15"/>
      <c r="BA167" s="15"/>
      <c r="BB167" s="15"/>
      <c r="BC167" s="15"/>
      <c r="BD167" s="15"/>
      <c r="BE167" s="15"/>
      <c r="BF167" s="15"/>
      <c r="BG167" s="15"/>
      <c r="BH167" s="15"/>
      <c r="BI167" s="15"/>
      <c r="BJ167" s="15"/>
      <c r="BK167" s="15"/>
      <c r="BL167" s="15"/>
      <c r="BM167" s="15"/>
      <c r="BN167" s="15"/>
    </row>
    <row r="168" spans="1:66" s="47" customFormat="1" ht="63.75" x14ac:dyDescent="0.2">
      <c r="A168" s="28">
        <v>1</v>
      </c>
      <c r="B168" s="34" t="s">
        <v>315</v>
      </c>
      <c r="C168" s="28">
        <v>19</v>
      </c>
      <c r="D168" s="34" t="s">
        <v>517</v>
      </c>
      <c r="E168" s="28">
        <v>1905</v>
      </c>
      <c r="F168" s="34" t="s">
        <v>2076</v>
      </c>
      <c r="G168" s="207">
        <v>1905026</v>
      </c>
      <c r="H168" s="34" t="s">
        <v>2159</v>
      </c>
      <c r="I168" s="28">
        <v>1905026</v>
      </c>
      <c r="J168" s="34" t="s">
        <v>2159</v>
      </c>
      <c r="K168" s="215">
        <v>190502600</v>
      </c>
      <c r="L168" s="34" t="s">
        <v>2107</v>
      </c>
      <c r="M168" s="215">
        <v>190502600</v>
      </c>
      <c r="N168" s="34" t="s">
        <v>2107</v>
      </c>
      <c r="O168" s="205">
        <v>12</v>
      </c>
      <c r="P168" s="205"/>
      <c r="Q168" s="205">
        <v>12</v>
      </c>
      <c r="R168" s="79">
        <v>2020003630129</v>
      </c>
      <c r="S168" s="34" t="s">
        <v>2152</v>
      </c>
      <c r="T168" s="500">
        <f t="shared" si="22"/>
        <v>0.826645264847512</v>
      </c>
      <c r="U168" s="34" t="s">
        <v>2153</v>
      </c>
      <c r="V168" s="34" t="s">
        <v>2160</v>
      </c>
      <c r="W168" s="34" t="s">
        <v>2165</v>
      </c>
      <c r="X168" s="851">
        <v>6000000</v>
      </c>
      <c r="Y168" s="851"/>
      <c r="Z168" s="851"/>
      <c r="AA168" s="851"/>
      <c r="AB168" s="707">
        <f t="shared" si="18"/>
        <v>6000000</v>
      </c>
      <c r="AC168" s="852" t="s">
        <v>2167</v>
      </c>
      <c r="AD168" s="205"/>
      <c r="AE168" s="205">
        <v>114</v>
      </c>
      <c r="AF168" s="28" t="s">
        <v>2168</v>
      </c>
      <c r="AG168" s="320">
        <v>292684</v>
      </c>
      <c r="AH168" s="28">
        <v>282326</v>
      </c>
      <c r="AI168" s="28">
        <v>135912</v>
      </c>
      <c r="AJ168" s="28">
        <v>45122</v>
      </c>
      <c r="AK168" s="28">
        <v>307101</v>
      </c>
      <c r="AL168" s="28">
        <v>86875</v>
      </c>
      <c r="AM168" s="28">
        <v>2145</v>
      </c>
      <c r="AN168" s="28">
        <v>12718</v>
      </c>
      <c r="AO168" s="28">
        <v>26</v>
      </c>
      <c r="AP168" s="28">
        <v>37</v>
      </c>
      <c r="AQ168" s="28" t="s">
        <v>1818</v>
      </c>
      <c r="AR168" s="28" t="s">
        <v>1819</v>
      </c>
      <c r="AS168" s="28">
        <v>53164</v>
      </c>
      <c r="AT168" s="28">
        <v>16982</v>
      </c>
      <c r="AU168" s="28">
        <v>60013</v>
      </c>
      <c r="AV168" s="28">
        <v>57501</v>
      </c>
      <c r="AW168" s="843">
        <v>45293</v>
      </c>
      <c r="AX168" s="843">
        <v>45657</v>
      </c>
      <c r="AY168" s="28" t="s">
        <v>1820</v>
      </c>
      <c r="AZ168" s="15"/>
      <c r="BA168" s="15"/>
      <c r="BB168" s="15"/>
      <c r="BC168" s="15"/>
      <c r="BD168" s="15"/>
      <c r="BE168" s="15"/>
      <c r="BF168" s="15"/>
      <c r="BG168" s="15"/>
      <c r="BH168" s="15"/>
      <c r="BI168" s="15"/>
      <c r="BJ168" s="15"/>
      <c r="BK168" s="15"/>
      <c r="BL168" s="15"/>
      <c r="BM168" s="15"/>
      <c r="BN168" s="15"/>
    </row>
    <row r="169" spans="1:66" s="47" customFormat="1" ht="76.5" x14ac:dyDescent="0.2">
      <c r="A169" s="28">
        <v>1</v>
      </c>
      <c r="B169" s="34" t="s">
        <v>315</v>
      </c>
      <c r="C169" s="28">
        <v>19</v>
      </c>
      <c r="D169" s="34" t="s">
        <v>517</v>
      </c>
      <c r="E169" s="28">
        <v>1905</v>
      </c>
      <c r="F169" s="34" t="s">
        <v>2076</v>
      </c>
      <c r="G169" s="207">
        <v>1905026</v>
      </c>
      <c r="H169" s="34" t="s">
        <v>2159</v>
      </c>
      <c r="I169" s="28">
        <v>1905026</v>
      </c>
      <c r="J169" s="34" t="s">
        <v>2159</v>
      </c>
      <c r="K169" s="215">
        <v>190502600</v>
      </c>
      <c r="L169" s="34" t="s">
        <v>2107</v>
      </c>
      <c r="M169" s="215">
        <v>190502600</v>
      </c>
      <c r="N169" s="34" t="s">
        <v>2107</v>
      </c>
      <c r="O169" s="205">
        <v>12</v>
      </c>
      <c r="P169" s="205"/>
      <c r="Q169" s="205">
        <v>12</v>
      </c>
      <c r="R169" s="79">
        <v>2020003630129</v>
      </c>
      <c r="S169" s="34" t="s">
        <v>2152</v>
      </c>
      <c r="T169" s="500">
        <f t="shared" si="22"/>
        <v>0.826645264847512</v>
      </c>
      <c r="U169" s="34" t="s">
        <v>2153</v>
      </c>
      <c r="V169" s="34" t="s">
        <v>2160</v>
      </c>
      <c r="W169" s="34" t="s">
        <v>2169</v>
      </c>
      <c r="X169" s="851">
        <v>6000000</v>
      </c>
      <c r="Y169" s="851"/>
      <c r="Z169" s="851"/>
      <c r="AA169" s="851"/>
      <c r="AB169" s="707">
        <f t="shared" si="18"/>
        <v>6000000</v>
      </c>
      <c r="AC169" s="852" t="s">
        <v>2167</v>
      </c>
      <c r="AD169" s="205"/>
      <c r="AE169" s="205">
        <v>114</v>
      </c>
      <c r="AF169" s="28" t="s">
        <v>2168</v>
      </c>
      <c r="AG169" s="320">
        <v>292684</v>
      </c>
      <c r="AH169" s="28">
        <v>282326</v>
      </c>
      <c r="AI169" s="28">
        <v>135912</v>
      </c>
      <c r="AJ169" s="28">
        <v>45122</v>
      </c>
      <c r="AK169" s="28">
        <v>307101</v>
      </c>
      <c r="AL169" s="28">
        <v>86875</v>
      </c>
      <c r="AM169" s="28">
        <v>2145</v>
      </c>
      <c r="AN169" s="28">
        <v>12718</v>
      </c>
      <c r="AO169" s="28">
        <v>26</v>
      </c>
      <c r="AP169" s="28">
        <v>37</v>
      </c>
      <c r="AQ169" s="28" t="s">
        <v>1818</v>
      </c>
      <c r="AR169" s="28" t="s">
        <v>1819</v>
      </c>
      <c r="AS169" s="28">
        <v>53164</v>
      </c>
      <c r="AT169" s="28">
        <v>16982</v>
      </c>
      <c r="AU169" s="28">
        <v>60013</v>
      </c>
      <c r="AV169" s="28">
        <v>57501</v>
      </c>
      <c r="AW169" s="843">
        <v>45293</v>
      </c>
      <c r="AX169" s="843">
        <v>45657</v>
      </c>
      <c r="AY169" s="28" t="s">
        <v>1820</v>
      </c>
      <c r="AZ169" s="15"/>
      <c r="BA169" s="15"/>
      <c r="BB169" s="15"/>
      <c r="BC169" s="15"/>
      <c r="BD169" s="15"/>
      <c r="BE169" s="15"/>
      <c r="BF169" s="15"/>
      <c r="BG169" s="15"/>
      <c r="BH169" s="15"/>
      <c r="BI169" s="15"/>
      <c r="BJ169" s="15"/>
      <c r="BK169" s="15"/>
      <c r="BL169" s="15"/>
      <c r="BM169" s="15"/>
      <c r="BN169" s="15"/>
    </row>
    <row r="170" spans="1:66" s="47" customFormat="1" ht="76.5" x14ac:dyDescent="0.2">
      <c r="A170" s="28">
        <v>1</v>
      </c>
      <c r="B170" s="34" t="s">
        <v>315</v>
      </c>
      <c r="C170" s="28">
        <v>19</v>
      </c>
      <c r="D170" s="34" t="s">
        <v>517</v>
      </c>
      <c r="E170" s="28">
        <v>1905</v>
      </c>
      <c r="F170" s="34" t="s">
        <v>2076</v>
      </c>
      <c r="G170" s="207">
        <v>1905026</v>
      </c>
      <c r="H170" s="34" t="s">
        <v>2159</v>
      </c>
      <c r="I170" s="28">
        <v>1905026</v>
      </c>
      <c r="J170" s="34" t="s">
        <v>2159</v>
      </c>
      <c r="K170" s="215">
        <v>190502600</v>
      </c>
      <c r="L170" s="34" t="s">
        <v>2107</v>
      </c>
      <c r="M170" s="215">
        <v>190502600</v>
      </c>
      <c r="N170" s="34" t="s">
        <v>2107</v>
      </c>
      <c r="O170" s="205">
        <v>12</v>
      </c>
      <c r="P170" s="205"/>
      <c r="Q170" s="205">
        <v>12</v>
      </c>
      <c r="R170" s="79">
        <v>2020003630129</v>
      </c>
      <c r="S170" s="34" t="s">
        <v>2152</v>
      </c>
      <c r="T170" s="500">
        <f t="shared" si="22"/>
        <v>0.826645264847512</v>
      </c>
      <c r="U170" s="34" t="s">
        <v>2153</v>
      </c>
      <c r="V170" s="34" t="s">
        <v>2160</v>
      </c>
      <c r="W170" s="34" t="s">
        <v>2169</v>
      </c>
      <c r="X170" s="849">
        <v>30000000</v>
      </c>
      <c r="Y170" s="849"/>
      <c r="Z170" s="849"/>
      <c r="AA170" s="849"/>
      <c r="AB170" s="707">
        <f t="shared" si="18"/>
        <v>30000000</v>
      </c>
      <c r="AC170" s="852" t="s">
        <v>2162</v>
      </c>
      <c r="AD170" s="205"/>
      <c r="AE170" s="205">
        <v>114</v>
      </c>
      <c r="AF170" s="28" t="s">
        <v>2168</v>
      </c>
      <c r="AG170" s="320">
        <v>292684</v>
      </c>
      <c r="AH170" s="28">
        <v>282326</v>
      </c>
      <c r="AI170" s="28">
        <v>135912</v>
      </c>
      <c r="AJ170" s="28">
        <v>45122</v>
      </c>
      <c r="AK170" s="28">
        <v>307101</v>
      </c>
      <c r="AL170" s="28">
        <v>86875</v>
      </c>
      <c r="AM170" s="28">
        <v>2145</v>
      </c>
      <c r="AN170" s="28">
        <v>12718</v>
      </c>
      <c r="AO170" s="28">
        <v>26</v>
      </c>
      <c r="AP170" s="28">
        <v>37</v>
      </c>
      <c r="AQ170" s="28" t="s">
        <v>1818</v>
      </c>
      <c r="AR170" s="28" t="s">
        <v>1819</v>
      </c>
      <c r="AS170" s="28">
        <v>53164</v>
      </c>
      <c r="AT170" s="28">
        <v>16982</v>
      </c>
      <c r="AU170" s="28">
        <v>60013</v>
      </c>
      <c r="AV170" s="28">
        <v>57501</v>
      </c>
      <c r="AW170" s="843">
        <v>45293</v>
      </c>
      <c r="AX170" s="843">
        <v>45657</v>
      </c>
      <c r="AY170" s="28" t="s">
        <v>1820</v>
      </c>
      <c r="AZ170" s="15"/>
      <c r="BA170" s="15"/>
      <c r="BB170" s="15"/>
      <c r="BC170" s="15"/>
      <c r="BD170" s="15"/>
      <c r="BE170" s="15"/>
      <c r="BF170" s="15"/>
      <c r="BG170" s="15"/>
      <c r="BH170" s="15"/>
      <c r="BI170" s="15"/>
      <c r="BJ170" s="15"/>
      <c r="BK170" s="15"/>
      <c r="BL170" s="15"/>
      <c r="BM170" s="15"/>
      <c r="BN170" s="15"/>
    </row>
    <row r="171" spans="1:66" s="47" customFormat="1" ht="63.75" x14ac:dyDescent="0.2">
      <c r="A171" s="28">
        <v>1</v>
      </c>
      <c r="B171" s="34" t="s">
        <v>315</v>
      </c>
      <c r="C171" s="28">
        <v>19</v>
      </c>
      <c r="D171" s="34" t="s">
        <v>517</v>
      </c>
      <c r="E171" s="28">
        <v>1905</v>
      </c>
      <c r="F171" s="34" t="s">
        <v>2076</v>
      </c>
      <c r="G171" s="207">
        <v>1905026</v>
      </c>
      <c r="H171" s="34" t="s">
        <v>2159</v>
      </c>
      <c r="I171" s="28">
        <v>1905026</v>
      </c>
      <c r="J171" s="34" t="s">
        <v>2159</v>
      </c>
      <c r="K171" s="215">
        <v>190502600</v>
      </c>
      <c r="L171" s="34" t="s">
        <v>2107</v>
      </c>
      <c r="M171" s="215">
        <v>190502600</v>
      </c>
      <c r="N171" s="34" t="s">
        <v>2107</v>
      </c>
      <c r="O171" s="205">
        <v>12</v>
      </c>
      <c r="P171" s="205"/>
      <c r="Q171" s="205">
        <v>12</v>
      </c>
      <c r="R171" s="79">
        <v>2020003630129</v>
      </c>
      <c r="S171" s="34" t="s">
        <v>2152</v>
      </c>
      <c r="T171" s="500">
        <f t="shared" si="22"/>
        <v>0.826645264847512</v>
      </c>
      <c r="U171" s="34" t="s">
        <v>2153</v>
      </c>
      <c r="V171" s="34" t="s">
        <v>2160</v>
      </c>
      <c r="W171" s="34" t="s">
        <v>2170</v>
      </c>
      <c r="X171" s="849">
        <v>30000000</v>
      </c>
      <c r="Y171" s="849"/>
      <c r="Z171" s="849"/>
      <c r="AA171" s="849"/>
      <c r="AB171" s="707">
        <f t="shared" si="18"/>
        <v>30000000</v>
      </c>
      <c r="AC171" s="852" t="s">
        <v>2166</v>
      </c>
      <c r="AD171" s="205"/>
      <c r="AE171" s="28">
        <v>113</v>
      </c>
      <c r="AF171" s="28" t="s">
        <v>2163</v>
      </c>
      <c r="AG171" s="320">
        <v>292684</v>
      </c>
      <c r="AH171" s="28">
        <v>282326</v>
      </c>
      <c r="AI171" s="28">
        <v>135912</v>
      </c>
      <c r="AJ171" s="28">
        <v>45122</v>
      </c>
      <c r="AK171" s="28">
        <v>307101</v>
      </c>
      <c r="AL171" s="28">
        <v>86875</v>
      </c>
      <c r="AM171" s="28">
        <v>2145</v>
      </c>
      <c r="AN171" s="28">
        <v>12718</v>
      </c>
      <c r="AO171" s="28">
        <v>26</v>
      </c>
      <c r="AP171" s="28">
        <v>37</v>
      </c>
      <c r="AQ171" s="28" t="s">
        <v>1818</v>
      </c>
      <c r="AR171" s="28" t="s">
        <v>1819</v>
      </c>
      <c r="AS171" s="28">
        <v>53164</v>
      </c>
      <c r="AT171" s="28">
        <v>16982</v>
      </c>
      <c r="AU171" s="28">
        <v>60013</v>
      </c>
      <c r="AV171" s="28">
        <v>57501</v>
      </c>
      <c r="AW171" s="843">
        <v>45293</v>
      </c>
      <c r="AX171" s="843">
        <v>45657</v>
      </c>
      <c r="AY171" s="28" t="s">
        <v>1820</v>
      </c>
      <c r="AZ171" s="15"/>
      <c r="BA171" s="15"/>
      <c r="BB171" s="15"/>
      <c r="BC171" s="15"/>
      <c r="BD171" s="15"/>
      <c r="BE171" s="15"/>
      <c r="BF171" s="15"/>
      <c r="BG171" s="15"/>
      <c r="BH171" s="15"/>
      <c r="BI171" s="15"/>
      <c r="BJ171" s="15"/>
      <c r="BK171" s="15"/>
      <c r="BL171" s="15"/>
      <c r="BM171" s="15"/>
      <c r="BN171" s="15"/>
    </row>
    <row r="172" spans="1:66" s="47" customFormat="1" ht="63.75" x14ac:dyDescent="0.2">
      <c r="A172" s="28">
        <v>1</v>
      </c>
      <c r="B172" s="34" t="s">
        <v>315</v>
      </c>
      <c r="C172" s="28">
        <v>19</v>
      </c>
      <c r="D172" s="34" t="s">
        <v>517</v>
      </c>
      <c r="E172" s="28">
        <v>1905</v>
      </c>
      <c r="F172" s="34" t="s">
        <v>2076</v>
      </c>
      <c r="G172" s="207">
        <v>1905026</v>
      </c>
      <c r="H172" s="34" t="s">
        <v>2159</v>
      </c>
      <c r="I172" s="28">
        <v>1905026</v>
      </c>
      <c r="J172" s="34" t="s">
        <v>2159</v>
      </c>
      <c r="K172" s="215">
        <v>190502600</v>
      </c>
      <c r="L172" s="34" t="s">
        <v>2107</v>
      </c>
      <c r="M172" s="215">
        <v>190502600</v>
      </c>
      <c r="N172" s="34" t="s">
        <v>2107</v>
      </c>
      <c r="O172" s="205">
        <v>12</v>
      </c>
      <c r="P172" s="205"/>
      <c r="Q172" s="205">
        <v>12</v>
      </c>
      <c r="R172" s="79">
        <v>2020003630129</v>
      </c>
      <c r="S172" s="34" t="s">
        <v>2152</v>
      </c>
      <c r="T172" s="500">
        <f t="shared" si="22"/>
        <v>0.826645264847512</v>
      </c>
      <c r="U172" s="34" t="s">
        <v>2153</v>
      </c>
      <c r="V172" s="34" t="s">
        <v>2160</v>
      </c>
      <c r="W172" s="34" t="s">
        <v>2170</v>
      </c>
      <c r="X172" s="851">
        <v>6000000</v>
      </c>
      <c r="Y172" s="851"/>
      <c r="Z172" s="851"/>
      <c r="AA172" s="851"/>
      <c r="AB172" s="707">
        <f t="shared" si="18"/>
        <v>6000000</v>
      </c>
      <c r="AC172" s="852" t="s">
        <v>2167</v>
      </c>
      <c r="AD172" s="205"/>
      <c r="AE172" s="205">
        <v>114</v>
      </c>
      <c r="AF172" s="28" t="s">
        <v>2168</v>
      </c>
      <c r="AG172" s="320">
        <v>292684</v>
      </c>
      <c r="AH172" s="28">
        <v>282326</v>
      </c>
      <c r="AI172" s="28">
        <v>135912</v>
      </c>
      <c r="AJ172" s="28">
        <v>45122</v>
      </c>
      <c r="AK172" s="28">
        <v>307101</v>
      </c>
      <c r="AL172" s="28">
        <v>86875</v>
      </c>
      <c r="AM172" s="28">
        <v>2145</v>
      </c>
      <c r="AN172" s="28">
        <v>12718</v>
      </c>
      <c r="AO172" s="28">
        <v>26</v>
      </c>
      <c r="AP172" s="28">
        <v>37</v>
      </c>
      <c r="AQ172" s="28" t="s">
        <v>1818</v>
      </c>
      <c r="AR172" s="28" t="s">
        <v>1819</v>
      </c>
      <c r="AS172" s="28">
        <v>53164</v>
      </c>
      <c r="AT172" s="28">
        <v>16982</v>
      </c>
      <c r="AU172" s="28">
        <v>60013</v>
      </c>
      <c r="AV172" s="28">
        <v>57501</v>
      </c>
      <c r="AW172" s="843">
        <v>45293</v>
      </c>
      <c r="AX172" s="843">
        <v>45657</v>
      </c>
      <c r="AY172" s="28" t="s">
        <v>1820</v>
      </c>
      <c r="AZ172" s="15"/>
      <c r="BA172" s="15"/>
      <c r="BB172" s="15"/>
      <c r="BC172" s="15"/>
      <c r="BD172" s="15"/>
      <c r="BE172" s="15"/>
      <c r="BF172" s="15"/>
      <c r="BG172" s="15"/>
      <c r="BH172" s="15"/>
      <c r="BI172" s="15"/>
      <c r="BJ172" s="15"/>
      <c r="BK172" s="15"/>
      <c r="BL172" s="15"/>
      <c r="BM172" s="15"/>
      <c r="BN172" s="15"/>
    </row>
    <row r="173" spans="1:66" s="47" customFormat="1" ht="63.75" x14ac:dyDescent="0.2">
      <c r="A173" s="28">
        <v>1</v>
      </c>
      <c r="B173" s="34" t="s">
        <v>315</v>
      </c>
      <c r="C173" s="28">
        <v>19</v>
      </c>
      <c r="D173" s="34" t="s">
        <v>517</v>
      </c>
      <c r="E173" s="28">
        <v>1905</v>
      </c>
      <c r="F173" s="34" t="s">
        <v>2076</v>
      </c>
      <c r="G173" s="207">
        <v>1905026</v>
      </c>
      <c r="H173" s="34" t="s">
        <v>2159</v>
      </c>
      <c r="I173" s="28">
        <v>1905026</v>
      </c>
      <c r="J173" s="34" t="s">
        <v>2159</v>
      </c>
      <c r="K173" s="215">
        <v>190502600</v>
      </c>
      <c r="L173" s="34" t="s">
        <v>2107</v>
      </c>
      <c r="M173" s="215">
        <v>190502600</v>
      </c>
      <c r="N173" s="34" t="s">
        <v>2107</v>
      </c>
      <c r="O173" s="205">
        <v>12</v>
      </c>
      <c r="P173" s="205"/>
      <c r="Q173" s="205">
        <v>12</v>
      </c>
      <c r="R173" s="79">
        <v>2020003630129</v>
      </c>
      <c r="S173" s="34" t="s">
        <v>2152</v>
      </c>
      <c r="T173" s="500">
        <f t="shared" si="22"/>
        <v>0.826645264847512</v>
      </c>
      <c r="U173" s="34" t="s">
        <v>2153</v>
      </c>
      <c r="V173" s="34" t="s">
        <v>2160</v>
      </c>
      <c r="W173" s="34" t="s">
        <v>2171</v>
      </c>
      <c r="X173" s="851">
        <v>6000000</v>
      </c>
      <c r="Y173" s="851"/>
      <c r="Z173" s="851"/>
      <c r="AA173" s="851"/>
      <c r="AB173" s="707">
        <f t="shared" si="18"/>
        <v>6000000</v>
      </c>
      <c r="AC173" s="852" t="s">
        <v>2167</v>
      </c>
      <c r="AD173" s="205"/>
      <c r="AE173" s="205">
        <v>114</v>
      </c>
      <c r="AF173" s="28" t="s">
        <v>2168</v>
      </c>
      <c r="AG173" s="320">
        <v>292684</v>
      </c>
      <c r="AH173" s="28">
        <v>282326</v>
      </c>
      <c r="AI173" s="28">
        <v>135912</v>
      </c>
      <c r="AJ173" s="28">
        <v>45122</v>
      </c>
      <c r="AK173" s="28">
        <v>307101</v>
      </c>
      <c r="AL173" s="28">
        <v>86875</v>
      </c>
      <c r="AM173" s="28">
        <v>2145</v>
      </c>
      <c r="AN173" s="28">
        <v>12718</v>
      </c>
      <c r="AO173" s="28">
        <v>26</v>
      </c>
      <c r="AP173" s="28">
        <v>37</v>
      </c>
      <c r="AQ173" s="28" t="s">
        <v>1818</v>
      </c>
      <c r="AR173" s="28" t="s">
        <v>1819</v>
      </c>
      <c r="AS173" s="28">
        <v>53164</v>
      </c>
      <c r="AT173" s="28">
        <v>16982</v>
      </c>
      <c r="AU173" s="28">
        <v>60013</v>
      </c>
      <c r="AV173" s="28">
        <v>57501</v>
      </c>
      <c r="AW173" s="843">
        <v>45293</v>
      </c>
      <c r="AX173" s="843">
        <v>45657</v>
      </c>
      <c r="AY173" s="28" t="s">
        <v>1820</v>
      </c>
      <c r="AZ173" s="15"/>
      <c r="BA173" s="15"/>
      <c r="BB173" s="15"/>
      <c r="BC173" s="15"/>
      <c r="BD173" s="15"/>
      <c r="BE173" s="15"/>
      <c r="BF173" s="15"/>
      <c r="BG173" s="15"/>
      <c r="BH173" s="15"/>
      <c r="BI173" s="15"/>
      <c r="BJ173" s="15"/>
      <c r="BK173" s="15"/>
      <c r="BL173" s="15"/>
      <c r="BM173" s="15"/>
      <c r="BN173" s="15"/>
    </row>
    <row r="174" spans="1:66" s="47" customFormat="1" ht="63.75" x14ac:dyDescent="0.2">
      <c r="A174" s="28">
        <v>1</v>
      </c>
      <c r="B174" s="34" t="s">
        <v>315</v>
      </c>
      <c r="C174" s="28">
        <v>19</v>
      </c>
      <c r="D174" s="34" t="s">
        <v>517</v>
      </c>
      <c r="E174" s="28">
        <v>1905</v>
      </c>
      <c r="F174" s="34" t="s">
        <v>2076</v>
      </c>
      <c r="G174" s="207">
        <v>1905026</v>
      </c>
      <c r="H174" s="34" t="s">
        <v>2159</v>
      </c>
      <c r="I174" s="28">
        <v>1905026</v>
      </c>
      <c r="J174" s="34" t="s">
        <v>2159</v>
      </c>
      <c r="K174" s="215">
        <v>190502600</v>
      </c>
      <c r="L174" s="34" t="s">
        <v>2107</v>
      </c>
      <c r="M174" s="215">
        <v>190502600</v>
      </c>
      <c r="N174" s="34" t="s">
        <v>2107</v>
      </c>
      <c r="O174" s="205">
        <v>12</v>
      </c>
      <c r="P174" s="205"/>
      <c r="Q174" s="205">
        <v>12</v>
      </c>
      <c r="R174" s="79">
        <v>2020003630129</v>
      </c>
      <c r="S174" s="34" t="s">
        <v>2152</v>
      </c>
      <c r="T174" s="500">
        <f t="shared" si="22"/>
        <v>0.826645264847512</v>
      </c>
      <c r="U174" s="34" t="s">
        <v>2153</v>
      </c>
      <c r="V174" s="34" t="s">
        <v>2160</v>
      </c>
      <c r="W174" s="34" t="s">
        <v>2171</v>
      </c>
      <c r="X174" s="849">
        <v>41000000</v>
      </c>
      <c r="Y174" s="849"/>
      <c r="Z174" s="849"/>
      <c r="AA174" s="849"/>
      <c r="AB174" s="707">
        <f t="shared" si="18"/>
        <v>41000000</v>
      </c>
      <c r="AC174" s="852" t="s">
        <v>2166</v>
      </c>
      <c r="AD174" s="205"/>
      <c r="AE174" s="28">
        <v>113</v>
      </c>
      <c r="AF174" s="28" t="s">
        <v>2163</v>
      </c>
      <c r="AG174" s="320">
        <v>292684</v>
      </c>
      <c r="AH174" s="28">
        <v>282326</v>
      </c>
      <c r="AI174" s="28">
        <v>135912</v>
      </c>
      <c r="AJ174" s="28">
        <v>45122</v>
      </c>
      <c r="AK174" s="28">
        <v>307101</v>
      </c>
      <c r="AL174" s="28">
        <v>86875</v>
      </c>
      <c r="AM174" s="28">
        <v>2145</v>
      </c>
      <c r="AN174" s="28">
        <v>12718</v>
      </c>
      <c r="AO174" s="28">
        <v>26</v>
      </c>
      <c r="AP174" s="28">
        <v>37</v>
      </c>
      <c r="AQ174" s="28" t="s">
        <v>1818</v>
      </c>
      <c r="AR174" s="28" t="s">
        <v>1819</v>
      </c>
      <c r="AS174" s="28">
        <v>53164</v>
      </c>
      <c r="AT174" s="28">
        <v>16982</v>
      </c>
      <c r="AU174" s="28">
        <v>60013</v>
      </c>
      <c r="AV174" s="28">
        <v>57501</v>
      </c>
      <c r="AW174" s="843">
        <v>45293</v>
      </c>
      <c r="AX174" s="843">
        <v>45657</v>
      </c>
      <c r="AY174" s="28" t="s">
        <v>1820</v>
      </c>
      <c r="AZ174" s="15"/>
      <c r="BA174" s="15"/>
      <c r="BB174" s="15"/>
      <c r="BC174" s="15"/>
      <c r="BD174" s="15"/>
      <c r="BE174" s="15"/>
      <c r="BF174" s="15"/>
      <c r="BG174" s="15"/>
      <c r="BH174" s="15"/>
      <c r="BI174" s="15"/>
      <c r="BJ174" s="15"/>
      <c r="BK174" s="15"/>
      <c r="BL174" s="15"/>
      <c r="BM174" s="15"/>
      <c r="BN174" s="15"/>
    </row>
    <row r="175" spans="1:66" s="47" customFormat="1" ht="140.25" x14ac:dyDescent="0.2">
      <c r="A175" s="28">
        <v>1</v>
      </c>
      <c r="B175" s="34" t="s">
        <v>315</v>
      </c>
      <c r="C175" s="28">
        <v>19</v>
      </c>
      <c r="D175" s="34" t="s">
        <v>517</v>
      </c>
      <c r="E175" s="28">
        <v>1905</v>
      </c>
      <c r="F175" s="34" t="s">
        <v>2076</v>
      </c>
      <c r="G175" s="207">
        <v>1905026</v>
      </c>
      <c r="H175" s="34" t="s">
        <v>2159</v>
      </c>
      <c r="I175" s="28">
        <v>1905026</v>
      </c>
      <c r="J175" s="34" t="s">
        <v>2159</v>
      </c>
      <c r="K175" s="215">
        <v>190502600</v>
      </c>
      <c r="L175" s="34" t="s">
        <v>2107</v>
      </c>
      <c r="M175" s="215">
        <v>190502600</v>
      </c>
      <c r="N175" s="34" t="s">
        <v>2107</v>
      </c>
      <c r="O175" s="205">
        <v>12</v>
      </c>
      <c r="P175" s="205"/>
      <c r="Q175" s="205">
        <v>12</v>
      </c>
      <c r="R175" s="79">
        <v>2020003630129</v>
      </c>
      <c r="S175" s="34" t="s">
        <v>2152</v>
      </c>
      <c r="T175" s="500">
        <f t="shared" si="22"/>
        <v>0.826645264847512</v>
      </c>
      <c r="U175" s="34" t="s">
        <v>2153</v>
      </c>
      <c r="V175" s="34" t="s">
        <v>2160</v>
      </c>
      <c r="W175" s="34" t="s">
        <v>2172</v>
      </c>
      <c r="X175" s="849">
        <v>30000000</v>
      </c>
      <c r="Y175" s="849"/>
      <c r="Z175" s="849"/>
      <c r="AA175" s="849"/>
      <c r="AB175" s="707">
        <f t="shared" si="18"/>
        <v>30000000</v>
      </c>
      <c r="AC175" s="852" t="s">
        <v>2166</v>
      </c>
      <c r="AD175" s="205"/>
      <c r="AE175" s="28">
        <v>113</v>
      </c>
      <c r="AF175" s="28" t="s">
        <v>2163</v>
      </c>
      <c r="AG175" s="320">
        <v>292684</v>
      </c>
      <c r="AH175" s="28">
        <v>282326</v>
      </c>
      <c r="AI175" s="28">
        <v>135912</v>
      </c>
      <c r="AJ175" s="28">
        <v>45122</v>
      </c>
      <c r="AK175" s="28">
        <v>307101</v>
      </c>
      <c r="AL175" s="28">
        <v>86875</v>
      </c>
      <c r="AM175" s="28">
        <v>2145</v>
      </c>
      <c r="AN175" s="28">
        <v>12718</v>
      </c>
      <c r="AO175" s="28">
        <v>26</v>
      </c>
      <c r="AP175" s="28">
        <v>37</v>
      </c>
      <c r="AQ175" s="28" t="s">
        <v>1818</v>
      </c>
      <c r="AR175" s="28" t="s">
        <v>1819</v>
      </c>
      <c r="AS175" s="28">
        <v>53164</v>
      </c>
      <c r="AT175" s="28">
        <v>16982</v>
      </c>
      <c r="AU175" s="28">
        <v>60013</v>
      </c>
      <c r="AV175" s="28">
        <v>57501</v>
      </c>
      <c r="AW175" s="843">
        <v>45293</v>
      </c>
      <c r="AX175" s="843">
        <v>45657</v>
      </c>
      <c r="AY175" s="28" t="s">
        <v>1820</v>
      </c>
      <c r="AZ175" s="15"/>
      <c r="BA175" s="15"/>
      <c r="BB175" s="15"/>
      <c r="BC175" s="15"/>
      <c r="BD175" s="15"/>
      <c r="BE175" s="15"/>
      <c r="BF175" s="15"/>
      <c r="BG175" s="15"/>
      <c r="BH175" s="15"/>
      <c r="BI175" s="15"/>
      <c r="BJ175" s="15"/>
      <c r="BK175" s="15"/>
      <c r="BL175" s="15"/>
      <c r="BM175" s="15"/>
      <c r="BN175" s="15"/>
    </row>
    <row r="176" spans="1:66" s="47" customFormat="1" ht="63.75" x14ac:dyDescent="0.2">
      <c r="A176" s="28">
        <v>1</v>
      </c>
      <c r="B176" s="34" t="s">
        <v>315</v>
      </c>
      <c r="C176" s="28">
        <v>19</v>
      </c>
      <c r="D176" s="34" t="s">
        <v>517</v>
      </c>
      <c r="E176" s="28">
        <v>1905</v>
      </c>
      <c r="F176" s="34" t="s">
        <v>2076</v>
      </c>
      <c r="G176" s="207">
        <v>1905026</v>
      </c>
      <c r="H176" s="34" t="s">
        <v>2159</v>
      </c>
      <c r="I176" s="28">
        <v>1905026</v>
      </c>
      <c r="J176" s="34" t="s">
        <v>2159</v>
      </c>
      <c r="K176" s="215">
        <v>190502600</v>
      </c>
      <c r="L176" s="34" t="s">
        <v>2107</v>
      </c>
      <c r="M176" s="215">
        <v>190502600</v>
      </c>
      <c r="N176" s="34" t="s">
        <v>2107</v>
      </c>
      <c r="O176" s="205">
        <v>12</v>
      </c>
      <c r="P176" s="205"/>
      <c r="Q176" s="205">
        <v>12</v>
      </c>
      <c r="R176" s="79">
        <v>2020003630129</v>
      </c>
      <c r="S176" s="34" t="s">
        <v>2152</v>
      </c>
      <c r="T176" s="500">
        <f t="shared" si="22"/>
        <v>0.826645264847512</v>
      </c>
      <c r="U176" s="34" t="s">
        <v>2153</v>
      </c>
      <c r="V176" s="34" t="s">
        <v>2160</v>
      </c>
      <c r="W176" s="34" t="s">
        <v>2173</v>
      </c>
      <c r="X176" s="851">
        <v>12500000</v>
      </c>
      <c r="Y176" s="851"/>
      <c r="Z176" s="851"/>
      <c r="AA176" s="851"/>
      <c r="AB176" s="707">
        <f t="shared" si="18"/>
        <v>12500000</v>
      </c>
      <c r="AC176" s="853" t="s">
        <v>2167</v>
      </c>
      <c r="AD176" s="205"/>
      <c r="AE176" s="205">
        <v>114</v>
      </c>
      <c r="AF176" s="28" t="s">
        <v>2168</v>
      </c>
      <c r="AG176" s="320">
        <v>292684</v>
      </c>
      <c r="AH176" s="28">
        <v>282326</v>
      </c>
      <c r="AI176" s="28">
        <v>135912</v>
      </c>
      <c r="AJ176" s="28">
        <v>45122</v>
      </c>
      <c r="AK176" s="28">
        <v>307101</v>
      </c>
      <c r="AL176" s="28">
        <v>86875</v>
      </c>
      <c r="AM176" s="28">
        <v>2145</v>
      </c>
      <c r="AN176" s="28">
        <v>12718</v>
      </c>
      <c r="AO176" s="28">
        <v>26</v>
      </c>
      <c r="AP176" s="28">
        <v>37</v>
      </c>
      <c r="AQ176" s="28" t="s">
        <v>1818</v>
      </c>
      <c r="AR176" s="28" t="s">
        <v>1819</v>
      </c>
      <c r="AS176" s="28">
        <v>53164</v>
      </c>
      <c r="AT176" s="28">
        <v>16982</v>
      </c>
      <c r="AU176" s="28">
        <v>60013</v>
      </c>
      <c r="AV176" s="28">
        <v>57501</v>
      </c>
      <c r="AW176" s="843">
        <v>45293</v>
      </c>
      <c r="AX176" s="843">
        <v>45657</v>
      </c>
      <c r="AY176" s="28" t="s">
        <v>1820</v>
      </c>
      <c r="AZ176" s="15"/>
      <c r="BA176" s="15"/>
      <c r="BB176" s="15"/>
      <c r="BC176" s="15"/>
      <c r="BD176" s="15"/>
      <c r="BE176" s="15"/>
      <c r="BF176" s="15"/>
      <c r="BG176" s="15"/>
      <c r="BH176" s="15"/>
      <c r="BI176" s="15"/>
      <c r="BJ176" s="15"/>
      <c r="BK176" s="15"/>
      <c r="BL176" s="15"/>
      <c r="BM176" s="15"/>
      <c r="BN176" s="15"/>
    </row>
    <row r="177" spans="1:66" s="47" customFormat="1" ht="89.25" x14ac:dyDescent="0.2">
      <c r="A177" s="28">
        <v>1</v>
      </c>
      <c r="B177" s="34" t="s">
        <v>315</v>
      </c>
      <c r="C177" s="28">
        <v>19</v>
      </c>
      <c r="D177" s="34" t="s">
        <v>517</v>
      </c>
      <c r="E177" s="28">
        <v>1905</v>
      </c>
      <c r="F177" s="34" t="s">
        <v>2076</v>
      </c>
      <c r="G177" s="28">
        <v>1905029</v>
      </c>
      <c r="H177" s="34" t="s">
        <v>2174</v>
      </c>
      <c r="I177" s="28">
        <v>1905030</v>
      </c>
      <c r="J177" s="34" t="s">
        <v>2175</v>
      </c>
      <c r="K177" s="215">
        <v>190502900</v>
      </c>
      <c r="L177" s="34" t="s">
        <v>2176</v>
      </c>
      <c r="M177" s="215">
        <v>190503000</v>
      </c>
      <c r="N177" s="34" t="s">
        <v>2176</v>
      </c>
      <c r="O177" s="205">
        <v>60</v>
      </c>
      <c r="P177" s="205"/>
      <c r="Q177" s="205">
        <v>60</v>
      </c>
      <c r="R177" s="79">
        <v>2020003630131</v>
      </c>
      <c r="S177" s="34" t="s">
        <v>2177</v>
      </c>
      <c r="T177" s="290">
        <f>SUM($X$177:$X$177)/SUM($X$177:$X$177)</f>
        <v>1</v>
      </c>
      <c r="U177" s="34" t="s">
        <v>2178</v>
      </c>
      <c r="V177" s="34" t="s">
        <v>2179</v>
      </c>
      <c r="W177" s="34" t="s">
        <v>2173</v>
      </c>
      <c r="X177" s="854">
        <v>24000000</v>
      </c>
      <c r="Y177" s="854"/>
      <c r="Z177" s="854"/>
      <c r="AA177" s="854"/>
      <c r="AB177" s="707">
        <f t="shared" si="18"/>
        <v>24000000</v>
      </c>
      <c r="AC177" s="850" t="s">
        <v>2180</v>
      </c>
      <c r="AD177" s="205"/>
      <c r="AE177" s="65">
        <v>61</v>
      </c>
      <c r="AF177" s="28" t="s">
        <v>2084</v>
      </c>
      <c r="AG177" s="320">
        <v>292684</v>
      </c>
      <c r="AH177" s="28">
        <v>282326</v>
      </c>
      <c r="AI177" s="28">
        <v>135912</v>
      </c>
      <c r="AJ177" s="28">
        <v>45122</v>
      </c>
      <c r="AK177" s="28">
        <v>307101</v>
      </c>
      <c r="AL177" s="28">
        <v>86875</v>
      </c>
      <c r="AM177" s="28">
        <v>2145</v>
      </c>
      <c r="AN177" s="28">
        <v>12718</v>
      </c>
      <c r="AO177" s="28">
        <v>26</v>
      </c>
      <c r="AP177" s="28">
        <v>37</v>
      </c>
      <c r="AQ177" s="28" t="s">
        <v>1818</v>
      </c>
      <c r="AR177" s="28" t="s">
        <v>1819</v>
      </c>
      <c r="AS177" s="28" t="s">
        <v>2055</v>
      </c>
      <c r="AT177" s="28">
        <v>42</v>
      </c>
      <c r="AU177" s="28">
        <v>89</v>
      </c>
      <c r="AV177" s="28"/>
      <c r="AW177" s="843">
        <v>45293</v>
      </c>
      <c r="AX177" s="843">
        <v>45657</v>
      </c>
      <c r="AY177" s="28" t="s">
        <v>1820</v>
      </c>
      <c r="AZ177" s="15"/>
      <c r="BA177" s="15"/>
      <c r="BB177" s="15"/>
      <c r="BC177" s="15"/>
      <c r="BD177" s="15"/>
      <c r="BE177" s="15"/>
      <c r="BF177" s="15"/>
      <c r="BG177" s="15"/>
      <c r="BH177" s="15"/>
      <c r="BI177" s="15"/>
      <c r="BJ177" s="15"/>
      <c r="BK177" s="15"/>
      <c r="BL177" s="15"/>
      <c r="BM177" s="15"/>
      <c r="BN177" s="15"/>
    </row>
    <row r="178" spans="1:66" s="47" customFormat="1" ht="89.25" x14ac:dyDescent="0.2">
      <c r="A178" s="846">
        <v>1</v>
      </c>
      <c r="B178" s="191" t="s">
        <v>315</v>
      </c>
      <c r="C178" s="846">
        <v>19</v>
      </c>
      <c r="D178" s="191" t="s">
        <v>517</v>
      </c>
      <c r="E178" s="846">
        <v>1905</v>
      </c>
      <c r="F178" s="191" t="s">
        <v>2076</v>
      </c>
      <c r="G178" s="846">
        <v>1905025</v>
      </c>
      <c r="H178" s="191" t="s">
        <v>2181</v>
      </c>
      <c r="I178" s="846">
        <v>1905025</v>
      </c>
      <c r="J178" s="191" t="s">
        <v>2181</v>
      </c>
      <c r="K178" s="847">
        <v>190502500</v>
      </c>
      <c r="L178" s="191" t="s">
        <v>2182</v>
      </c>
      <c r="M178" s="847">
        <v>190502500</v>
      </c>
      <c r="N178" s="191" t="s">
        <v>2182</v>
      </c>
      <c r="O178" s="491">
        <v>12</v>
      </c>
      <c r="P178" s="205"/>
      <c r="Q178" s="205">
        <v>12</v>
      </c>
      <c r="R178" s="79">
        <v>2020003630132</v>
      </c>
      <c r="S178" s="191" t="s">
        <v>2183</v>
      </c>
      <c r="T178" s="290">
        <f>SUM($X$178:$X$183)/SUM($X$178:$X$183)</f>
        <v>1</v>
      </c>
      <c r="U178" s="191" t="s">
        <v>2184</v>
      </c>
      <c r="V178" s="191" t="s">
        <v>2185</v>
      </c>
      <c r="W178" s="191" t="s">
        <v>2186</v>
      </c>
      <c r="X178" s="855">
        <v>17000000</v>
      </c>
      <c r="Y178" s="855"/>
      <c r="Z178" s="855"/>
      <c r="AA178" s="855"/>
      <c r="AB178" s="707">
        <f t="shared" si="18"/>
        <v>17000000</v>
      </c>
      <c r="AC178" s="850" t="s">
        <v>2187</v>
      </c>
      <c r="AD178" s="856"/>
      <c r="AE178" s="65">
        <v>61</v>
      </c>
      <c r="AF178" s="28" t="s">
        <v>2084</v>
      </c>
      <c r="AG178" s="320">
        <v>292684</v>
      </c>
      <c r="AH178" s="28">
        <v>282326</v>
      </c>
      <c r="AI178" s="28">
        <v>135912</v>
      </c>
      <c r="AJ178" s="28">
        <v>45122</v>
      </c>
      <c r="AK178" s="28" t="s">
        <v>2188</v>
      </c>
      <c r="AL178" s="28" t="s">
        <v>2189</v>
      </c>
      <c r="AM178" s="28">
        <v>2145</v>
      </c>
      <c r="AN178" s="28">
        <v>12718</v>
      </c>
      <c r="AO178" s="28">
        <v>26</v>
      </c>
      <c r="AP178" s="28">
        <v>37</v>
      </c>
      <c r="AQ178" s="28" t="s">
        <v>1818</v>
      </c>
      <c r="AR178" s="28" t="s">
        <v>1819</v>
      </c>
      <c r="AS178" s="28">
        <v>53164</v>
      </c>
      <c r="AT178" s="28">
        <v>16982</v>
      </c>
      <c r="AU178" s="28">
        <v>60013</v>
      </c>
      <c r="AV178" s="28">
        <v>57501</v>
      </c>
      <c r="AW178" s="843">
        <v>45293</v>
      </c>
      <c r="AX178" s="843">
        <v>45657</v>
      </c>
      <c r="AY178" s="28" t="s">
        <v>1820</v>
      </c>
      <c r="AZ178" s="15"/>
      <c r="BA178" s="15"/>
      <c r="BB178" s="15"/>
      <c r="BC178" s="15"/>
      <c r="BD178" s="15"/>
      <c r="BE178" s="15"/>
      <c r="BF178" s="15"/>
      <c r="BG178" s="15"/>
      <c r="BH178" s="15"/>
      <c r="BI178" s="15"/>
      <c r="BJ178" s="15"/>
      <c r="BK178" s="15"/>
      <c r="BL178" s="15"/>
      <c r="BM178" s="15"/>
      <c r="BN178" s="15"/>
    </row>
    <row r="179" spans="1:66" s="47" customFormat="1" ht="102" x14ac:dyDescent="0.2">
      <c r="A179" s="846">
        <v>1</v>
      </c>
      <c r="B179" s="191" t="s">
        <v>315</v>
      </c>
      <c r="C179" s="846">
        <v>19</v>
      </c>
      <c r="D179" s="191" t="s">
        <v>517</v>
      </c>
      <c r="E179" s="846">
        <v>1905</v>
      </c>
      <c r="F179" s="191" t="s">
        <v>2076</v>
      </c>
      <c r="G179" s="846">
        <v>1905025</v>
      </c>
      <c r="H179" s="191" t="s">
        <v>2181</v>
      </c>
      <c r="I179" s="846">
        <v>1905025</v>
      </c>
      <c r="J179" s="191" t="s">
        <v>2181</v>
      </c>
      <c r="K179" s="847">
        <v>190502500</v>
      </c>
      <c r="L179" s="191" t="s">
        <v>2182</v>
      </c>
      <c r="M179" s="847">
        <v>190502500</v>
      </c>
      <c r="N179" s="191" t="s">
        <v>2182</v>
      </c>
      <c r="O179" s="205">
        <v>12</v>
      </c>
      <c r="P179" s="205"/>
      <c r="Q179" s="205">
        <v>12</v>
      </c>
      <c r="R179" s="79">
        <v>2020003630132</v>
      </c>
      <c r="S179" s="191" t="s">
        <v>2183</v>
      </c>
      <c r="T179" s="290">
        <f t="shared" ref="T179:T183" si="23">SUM($X$178:$X$183)/SUM($X$178:$X$183)</f>
        <v>1</v>
      </c>
      <c r="U179" s="191" t="s">
        <v>2184</v>
      </c>
      <c r="V179" s="191" t="s">
        <v>2185</v>
      </c>
      <c r="W179" s="191" t="s">
        <v>2190</v>
      </c>
      <c r="X179" s="855">
        <v>17000000</v>
      </c>
      <c r="Y179" s="855"/>
      <c r="Z179" s="855"/>
      <c r="AA179" s="855"/>
      <c r="AB179" s="707">
        <f t="shared" si="18"/>
        <v>17000000</v>
      </c>
      <c r="AC179" s="850" t="s">
        <v>2191</v>
      </c>
      <c r="AD179" s="856"/>
      <c r="AE179" s="65">
        <v>61</v>
      </c>
      <c r="AF179" s="28" t="s">
        <v>2084</v>
      </c>
      <c r="AG179" s="320">
        <v>292684</v>
      </c>
      <c r="AH179" s="28">
        <v>282326</v>
      </c>
      <c r="AI179" s="28">
        <v>135912</v>
      </c>
      <c r="AJ179" s="28">
        <v>45122</v>
      </c>
      <c r="AK179" s="28" t="s">
        <v>2188</v>
      </c>
      <c r="AL179" s="28" t="s">
        <v>2189</v>
      </c>
      <c r="AM179" s="28">
        <v>2145</v>
      </c>
      <c r="AN179" s="28">
        <v>12718</v>
      </c>
      <c r="AO179" s="28">
        <v>26</v>
      </c>
      <c r="AP179" s="28">
        <v>37</v>
      </c>
      <c r="AQ179" s="28" t="s">
        <v>1818</v>
      </c>
      <c r="AR179" s="28" t="s">
        <v>1819</v>
      </c>
      <c r="AS179" s="28">
        <v>53164</v>
      </c>
      <c r="AT179" s="28">
        <v>16982</v>
      </c>
      <c r="AU179" s="28">
        <v>60013</v>
      </c>
      <c r="AV179" s="28">
        <v>57501</v>
      </c>
      <c r="AW179" s="843">
        <v>45293</v>
      </c>
      <c r="AX179" s="843">
        <v>45657</v>
      </c>
      <c r="AY179" s="28" t="s">
        <v>1820</v>
      </c>
      <c r="AZ179" s="15"/>
      <c r="BA179" s="15"/>
      <c r="BB179" s="15"/>
      <c r="BC179" s="15"/>
      <c r="BD179" s="15"/>
      <c r="BE179" s="15"/>
      <c r="BF179" s="15"/>
      <c r="BG179" s="15"/>
      <c r="BH179" s="15"/>
      <c r="BI179" s="15"/>
      <c r="BJ179" s="15"/>
      <c r="BK179" s="15"/>
      <c r="BL179" s="15"/>
      <c r="BM179" s="15"/>
      <c r="BN179" s="15"/>
    </row>
    <row r="180" spans="1:66" s="47" customFormat="1" ht="89.25" x14ac:dyDescent="0.2">
      <c r="A180" s="846">
        <v>1</v>
      </c>
      <c r="B180" s="191" t="s">
        <v>315</v>
      </c>
      <c r="C180" s="846">
        <v>19</v>
      </c>
      <c r="D180" s="191" t="s">
        <v>517</v>
      </c>
      <c r="E180" s="846">
        <v>1905</v>
      </c>
      <c r="F180" s="191" t="s">
        <v>2076</v>
      </c>
      <c r="G180" s="846">
        <v>1905025</v>
      </c>
      <c r="H180" s="191" t="s">
        <v>2181</v>
      </c>
      <c r="I180" s="846">
        <v>1905025</v>
      </c>
      <c r="J180" s="191" t="s">
        <v>2181</v>
      </c>
      <c r="K180" s="847">
        <v>190502500</v>
      </c>
      <c r="L180" s="191" t="s">
        <v>2182</v>
      </c>
      <c r="M180" s="847">
        <v>190502500</v>
      </c>
      <c r="N180" s="191" t="s">
        <v>2182</v>
      </c>
      <c r="O180" s="205">
        <v>12</v>
      </c>
      <c r="P180" s="205"/>
      <c r="Q180" s="205">
        <v>12</v>
      </c>
      <c r="R180" s="79">
        <v>2020003630132</v>
      </c>
      <c r="S180" s="191" t="s">
        <v>2183</v>
      </c>
      <c r="T180" s="290">
        <f t="shared" si="23"/>
        <v>1</v>
      </c>
      <c r="U180" s="191" t="s">
        <v>2184</v>
      </c>
      <c r="V180" s="191" t="s">
        <v>2185</v>
      </c>
      <c r="W180" s="191" t="s">
        <v>2192</v>
      </c>
      <c r="X180" s="855">
        <v>17000000</v>
      </c>
      <c r="Y180" s="855"/>
      <c r="Z180" s="855"/>
      <c r="AA180" s="855"/>
      <c r="AB180" s="707">
        <f t="shared" si="18"/>
        <v>17000000</v>
      </c>
      <c r="AC180" s="850" t="s">
        <v>2191</v>
      </c>
      <c r="AD180" s="856"/>
      <c r="AE180" s="65">
        <v>61</v>
      </c>
      <c r="AF180" s="28" t="s">
        <v>2084</v>
      </c>
      <c r="AG180" s="320">
        <v>292684</v>
      </c>
      <c r="AH180" s="28">
        <v>282326</v>
      </c>
      <c r="AI180" s="28">
        <v>135912</v>
      </c>
      <c r="AJ180" s="28">
        <v>45122</v>
      </c>
      <c r="AK180" s="28" t="s">
        <v>2188</v>
      </c>
      <c r="AL180" s="28" t="s">
        <v>2189</v>
      </c>
      <c r="AM180" s="28">
        <v>2145</v>
      </c>
      <c r="AN180" s="28">
        <v>12718</v>
      </c>
      <c r="AO180" s="28">
        <v>26</v>
      </c>
      <c r="AP180" s="28">
        <v>37</v>
      </c>
      <c r="AQ180" s="28" t="s">
        <v>1818</v>
      </c>
      <c r="AR180" s="28" t="s">
        <v>1819</v>
      </c>
      <c r="AS180" s="28">
        <v>53164</v>
      </c>
      <c r="AT180" s="28">
        <v>16982</v>
      </c>
      <c r="AU180" s="28">
        <v>60013</v>
      </c>
      <c r="AV180" s="28">
        <v>57501</v>
      </c>
      <c r="AW180" s="843">
        <v>45293</v>
      </c>
      <c r="AX180" s="843">
        <v>45657</v>
      </c>
      <c r="AY180" s="28" t="s">
        <v>1820</v>
      </c>
      <c r="AZ180" s="15"/>
      <c r="BA180" s="15"/>
      <c r="BB180" s="15"/>
      <c r="BC180" s="15"/>
      <c r="BD180" s="15"/>
      <c r="BE180" s="15"/>
      <c r="BF180" s="15"/>
      <c r="BG180" s="15"/>
      <c r="BH180" s="15"/>
      <c r="BI180" s="15"/>
      <c r="BJ180" s="15"/>
      <c r="BK180" s="15"/>
      <c r="BL180" s="15"/>
      <c r="BM180" s="15"/>
      <c r="BN180" s="15"/>
    </row>
    <row r="181" spans="1:66" s="47" customFormat="1" ht="89.25" x14ac:dyDescent="0.2">
      <c r="A181" s="846">
        <v>1</v>
      </c>
      <c r="B181" s="191" t="s">
        <v>315</v>
      </c>
      <c r="C181" s="846">
        <v>19</v>
      </c>
      <c r="D181" s="191" t="s">
        <v>517</v>
      </c>
      <c r="E181" s="846">
        <v>1905</v>
      </c>
      <c r="F181" s="191" t="s">
        <v>2076</v>
      </c>
      <c r="G181" s="846">
        <v>1905025</v>
      </c>
      <c r="H181" s="191" t="s">
        <v>2181</v>
      </c>
      <c r="I181" s="846">
        <v>1905025</v>
      </c>
      <c r="J181" s="191" t="s">
        <v>2181</v>
      </c>
      <c r="K181" s="847">
        <v>190502500</v>
      </c>
      <c r="L181" s="191" t="s">
        <v>2182</v>
      </c>
      <c r="M181" s="847">
        <v>190502500</v>
      </c>
      <c r="N181" s="191" t="s">
        <v>2182</v>
      </c>
      <c r="O181" s="205">
        <v>12</v>
      </c>
      <c r="P181" s="205"/>
      <c r="Q181" s="205">
        <v>12</v>
      </c>
      <c r="R181" s="79">
        <v>2020003630132</v>
      </c>
      <c r="S181" s="191" t="s">
        <v>2183</v>
      </c>
      <c r="T181" s="290">
        <f t="shared" si="23"/>
        <v>1</v>
      </c>
      <c r="U181" s="191" t="s">
        <v>2184</v>
      </c>
      <c r="V181" s="191" t="s">
        <v>2185</v>
      </c>
      <c r="W181" s="191" t="s">
        <v>2193</v>
      </c>
      <c r="X181" s="855">
        <v>17000000</v>
      </c>
      <c r="Y181" s="855"/>
      <c r="Z181" s="855"/>
      <c r="AA181" s="855"/>
      <c r="AB181" s="707">
        <f t="shared" si="18"/>
        <v>17000000</v>
      </c>
      <c r="AC181" s="850" t="s">
        <v>2191</v>
      </c>
      <c r="AD181" s="856"/>
      <c r="AE181" s="65">
        <v>61</v>
      </c>
      <c r="AF181" s="28" t="s">
        <v>2084</v>
      </c>
      <c r="AG181" s="320">
        <v>292684</v>
      </c>
      <c r="AH181" s="28">
        <v>282326</v>
      </c>
      <c r="AI181" s="28">
        <v>135912</v>
      </c>
      <c r="AJ181" s="28">
        <v>45122</v>
      </c>
      <c r="AK181" s="28" t="s">
        <v>2188</v>
      </c>
      <c r="AL181" s="28" t="s">
        <v>2189</v>
      </c>
      <c r="AM181" s="28">
        <v>2145</v>
      </c>
      <c r="AN181" s="28">
        <v>12718</v>
      </c>
      <c r="AO181" s="28">
        <v>26</v>
      </c>
      <c r="AP181" s="28">
        <v>37</v>
      </c>
      <c r="AQ181" s="28" t="s">
        <v>1818</v>
      </c>
      <c r="AR181" s="28" t="s">
        <v>1819</v>
      </c>
      <c r="AS181" s="28">
        <v>53164</v>
      </c>
      <c r="AT181" s="28">
        <v>16982</v>
      </c>
      <c r="AU181" s="28">
        <v>60013</v>
      </c>
      <c r="AV181" s="28">
        <v>57501</v>
      </c>
      <c r="AW181" s="843">
        <v>45293</v>
      </c>
      <c r="AX181" s="843">
        <v>45657</v>
      </c>
      <c r="AY181" s="28" t="s">
        <v>1820</v>
      </c>
      <c r="AZ181" s="15"/>
      <c r="BA181" s="15"/>
      <c r="BB181" s="15"/>
      <c r="BC181" s="15"/>
      <c r="BD181" s="15"/>
      <c r="BE181" s="15"/>
      <c r="BF181" s="15"/>
      <c r="BG181" s="15"/>
      <c r="BH181" s="15"/>
      <c r="BI181" s="15"/>
      <c r="BJ181" s="15"/>
      <c r="BK181" s="15"/>
      <c r="BL181" s="15"/>
      <c r="BM181" s="15"/>
      <c r="BN181" s="15"/>
    </row>
    <row r="182" spans="1:66" s="47" customFormat="1" ht="114.75" x14ac:dyDescent="0.2">
      <c r="A182" s="846">
        <v>1</v>
      </c>
      <c r="B182" s="191" t="s">
        <v>315</v>
      </c>
      <c r="C182" s="846">
        <v>19</v>
      </c>
      <c r="D182" s="191" t="s">
        <v>517</v>
      </c>
      <c r="E182" s="846">
        <v>1905</v>
      </c>
      <c r="F182" s="191" t="s">
        <v>2076</v>
      </c>
      <c r="G182" s="846">
        <v>1905025</v>
      </c>
      <c r="H182" s="191" t="s">
        <v>2181</v>
      </c>
      <c r="I182" s="846">
        <v>1905025</v>
      </c>
      <c r="J182" s="191" t="s">
        <v>2181</v>
      </c>
      <c r="K182" s="847">
        <v>190502500</v>
      </c>
      <c r="L182" s="191" t="s">
        <v>2182</v>
      </c>
      <c r="M182" s="847">
        <v>190502500</v>
      </c>
      <c r="N182" s="191" t="s">
        <v>2182</v>
      </c>
      <c r="O182" s="205">
        <v>12</v>
      </c>
      <c r="P182" s="205"/>
      <c r="Q182" s="205">
        <v>12</v>
      </c>
      <c r="R182" s="79">
        <v>2020003630132</v>
      </c>
      <c r="S182" s="191" t="s">
        <v>2183</v>
      </c>
      <c r="T182" s="290">
        <f t="shared" si="23"/>
        <v>1</v>
      </c>
      <c r="U182" s="191" t="s">
        <v>2184</v>
      </c>
      <c r="V182" s="191" t="s">
        <v>2185</v>
      </c>
      <c r="W182" s="191" t="s">
        <v>2194</v>
      </c>
      <c r="X182" s="855">
        <v>17000000</v>
      </c>
      <c r="Y182" s="855"/>
      <c r="Z182" s="855"/>
      <c r="AA182" s="855"/>
      <c r="AB182" s="707">
        <f t="shared" si="18"/>
        <v>17000000</v>
      </c>
      <c r="AC182" s="850" t="s">
        <v>2191</v>
      </c>
      <c r="AD182" s="856"/>
      <c r="AE182" s="65">
        <v>61</v>
      </c>
      <c r="AF182" s="28" t="s">
        <v>2084</v>
      </c>
      <c r="AG182" s="320">
        <v>292684</v>
      </c>
      <c r="AH182" s="28">
        <v>282326</v>
      </c>
      <c r="AI182" s="28">
        <v>135912</v>
      </c>
      <c r="AJ182" s="28">
        <v>45122</v>
      </c>
      <c r="AK182" s="28" t="s">
        <v>2188</v>
      </c>
      <c r="AL182" s="28" t="s">
        <v>2189</v>
      </c>
      <c r="AM182" s="28">
        <v>2145</v>
      </c>
      <c r="AN182" s="28">
        <v>12718</v>
      </c>
      <c r="AO182" s="28">
        <v>26</v>
      </c>
      <c r="AP182" s="28">
        <v>37</v>
      </c>
      <c r="AQ182" s="28" t="s">
        <v>1818</v>
      </c>
      <c r="AR182" s="28" t="s">
        <v>1819</v>
      </c>
      <c r="AS182" s="28">
        <v>53164</v>
      </c>
      <c r="AT182" s="28">
        <v>16982</v>
      </c>
      <c r="AU182" s="28">
        <v>60013</v>
      </c>
      <c r="AV182" s="28">
        <v>57501</v>
      </c>
      <c r="AW182" s="843">
        <v>45293</v>
      </c>
      <c r="AX182" s="843">
        <v>45657</v>
      </c>
      <c r="AY182" s="28" t="s">
        <v>1820</v>
      </c>
      <c r="AZ182" s="15"/>
      <c r="BA182" s="15"/>
      <c r="BB182" s="15"/>
      <c r="BC182" s="15"/>
      <c r="BD182" s="15"/>
      <c r="BE182" s="15"/>
      <c r="BF182" s="15"/>
      <c r="BG182" s="15"/>
      <c r="BH182" s="15"/>
      <c r="BI182" s="15"/>
      <c r="BJ182" s="15"/>
      <c r="BK182" s="15"/>
      <c r="BL182" s="15"/>
      <c r="BM182" s="15"/>
      <c r="BN182" s="15"/>
    </row>
    <row r="183" spans="1:66" s="47" customFormat="1" ht="89.25" x14ac:dyDescent="0.2">
      <c r="A183" s="846">
        <v>1</v>
      </c>
      <c r="B183" s="191" t="s">
        <v>315</v>
      </c>
      <c r="C183" s="846">
        <v>19</v>
      </c>
      <c r="D183" s="191" t="s">
        <v>517</v>
      </c>
      <c r="E183" s="846">
        <v>1905</v>
      </c>
      <c r="F183" s="191" t="s">
        <v>2076</v>
      </c>
      <c r="G183" s="846">
        <v>1905025</v>
      </c>
      <c r="H183" s="191" t="s">
        <v>2181</v>
      </c>
      <c r="I183" s="846">
        <v>1905025</v>
      </c>
      <c r="J183" s="191" t="s">
        <v>2181</v>
      </c>
      <c r="K183" s="847">
        <v>190502500</v>
      </c>
      <c r="L183" s="191" t="s">
        <v>2182</v>
      </c>
      <c r="M183" s="847">
        <v>190502500</v>
      </c>
      <c r="N183" s="191" t="s">
        <v>2182</v>
      </c>
      <c r="O183" s="205">
        <v>12</v>
      </c>
      <c r="P183" s="205"/>
      <c r="Q183" s="205">
        <v>12</v>
      </c>
      <c r="R183" s="79">
        <v>2020003630132</v>
      </c>
      <c r="S183" s="191" t="s">
        <v>2183</v>
      </c>
      <c r="T183" s="290">
        <f t="shared" si="23"/>
        <v>1</v>
      </c>
      <c r="U183" s="191" t="s">
        <v>2184</v>
      </c>
      <c r="V183" s="191" t="s">
        <v>2185</v>
      </c>
      <c r="W183" s="191" t="s">
        <v>2195</v>
      </c>
      <c r="X183" s="855">
        <v>17000000</v>
      </c>
      <c r="Y183" s="855"/>
      <c r="Z183" s="855"/>
      <c r="AA183" s="855"/>
      <c r="AB183" s="707">
        <f t="shared" si="18"/>
        <v>17000000</v>
      </c>
      <c r="AC183" s="850" t="s">
        <v>2191</v>
      </c>
      <c r="AD183" s="856"/>
      <c r="AE183" s="65">
        <v>61</v>
      </c>
      <c r="AF183" s="28" t="s">
        <v>2084</v>
      </c>
      <c r="AG183" s="320">
        <v>292684</v>
      </c>
      <c r="AH183" s="28">
        <v>282326</v>
      </c>
      <c r="AI183" s="28">
        <v>135912</v>
      </c>
      <c r="AJ183" s="28">
        <v>45122</v>
      </c>
      <c r="AK183" s="28" t="s">
        <v>2188</v>
      </c>
      <c r="AL183" s="28" t="s">
        <v>2189</v>
      </c>
      <c r="AM183" s="28">
        <v>2145</v>
      </c>
      <c r="AN183" s="28">
        <v>12718</v>
      </c>
      <c r="AO183" s="28">
        <v>26</v>
      </c>
      <c r="AP183" s="28">
        <v>37</v>
      </c>
      <c r="AQ183" s="28" t="s">
        <v>1818</v>
      </c>
      <c r="AR183" s="28" t="s">
        <v>1819</v>
      </c>
      <c r="AS183" s="28">
        <v>53164</v>
      </c>
      <c r="AT183" s="28">
        <v>16982</v>
      </c>
      <c r="AU183" s="28">
        <v>60013</v>
      </c>
      <c r="AV183" s="28">
        <v>57501</v>
      </c>
      <c r="AW183" s="843">
        <v>45293</v>
      </c>
      <c r="AX183" s="843">
        <v>45657</v>
      </c>
      <c r="AY183" s="28" t="s">
        <v>1820</v>
      </c>
      <c r="AZ183" s="15"/>
      <c r="BA183" s="15"/>
      <c r="BB183" s="15"/>
      <c r="BC183" s="15"/>
      <c r="BD183" s="15"/>
      <c r="BE183" s="15"/>
      <c r="BF183" s="15"/>
      <c r="BG183" s="15"/>
      <c r="BH183" s="15"/>
      <c r="BI183" s="15"/>
      <c r="BJ183" s="15"/>
      <c r="BK183" s="15"/>
      <c r="BL183" s="15"/>
      <c r="BM183" s="15"/>
      <c r="BN183" s="15"/>
    </row>
    <row r="184" spans="1:66" s="47" customFormat="1" ht="114.75" x14ac:dyDescent="0.2">
      <c r="A184" s="28">
        <v>1</v>
      </c>
      <c r="B184" s="34" t="s">
        <v>315</v>
      </c>
      <c r="C184" s="28">
        <v>19</v>
      </c>
      <c r="D184" s="34" t="s">
        <v>517</v>
      </c>
      <c r="E184" s="28">
        <v>1905</v>
      </c>
      <c r="F184" s="34" t="s">
        <v>2076</v>
      </c>
      <c r="G184" s="28">
        <v>1905015</v>
      </c>
      <c r="H184" s="34" t="s">
        <v>490</v>
      </c>
      <c r="I184" s="28">
        <v>1905015</v>
      </c>
      <c r="J184" s="34" t="s">
        <v>490</v>
      </c>
      <c r="K184" s="280">
        <v>190501503</v>
      </c>
      <c r="L184" s="34" t="s">
        <v>2196</v>
      </c>
      <c r="M184" s="280">
        <v>190501503</v>
      </c>
      <c r="N184" s="34" t="s">
        <v>2196</v>
      </c>
      <c r="O184" s="205">
        <v>15</v>
      </c>
      <c r="P184" s="205"/>
      <c r="Q184" s="205">
        <v>15</v>
      </c>
      <c r="R184" s="79">
        <v>2020003630133</v>
      </c>
      <c r="S184" s="34" t="s">
        <v>2197</v>
      </c>
      <c r="T184" s="500">
        <f>SUM($X$184:$X$194)/SUM($X$184:$X$194)</f>
        <v>1</v>
      </c>
      <c r="U184" s="34" t="s">
        <v>2198</v>
      </c>
      <c r="V184" s="34" t="s">
        <v>2199</v>
      </c>
      <c r="W184" s="34" t="s">
        <v>2200</v>
      </c>
      <c r="X184" s="775">
        <v>60000000</v>
      </c>
      <c r="Y184" s="775"/>
      <c r="Z184" s="775"/>
      <c r="AA184" s="775"/>
      <c r="AB184" s="707">
        <f t="shared" si="18"/>
        <v>60000000</v>
      </c>
      <c r="AC184" s="135" t="s">
        <v>2201</v>
      </c>
      <c r="AD184" s="205"/>
      <c r="AE184" s="65">
        <v>61</v>
      </c>
      <c r="AF184" s="28" t="s">
        <v>2084</v>
      </c>
      <c r="AG184" s="320">
        <v>292684</v>
      </c>
      <c r="AH184" s="28">
        <v>282326</v>
      </c>
      <c r="AI184" s="28">
        <v>135912</v>
      </c>
      <c r="AJ184" s="28">
        <v>45122</v>
      </c>
      <c r="AK184" s="28" t="s">
        <v>2188</v>
      </c>
      <c r="AL184" s="28" t="s">
        <v>2189</v>
      </c>
      <c r="AM184" s="28">
        <v>2145</v>
      </c>
      <c r="AN184" s="28">
        <v>12718</v>
      </c>
      <c r="AO184" s="28">
        <v>26</v>
      </c>
      <c r="AP184" s="28">
        <v>37</v>
      </c>
      <c r="AQ184" s="28" t="s">
        <v>1818</v>
      </c>
      <c r="AR184" s="28" t="s">
        <v>1819</v>
      </c>
      <c r="AS184" s="28">
        <v>53164</v>
      </c>
      <c r="AT184" s="28">
        <v>16982</v>
      </c>
      <c r="AU184" s="28">
        <v>60013</v>
      </c>
      <c r="AV184" s="28">
        <v>57501</v>
      </c>
      <c r="AW184" s="843">
        <v>45293</v>
      </c>
      <c r="AX184" s="843">
        <v>45657</v>
      </c>
      <c r="AY184" s="28" t="s">
        <v>1820</v>
      </c>
      <c r="AZ184" s="15"/>
      <c r="BA184" s="15"/>
      <c r="BB184" s="15"/>
      <c r="BC184" s="15"/>
      <c r="BD184" s="15"/>
      <c r="BE184" s="15"/>
      <c r="BF184" s="15"/>
      <c r="BG184" s="15"/>
      <c r="BH184" s="15"/>
      <c r="BI184" s="15"/>
      <c r="BJ184" s="15"/>
      <c r="BK184" s="15"/>
      <c r="BL184" s="15"/>
      <c r="BM184" s="15"/>
      <c r="BN184" s="15"/>
    </row>
    <row r="185" spans="1:66" s="47" customFormat="1" ht="114.75" x14ac:dyDescent="0.2">
      <c r="A185" s="28">
        <v>1</v>
      </c>
      <c r="B185" s="34" t="s">
        <v>315</v>
      </c>
      <c r="C185" s="28">
        <v>19</v>
      </c>
      <c r="D185" s="34" t="s">
        <v>517</v>
      </c>
      <c r="E185" s="28">
        <v>1905</v>
      </c>
      <c r="F185" s="34" t="s">
        <v>2076</v>
      </c>
      <c r="G185" s="28">
        <v>1905015</v>
      </c>
      <c r="H185" s="34" t="s">
        <v>490</v>
      </c>
      <c r="I185" s="28">
        <v>1905015</v>
      </c>
      <c r="J185" s="34" t="s">
        <v>490</v>
      </c>
      <c r="K185" s="280">
        <v>190501503</v>
      </c>
      <c r="L185" s="34" t="s">
        <v>2196</v>
      </c>
      <c r="M185" s="280">
        <v>190501503</v>
      </c>
      <c r="N185" s="34" t="s">
        <v>2196</v>
      </c>
      <c r="O185" s="205">
        <v>15</v>
      </c>
      <c r="P185" s="205"/>
      <c r="Q185" s="205">
        <v>15</v>
      </c>
      <c r="R185" s="79">
        <v>2020003630133</v>
      </c>
      <c r="S185" s="34" t="s">
        <v>2197</v>
      </c>
      <c r="T185" s="500">
        <f>SUM($X$184:$X$194)/SUM($X$184:$X$194)</f>
        <v>1</v>
      </c>
      <c r="U185" s="34" t="s">
        <v>2198</v>
      </c>
      <c r="V185" s="34" t="s">
        <v>2199</v>
      </c>
      <c r="W185" s="34" t="s">
        <v>2202</v>
      </c>
      <c r="X185" s="775">
        <v>60000000</v>
      </c>
      <c r="Y185" s="775"/>
      <c r="Z185" s="775"/>
      <c r="AA185" s="775"/>
      <c r="AB185" s="707">
        <f t="shared" si="18"/>
        <v>60000000</v>
      </c>
      <c r="AC185" s="135" t="s">
        <v>2203</v>
      </c>
      <c r="AD185" s="205"/>
      <c r="AE185" s="65">
        <v>61</v>
      </c>
      <c r="AF185" s="28" t="s">
        <v>2084</v>
      </c>
      <c r="AG185" s="320">
        <v>292684</v>
      </c>
      <c r="AH185" s="28">
        <v>282326</v>
      </c>
      <c r="AI185" s="28">
        <v>135912</v>
      </c>
      <c r="AJ185" s="28">
        <v>45122</v>
      </c>
      <c r="AK185" s="28" t="s">
        <v>2188</v>
      </c>
      <c r="AL185" s="28" t="s">
        <v>2189</v>
      </c>
      <c r="AM185" s="28">
        <v>2145</v>
      </c>
      <c r="AN185" s="28">
        <v>12718</v>
      </c>
      <c r="AO185" s="28">
        <v>26</v>
      </c>
      <c r="AP185" s="28">
        <v>37</v>
      </c>
      <c r="AQ185" s="28" t="s">
        <v>1818</v>
      </c>
      <c r="AR185" s="28" t="s">
        <v>1819</v>
      </c>
      <c r="AS185" s="28">
        <v>53164</v>
      </c>
      <c r="AT185" s="28">
        <v>16982</v>
      </c>
      <c r="AU185" s="28">
        <v>60013</v>
      </c>
      <c r="AV185" s="28">
        <v>57501</v>
      </c>
      <c r="AW185" s="843">
        <v>45293</v>
      </c>
      <c r="AX185" s="843">
        <v>45657</v>
      </c>
      <c r="AY185" s="28" t="s">
        <v>1820</v>
      </c>
      <c r="AZ185" s="15"/>
      <c r="BA185" s="15"/>
      <c r="BB185" s="15"/>
      <c r="BC185" s="15"/>
      <c r="BD185" s="15"/>
      <c r="BE185" s="15"/>
      <c r="BF185" s="15"/>
      <c r="BG185" s="15"/>
      <c r="BH185" s="15"/>
      <c r="BI185" s="15"/>
      <c r="BJ185" s="15"/>
      <c r="BK185" s="15"/>
      <c r="BL185" s="15"/>
      <c r="BM185" s="15"/>
      <c r="BN185" s="15"/>
    </row>
    <row r="186" spans="1:66" s="47" customFormat="1" ht="114.75" x14ac:dyDescent="0.2">
      <c r="A186" s="28">
        <v>1</v>
      </c>
      <c r="B186" s="34" t="s">
        <v>315</v>
      </c>
      <c r="C186" s="28">
        <v>19</v>
      </c>
      <c r="D186" s="34" t="s">
        <v>517</v>
      </c>
      <c r="E186" s="28">
        <v>1905</v>
      </c>
      <c r="F186" s="34" t="s">
        <v>2076</v>
      </c>
      <c r="G186" s="28">
        <v>1905015</v>
      </c>
      <c r="H186" s="34" t="s">
        <v>490</v>
      </c>
      <c r="I186" s="28">
        <v>1905015</v>
      </c>
      <c r="J186" s="34" t="s">
        <v>490</v>
      </c>
      <c r="K186" s="280">
        <v>190501503</v>
      </c>
      <c r="L186" s="34" t="s">
        <v>2196</v>
      </c>
      <c r="M186" s="280">
        <v>190501503</v>
      </c>
      <c r="N186" s="34" t="s">
        <v>2196</v>
      </c>
      <c r="O186" s="205">
        <v>15</v>
      </c>
      <c r="P186" s="205"/>
      <c r="Q186" s="205">
        <v>15</v>
      </c>
      <c r="R186" s="79">
        <v>2020003630133</v>
      </c>
      <c r="S186" s="34" t="s">
        <v>2197</v>
      </c>
      <c r="T186" s="500">
        <f t="shared" ref="T186:T193" si="24">SUM($X$71:$X$81)/SUM($X$71:$X$81)</f>
        <v>1</v>
      </c>
      <c r="U186" s="34" t="s">
        <v>2198</v>
      </c>
      <c r="V186" s="34" t="s">
        <v>2199</v>
      </c>
      <c r="W186" s="34" t="s">
        <v>2204</v>
      </c>
      <c r="X186" s="775">
        <v>60000000</v>
      </c>
      <c r="Y186" s="775"/>
      <c r="Z186" s="775"/>
      <c r="AA186" s="775"/>
      <c r="AB186" s="707">
        <f t="shared" si="18"/>
        <v>60000000</v>
      </c>
      <c r="AC186" s="135" t="s">
        <v>2201</v>
      </c>
      <c r="AD186" s="205"/>
      <c r="AE186" s="65">
        <v>61</v>
      </c>
      <c r="AF186" s="28" t="s">
        <v>2084</v>
      </c>
      <c r="AG186" s="320">
        <v>292684</v>
      </c>
      <c r="AH186" s="28">
        <v>282326</v>
      </c>
      <c r="AI186" s="28">
        <v>135912</v>
      </c>
      <c r="AJ186" s="28">
        <v>45122</v>
      </c>
      <c r="AK186" s="28" t="s">
        <v>2188</v>
      </c>
      <c r="AL186" s="28" t="s">
        <v>2189</v>
      </c>
      <c r="AM186" s="28">
        <v>2145</v>
      </c>
      <c r="AN186" s="28">
        <v>12718</v>
      </c>
      <c r="AO186" s="28">
        <v>26</v>
      </c>
      <c r="AP186" s="28">
        <v>37</v>
      </c>
      <c r="AQ186" s="28" t="s">
        <v>1818</v>
      </c>
      <c r="AR186" s="28" t="s">
        <v>1819</v>
      </c>
      <c r="AS186" s="28">
        <v>53164</v>
      </c>
      <c r="AT186" s="28">
        <v>16982</v>
      </c>
      <c r="AU186" s="28">
        <v>60013</v>
      </c>
      <c r="AV186" s="28">
        <v>57501</v>
      </c>
      <c r="AW186" s="843">
        <v>45293</v>
      </c>
      <c r="AX186" s="843">
        <v>45657</v>
      </c>
      <c r="AY186" s="28" t="s">
        <v>1820</v>
      </c>
      <c r="AZ186" s="15"/>
      <c r="BA186" s="15"/>
      <c r="BB186" s="15"/>
      <c r="BC186" s="15"/>
      <c r="BD186" s="15"/>
      <c r="BE186" s="15"/>
      <c r="BF186" s="15"/>
      <c r="BG186" s="15"/>
      <c r="BH186" s="15"/>
      <c r="BI186" s="15"/>
      <c r="BJ186" s="15"/>
      <c r="BK186" s="15"/>
      <c r="BL186" s="15"/>
      <c r="BM186" s="15"/>
      <c r="BN186" s="15"/>
    </row>
    <row r="187" spans="1:66" s="47" customFormat="1" ht="114.75" x14ac:dyDescent="0.2">
      <c r="A187" s="28">
        <v>1</v>
      </c>
      <c r="B187" s="34" t="s">
        <v>315</v>
      </c>
      <c r="C187" s="28">
        <v>19</v>
      </c>
      <c r="D187" s="34" t="s">
        <v>517</v>
      </c>
      <c r="E187" s="28">
        <v>1905</v>
      </c>
      <c r="F187" s="34" t="s">
        <v>2076</v>
      </c>
      <c r="G187" s="28">
        <v>1905015</v>
      </c>
      <c r="H187" s="34" t="s">
        <v>490</v>
      </c>
      <c r="I187" s="28">
        <v>1905015</v>
      </c>
      <c r="J187" s="34" t="s">
        <v>490</v>
      </c>
      <c r="K187" s="280">
        <v>190501503</v>
      </c>
      <c r="L187" s="34" t="s">
        <v>2196</v>
      </c>
      <c r="M187" s="280">
        <v>190501503</v>
      </c>
      <c r="N187" s="34" t="s">
        <v>2196</v>
      </c>
      <c r="O187" s="205">
        <v>15</v>
      </c>
      <c r="P187" s="205"/>
      <c r="Q187" s="205">
        <v>15</v>
      </c>
      <c r="R187" s="79">
        <v>2020003630133</v>
      </c>
      <c r="S187" s="34" t="s">
        <v>2197</v>
      </c>
      <c r="T187" s="500">
        <f t="shared" si="24"/>
        <v>1</v>
      </c>
      <c r="U187" s="34" t="s">
        <v>2198</v>
      </c>
      <c r="V187" s="34" t="s">
        <v>2199</v>
      </c>
      <c r="W187" s="34" t="s">
        <v>2205</v>
      </c>
      <c r="X187" s="775">
        <v>60000000</v>
      </c>
      <c r="Y187" s="775"/>
      <c r="Z187" s="775"/>
      <c r="AA187" s="775"/>
      <c r="AB187" s="707">
        <f t="shared" si="18"/>
        <v>60000000</v>
      </c>
      <c r="AC187" s="135" t="s">
        <v>2201</v>
      </c>
      <c r="AD187" s="205"/>
      <c r="AE187" s="65">
        <v>61</v>
      </c>
      <c r="AF187" s="28" t="s">
        <v>2084</v>
      </c>
      <c r="AG187" s="320">
        <v>292684</v>
      </c>
      <c r="AH187" s="28">
        <v>282326</v>
      </c>
      <c r="AI187" s="28">
        <v>135912</v>
      </c>
      <c r="AJ187" s="28">
        <v>45122</v>
      </c>
      <c r="AK187" s="28" t="s">
        <v>2188</v>
      </c>
      <c r="AL187" s="28" t="s">
        <v>2189</v>
      </c>
      <c r="AM187" s="28">
        <v>2145</v>
      </c>
      <c r="AN187" s="28">
        <v>12718</v>
      </c>
      <c r="AO187" s="28">
        <v>26</v>
      </c>
      <c r="AP187" s="28">
        <v>37</v>
      </c>
      <c r="AQ187" s="28" t="s">
        <v>1818</v>
      </c>
      <c r="AR187" s="28" t="s">
        <v>1819</v>
      </c>
      <c r="AS187" s="28">
        <v>53164</v>
      </c>
      <c r="AT187" s="28">
        <v>16982</v>
      </c>
      <c r="AU187" s="28">
        <v>60013</v>
      </c>
      <c r="AV187" s="28">
        <v>57501</v>
      </c>
      <c r="AW187" s="843">
        <v>45293</v>
      </c>
      <c r="AX187" s="843">
        <v>45657</v>
      </c>
      <c r="AY187" s="28" t="s">
        <v>1820</v>
      </c>
      <c r="AZ187" s="15"/>
      <c r="BA187" s="15"/>
      <c r="BB187" s="15"/>
      <c r="BC187" s="15"/>
      <c r="BD187" s="15"/>
      <c r="BE187" s="15"/>
      <c r="BF187" s="15"/>
      <c r="BG187" s="15"/>
      <c r="BH187" s="15"/>
      <c r="BI187" s="15"/>
      <c r="BJ187" s="15"/>
      <c r="BK187" s="15"/>
      <c r="BL187" s="15"/>
      <c r="BM187" s="15"/>
      <c r="BN187" s="15"/>
    </row>
    <row r="188" spans="1:66" s="47" customFormat="1" ht="114.75" x14ac:dyDescent="0.2">
      <c r="A188" s="28">
        <v>1</v>
      </c>
      <c r="B188" s="34" t="s">
        <v>315</v>
      </c>
      <c r="C188" s="28">
        <v>19</v>
      </c>
      <c r="D188" s="34" t="s">
        <v>517</v>
      </c>
      <c r="E188" s="28">
        <v>1905</v>
      </c>
      <c r="F188" s="34" t="s">
        <v>2076</v>
      </c>
      <c r="G188" s="28">
        <v>1905015</v>
      </c>
      <c r="H188" s="34" t="s">
        <v>490</v>
      </c>
      <c r="I188" s="28">
        <v>1905015</v>
      </c>
      <c r="J188" s="34" t="s">
        <v>490</v>
      </c>
      <c r="K188" s="280">
        <v>190501503</v>
      </c>
      <c r="L188" s="34" t="s">
        <v>2196</v>
      </c>
      <c r="M188" s="280">
        <v>190501503</v>
      </c>
      <c r="N188" s="34" t="s">
        <v>2196</v>
      </c>
      <c r="O188" s="205">
        <v>15</v>
      </c>
      <c r="P188" s="205"/>
      <c r="Q188" s="205">
        <v>15</v>
      </c>
      <c r="R188" s="79">
        <v>2020003630133</v>
      </c>
      <c r="S188" s="34" t="s">
        <v>2197</v>
      </c>
      <c r="T188" s="500">
        <f t="shared" si="24"/>
        <v>1</v>
      </c>
      <c r="U188" s="34" t="s">
        <v>2198</v>
      </c>
      <c r="V188" s="34" t="s">
        <v>2199</v>
      </c>
      <c r="W188" s="34" t="s">
        <v>2206</v>
      </c>
      <c r="X188" s="775">
        <v>60000000</v>
      </c>
      <c r="Y188" s="775"/>
      <c r="Z188" s="775"/>
      <c r="AA188" s="775"/>
      <c r="AB188" s="707">
        <f t="shared" si="18"/>
        <v>60000000</v>
      </c>
      <c r="AC188" s="135" t="s">
        <v>2201</v>
      </c>
      <c r="AD188" s="205"/>
      <c r="AE188" s="65">
        <v>61</v>
      </c>
      <c r="AF188" s="28" t="s">
        <v>2084</v>
      </c>
      <c r="AG188" s="320">
        <v>292684</v>
      </c>
      <c r="AH188" s="28">
        <v>282326</v>
      </c>
      <c r="AI188" s="28">
        <v>135912</v>
      </c>
      <c r="AJ188" s="28">
        <v>45122</v>
      </c>
      <c r="AK188" s="28" t="s">
        <v>2188</v>
      </c>
      <c r="AL188" s="28" t="s">
        <v>2189</v>
      </c>
      <c r="AM188" s="28">
        <v>2145</v>
      </c>
      <c r="AN188" s="28">
        <v>12718</v>
      </c>
      <c r="AO188" s="28">
        <v>26</v>
      </c>
      <c r="AP188" s="28">
        <v>37</v>
      </c>
      <c r="AQ188" s="28" t="s">
        <v>1818</v>
      </c>
      <c r="AR188" s="28" t="s">
        <v>1819</v>
      </c>
      <c r="AS188" s="28">
        <v>53164</v>
      </c>
      <c r="AT188" s="28">
        <v>16982</v>
      </c>
      <c r="AU188" s="28">
        <v>60013</v>
      </c>
      <c r="AV188" s="28">
        <v>57501</v>
      </c>
      <c r="AW188" s="843">
        <v>45293</v>
      </c>
      <c r="AX188" s="843">
        <v>45657</v>
      </c>
      <c r="AY188" s="28" t="s">
        <v>1820</v>
      </c>
      <c r="AZ188" s="15"/>
      <c r="BA188" s="15"/>
      <c r="BB188" s="15"/>
      <c r="BC188" s="15"/>
      <c r="BD188" s="15"/>
      <c r="BE188" s="15"/>
      <c r="BF188" s="15"/>
      <c r="BG188" s="15"/>
      <c r="BH188" s="15"/>
      <c r="BI188" s="15"/>
      <c r="BJ188" s="15"/>
      <c r="BK188" s="15"/>
      <c r="BL188" s="15"/>
      <c r="BM188" s="15"/>
      <c r="BN188" s="15"/>
    </row>
    <row r="189" spans="1:66" s="47" customFormat="1" ht="114.75" x14ac:dyDescent="0.2">
      <c r="A189" s="28">
        <v>1</v>
      </c>
      <c r="B189" s="34" t="s">
        <v>315</v>
      </c>
      <c r="C189" s="28">
        <v>19</v>
      </c>
      <c r="D189" s="34" t="s">
        <v>517</v>
      </c>
      <c r="E189" s="28">
        <v>1905</v>
      </c>
      <c r="F189" s="34" t="s">
        <v>2076</v>
      </c>
      <c r="G189" s="28">
        <v>1905015</v>
      </c>
      <c r="H189" s="34" t="s">
        <v>490</v>
      </c>
      <c r="I189" s="28">
        <v>1905015</v>
      </c>
      <c r="J189" s="34" t="s">
        <v>490</v>
      </c>
      <c r="K189" s="280">
        <v>190501503</v>
      </c>
      <c r="L189" s="34" t="s">
        <v>2196</v>
      </c>
      <c r="M189" s="280">
        <v>190501503</v>
      </c>
      <c r="N189" s="34" t="s">
        <v>2196</v>
      </c>
      <c r="O189" s="205">
        <v>15</v>
      </c>
      <c r="P189" s="205"/>
      <c r="Q189" s="205">
        <v>15</v>
      </c>
      <c r="R189" s="79">
        <v>2020003630133</v>
      </c>
      <c r="S189" s="34" t="s">
        <v>2197</v>
      </c>
      <c r="T189" s="500">
        <f t="shared" si="24"/>
        <v>1</v>
      </c>
      <c r="U189" s="34" t="s">
        <v>2198</v>
      </c>
      <c r="V189" s="34" t="s">
        <v>2199</v>
      </c>
      <c r="W189" s="34" t="s">
        <v>2207</v>
      </c>
      <c r="X189" s="775">
        <v>60000000</v>
      </c>
      <c r="Y189" s="775">
        <f>22200000</f>
        <v>22200000</v>
      </c>
      <c r="Z189" s="775"/>
      <c r="AA189" s="775"/>
      <c r="AB189" s="707">
        <f t="shared" si="18"/>
        <v>37800000</v>
      </c>
      <c r="AC189" s="135" t="s">
        <v>2203</v>
      </c>
      <c r="AD189" s="205"/>
      <c r="AE189" s="65">
        <v>61</v>
      </c>
      <c r="AF189" s="28" t="s">
        <v>2084</v>
      </c>
      <c r="AG189" s="320">
        <v>292684</v>
      </c>
      <c r="AH189" s="28">
        <v>282326</v>
      </c>
      <c r="AI189" s="28">
        <v>135912</v>
      </c>
      <c r="AJ189" s="28">
        <v>45122</v>
      </c>
      <c r="AK189" s="28" t="s">
        <v>2188</v>
      </c>
      <c r="AL189" s="28" t="s">
        <v>2189</v>
      </c>
      <c r="AM189" s="28">
        <v>2145</v>
      </c>
      <c r="AN189" s="28">
        <v>12718</v>
      </c>
      <c r="AO189" s="28">
        <v>26</v>
      </c>
      <c r="AP189" s="28">
        <v>37</v>
      </c>
      <c r="AQ189" s="28" t="s">
        <v>1818</v>
      </c>
      <c r="AR189" s="28" t="s">
        <v>1819</v>
      </c>
      <c r="AS189" s="28">
        <v>53164</v>
      </c>
      <c r="AT189" s="28">
        <v>16982</v>
      </c>
      <c r="AU189" s="28">
        <v>60013</v>
      </c>
      <c r="AV189" s="28">
        <v>57501</v>
      </c>
      <c r="AW189" s="843">
        <v>45293</v>
      </c>
      <c r="AX189" s="843">
        <v>45657</v>
      </c>
      <c r="AY189" s="28" t="s">
        <v>1820</v>
      </c>
      <c r="AZ189" s="15"/>
      <c r="BA189" s="15"/>
      <c r="BB189" s="15"/>
      <c r="BC189" s="15"/>
      <c r="BD189" s="15"/>
      <c r="BE189" s="15"/>
      <c r="BF189" s="15"/>
      <c r="BG189" s="15"/>
      <c r="BH189" s="15"/>
      <c r="BI189" s="15"/>
      <c r="BJ189" s="15"/>
      <c r="BK189" s="15"/>
      <c r="BL189" s="15"/>
      <c r="BM189" s="15"/>
      <c r="BN189" s="15"/>
    </row>
    <row r="190" spans="1:66" s="47" customFormat="1" ht="114.75" x14ac:dyDescent="0.2">
      <c r="A190" s="28">
        <v>1</v>
      </c>
      <c r="B190" s="34" t="s">
        <v>315</v>
      </c>
      <c r="C190" s="28">
        <v>19</v>
      </c>
      <c r="D190" s="34" t="s">
        <v>517</v>
      </c>
      <c r="E190" s="28">
        <v>1905</v>
      </c>
      <c r="F190" s="34" t="s">
        <v>2076</v>
      </c>
      <c r="G190" s="28">
        <v>1905015</v>
      </c>
      <c r="H190" s="34" t="s">
        <v>490</v>
      </c>
      <c r="I190" s="28">
        <v>1905015</v>
      </c>
      <c r="J190" s="34" t="s">
        <v>490</v>
      </c>
      <c r="K190" s="280">
        <v>190501503</v>
      </c>
      <c r="L190" s="34" t="s">
        <v>2196</v>
      </c>
      <c r="M190" s="280">
        <v>190501503</v>
      </c>
      <c r="N190" s="34" t="s">
        <v>2196</v>
      </c>
      <c r="O190" s="205">
        <v>15</v>
      </c>
      <c r="P190" s="205"/>
      <c r="Q190" s="205">
        <v>15</v>
      </c>
      <c r="R190" s="79">
        <v>2020003630133</v>
      </c>
      <c r="S190" s="34" t="s">
        <v>2197</v>
      </c>
      <c r="T190" s="500">
        <f t="shared" si="24"/>
        <v>1</v>
      </c>
      <c r="U190" s="34" t="s">
        <v>2198</v>
      </c>
      <c r="V190" s="34" t="s">
        <v>2199</v>
      </c>
      <c r="W190" s="34" t="s">
        <v>2208</v>
      </c>
      <c r="X190" s="775">
        <v>60000000</v>
      </c>
      <c r="Y190" s="775"/>
      <c r="Z190" s="775"/>
      <c r="AA190" s="775"/>
      <c r="AB190" s="707">
        <f t="shared" si="18"/>
        <v>60000000</v>
      </c>
      <c r="AC190" s="135" t="s">
        <v>2209</v>
      </c>
      <c r="AD190" s="205"/>
      <c r="AE190" s="65">
        <v>61</v>
      </c>
      <c r="AF190" s="28" t="s">
        <v>2084</v>
      </c>
      <c r="AG190" s="320">
        <v>292684</v>
      </c>
      <c r="AH190" s="28">
        <v>282326</v>
      </c>
      <c r="AI190" s="28">
        <v>135912</v>
      </c>
      <c r="AJ190" s="28">
        <v>45122</v>
      </c>
      <c r="AK190" s="28" t="s">
        <v>2188</v>
      </c>
      <c r="AL190" s="28" t="s">
        <v>2189</v>
      </c>
      <c r="AM190" s="28">
        <v>2145</v>
      </c>
      <c r="AN190" s="28">
        <v>12718</v>
      </c>
      <c r="AO190" s="28">
        <v>26</v>
      </c>
      <c r="AP190" s="28">
        <v>37</v>
      </c>
      <c r="AQ190" s="28" t="s">
        <v>1818</v>
      </c>
      <c r="AR190" s="28" t="s">
        <v>1819</v>
      </c>
      <c r="AS190" s="28">
        <v>53164</v>
      </c>
      <c r="AT190" s="28">
        <v>16982</v>
      </c>
      <c r="AU190" s="28">
        <v>60013</v>
      </c>
      <c r="AV190" s="28">
        <v>57501</v>
      </c>
      <c r="AW190" s="843">
        <v>45293</v>
      </c>
      <c r="AX190" s="843">
        <v>45657</v>
      </c>
      <c r="AY190" s="28" t="s">
        <v>1820</v>
      </c>
      <c r="AZ190" s="15"/>
      <c r="BA190" s="15"/>
      <c r="BB190" s="15"/>
      <c r="BC190" s="15"/>
      <c r="BD190" s="15"/>
      <c r="BE190" s="15"/>
      <c r="BF190" s="15"/>
      <c r="BG190" s="15"/>
      <c r="BH190" s="15"/>
      <c r="BI190" s="15"/>
      <c r="BJ190" s="15"/>
      <c r="BK190" s="15"/>
      <c r="BL190" s="15"/>
      <c r="BM190" s="15"/>
      <c r="BN190" s="15"/>
    </row>
    <row r="191" spans="1:66" s="47" customFormat="1" ht="114.75" x14ac:dyDescent="0.2">
      <c r="A191" s="28">
        <v>1</v>
      </c>
      <c r="B191" s="34" t="s">
        <v>315</v>
      </c>
      <c r="C191" s="28">
        <v>19</v>
      </c>
      <c r="D191" s="34" t="s">
        <v>517</v>
      </c>
      <c r="E191" s="28">
        <v>1905</v>
      </c>
      <c r="F191" s="34" t="s">
        <v>2076</v>
      </c>
      <c r="G191" s="28">
        <v>1905015</v>
      </c>
      <c r="H191" s="34" t="s">
        <v>490</v>
      </c>
      <c r="I191" s="28">
        <v>1905015</v>
      </c>
      <c r="J191" s="34" t="s">
        <v>490</v>
      </c>
      <c r="K191" s="280">
        <v>190501503</v>
      </c>
      <c r="L191" s="34" t="s">
        <v>2196</v>
      </c>
      <c r="M191" s="280">
        <v>190501503</v>
      </c>
      <c r="N191" s="34" t="s">
        <v>2196</v>
      </c>
      <c r="O191" s="205">
        <v>15</v>
      </c>
      <c r="P191" s="205"/>
      <c r="Q191" s="205">
        <v>15</v>
      </c>
      <c r="R191" s="79">
        <v>2020003630133</v>
      </c>
      <c r="S191" s="34" t="s">
        <v>2197</v>
      </c>
      <c r="T191" s="500">
        <f t="shared" si="24"/>
        <v>1</v>
      </c>
      <c r="U191" s="34" t="s">
        <v>2198</v>
      </c>
      <c r="V191" s="34" t="s">
        <v>2199</v>
      </c>
      <c r="W191" s="34" t="s">
        <v>2210</v>
      </c>
      <c r="X191" s="775">
        <v>10165182</v>
      </c>
      <c r="Y191" s="775"/>
      <c r="Z191" s="775"/>
      <c r="AA191" s="775"/>
      <c r="AB191" s="707">
        <f t="shared" si="18"/>
        <v>10165182</v>
      </c>
      <c r="AC191" s="135" t="s">
        <v>2201</v>
      </c>
      <c r="AD191" s="205"/>
      <c r="AE191" s="65">
        <v>61</v>
      </c>
      <c r="AF191" s="28" t="s">
        <v>2084</v>
      </c>
      <c r="AG191" s="320">
        <v>292684</v>
      </c>
      <c r="AH191" s="28">
        <v>282326</v>
      </c>
      <c r="AI191" s="28">
        <v>135912</v>
      </c>
      <c r="AJ191" s="28">
        <v>45122</v>
      </c>
      <c r="AK191" s="28" t="s">
        <v>2188</v>
      </c>
      <c r="AL191" s="28" t="s">
        <v>2189</v>
      </c>
      <c r="AM191" s="28">
        <v>2145</v>
      </c>
      <c r="AN191" s="28">
        <v>12718</v>
      </c>
      <c r="AO191" s="28">
        <v>26</v>
      </c>
      <c r="AP191" s="28">
        <v>37</v>
      </c>
      <c r="AQ191" s="28" t="s">
        <v>1818</v>
      </c>
      <c r="AR191" s="28" t="s">
        <v>1819</v>
      </c>
      <c r="AS191" s="28">
        <v>53164</v>
      </c>
      <c r="AT191" s="28">
        <v>16982</v>
      </c>
      <c r="AU191" s="28">
        <v>60013</v>
      </c>
      <c r="AV191" s="28">
        <v>57501</v>
      </c>
      <c r="AW191" s="843">
        <v>45293</v>
      </c>
      <c r="AX191" s="843">
        <v>45657</v>
      </c>
      <c r="AY191" s="28" t="s">
        <v>1820</v>
      </c>
      <c r="AZ191" s="15"/>
      <c r="BA191" s="15"/>
      <c r="BB191" s="15"/>
      <c r="BC191" s="15"/>
      <c r="BD191" s="15"/>
      <c r="BE191" s="15"/>
      <c r="BF191" s="15"/>
      <c r="BG191" s="15"/>
      <c r="BH191" s="15"/>
      <c r="BI191" s="15"/>
      <c r="BJ191" s="15"/>
      <c r="BK191" s="15"/>
      <c r="BL191" s="15"/>
      <c r="BM191" s="15"/>
      <c r="BN191" s="15"/>
    </row>
    <row r="192" spans="1:66" s="47" customFormat="1" ht="114.75" x14ac:dyDescent="0.2">
      <c r="A192" s="28">
        <v>1</v>
      </c>
      <c r="B192" s="34" t="s">
        <v>315</v>
      </c>
      <c r="C192" s="28">
        <v>19</v>
      </c>
      <c r="D192" s="34" t="s">
        <v>517</v>
      </c>
      <c r="E192" s="28">
        <v>1905</v>
      </c>
      <c r="F192" s="34" t="s">
        <v>2076</v>
      </c>
      <c r="G192" s="28">
        <v>1905015</v>
      </c>
      <c r="H192" s="34" t="s">
        <v>490</v>
      </c>
      <c r="I192" s="28">
        <v>1905015</v>
      </c>
      <c r="J192" s="34" t="s">
        <v>490</v>
      </c>
      <c r="K192" s="280">
        <v>190501503</v>
      </c>
      <c r="L192" s="34" t="s">
        <v>2196</v>
      </c>
      <c r="M192" s="280">
        <v>190501503</v>
      </c>
      <c r="N192" s="34" t="s">
        <v>2196</v>
      </c>
      <c r="O192" s="491">
        <v>15</v>
      </c>
      <c r="P192" s="205"/>
      <c r="Q192" s="205">
        <v>15</v>
      </c>
      <c r="R192" s="79">
        <v>2020003630133</v>
      </c>
      <c r="S192" s="34" t="s">
        <v>2197</v>
      </c>
      <c r="T192" s="500">
        <f t="shared" si="24"/>
        <v>1</v>
      </c>
      <c r="U192" s="34" t="s">
        <v>2198</v>
      </c>
      <c r="V192" s="34" t="s">
        <v>2199</v>
      </c>
      <c r="W192" s="34" t="s">
        <v>2210</v>
      </c>
      <c r="X192" s="775">
        <v>50000000</v>
      </c>
      <c r="Y192" s="775"/>
      <c r="Z192" s="775"/>
      <c r="AA192" s="775"/>
      <c r="AB192" s="707">
        <f t="shared" si="18"/>
        <v>50000000</v>
      </c>
      <c r="AC192" s="135" t="s">
        <v>2211</v>
      </c>
      <c r="AD192" s="205"/>
      <c r="AE192" s="205">
        <v>20</v>
      </c>
      <c r="AF192" s="65" t="s">
        <v>327</v>
      </c>
      <c r="AG192" s="320">
        <v>292684</v>
      </c>
      <c r="AH192" s="28">
        <v>282326</v>
      </c>
      <c r="AI192" s="28">
        <v>135912</v>
      </c>
      <c r="AJ192" s="28">
        <v>45122</v>
      </c>
      <c r="AK192" s="28" t="s">
        <v>2188</v>
      </c>
      <c r="AL192" s="28" t="s">
        <v>2189</v>
      </c>
      <c r="AM192" s="28">
        <v>2145</v>
      </c>
      <c r="AN192" s="28">
        <v>12718</v>
      </c>
      <c r="AO192" s="28">
        <v>26</v>
      </c>
      <c r="AP192" s="28">
        <v>37</v>
      </c>
      <c r="AQ192" s="28" t="s">
        <v>1818</v>
      </c>
      <c r="AR192" s="28" t="s">
        <v>1819</v>
      </c>
      <c r="AS192" s="28">
        <v>53164</v>
      </c>
      <c r="AT192" s="28">
        <v>16982</v>
      </c>
      <c r="AU192" s="28">
        <v>60013</v>
      </c>
      <c r="AV192" s="28">
        <v>57501</v>
      </c>
      <c r="AW192" s="843">
        <v>45293</v>
      </c>
      <c r="AX192" s="843">
        <v>45657</v>
      </c>
      <c r="AY192" s="28" t="s">
        <v>1820</v>
      </c>
      <c r="AZ192" s="15"/>
      <c r="BA192" s="15"/>
      <c r="BB192" s="15"/>
      <c r="BC192" s="15"/>
      <c r="BD192" s="15"/>
      <c r="BE192" s="15"/>
      <c r="BF192" s="15"/>
      <c r="BG192" s="15"/>
      <c r="BH192" s="15"/>
      <c r="BI192" s="15"/>
      <c r="BJ192" s="15"/>
      <c r="BK192" s="15"/>
      <c r="BL192" s="15"/>
      <c r="BM192" s="15"/>
      <c r="BN192" s="15"/>
    </row>
    <row r="193" spans="1:66" s="47" customFormat="1" ht="114.75" x14ac:dyDescent="0.2">
      <c r="A193" s="28">
        <v>1</v>
      </c>
      <c r="B193" s="34" t="s">
        <v>315</v>
      </c>
      <c r="C193" s="28">
        <v>19</v>
      </c>
      <c r="D193" s="34" t="s">
        <v>517</v>
      </c>
      <c r="E193" s="28">
        <v>1905</v>
      </c>
      <c r="F193" s="34" t="s">
        <v>2076</v>
      </c>
      <c r="G193" s="28">
        <v>1905015</v>
      </c>
      <c r="H193" s="34" t="s">
        <v>490</v>
      </c>
      <c r="I193" s="28">
        <v>1905015</v>
      </c>
      <c r="J193" s="34" t="s">
        <v>490</v>
      </c>
      <c r="K193" s="280">
        <v>190501503</v>
      </c>
      <c r="L193" s="34" t="s">
        <v>2196</v>
      </c>
      <c r="M193" s="280">
        <v>190501503</v>
      </c>
      <c r="N193" s="34" t="s">
        <v>2196</v>
      </c>
      <c r="O193" s="205">
        <v>15</v>
      </c>
      <c r="P193" s="205"/>
      <c r="Q193" s="205">
        <v>15</v>
      </c>
      <c r="R193" s="79">
        <v>2020003630133</v>
      </c>
      <c r="S193" s="34" t="s">
        <v>2197</v>
      </c>
      <c r="T193" s="500">
        <f t="shared" si="24"/>
        <v>1</v>
      </c>
      <c r="U193" s="34" t="s">
        <v>2198</v>
      </c>
      <c r="V193" s="34" t="s">
        <v>2199</v>
      </c>
      <c r="W193" s="34" t="s">
        <v>2208</v>
      </c>
      <c r="X193" s="775">
        <v>50000000</v>
      </c>
      <c r="Y193" s="775"/>
      <c r="Z193" s="775"/>
      <c r="AA193" s="775"/>
      <c r="AB193" s="707">
        <f t="shared" si="18"/>
        <v>50000000</v>
      </c>
      <c r="AC193" s="135" t="s">
        <v>2211</v>
      </c>
      <c r="AD193" s="205"/>
      <c r="AE193" s="205">
        <v>20</v>
      </c>
      <c r="AF193" s="65" t="s">
        <v>327</v>
      </c>
      <c r="AG193" s="320">
        <v>292684</v>
      </c>
      <c r="AH193" s="28">
        <v>282326</v>
      </c>
      <c r="AI193" s="28">
        <v>135912</v>
      </c>
      <c r="AJ193" s="28">
        <v>45122</v>
      </c>
      <c r="AK193" s="28" t="s">
        <v>2188</v>
      </c>
      <c r="AL193" s="28" t="s">
        <v>2189</v>
      </c>
      <c r="AM193" s="28">
        <v>2145</v>
      </c>
      <c r="AN193" s="28">
        <v>12718</v>
      </c>
      <c r="AO193" s="28">
        <v>26</v>
      </c>
      <c r="AP193" s="28">
        <v>37</v>
      </c>
      <c r="AQ193" s="28" t="s">
        <v>1818</v>
      </c>
      <c r="AR193" s="28" t="s">
        <v>1819</v>
      </c>
      <c r="AS193" s="28">
        <v>53164</v>
      </c>
      <c r="AT193" s="28">
        <v>16982</v>
      </c>
      <c r="AU193" s="28">
        <v>60013</v>
      </c>
      <c r="AV193" s="28">
        <v>57501</v>
      </c>
      <c r="AW193" s="843">
        <v>45293</v>
      </c>
      <c r="AX193" s="843">
        <v>45657</v>
      </c>
      <c r="AY193" s="28" t="s">
        <v>1820</v>
      </c>
      <c r="AZ193" s="15"/>
      <c r="BA193" s="15"/>
      <c r="BB193" s="15"/>
      <c r="BC193" s="15"/>
      <c r="BD193" s="15"/>
      <c r="BE193" s="15"/>
      <c r="BF193" s="15"/>
      <c r="BG193" s="15"/>
      <c r="BH193" s="15"/>
      <c r="BI193" s="15"/>
      <c r="BJ193" s="15"/>
      <c r="BK193" s="15"/>
      <c r="BL193" s="15"/>
      <c r="BM193" s="15"/>
      <c r="BN193" s="15"/>
    </row>
    <row r="194" spans="1:66" s="47" customFormat="1" ht="114.75" x14ac:dyDescent="0.2">
      <c r="A194" s="28">
        <v>1</v>
      </c>
      <c r="B194" s="34" t="s">
        <v>315</v>
      </c>
      <c r="C194" s="28">
        <v>19</v>
      </c>
      <c r="D194" s="34" t="s">
        <v>517</v>
      </c>
      <c r="E194" s="28">
        <v>1905</v>
      </c>
      <c r="F194" s="34" t="s">
        <v>2076</v>
      </c>
      <c r="G194" s="28">
        <v>1905015</v>
      </c>
      <c r="H194" s="34" t="s">
        <v>490</v>
      </c>
      <c r="I194" s="28">
        <v>1905015</v>
      </c>
      <c r="J194" s="34" t="s">
        <v>490</v>
      </c>
      <c r="K194" s="280">
        <v>190501503</v>
      </c>
      <c r="L194" s="34" t="s">
        <v>2196</v>
      </c>
      <c r="M194" s="280">
        <v>190501503</v>
      </c>
      <c r="N194" s="34" t="s">
        <v>2196</v>
      </c>
      <c r="O194" s="205">
        <v>15</v>
      </c>
      <c r="P194" s="205"/>
      <c r="Q194" s="205">
        <v>15</v>
      </c>
      <c r="R194" s="79">
        <v>2020003630133</v>
      </c>
      <c r="S194" s="34" t="s">
        <v>2197</v>
      </c>
      <c r="T194" s="500">
        <f>SUM($X$71:$X$81)/SUM($X$71:$X$81)</f>
        <v>1</v>
      </c>
      <c r="U194" s="34" t="s">
        <v>2198</v>
      </c>
      <c r="V194" s="34" t="s">
        <v>2199</v>
      </c>
      <c r="W194" s="34" t="s">
        <v>2210</v>
      </c>
      <c r="X194" s="775">
        <v>50000000</v>
      </c>
      <c r="Y194" s="775"/>
      <c r="Z194" s="775"/>
      <c r="AA194" s="775"/>
      <c r="AB194" s="707">
        <f t="shared" si="18"/>
        <v>50000000</v>
      </c>
      <c r="AC194" s="135" t="s">
        <v>2211</v>
      </c>
      <c r="AD194" s="205"/>
      <c r="AE194" s="205">
        <v>20</v>
      </c>
      <c r="AF194" s="65" t="s">
        <v>327</v>
      </c>
      <c r="AG194" s="320">
        <v>292684</v>
      </c>
      <c r="AH194" s="28">
        <v>282326</v>
      </c>
      <c r="AI194" s="28">
        <v>135912</v>
      </c>
      <c r="AJ194" s="28">
        <v>45122</v>
      </c>
      <c r="AK194" s="28" t="s">
        <v>2188</v>
      </c>
      <c r="AL194" s="28" t="s">
        <v>2189</v>
      </c>
      <c r="AM194" s="28">
        <v>2145</v>
      </c>
      <c r="AN194" s="28">
        <v>12718</v>
      </c>
      <c r="AO194" s="28">
        <v>26</v>
      </c>
      <c r="AP194" s="28">
        <v>37</v>
      </c>
      <c r="AQ194" s="28" t="s">
        <v>1818</v>
      </c>
      <c r="AR194" s="28" t="s">
        <v>1819</v>
      </c>
      <c r="AS194" s="28">
        <v>53164</v>
      </c>
      <c r="AT194" s="28">
        <v>16982</v>
      </c>
      <c r="AU194" s="28">
        <v>60013</v>
      </c>
      <c r="AV194" s="28">
        <v>57501</v>
      </c>
      <c r="AW194" s="843">
        <v>45293</v>
      </c>
      <c r="AX194" s="843">
        <v>45657</v>
      </c>
      <c r="AY194" s="28" t="s">
        <v>1820</v>
      </c>
      <c r="AZ194" s="15"/>
      <c r="BA194" s="15"/>
      <c r="BB194" s="15"/>
      <c r="BC194" s="15"/>
      <c r="BD194" s="15"/>
      <c r="BE194" s="15"/>
      <c r="BF194" s="15"/>
      <c r="BG194" s="15"/>
      <c r="BH194" s="15"/>
      <c r="BI194" s="15"/>
      <c r="BJ194" s="15"/>
      <c r="BK194" s="15"/>
      <c r="BL194" s="15"/>
      <c r="BM194" s="15"/>
      <c r="BN194" s="15"/>
    </row>
    <row r="195" spans="1:66" s="47" customFormat="1" ht="51" x14ac:dyDescent="0.2">
      <c r="A195" s="28">
        <v>1</v>
      </c>
      <c r="B195" s="34" t="s">
        <v>315</v>
      </c>
      <c r="C195" s="28">
        <v>19</v>
      </c>
      <c r="D195" s="34" t="s">
        <v>517</v>
      </c>
      <c r="E195" s="28">
        <v>1905</v>
      </c>
      <c r="F195" s="34" t="s">
        <v>2076</v>
      </c>
      <c r="G195" s="28" t="s">
        <v>70</v>
      </c>
      <c r="H195" s="34" t="s">
        <v>2212</v>
      </c>
      <c r="I195" s="28">
        <v>1905009</v>
      </c>
      <c r="J195" s="34" t="s">
        <v>2213</v>
      </c>
      <c r="K195" s="280" t="s">
        <v>70</v>
      </c>
      <c r="L195" s="34" t="s">
        <v>2214</v>
      </c>
      <c r="M195" s="280" t="s">
        <v>2215</v>
      </c>
      <c r="N195" s="34" t="s">
        <v>2216</v>
      </c>
      <c r="O195" s="205">
        <v>1</v>
      </c>
      <c r="P195" s="205"/>
      <c r="Q195" s="205">
        <v>1</v>
      </c>
      <c r="R195" s="79">
        <v>2020003630134</v>
      </c>
      <c r="S195" s="34" t="s">
        <v>2217</v>
      </c>
      <c r="T195" s="500">
        <f>SUM($X$195:$X$198)/SUM($X$195:$X$198)</f>
        <v>1</v>
      </c>
      <c r="U195" s="34" t="s">
        <v>2218</v>
      </c>
      <c r="V195" s="34" t="s">
        <v>2219</v>
      </c>
      <c r="W195" s="34" t="s">
        <v>2220</v>
      </c>
      <c r="X195" s="335">
        <v>312500000</v>
      </c>
      <c r="Y195" s="335">
        <f>8100000+8100000+15000000+8100000+8100000+18000000+18000000+18000000</f>
        <v>101400000</v>
      </c>
      <c r="Z195" s="335"/>
      <c r="AA195" s="335"/>
      <c r="AB195" s="707">
        <f t="shared" si="18"/>
        <v>211100000</v>
      </c>
      <c r="AC195" s="857" t="s">
        <v>2221</v>
      </c>
      <c r="AD195" s="205"/>
      <c r="AE195" s="205">
        <v>20</v>
      </c>
      <c r="AF195" s="65" t="s">
        <v>327</v>
      </c>
      <c r="AG195" s="320">
        <v>292684</v>
      </c>
      <c r="AH195" s="28">
        <v>282326</v>
      </c>
      <c r="AI195" s="28">
        <v>135912</v>
      </c>
      <c r="AJ195" s="28">
        <v>45122</v>
      </c>
      <c r="AK195" s="28">
        <v>365607</v>
      </c>
      <c r="AL195" s="28">
        <v>86875</v>
      </c>
      <c r="AM195" s="28">
        <v>2145</v>
      </c>
      <c r="AN195" s="28">
        <v>12718</v>
      </c>
      <c r="AO195" s="28">
        <v>26</v>
      </c>
      <c r="AP195" s="28">
        <v>37</v>
      </c>
      <c r="AQ195" s="28" t="s">
        <v>1818</v>
      </c>
      <c r="AR195" s="28" t="s">
        <v>1819</v>
      </c>
      <c r="AS195" s="28">
        <v>53164</v>
      </c>
      <c r="AT195" s="28">
        <v>16982</v>
      </c>
      <c r="AU195" s="28">
        <v>60013</v>
      </c>
      <c r="AV195" s="28">
        <v>57501</v>
      </c>
      <c r="AW195" s="843">
        <v>45293</v>
      </c>
      <c r="AX195" s="843">
        <v>45657</v>
      </c>
      <c r="AY195" s="28" t="s">
        <v>1820</v>
      </c>
      <c r="AZ195" s="15"/>
      <c r="BA195" s="15"/>
      <c r="BB195" s="15"/>
      <c r="BC195" s="15"/>
      <c r="BD195" s="15"/>
      <c r="BE195" s="15"/>
      <c r="BF195" s="15"/>
      <c r="BG195" s="15"/>
      <c r="BH195" s="15"/>
      <c r="BI195" s="15"/>
      <c r="BJ195" s="15"/>
      <c r="BK195" s="15"/>
      <c r="BL195" s="15"/>
      <c r="BM195" s="15"/>
      <c r="BN195" s="15"/>
    </row>
    <row r="196" spans="1:66" s="47" customFormat="1" ht="51" x14ac:dyDescent="0.2">
      <c r="A196" s="28">
        <v>1</v>
      </c>
      <c r="B196" s="34" t="s">
        <v>315</v>
      </c>
      <c r="C196" s="28">
        <v>19</v>
      </c>
      <c r="D196" s="34" t="s">
        <v>517</v>
      </c>
      <c r="E196" s="28">
        <v>1905</v>
      </c>
      <c r="F196" s="34" t="s">
        <v>2076</v>
      </c>
      <c r="G196" s="28" t="s">
        <v>70</v>
      </c>
      <c r="H196" s="34" t="s">
        <v>2212</v>
      </c>
      <c r="I196" s="28">
        <v>1905009</v>
      </c>
      <c r="J196" s="34" t="s">
        <v>2213</v>
      </c>
      <c r="K196" s="280" t="s">
        <v>70</v>
      </c>
      <c r="L196" s="34" t="s">
        <v>2214</v>
      </c>
      <c r="M196" s="280" t="s">
        <v>2215</v>
      </c>
      <c r="N196" s="34" t="s">
        <v>2216</v>
      </c>
      <c r="O196" s="205">
        <v>1</v>
      </c>
      <c r="P196" s="205"/>
      <c r="Q196" s="205">
        <v>1</v>
      </c>
      <c r="R196" s="79">
        <v>2020003630134</v>
      </c>
      <c r="S196" s="34" t="s">
        <v>2217</v>
      </c>
      <c r="T196" s="500">
        <f t="shared" ref="T196:T198" si="25">SUM($X$195:$X$198)/SUM($X$195:$X$198)</f>
        <v>1</v>
      </c>
      <c r="U196" s="34" t="s">
        <v>2218</v>
      </c>
      <c r="V196" s="34" t="s">
        <v>2219</v>
      </c>
      <c r="W196" s="34" t="s">
        <v>2222</v>
      </c>
      <c r="X196" s="335">
        <v>36000000</v>
      </c>
      <c r="Y196" s="335"/>
      <c r="Z196" s="335"/>
      <c r="AA196" s="335"/>
      <c r="AB196" s="707">
        <f t="shared" si="18"/>
        <v>36000000</v>
      </c>
      <c r="AC196" s="857" t="s">
        <v>2223</v>
      </c>
      <c r="AD196" s="205"/>
      <c r="AE196" s="205">
        <v>20</v>
      </c>
      <c r="AF196" s="65" t="s">
        <v>327</v>
      </c>
      <c r="AG196" s="320">
        <v>292684</v>
      </c>
      <c r="AH196" s="28">
        <v>282326</v>
      </c>
      <c r="AI196" s="28">
        <v>135912</v>
      </c>
      <c r="AJ196" s="28">
        <v>45122</v>
      </c>
      <c r="AK196" s="28">
        <v>365607</v>
      </c>
      <c r="AL196" s="28">
        <v>86875</v>
      </c>
      <c r="AM196" s="28">
        <v>2145</v>
      </c>
      <c r="AN196" s="28">
        <v>12718</v>
      </c>
      <c r="AO196" s="28">
        <v>26</v>
      </c>
      <c r="AP196" s="28">
        <v>37</v>
      </c>
      <c r="AQ196" s="28" t="s">
        <v>1818</v>
      </c>
      <c r="AR196" s="28" t="s">
        <v>1819</v>
      </c>
      <c r="AS196" s="28">
        <v>53164</v>
      </c>
      <c r="AT196" s="28">
        <v>16982</v>
      </c>
      <c r="AU196" s="28">
        <v>60013</v>
      </c>
      <c r="AV196" s="28">
        <v>57501</v>
      </c>
      <c r="AW196" s="843">
        <v>45293</v>
      </c>
      <c r="AX196" s="843">
        <v>45657</v>
      </c>
      <c r="AY196" s="28" t="s">
        <v>1820</v>
      </c>
      <c r="AZ196" s="15"/>
      <c r="BA196" s="15"/>
      <c r="BB196" s="15"/>
      <c r="BC196" s="15"/>
      <c r="BD196" s="15"/>
      <c r="BE196" s="15"/>
      <c r="BF196" s="15"/>
      <c r="BG196" s="15"/>
      <c r="BH196" s="15"/>
      <c r="BI196" s="15"/>
      <c r="BJ196" s="15"/>
      <c r="BK196" s="15"/>
      <c r="BL196" s="15"/>
      <c r="BM196" s="15"/>
      <c r="BN196" s="15"/>
    </row>
    <row r="197" spans="1:66" s="47" customFormat="1" ht="51" x14ac:dyDescent="0.2">
      <c r="A197" s="28">
        <v>1</v>
      </c>
      <c r="B197" s="34" t="s">
        <v>315</v>
      </c>
      <c r="C197" s="28">
        <v>19</v>
      </c>
      <c r="D197" s="34" t="s">
        <v>517</v>
      </c>
      <c r="E197" s="28">
        <v>1905</v>
      </c>
      <c r="F197" s="34" t="s">
        <v>2076</v>
      </c>
      <c r="G197" s="28" t="s">
        <v>70</v>
      </c>
      <c r="H197" s="34" t="s">
        <v>2212</v>
      </c>
      <c r="I197" s="28">
        <v>1905009</v>
      </c>
      <c r="J197" s="34" t="s">
        <v>2213</v>
      </c>
      <c r="K197" s="280" t="s">
        <v>70</v>
      </c>
      <c r="L197" s="34" t="s">
        <v>2214</v>
      </c>
      <c r="M197" s="280" t="s">
        <v>2215</v>
      </c>
      <c r="N197" s="34" t="s">
        <v>2216</v>
      </c>
      <c r="O197" s="205">
        <v>1</v>
      </c>
      <c r="P197" s="205"/>
      <c r="Q197" s="205">
        <v>1</v>
      </c>
      <c r="R197" s="79">
        <v>2020003630134</v>
      </c>
      <c r="S197" s="34" t="s">
        <v>2217</v>
      </c>
      <c r="T197" s="500">
        <f t="shared" si="25"/>
        <v>1</v>
      </c>
      <c r="U197" s="34" t="s">
        <v>2218</v>
      </c>
      <c r="V197" s="34" t="s">
        <v>2219</v>
      </c>
      <c r="W197" s="34" t="s">
        <v>2224</v>
      </c>
      <c r="X197" s="335">
        <v>50000000</v>
      </c>
      <c r="Y197" s="335"/>
      <c r="Z197" s="335"/>
      <c r="AA197" s="335"/>
      <c r="AB197" s="707">
        <f t="shared" si="18"/>
        <v>50000000</v>
      </c>
      <c r="AC197" s="857" t="s">
        <v>2221</v>
      </c>
      <c r="AD197" s="205"/>
      <c r="AE197" s="205">
        <v>20</v>
      </c>
      <c r="AF197" s="65" t="s">
        <v>327</v>
      </c>
      <c r="AG197" s="320">
        <v>292684</v>
      </c>
      <c r="AH197" s="28">
        <v>282326</v>
      </c>
      <c r="AI197" s="28">
        <v>135912</v>
      </c>
      <c r="AJ197" s="28">
        <v>45122</v>
      </c>
      <c r="AK197" s="28">
        <v>365607</v>
      </c>
      <c r="AL197" s="28">
        <v>86875</v>
      </c>
      <c r="AM197" s="28">
        <v>2145</v>
      </c>
      <c r="AN197" s="28">
        <v>12718</v>
      </c>
      <c r="AO197" s="28">
        <v>26</v>
      </c>
      <c r="AP197" s="28">
        <v>37</v>
      </c>
      <c r="AQ197" s="28" t="s">
        <v>1818</v>
      </c>
      <c r="AR197" s="28" t="s">
        <v>1819</v>
      </c>
      <c r="AS197" s="28">
        <v>53164</v>
      </c>
      <c r="AT197" s="28">
        <v>16982</v>
      </c>
      <c r="AU197" s="28">
        <v>60013</v>
      </c>
      <c r="AV197" s="28">
        <v>57501</v>
      </c>
      <c r="AW197" s="843">
        <v>45293</v>
      </c>
      <c r="AX197" s="843">
        <v>45657</v>
      </c>
      <c r="AY197" s="28" t="s">
        <v>1820</v>
      </c>
      <c r="AZ197" s="15"/>
      <c r="BA197" s="15"/>
      <c r="BB197" s="15"/>
      <c r="BC197" s="15"/>
      <c r="BD197" s="15"/>
      <c r="BE197" s="15"/>
      <c r="BF197" s="15"/>
      <c r="BG197" s="15"/>
      <c r="BH197" s="15"/>
      <c r="BI197" s="15"/>
      <c r="BJ197" s="15"/>
      <c r="BK197" s="15"/>
      <c r="BL197" s="15"/>
      <c r="BM197" s="15"/>
      <c r="BN197" s="15"/>
    </row>
    <row r="198" spans="1:66" s="47" customFormat="1" ht="63.75" x14ac:dyDescent="0.2">
      <c r="A198" s="28">
        <v>1</v>
      </c>
      <c r="B198" s="34" t="s">
        <v>315</v>
      </c>
      <c r="C198" s="28">
        <v>19</v>
      </c>
      <c r="D198" s="34" t="s">
        <v>517</v>
      </c>
      <c r="E198" s="28">
        <v>1905</v>
      </c>
      <c r="F198" s="34" t="s">
        <v>2076</v>
      </c>
      <c r="G198" s="28" t="s">
        <v>70</v>
      </c>
      <c r="H198" s="34" t="s">
        <v>2212</v>
      </c>
      <c r="I198" s="28">
        <v>1905009</v>
      </c>
      <c r="J198" s="34" t="s">
        <v>2213</v>
      </c>
      <c r="K198" s="280" t="s">
        <v>70</v>
      </c>
      <c r="L198" s="34" t="s">
        <v>2214</v>
      </c>
      <c r="M198" s="280" t="s">
        <v>2215</v>
      </c>
      <c r="N198" s="34" t="s">
        <v>2216</v>
      </c>
      <c r="O198" s="205">
        <v>1</v>
      </c>
      <c r="P198" s="205"/>
      <c r="Q198" s="205">
        <v>1</v>
      </c>
      <c r="R198" s="79">
        <v>2020003630134</v>
      </c>
      <c r="S198" s="34" t="s">
        <v>2217</v>
      </c>
      <c r="T198" s="500">
        <f t="shared" si="25"/>
        <v>1</v>
      </c>
      <c r="U198" s="34" t="s">
        <v>2218</v>
      </c>
      <c r="V198" s="34" t="s">
        <v>2219</v>
      </c>
      <c r="W198" s="34" t="s">
        <v>2225</v>
      </c>
      <c r="X198" s="335">
        <v>1500000</v>
      </c>
      <c r="Y198" s="335"/>
      <c r="Z198" s="335"/>
      <c r="AA198" s="335"/>
      <c r="AB198" s="707">
        <f t="shared" si="18"/>
        <v>1500000</v>
      </c>
      <c r="AC198" s="857" t="s">
        <v>2221</v>
      </c>
      <c r="AD198" s="205"/>
      <c r="AE198" s="205">
        <v>20</v>
      </c>
      <c r="AF198" s="65" t="s">
        <v>327</v>
      </c>
      <c r="AG198" s="320">
        <v>292684</v>
      </c>
      <c r="AH198" s="28">
        <v>282326</v>
      </c>
      <c r="AI198" s="28">
        <v>135912</v>
      </c>
      <c r="AJ198" s="28">
        <v>45122</v>
      </c>
      <c r="AK198" s="28">
        <v>365607</v>
      </c>
      <c r="AL198" s="28">
        <v>86875</v>
      </c>
      <c r="AM198" s="28">
        <v>2145</v>
      </c>
      <c r="AN198" s="28">
        <v>12718</v>
      </c>
      <c r="AO198" s="28">
        <v>26</v>
      </c>
      <c r="AP198" s="28">
        <v>37</v>
      </c>
      <c r="AQ198" s="28" t="s">
        <v>1818</v>
      </c>
      <c r="AR198" s="28" t="s">
        <v>1819</v>
      </c>
      <c r="AS198" s="28">
        <v>53164</v>
      </c>
      <c r="AT198" s="28">
        <v>16982</v>
      </c>
      <c r="AU198" s="28">
        <v>60013</v>
      </c>
      <c r="AV198" s="28">
        <v>57501</v>
      </c>
      <c r="AW198" s="843">
        <v>45293</v>
      </c>
      <c r="AX198" s="843">
        <v>45657</v>
      </c>
      <c r="AY198" s="28" t="s">
        <v>1820</v>
      </c>
      <c r="AZ198" s="15"/>
      <c r="BA198" s="15"/>
      <c r="BB198" s="15"/>
      <c r="BC198" s="15"/>
      <c r="BD198" s="15"/>
      <c r="BE198" s="15"/>
      <c r="BF198" s="15"/>
      <c r="BG198" s="15"/>
      <c r="BH198" s="15"/>
      <c r="BI198" s="15"/>
      <c r="BJ198" s="15"/>
      <c r="BK198" s="15"/>
      <c r="BL198" s="15"/>
      <c r="BM198" s="15"/>
      <c r="BN198" s="15"/>
    </row>
    <row r="199" spans="1:66" s="47" customFormat="1" ht="76.5" x14ac:dyDescent="0.2">
      <c r="A199" s="28">
        <v>1</v>
      </c>
      <c r="B199" s="34" t="s">
        <v>315</v>
      </c>
      <c r="C199" s="28">
        <v>19</v>
      </c>
      <c r="D199" s="34" t="s">
        <v>517</v>
      </c>
      <c r="E199" s="28">
        <v>1905</v>
      </c>
      <c r="F199" s="34" t="s">
        <v>2076</v>
      </c>
      <c r="G199" s="28">
        <v>1905031</v>
      </c>
      <c r="H199" s="34" t="s">
        <v>1974</v>
      </c>
      <c r="I199" s="554">
        <v>1905031</v>
      </c>
      <c r="J199" s="34" t="s">
        <v>1974</v>
      </c>
      <c r="K199" s="286">
        <v>190503100</v>
      </c>
      <c r="L199" s="34" t="s">
        <v>1975</v>
      </c>
      <c r="M199" s="280">
        <v>190503100</v>
      </c>
      <c r="N199" s="34" t="s">
        <v>1975</v>
      </c>
      <c r="O199" s="205">
        <v>12</v>
      </c>
      <c r="P199" s="205"/>
      <c r="Q199" s="205">
        <v>12</v>
      </c>
      <c r="R199" s="79">
        <v>2020003630135</v>
      </c>
      <c r="S199" s="34" t="s">
        <v>2226</v>
      </c>
      <c r="T199" s="500">
        <f>SUM($X$199:$X$204)/SUM($X$199:$X$204)</f>
        <v>1</v>
      </c>
      <c r="U199" s="34" t="s">
        <v>2227</v>
      </c>
      <c r="V199" s="34" t="s">
        <v>2228</v>
      </c>
      <c r="W199" s="34" t="s">
        <v>2228</v>
      </c>
      <c r="X199" s="858">
        <v>592417704</v>
      </c>
      <c r="Y199" s="858"/>
      <c r="Z199" s="858"/>
      <c r="AA199" s="858"/>
      <c r="AB199" s="707">
        <f t="shared" si="18"/>
        <v>592417704</v>
      </c>
      <c r="AC199" s="850" t="s">
        <v>2229</v>
      </c>
      <c r="AD199" s="205"/>
      <c r="AE199" s="65">
        <v>61</v>
      </c>
      <c r="AF199" s="28" t="s">
        <v>2084</v>
      </c>
      <c r="AG199" s="320">
        <v>289394</v>
      </c>
      <c r="AH199" s="28">
        <v>279112</v>
      </c>
      <c r="AI199" s="28">
        <v>63164</v>
      </c>
      <c r="AJ199" s="28">
        <v>45607</v>
      </c>
      <c r="AK199" s="28">
        <v>365607</v>
      </c>
      <c r="AL199" s="28">
        <v>75612</v>
      </c>
      <c r="AM199" s="28">
        <v>2145</v>
      </c>
      <c r="AN199" s="28">
        <v>12718</v>
      </c>
      <c r="AO199" s="28">
        <v>26</v>
      </c>
      <c r="AP199" s="28">
        <v>37</v>
      </c>
      <c r="AQ199" s="28" t="s">
        <v>1818</v>
      </c>
      <c r="AR199" s="28" t="s">
        <v>1819</v>
      </c>
      <c r="AS199" s="28">
        <v>78</v>
      </c>
      <c r="AT199" s="28">
        <v>16897</v>
      </c>
      <c r="AU199" s="28">
        <v>852</v>
      </c>
      <c r="AV199" s="28">
        <v>568506</v>
      </c>
      <c r="AW199" s="843">
        <v>45293</v>
      </c>
      <c r="AX199" s="843">
        <v>45657</v>
      </c>
      <c r="AY199" s="28" t="s">
        <v>1820</v>
      </c>
      <c r="AZ199" s="15"/>
      <c r="BA199" s="15"/>
      <c r="BB199" s="15"/>
      <c r="BC199" s="15"/>
      <c r="BD199" s="15"/>
      <c r="BE199" s="15"/>
      <c r="BF199" s="15"/>
      <c r="BG199" s="15"/>
      <c r="BH199" s="15"/>
      <c r="BI199" s="15"/>
      <c r="BJ199" s="15"/>
      <c r="BK199" s="15"/>
      <c r="BL199" s="15"/>
      <c r="BM199" s="15"/>
      <c r="BN199" s="15"/>
    </row>
    <row r="200" spans="1:66" s="47" customFormat="1" ht="76.5" x14ac:dyDescent="0.2">
      <c r="A200" s="28">
        <v>1</v>
      </c>
      <c r="B200" s="34" t="s">
        <v>315</v>
      </c>
      <c r="C200" s="28">
        <v>19</v>
      </c>
      <c r="D200" s="34" t="s">
        <v>517</v>
      </c>
      <c r="E200" s="28">
        <v>1905</v>
      </c>
      <c r="F200" s="34" t="s">
        <v>2076</v>
      </c>
      <c r="G200" s="28">
        <v>1905031</v>
      </c>
      <c r="H200" s="34" t="s">
        <v>1974</v>
      </c>
      <c r="I200" s="554">
        <v>1905031</v>
      </c>
      <c r="J200" s="34" t="s">
        <v>1974</v>
      </c>
      <c r="K200" s="286">
        <v>190503100</v>
      </c>
      <c r="L200" s="34" t="s">
        <v>1975</v>
      </c>
      <c r="M200" s="280">
        <v>190503100</v>
      </c>
      <c r="N200" s="34" t="s">
        <v>1975</v>
      </c>
      <c r="O200" s="205">
        <v>12</v>
      </c>
      <c r="P200" s="205"/>
      <c r="Q200" s="205">
        <v>12</v>
      </c>
      <c r="R200" s="79">
        <v>2020003630135</v>
      </c>
      <c r="S200" s="34" t="s">
        <v>2226</v>
      </c>
      <c r="T200" s="500">
        <f t="shared" ref="T200:T204" si="26">SUM($X$199:$X$204)/SUM($X$199:$X$204)</f>
        <v>1</v>
      </c>
      <c r="U200" s="34" t="s">
        <v>2227</v>
      </c>
      <c r="V200" s="34" t="s">
        <v>2228</v>
      </c>
      <c r="W200" s="34" t="s">
        <v>2230</v>
      </c>
      <c r="X200" s="858">
        <v>70000000</v>
      </c>
      <c r="Y200" s="858"/>
      <c r="Z200" s="858"/>
      <c r="AA200" s="858"/>
      <c r="AB200" s="707">
        <f t="shared" si="18"/>
        <v>70000000</v>
      </c>
      <c r="AC200" s="850" t="s">
        <v>2231</v>
      </c>
      <c r="AD200" s="205"/>
      <c r="AE200" s="65">
        <v>61</v>
      </c>
      <c r="AF200" s="28" t="s">
        <v>2084</v>
      </c>
      <c r="AG200" s="320">
        <v>289394</v>
      </c>
      <c r="AH200" s="28">
        <v>279112</v>
      </c>
      <c r="AI200" s="28">
        <v>63164</v>
      </c>
      <c r="AJ200" s="28">
        <v>45607</v>
      </c>
      <c r="AK200" s="28">
        <v>365607</v>
      </c>
      <c r="AL200" s="28">
        <v>75612</v>
      </c>
      <c r="AM200" s="28">
        <v>2145</v>
      </c>
      <c r="AN200" s="28">
        <v>12718</v>
      </c>
      <c r="AO200" s="28">
        <v>26</v>
      </c>
      <c r="AP200" s="28">
        <v>37</v>
      </c>
      <c r="AQ200" s="28" t="s">
        <v>1818</v>
      </c>
      <c r="AR200" s="28" t="s">
        <v>1819</v>
      </c>
      <c r="AS200" s="28">
        <v>78</v>
      </c>
      <c r="AT200" s="28">
        <v>16897</v>
      </c>
      <c r="AU200" s="28">
        <v>852</v>
      </c>
      <c r="AV200" s="28">
        <v>568506</v>
      </c>
      <c r="AW200" s="843">
        <v>45293</v>
      </c>
      <c r="AX200" s="843">
        <v>45657</v>
      </c>
      <c r="AY200" s="28" t="s">
        <v>1820</v>
      </c>
      <c r="AZ200" s="15"/>
      <c r="BA200" s="15"/>
      <c r="BB200" s="15"/>
      <c r="BC200" s="15"/>
      <c r="BD200" s="15"/>
      <c r="BE200" s="15"/>
      <c r="BF200" s="15"/>
      <c r="BG200" s="15"/>
      <c r="BH200" s="15"/>
      <c r="BI200" s="15"/>
      <c r="BJ200" s="15"/>
      <c r="BK200" s="15"/>
      <c r="BL200" s="15"/>
      <c r="BM200" s="15"/>
      <c r="BN200" s="15"/>
    </row>
    <row r="201" spans="1:66" s="47" customFormat="1" ht="76.5" x14ac:dyDescent="0.2">
      <c r="A201" s="28">
        <v>1</v>
      </c>
      <c r="B201" s="34" t="s">
        <v>315</v>
      </c>
      <c r="C201" s="28">
        <v>19</v>
      </c>
      <c r="D201" s="34" t="s">
        <v>517</v>
      </c>
      <c r="E201" s="28">
        <v>1905</v>
      </c>
      <c r="F201" s="34" t="s">
        <v>2076</v>
      </c>
      <c r="G201" s="28">
        <v>1905031</v>
      </c>
      <c r="H201" s="34" t="s">
        <v>1974</v>
      </c>
      <c r="I201" s="554">
        <v>1905031</v>
      </c>
      <c r="J201" s="34" t="s">
        <v>1974</v>
      </c>
      <c r="K201" s="286">
        <v>190503100</v>
      </c>
      <c r="L201" s="34" t="s">
        <v>1975</v>
      </c>
      <c r="M201" s="280">
        <v>190503100</v>
      </c>
      <c r="N201" s="34" t="s">
        <v>1975</v>
      </c>
      <c r="O201" s="205">
        <v>12</v>
      </c>
      <c r="P201" s="205"/>
      <c r="Q201" s="205">
        <v>12</v>
      </c>
      <c r="R201" s="79">
        <v>2020003630135</v>
      </c>
      <c r="S201" s="34" t="s">
        <v>2226</v>
      </c>
      <c r="T201" s="500">
        <f t="shared" si="26"/>
        <v>1</v>
      </c>
      <c r="U201" s="34" t="s">
        <v>2227</v>
      </c>
      <c r="V201" s="34" t="s">
        <v>2228</v>
      </c>
      <c r="W201" s="34" t="s">
        <v>2232</v>
      </c>
      <c r="X201" s="858">
        <v>400000000</v>
      </c>
      <c r="Y201" s="858"/>
      <c r="Z201" s="858"/>
      <c r="AA201" s="858"/>
      <c r="AB201" s="707">
        <f t="shared" si="18"/>
        <v>400000000</v>
      </c>
      <c r="AC201" s="850" t="s">
        <v>2231</v>
      </c>
      <c r="AD201" s="205"/>
      <c r="AE201" s="65">
        <v>61</v>
      </c>
      <c r="AF201" s="28" t="s">
        <v>2084</v>
      </c>
      <c r="AG201" s="320">
        <v>289394</v>
      </c>
      <c r="AH201" s="28">
        <v>279112</v>
      </c>
      <c r="AI201" s="28">
        <v>63164</v>
      </c>
      <c r="AJ201" s="28">
        <v>45607</v>
      </c>
      <c r="AK201" s="28">
        <v>365607</v>
      </c>
      <c r="AL201" s="28">
        <v>75612</v>
      </c>
      <c r="AM201" s="28">
        <v>2145</v>
      </c>
      <c r="AN201" s="28">
        <v>12718</v>
      </c>
      <c r="AO201" s="28">
        <v>26</v>
      </c>
      <c r="AP201" s="28">
        <v>37</v>
      </c>
      <c r="AQ201" s="28" t="s">
        <v>1818</v>
      </c>
      <c r="AR201" s="28" t="s">
        <v>1819</v>
      </c>
      <c r="AS201" s="28">
        <v>78</v>
      </c>
      <c r="AT201" s="28">
        <v>16897</v>
      </c>
      <c r="AU201" s="28">
        <v>852</v>
      </c>
      <c r="AV201" s="28">
        <v>568506</v>
      </c>
      <c r="AW201" s="843">
        <v>45293</v>
      </c>
      <c r="AX201" s="843">
        <v>45657</v>
      </c>
      <c r="AY201" s="28" t="s">
        <v>1820</v>
      </c>
      <c r="AZ201" s="15"/>
      <c r="BA201" s="15"/>
      <c r="BB201" s="15"/>
      <c r="BC201" s="15"/>
      <c r="BD201" s="15"/>
      <c r="BE201" s="15"/>
      <c r="BF201" s="15"/>
      <c r="BG201" s="15"/>
      <c r="BH201" s="15"/>
      <c r="BI201" s="15"/>
      <c r="BJ201" s="15"/>
      <c r="BK201" s="15"/>
      <c r="BL201" s="15"/>
      <c r="BM201" s="15"/>
      <c r="BN201" s="15"/>
    </row>
    <row r="202" spans="1:66" s="47" customFormat="1" ht="76.5" x14ac:dyDescent="0.2">
      <c r="A202" s="28">
        <v>1</v>
      </c>
      <c r="B202" s="34" t="s">
        <v>315</v>
      </c>
      <c r="C202" s="28">
        <v>19</v>
      </c>
      <c r="D202" s="34" t="s">
        <v>517</v>
      </c>
      <c r="E202" s="28">
        <v>1905</v>
      </c>
      <c r="F202" s="34" t="s">
        <v>2076</v>
      </c>
      <c r="G202" s="28">
        <v>1905031</v>
      </c>
      <c r="H202" s="34" t="s">
        <v>1974</v>
      </c>
      <c r="I202" s="554">
        <v>1905031</v>
      </c>
      <c r="J202" s="34" t="s">
        <v>1974</v>
      </c>
      <c r="K202" s="286">
        <v>190503100</v>
      </c>
      <c r="L202" s="34" t="s">
        <v>1975</v>
      </c>
      <c r="M202" s="280">
        <v>190503100</v>
      </c>
      <c r="N202" s="34" t="s">
        <v>1975</v>
      </c>
      <c r="O202" s="205">
        <v>12</v>
      </c>
      <c r="P202" s="205"/>
      <c r="Q202" s="205">
        <v>12</v>
      </c>
      <c r="R202" s="79">
        <v>2020003630135</v>
      </c>
      <c r="S202" s="34" t="s">
        <v>2226</v>
      </c>
      <c r="T202" s="500">
        <f t="shared" si="26"/>
        <v>1</v>
      </c>
      <c r="U202" s="34" t="s">
        <v>2227</v>
      </c>
      <c r="V202" s="34" t="s">
        <v>2228</v>
      </c>
      <c r="W202" s="34" t="s">
        <v>2233</v>
      </c>
      <c r="X202" s="858">
        <v>60478796</v>
      </c>
      <c r="Y202" s="858"/>
      <c r="Z202" s="858"/>
      <c r="AA202" s="858"/>
      <c r="AB202" s="707">
        <f t="shared" si="18"/>
        <v>60478796</v>
      </c>
      <c r="AC202" s="850" t="s">
        <v>2231</v>
      </c>
      <c r="AD202" s="205"/>
      <c r="AE202" s="65">
        <v>61</v>
      </c>
      <c r="AF202" s="28" t="s">
        <v>2084</v>
      </c>
      <c r="AG202" s="320">
        <v>289394</v>
      </c>
      <c r="AH202" s="28">
        <v>279112</v>
      </c>
      <c r="AI202" s="28">
        <v>63164</v>
      </c>
      <c r="AJ202" s="28">
        <v>45607</v>
      </c>
      <c r="AK202" s="28">
        <v>365607</v>
      </c>
      <c r="AL202" s="28">
        <v>75612</v>
      </c>
      <c r="AM202" s="28">
        <v>2145</v>
      </c>
      <c r="AN202" s="28">
        <v>12718</v>
      </c>
      <c r="AO202" s="28">
        <v>26</v>
      </c>
      <c r="AP202" s="28">
        <v>37</v>
      </c>
      <c r="AQ202" s="28" t="s">
        <v>1818</v>
      </c>
      <c r="AR202" s="28" t="s">
        <v>1819</v>
      </c>
      <c r="AS202" s="28">
        <v>78</v>
      </c>
      <c r="AT202" s="28">
        <v>16897</v>
      </c>
      <c r="AU202" s="28">
        <v>852</v>
      </c>
      <c r="AV202" s="28">
        <v>568506</v>
      </c>
      <c r="AW202" s="843">
        <v>45293</v>
      </c>
      <c r="AX202" s="843">
        <v>45657</v>
      </c>
      <c r="AY202" s="28" t="s">
        <v>1820</v>
      </c>
      <c r="AZ202" s="15"/>
      <c r="BA202" s="15"/>
      <c r="BB202" s="15"/>
      <c r="BC202" s="15"/>
      <c r="BD202" s="15"/>
      <c r="BE202" s="15"/>
      <c r="BF202" s="15"/>
      <c r="BG202" s="15"/>
      <c r="BH202" s="15"/>
      <c r="BI202" s="15"/>
      <c r="BJ202" s="15"/>
      <c r="BK202" s="15"/>
      <c r="BL202" s="15"/>
      <c r="BM202" s="15"/>
      <c r="BN202" s="15"/>
    </row>
    <row r="203" spans="1:66" s="47" customFormat="1" ht="76.5" x14ac:dyDescent="0.2">
      <c r="A203" s="28">
        <v>1</v>
      </c>
      <c r="B203" s="34" t="s">
        <v>315</v>
      </c>
      <c r="C203" s="28">
        <v>19</v>
      </c>
      <c r="D203" s="34" t="s">
        <v>517</v>
      </c>
      <c r="E203" s="28">
        <v>1905</v>
      </c>
      <c r="F203" s="34" t="s">
        <v>2076</v>
      </c>
      <c r="G203" s="28">
        <v>1905031</v>
      </c>
      <c r="H203" s="34" t="s">
        <v>1974</v>
      </c>
      <c r="I203" s="554">
        <v>1905031</v>
      </c>
      <c r="J203" s="34" t="s">
        <v>1974</v>
      </c>
      <c r="K203" s="286">
        <v>190503100</v>
      </c>
      <c r="L203" s="34" t="s">
        <v>1975</v>
      </c>
      <c r="M203" s="280">
        <v>190503100</v>
      </c>
      <c r="N203" s="34" t="s">
        <v>1975</v>
      </c>
      <c r="O203" s="205">
        <v>12</v>
      </c>
      <c r="P203" s="205"/>
      <c r="Q203" s="205">
        <v>12</v>
      </c>
      <c r="R203" s="79">
        <v>2020003630135</v>
      </c>
      <c r="S203" s="34" t="s">
        <v>2226</v>
      </c>
      <c r="T203" s="500">
        <f t="shared" si="26"/>
        <v>1</v>
      </c>
      <c r="U203" s="34" t="s">
        <v>2227</v>
      </c>
      <c r="V203" s="34" t="s">
        <v>2228</v>
      </c>
      <c r="W203" s="34" t="s">
        <v>2234</v>
      </c>
      <c r="X203" s="858">
        <v>300000000</v>
      </c>
      <c r="Y203" s="858"/>
      <c r="Z203" s="858"/>
      <c r="AA203" s="858"/>
      <c r="AB203" s="707">
        <f t="shared" si="18"/>
        <v>300000000</v>
      </c>
      <c r="AC203" s="850" t="s">
        <v>2229</v>
      </c>
      <c r="AD203" s="205"/>
      <c r="AE203" s="65">
        <v>61</v>
      </c>
      <c r="AF203" s="28" t="s">
        <v>2084</v>
      </c>
      <c r="AG203" s="320">
        <v>289394</v>
      </c>
      <c r="AH203" s="28">
        <v>279112</v>
      </c>
      <c r="AI203" s="28">
        <v>63164</v>
      </c>
      <c r="AJ203" s="28">
        <v>45607</v>
      </c>
      <c r="AK203" s="28">
        <v>365607</v>
      </c>
      <c r="AL203" s="28">
        <v>75612</v>
      </c>
      <c r="AM203" s="28">
        <v>2145</v>
      </c>
      <c r="AN203" s="28">
        <v>12718</v>
      </c>
      <c r="AO203" s="28">
        <v>26</v>
      </c>
      <c r="AP203" s="28">
        <v>37</v>
      </c>
      <c r="AQ203" s="28" t="s">
        <v>1818</v>
      </c>
      <c r="AR203" s="28" t="s">
        <v>1819</v>
      </c>
      <c r="AS203" s="28">
        <v>78</v>
      </c>
      <c r="AT203" s="28">
        <v>16897</v>
      </c>
      <c r="AU203" s="28">
        <v>852</v>
      </c>
      <c r="AV203" s="28">
        <v>568506</v>
      </c>
      <c r="AW203" s="843">
        <v>45293</v>
      </c>
      <c r="AX203" s="843">
        <v>45657</v>
      </c>
      <c r="AY203" s="28" t="s">
        <v>1820</v>
      </c>
      <c r="AZ203" s="15"/>
      <c r="BA203" s="15"/>
      <c r="BB203" s="15"/>
      <c r="BC203" s="15"/>
      <c r="BD203" s="15"/>
      <c r="BE203" s="15"/>
      <c r="BF203" s="15"/>
      <c r="BG203" s="15"/>
      <c r="BH203" s="15"/>
      <c r="BI203" s="15"/>
      <c r="BJ203" s="15"/>
      <c r="BK203" s="15"/>
      <c r="BL203" s="15"/>
      <c r="BM203" s="15"/>
      <c r="BN203" s="15"/>
    </row>
    <row r="204" spans="1:66" s="47" customFormat="1" ht="76.5" x14ac:dyDescent="0.2">
      <c r="A204" s="28">
        <v>1</v>
      </c>
      <c r="B204" s="34" t="s">
        <v>315</v>
      </c>
      <c r="C204" s="28">
        <v>19</v>
      </c>
      <c r="D204" s="34" t="s">
        <v>517</v>
      </c>
      <c r="E204" s="28">
        <v>1905</v>
      </c>
      <c r="F204" s="34" t="s">
        <v>2076</v>
      </c>
      <c r="G204" s="28">
        <v>1905031</v>
      </c>
      <c r="H204" s="34" t="s">
        <v>1974</v>
      </c>
      <c r="I204" s="554">
        <v>1905031</v>
      </c>
      <c r="J204" s="34" t="s">
        <v>1974</v>
      </c>
      <c r="K204" s="286">
        <v>190503100</v>
      </c>
      <c r="L204" s="34" t="s">
        <v>1975</v>
      </c>
      <c r="M204" s="280">
        <v>190503100</v>
      </c>
      <c r="N204" s="34" t="s">
        <v>1975</v>
      </c>
      <c r="O204" s="205">
        <v>12</v>
      </c>
      <c r="P204" s="205"/>
      <c r="Q204" s="205">
        <v>12</v>
      </c>
      <c r="R204" s="79">
        <v>2020003630135</v>
      </c>
      <c r="S204" s="34" t="s">
        <v>2226</v>
      </c>
      <c r="T204" s="500">
        <f t="shared" si="26"/>
        <v>1</v>
      </c>
      <c r="U204" s="34" t="s">
        <v>2227</v>
      </c>
      <c r="V204" s="34" t="s">
        <v>2228</v>
      </c>
      <c r="W204" s="34" t="s">
        <v>2235</v>
      </c>
      <c r="X204" s="858">
        <v>200000000</v>
      </c>
      <c r="Y204" s="858"/>
      <c r="Z204" s="858"/>
      <c r="AA204" s="858"/>
      <c r="AB204" s="707">
        <f t="shared" si="18"/>
        <v>200000000</v>
      </c>
      <c r="AC204" s="850" t="s">
        <v>2229</v>
      </c>
      <c r="AD204" s="205"/>
      <c r="AE204" s="65">
        <v>61</v>
      </c>
      <c r="AF204" s="28" t="s">
        <v>2084</v>
      </c>
      <c r="AG204" s="320">
        <v>289394</v>
      </c>
      <c r="AH204" s="28">
        <v>279112</v>
      </c>
      <c r="AI204" s="28">
        <v>63164</v>
      </c>
      <c r="AJ204" s="28">
        <v>45607</v>
      </c>
      <c r="AK204" s="28">
        <v>365607</v>
      </c>
      <c r="AL204" s="28">
        <v>75612</v>
      </c>
      <c r="AM204" s="28">
        <v>2145</v>
      </c>
      <c r="AN204" s="28">
        <v>12718</v>
      </c>
      <c r="AO204" s="28">
        <v>26</v>
      </c>
      <c r="AP204" s="28">
        <v>37</v>
      </c>
      <c r="AQ204" s="28" t="s">
        <v>1818</v>
      </c>
      <c r="AR204" s="28" t="s">
        <v>1819</v>
      </c>
      <c r="AS204" s="28">
        <v>78</v>
      </c>
      <c r="AT204" s="28">
        <v>16897</v>
      </c>
      <c r="AU204" s="28">
        <v>852</v>
      </c>
      <c r="AV204" s="28">
        <v>568506</v>
      </c>
      <c r="AW204" s="843">
        <v>45293</v>
      </c>
      <c r="AX204" s="843">
        <v>45657</v>
      </c>
      <c r="AY204" s="28" t="s">
        <v>1820</v>
      </c>
      <c r="AZ204" s="15"/>
      <c r="BA204" s="15"/>
      <c r="BB204" s="15"/>
      <c r="BC204" s="15"/>
      <c r="BD204" s="15"/>
      <c r="BE204" s="15"/>
      <c r="BF204" s="15"/>
      <c r="BG204" s="15"/>
      <c r="BH204" s="15"/>
      <c r="BI204" s="15"/>
      <c r="BJ204" s="15"/>
      <c r="BK204" s="15"/>
      <c r="BL204" s="15"/>
      <c r="BM204" s="15"/>
      <c r="BN204" s="15"/>
    </row>
    <row r="205" spans="1:66" s="47" customFormat="1" ht="63.75" x14ac:dyDescent="0.2">
      <c r="A205" s="28">
        <v>1</v>
      </c>
      <c r="B205" s="34" t="s">
        <v>315</v>
      </c>
      <c r="C205" s="28">
        <v>19</v>
      </c>
      <c r="D205" s="34" t="s">
        <v>517</v>
      </c>
      <c r="E205" s="28">
        <v>1906</v>
      </c>
      <c r="F205" s="34" t="s">
        <v>2236</v>
      </c>
      <c r="G205" s="28" t="s">
        <v>70</v>
      </c>
      <c r="H205" s="34" t="s">
        <v>2237</v>
      </c>
      <c r="I205" s="28">
        <v>1906023</v>
      </c>
      <c r="J205" s="34" t="s">
        <v>2238</v>
      </c>
      <c r="K205" s="280" t="s">
        <v>70</v>
      </c>
      <c r="L205" s="34" t="s">
        <v>2239</v>
      </c>
      <c r="M205" s="280">
        <v>190602300</v>
      </c>
      <c r="N205" s="34" t="s">
        <v>2240</v>
      </c>
      <c r="O205" s="321">
        <v>19899</v>
      </c>
      <c r="P205" s="205"/>
      <c r="Q205" s="321">
        <v>19899</v>
      </c>
      <c r="R205" s="79">
        <v>2020003630136</v>
      </c>
      <c r="S205" s="34" t="s">
        <v>2241</v>
      </c>
      <c r="T205" s="500">
        <f>SUM($X$205:$X$312)/SUM($X$205:$X$312)</f>
        <v>1</v>
      </c>
      <c r="U205" s="34" t="s">
        <v>2242</v>
      </c>
      <c r="V205" s="34" t="s">
        <v>2243</v>
      </c>
      <c r="W205" s="34" t="s">
        <v>2244</v>
      </c>
      <c r="X205" s="859">
        <v>1050383752.6747783</v>
      </c>
      <c r="Y205" s="860"/>
      <c r="Z205" s="860"/>
      <c r="AA205" s="860"/>
      <c r="AB205" s="707">
        <f t="shared" si="18"/>
        <v>1050383752.6747783</v>
      </c>
      <c r="AC205" s="861" t="s">
        <v>2245</v>
      </c>
      <c r="AD205" s="383"/>
      <c r="AE205" s="205">
        <v>154</v>
      </c>
      <c r="AF205" s="65" t="s">
        <v>2246</v>
      </c>
      <c r="AG205" s="320">
        <v>292684</v>
      </c>
      <c r="AH205" s="28">
        <v>282326</v>
      </c>
      <c r="AI205" s="28">
        <v>135912</v>
      </c>
      <c r="AJ205" s="28">
        <v>45122</v>
      </c>
      <c r="AK205" s="28">
        <v>365607</v>
      </c>
      <c r="AL205" s="28">
        <v>75612</v>
      </c>
      <c r="AM205" s="28">
        <v>2145</v>
      </c>
      <c r="AN205" s="28">
        <v>12718</v>
      </c>
      <c r="AO205" s="28">
        <v>26</v>
      </c>
      <c r="AP205" s="28">
        <v>37</v>
      </c>
      <c r="AQ205" s="28" t="s">
        <v>1818</v>
      </c>
      <c r="AR205" s="28" t="s">
        <v>1819</v>
      </c>
      <c r="AS205" s="28">
        <v>53164</v>
      </c>
      <c r="AT205" s="28">
        <v>16982</v>
      </c>
      <c r="AU205" s="28">
        <v>60013</v>
      </c>
      <c r="AV205" s="28">
        <v>57501</v>
      </c>
      <c r="AW205" s="843">
        <v>45293</v>
      </c>
      <c r="AX205" s="843">
        <v>45657</v>
      </c>
      <c r="AY205" s="28" t="s">
        <v>1820</v>
      </c>
      <c r="AZ205" s="15"/>
      <c r="BA205" s="15"/>
      <c r="BB205" s="15"/>
      <c r="BC205" s="15"/>
      <c r="BD205" s="15"/>
      <c r="BE205" s="15"/>
      <c r="BF205" s="15"/>
      <c r="BG205" s="15"/>
      <c r="BH205" s="15"/>
      <c r="BI205" s="15"/>
      <c r="BJ205" s="15"/>
      <c r="BK205" s="15"/>
      <c r="BL205" s="15"/>
      <c r="BM205" s="15"/>
      <c r="BN205" s="15"/>
    </row>
    <row r="206" spans="1:66" s="47" customFormat="1" ht="63.75" x14ac:dyDescent="0.2">
      <c r="A206" s="28">
        <v>1</v>
      </c>
      <c r="B206" s="34" t="s">
        <v>315</v>
      </c>
      <c r="C206" s="28">
        <v>19</v>
      </c>
      <c r="D206" s="34" t="s">
        <v>517</v>
      </c>
      <c r="E206" s="28">
        <v>1906</v>
      </c>
      <c r="F206" s="34" t="s">
        <v>2236</v>
      </c>
      <c r="G206" s="28" t="s">
        <v>70</v>
      </c>
      <c r="H206" s="34" t="s">
        <v>2237</v>
      </c>
      <c r="I206" s="28">
        <v>1906023</v>
      </c>
      <c r="J206" s="34" t="s">
        <v>2238</v>
      </c>
      <c r="K206" s="280" t="s">
        <v>70</v>
      </c>
      <c r="L206" s="34" t="s">
        <v>2239</v>
      </c>
      <c r="M206" s="280">
        <v>190602300</v>
      </c>
      <c r="N206" s="34" t="s">
        <v>2240</v>
      </c>
      <c r="O206" s="321">
        <v>19899</v>
      </c>
      <c r="P206" s="205"/>
      <c r="Q206" s="321">
        <v>19899</v>
      </c>
      <c r="R206" s="79">
        <v>2020003630136</v>
      </c>
      <c r="S206" s="34" t="s">
        <v>2241</v>
      </c>
      <c r="T206" s="500">
        <f t="shared" ref="T206:T269" si="27">SUM($X$205:$X$312)/SUM($X$205:$X$312)</f>
        <v>1</v>
      </c>
      <c r="U206" s="34" t="s">
        <v>2242</v>
      </c>
      <c r="V206" s="34" t="s">
        <v>2243</v>
      </c>
      <c r="W206" s="34" t="s">
        <v>2244</v>
      </c>
      <c r="X206" s="859">
        <v>723540693.09247708</v>
      </c>
      <c r="Y206" s="860"/>
      <c r="Z206" s="860"/>
      <c r="AA206" s="860"/>
      <c r="AB206" s="707">
        <f t="shared" si="18"/>
        <v>723540693.09247708</v>
      </c>
      <c r="AC206" s="861" t="s">
        <v>2247</v>
      </c>
      <c r="AD206" s="205"/>
      <c r="AE206" s="205">
        <v>237</v>
      </c>
      <c r="AF206" s="65" t="s">
        <v>2248</v>
      </c>
      <c r="AG206" s="320">
        <v>292684</v>
      </c>
      <c r="AH206" s="28">
        <v>282326</v>
      </c>
      <c r="AI206" s="28">
        <v>135912</v>
      </c>
      <c r="AJ206" s="28">
        <v>45122</v>
      </c>
      <c r="AK206" s="28">
        <v>365607</v>
      </c>
      <c r="AL206" s="28">
        <v>75612</v>
      </c>
      <c r="AM206" s="28">
        <v>2145</v>
      </c>
      <c r="AN206" s="28">
        <v>12718</v>
      </c>
      <c r="AO206" s="28">
        <v>26</v>
      </c>
      <c r="AP206" s="28">
        <v>37</v>
      </c>
      <c r="AQ206" s="28" t="s">
        <v>1818</v>
      </c>
      <c r="AR206" s="28" t="s">
        <v>1819</v>
      </c>
      <c r="AS206" s="28">
        <v>53164</v>
      </c>
      <c r="AT206" s="28">
        <v>16982</v>
      </c>
      <c r="AU206" s="28">
        <v>60013</v>
      </c>
      <c r="AV206" s="28">
        <v>57501</v>
      </c>
      <c r="AW206" s="843">
        <v>45293</v>
      </c>
      <c r="AX206" s="843">
        <v>45657</v>
      </c>
      <c r="AY206" s="28" t="s">
        <v>1820</v>
      </c>
      <c r="AZ206" s="15"/>
      <c r="BA206" s="15"/>
      <c r="BB206" s="15"/>
      <c r="BC206" s="15"/>
      <c r="BD206" s="15"/>
      <c r="BE206" s="15"/>
      <c r="BF206" s="15"/>
      <c r="BG206" s="15"/>
      <c r="BH206" s="15"/>
      <c r="BI206" s="15"/>
      <c r="BJ206" s="15"/>
      <c r="BK206" s="15"/>
      <c r="BL206" s="15"/>
      <c r="BM206" s="15"/>
      <c r="BN206" s="15"/>
    </row>
    <row r="207" spans="1:66" s="47" customFormat="1" ht="63.75" x14ac:dyDescent="0.2">
      <c r="A207" s="28">
        <v>1</v>
      </c>
      <c r="B207" s="34" t="s">
        <v>315</v>
      </c>
      <c r="C207" s="28">
        <v>19</v>
      </c>
      <c r="D207" s="34" t="s">
        <v>517</v>
      </c>
      <c r="E207" s="28">
        <v>1906</v>
      </c>
      <c r="F207" s="34" t="s">
        <v>2236</v>
      </c>
      <c r="G207" s="28" t="s">
        <v>70</v>
      </c>
      <c r="H207" s="34" t="s">
        <v>2237</v>
      </c>
      <c r="I207" s="28">
        <v>1906023</v>
      </c>
      <c r="J207" s="34" t="s">
        <v>2238</v>
      </c>
      <c r="K207" s="280" t="s">
        <v>70</v>
      </c>
      <c r="L207" s="34" t="s">
        <v>2239</v>
      </c>
      <c r="M207" s="280">
        <v>190602300</v>
      </c>
      <c r="N207" s="34" t="s">
        <v>2240</v>
      </c>
      <c r="O207" s="321">
        <v>19899</v>
      </c>
      <c r="P207" s="205"/>
      <c r="Q207" s="321">
        <v>19899</v>
      </c>
      <c r="R207" s="79">
        <v>2020003630136</v>
      </c>
      <c r="S207" s="34" t="s">
        <v>2241</v>
      </c>
      <c r="T207" s="500">
        <f t="shared" si="27"/>
        <v>1</v>
      </c>
      <c r="U207" s="34" t="s">
        <v>2242</v>
      </c>
      <c r="V207" s="34" t="s">
        <v>2243</v>
      </c>
      <c r="W207" s="34" t="s">
        <v>2244</v>
      </c>
      <c r="X207" s="859">
        <v>152099088.74931175</v>
      </c>
      <c r="Y207" s="860"/>
      <c r="Z207" s="860"/>
      <c r="AA207" s="860"/>
      <c r="AB207" s="707">
        <f t="shared" ref="AB207:AB270" si="28">X207-Y207+Z207-AA207</f>
        <v>152099088.74931175</v>
      </c>
      <c r="AC207" s="861" t="s">
        <v>2249</v>
      </c>
      <c r="AD207" s="205"/>
      <c r="AE207" s="205">
        <v>240</v>
      </c>
      <c r="AF207" s="65" t="s">
        <v>2250</v>
      </c>
      <c r="AG207" s="320">
        <v>292684</v>
      </c>
      <c r="AH207" s="28">
        <v>282326</v>
      </c>
      <c r="AI207" s="28">
        <v>135912</v>
      </c>
      <c r="AJ207" s="28">
        <v>45122</v>
      </c>
      <c r="AK207" s="28">
        <v>365607</v>
      </c>
      <c r="AL207" s="28">
        <v>75612</v>
      </c>
      <c r="AM207" s="28">
        <v>2145</v>
      </c>
      <c r="AN207" s="28">
        <v>12718</v>
      </c>
      <c r="AO207" s="28">
        <v>26</v>
      </c>
      <c r="AP207" s="28">
        <v>37</v>
      </c>
      <c r="AQ207" s="28" t="s">
        <v>1818</v>
      </c>
      <c r="AR207" s="28" t="s">
        <v>1819</v>
      </c>
      <c r="AS207" s="28">
        <v>53164</v>
      </c>
      <c r="AT207" s="28">
        <v>16982</v>
      </c>
      <c r="AU207" s="28">
        <v>60013</v>
      </c>
      <c r="AV207" s="28">
        <v>57501</v>
      </c>
      <c r="AW207" s="843">
        <v>45293</v>
      </c>
      <c r="AX207" s="843">
        <v>45657</v>
      </c>
      <c r="AY207" s="28" t="s">
        <v>1820</v>
      </c>
      <c r="AZ207" s="15"/>
      <c r="BA207" s="15"/>
      <c r="BB207" s="15"/>
      <c r="BC207" s="15"/>
      <c r="BD207" s="15"/>
      <c r="BE207" s="15"/>
      <c r="BF207" s="15"/>
      <c r="BG207" s="15"/>
      <c r="BH207" s="15"/>
      <c r="BI207" s="15"/>
      <c r="BJ207" s="15"/>
      <c r="BK207" s="15"/>
      <c r="BL207" s="15"/>
      <c r="BM207" s="15"/>
      <c r="BN207" s="15"/>
    </row>
    <row r="208" spans="1:66" s="47" customFormat="1" ht="63.75" x14ac:dyDescent="0.2">
      <c r="A208" s="28">
        <v>1</v>
      </c>
      <c r="B208" s="34" t="s">
        <v>315</v>
      </c>
      <c r="C208" s="28">
        <v>19</v>
      </c>
      <c r="D208" s="34" t="s">
        <v>517</v>
      </c>
      <c r="E208" s="28">
        <v>1906</v>
      </c>
      <c r="F208" s="34" t="s">
        <v>2236</v>
      </c>
      <c r="G208" s="28" t="s">
        <v>70</v>
      </c>
      <c r="H208" s="34" t="s">
        <v>2237</v>
      </c>
      <c r="I208" s="28">
        <v>1906023</v>
      </c>
      <c r="J208" s="34" t="s">
        <v>2238</v>
      </c>
      <c r="K208" s="280" t="s">
        <v>70</v>
      </c>
      <c r="L208" s="34" t="s">
        <v>2239</v>
      </c>
      <c r="M208" s="280">
        <v>190602300</v>
      </c>
      <c r="N208" s="34" t="s">
        <v>2240</v>
      </c>
      <c r="O208" s="321">
        <v>19899</v>
      </c>
      <c r="P208" s="205"/>
      <c r="Q208" s="321">
        <v>19899</v>
      </c>
      <c r="R208" s="79">
        <v>2020003630136</v>
      </c>
      <c r="S208" s="34" t="s">
        <v>2241</v>
      </c>
      <c r="T208" s="500">
        <f t="shared" si="27"/>
        <v>1</v>
      </c>
      <c r="U208" s="34" t="s">
        <v>2242</v>
      </c>
      <c r="V208" s="34" t="s">
        <v>2243</v>
      </c>
      <c r="W208" s="34" t="s">
        <v>2244</v>
      </c>
      <c r="X208" s="859">
        <v>227213081.87166896</v>
      </c>
      <c r="Y208" s="860"/>
      <c r="Z208" s="860"/>
      <c r="AA208" s="860"/>
      <c r="AB208" s="707">
        <f t="shared" si="28"/>
        <v>227213081.87166896</v>
      </c>
      <c r="AC208" s="861" t="s">
        <v>2251</v>
      </c>
      <c r="AD208" s="205"/>
      <c r="AE208" s="205">
        <v>243</v>
      </c>
      <c r="AF208" s="65" t="s">
        <v>2252</v>
      </c>
      <c r="AG208" s="320">
        <v>292684</v>
      </c>
      <c r="AH208" s="28">
        <v>282326</v>
      </c>
      <c r="AI208" s="28">
        <v>135912</v>
      </c>
      <c r="AJ208" s="28">
        <v>45122</v>
      </c>
      <c r="AK208" s="28">
        <v>365607</v>
      </c>
      <c r="AL208" s="28">
        <v>75612</v>
      </c>
      <c r="AM208" s="28">
        <v>2145</v>
      </c>
      <c r="AN208" s="28">
        <v>12718</v>
      </c>
      <c r="AO208" s="28">
        <v>26</v>
      </c>
      <c r="AP208" s="28">
        <v>37</v>
      </c>
      <c r="AQ208" s="28" t="s">
        <v>1818</v>
      </c>
      <c r="AR208" s="28" t="s">
        <v>1819</v>
      </c>
      <c r="AS208" s="28">
        <v>53164</v>
      </c>
      <c r="AT208" s="28">
        <v>16982</v>
      </c>
      <c r="AU208" s="28">
        <v>60013</v>
      </c>
      <c r="AV208" s="28">
        <v>57501</v>
      </c>
      <c r="AW208" s="843">
        <v>45293</v>
      </c>
      <c r="AX208" s="843">
        <v>45657</v>
      </c>
      <c r="AY208" s="28" t="s">
        <v>1820</v>
      </c>
      <c r="AZ208" s="15"/>
      <c r="BA208" s="15"/>
      <c r="BB208" s="15"/>
      <c r="BC208" s="15"/>
      <c r="BD208" s="15"/>
      <c r="BE208" s="15"/>
      <c r="BF208" s="15"/>
      <c r="BG208" s="15"/>
      <c r="BH208" s="15"/>
      <c r="BI208" s="15"/>
      <c r="BJ208" s="15"/>
      <c r="BK208" s="15"/>
      <c r="BL208" s="15"/>
      <c r="BM208" s="15"/>
      <c r="BN208" s="15"/>
    </row>
    <row r="209" spans="1:66" s="47" customFormat="1" ht="63.75" x14ac:dyDescent="0.2">
      <c r="A209" s="28">
        <v>1</v>
      </c>
      <c r="B209" s="34" t="s">
        <v>315</v>
      </c>
      <c r="C209" s="28">
        <v>19</v>
      </c>
      <c r="D209" s="34" t="s">
        <v>517</v>
      </c>
      <c r="E209" s="28">
        <v>1906</v>
      </c>
      <c r="F209" s="34" t="s">
        <v>2236</v>
      </c>
      <c r="G209" s="28" t="s">
        <v>70</v>
      </c>
      <c r="H209" s="34" t="s">
        <v>2237</v>
      </c>
      <c r="I209" s="28">
        <v>1906023</v>
      </c>
      <c r="J209" s="34" t="s">
        <v>2238</v>
      </c>
      <c r="K209" s="280" t="s">
        <v>70</v>
      </c>
      <c r="L209" s="34" t="s">
        <v>2239</v>
      </c>
      <c r="M209" s="280">
        <v>190602300</v>
      </c>
      <c r="N209" s="34" t="s">
        <v>2240</v>
      </c>
      <c r="O209" s="321">
        <v>19899</v>
      </c>
      <c r="P209" s="205"/>
      <c r="Q209" s="321">
        <v>19899</v>
      </c>
      <c r="R209" s="79">
        <v>2020003630136</v>
      </c>
      <c r="S209" s="34" t="s">
        <v>2241</v>
      </c>
      <c r="T209" s="500">
        <f t="shared" si="27"/>
        <v>1</v>
      </c>
      <c r="U209" s="34" t="s">
        <v>2242</v>
      </c>
      <c r="V209" s="34" t="s">
        <v>2243</v>
      </c>
      <c r="W209" s="34" t="s">
        <v>2244</v>
      </c>
      <c r="X209" s="859">
        <v>107665955.56234397</v>
      </c>
      <c r="Y209" s="860"/>
      <c r="Z209" s="860"/>
      <c r="AA209" s="860"/>
      <c r="AB209" s="707">
        <f t="shared" si="28"/>
        <v>107665955.56234397</v>
      </c>
      <c r="AC209" s="861" t="s">
        <v>2253</v>
      </c>
      <c r="AD209" s="205"/>
      <c r="AE209" s="205">
        <v>246</v>
      </c>
      <c r="AF209" s="65" t="s">
        <v>2254</v>
      </c>
      <c r="AG209" s="320">
        <v>292684</v>
      </c>
      <c r="AH209" s="28">
        <v>282326</v>
      </c>
      <c r="AI209" s="28">
        <v>135912</v>
      </c>
      <c r="AJ209" s="28">
        <v>45122</v>
      </c>
      <c r="AK209" s="28">
        <v>365607</v>
      </c>
      <c r="AL209" s="28">
        <v>75612</v>
      </c>
      <c r="AM209" s="28">
        <v>2145</v>
      </c>
      <c r="AN209" s="28">
        <v>12718</v>
      </c>
      <c r="AO209" s="28">
        <v>26</v>
      </c>
      <c r="AP209" s="28">
        <v>37</v>
      </c>
      <c r="AQ209" s="28" t="s">
        <v>1818</v>
      </c>
      <c r="AR209" s="28" t="s">
        <v>1819</v>
      </c>
      <c r="AS209" s="28">
        <v>53164</v>
      </c>
      <c r="AT209" s="28">
        <v>16982</v>
      </c>
      <c r="AU209" s="28">
        <v>60013</v>
      </c>
      <c r="AV209" s="28">
        <v>57501</v>
      </c>
      <c r="AW209" s="843">
        <v>45293</v>
      </c>
      <c r="AX209" s="843">
        <v>45657</v>
      </c>
      <c r="AY209" s="28" t="s">
        <v>1820</v>
      </c>
      <c r="AZ209" s="15"/>
      <c r="BA209" s="15"/>
      <c r="BB209" s="15"/>
      <c r="BC209" s="15"/>
      <c r="BD209" s="15"/>
      <c r="BE209" s="15"/>
      <c r="BF209" s="15"/>
      <c r="BG209" s="15"/>
      <c r="BH209" s="15"/>
      <c r="BI209" s="15"/>
      <c r="BJ209" s="15"/>
      <c r="BK209" s="15"/>
      <c r="BL209" s="15"/>
      <c r="BM209" s="15"/>
      <c r="BN209" s="15"/>
    </row>
    <row r="210" spans="1:66" s="47" customFormat="1" ht="63.75" x14ac:dyDescent="0.2">
      <c r="A210" s="28">
        <v>1</v>
      </c>
      <c r="B210" s="34" t="s">
        <v>315</v>
      </c>
      <c r="C210" s="28">
        <v>19</v>
      </c>
      <c r="D210" s="34" t="s">
        <v>517</v>
      </c>
      <c r="E210" s="28">
        <v>1906</v>
      </c>
      <c r="F210" s="34" t="s">
        <v>2236</v>
      </c>
      <c r="G210" s="28" t="s">
        <v>70</v>
      </c>
      <c r="H210" s="34" t="s">
        <v>2237</v>
      </c>
      <c r="I210" s="28">
        <v>1906023</v>
      </c>
      <c r="J210" s="34" t="s">
        <v>2238</v>
      </c>
      <c r="K210" s="280" t="s">
        <v>70</v>
      </c>
      <c r="L210" s="34" t="s">
        <v>2239</v>
      </c>
      <c r="M210" s="280">
        <v>190602300</v>
      </c>
      <c r="N210" s="34" t="s">
        <v>2240</v>
      </c>
      <c r="O210" s="321">
        <v>19899</v>
      </c>
      <c r="P210" s="205"/>
      <c r="Q210" s="321">
        <v>19899</v>
      </c>
      <c r="R210" s="79">
        <v>2020003630136</v>
      </c>
      <c r="S210" s="34" t="s">
        <v>2241</v>
      </c>
      <c r="T210" s="500">
        <f t="shared" si="27"/>
        <v>1</v>
      </c>
      <c r="U210" s="34" t="s">
        <v>2242</v>
      </c>
      <c r="V210" s="34" t="s">
        <v>2243</v>
      </c>
      <c r="W210" s="34" t="s">
        <v>2244</v>
      </c>
      <c r="X210" s="859">
        <v>67331059.609362468</v>
      </c>
      <c r="Y210" s="860"/>
      <c r="Z210" s="860"/>
      <c r="AA210" s="860"/>
      <c r="AB210" s="707">
        <f t="shared" si="28"/>
        <v>67331059.609362468</v>
      </c>
      <c r="AC210" s="861" t="s">
        <v>2255</v>
      </c>
      <c r="AD210" s="205"/>
      <c r="AE210" s="205">
        <v>249</v>
      </c>
      <c r="AF210" s="65" t="s">
        <v>2256</v>
      </c>
      <c r="AG210" s="320">
        <v>292684</v>
      </c>
      <c r="AH210" s="28">
        <v>282326</v>
      </c>
      <c r="AI210" s="28">
        <v>135912</v>
      </c>
      <c r="AJ210" s="28">
        <v>45122</v>
      </c>
      <c r="AK210" s="28">
        <v>365607</v>
      </c>
      <c r="AL210" s="28">
        <v>75612</v>
      </c>
      <c r="AM210" s="28">
        <v>2145</v>
      </c>
      <c r="AN210" s="28">
        <v>12718</v>
      </c>
      <c r="AO210" s="28">
        <v>26</v>
      </c>
      <c r="AP210" s="28">
        <v>37</v>
      </c>
      <c r="AQ210" s="28" t="s">
        <v>1818</v>
      </c>
      <c r="AR210" s="28" t="s">
        <v>1819</v>
      </c>
      <c r="AS210" s="28">
        <v>53164</v>
      </c>
      <c r="AT210" s="28">
        <v>16982</v>
      </c>
      <c r="AU210" s="28">
        <v>60013</v>
      </c>
      <c r="AV210" s="28">
        <v>57501</v>
      </c>
      <c r="AW210" s="843">
        <v>45293</v>
      </c>
      <c r="AX210" s="843">
        <v>45657</v>
      </c>
      <c r="AY210" s="28" t="s">
        <v>1820</v>
      </c>
      <c r="AZ210" s="15"/>
      <c r="BA210" s="15"/>
      <c r="BB210" s="15"/>
      <c r="BC210" s="15"/>
      <c r="BD210" s="15"/>
      <c r="BE210" s="15"/>
      <c r="BF210" s="15"/>
      <c r="BG210" s="15"/>
      <c r="BH210" s="15"/>
      <c r="BI210" s="15"/>
      <c r="BJ210" s="15"/>
      <c r="BK210" s="15"/>
      <c r="BL210" s="15"/>
      <c r="BM210" s="15"/>
      <c r="BN210" s="15"/>
    </row>
    <row r="211" spans="1:66" s="47" customFormat="1" ht="63.75" x14ac:dyDescent="0.2">
      <c r="A211" s="28">
        <v>1</v>
      </c>
      <c r="B211" s="34" t="s">
        <v>315</v>
      </c>
      <c r="C211" s="28">
        <v>19</v>
      </c>
      <c r="D211" s="34" t="s">
        <v>517</v>
      </c>
      <c r="E211" s="28">
        <v>1906</v>
      </c>
      <c r="F211" s="34" t="s">
        <v>2236</v>
      </c>
      <c r="G211" s="28" t="s">
        <v>70</v>
      </c>
      <c r="H211" s="34" t="s">
        <v>2237</v>
      </c>
      <c r="I211" s="28">
        <v>1906023</v>
      </c>
      <c r="J211" s="34" t="s">
        <v>2238</v>
      </c>
      <c r="K211" s="280" t="s">
        <v>70</v>
      </c>
      <c r="L211" s="34" t="s">
        <v>2239</v>
      </c>
      <c r="M211" s="280">
        <v>190602300</v>
      </c>
      <c r="N211" s="34" t="s">
        <v>2240</v>
      </c>
      <c r="O211" s="321">
        <v>19899</v>
      </c>
      <c r="P211" s="205"/>
      <c r="Q211" s="321">
        <v>19899</v>
      </c>
      <c r="R211" s="79">
        <v>2020003630136</v>
      </c>
      <c r="S211" s="34" t="s">
        <v>2241</v>
      </c>
      <c r="T211" s="500">
        <f t="shared" si="27"/>
        <v>1</v>
      </c>
      <c r="U211" s="34" t="s">
        <v>2242</v>
      </c>
      <c r="V211" s="34" t="s">
        <v>2243</v>
      </c>
      <c r="W211" s="34" t="s">
        <v>2244</v>
      </c>
      <c r="X211" s="859">
        <v>2175841208.7101445</v>
      </c>
      <c r="Y211" s="860"/>
      <c r="Z211" s="860"/>
      <c r="AA211" s="860"/>
      <c r="AB211" s="707">
        <f t="shared" si="28"/>
        <v>2175841208.7101445</v>
      </c>
      <c r="AC211" s="861" t="s">
        <v>2257</v>
      </c>
      <c r="AD211" s="205"/>
      <c r="AE211" s="205">
        <v>252</v>
      </c>
      <c r="AF211" s="65" t="s">
        <v>2258</v>
      </c>
      <c r="AG211" s="320">
        <v>292684</v>
      </c>
      <c r="AH211" s="28">
        <v>282326</v>
      </c>
      <c r="AI211" s="28">
        <v>135912</v>
      </c>
      <c r="AJ211" s="28">
        <v>45122</v>
      </c>
      <c r="AK211" s="28">
        <v>365607</v>
      </c>
      <c r="AL211" s="28">
        <v>75612</v>
      </c>
      <c r="AM211" s="28">
        <v>2145</v>
      </c>
      <c r="AN211" s="28">
        <v>12718</v>
      </c>
      <c r="AO211" s="28">
        <v>26</v>
      </c>
      <c r="AP211" s="28">
        <v>37</v>
      </c>
      <c r="AQ211" s="28" t="s">
        <v>1818</v>
      </c>
      <c r="AR211" s="28" t="s">
        <v>1819</v>
      </c>
      <c r="AS211" s="28">
        <v>53164</v>
      </c>
      <c r="AT211" s="28">
        <v>16982</v>
      </c>
      <c r="AU211" s="28">
        <v>60013</v>
      </c>
      <c r="AV211" s="28">
        <v>57501</v>
      </c>
      <c r="AW211" s="843">
        <v>45293</v>
      </c>
      <c r="AX211" s="843">
        <v>45657</v>
      </c>
      <c r="AY211" s="28" t="s">
        <v>1820</v>
      </c>
      <c r="AZ211" s="15"/>
      <c r="BA211" s="15"/>
      <c r="BB211" s="15"/>
      <c r="BC211" s="15"/>
      <c r="BD211" s="15"/>
      <c r="BE211" s="15"/>
      <c r="BF211" s="15"/>
      <c r="BG211" s="15"/>
      <c r="BH211" s="15"/>
      <c r="BI211" s="15"/>
      <c r="BJ211" s="15"/>
      <c r="BK211" s="15"/>
      <c r="BL211" s="15"/>
      <c r="BM211" s="15"/>
      <c r="BN211" s="15"/>
    </row>
    <row r="212" spans="1:66" s="47" customFormat="1" ht="63.75" x14ac:dyDescent="0.2">
      <c r="A212" s="28">
        <v>1</v>
      </c>
      <c r="B212" s="34" t="s">
        <v>315</v>
      </c>
      <c r="C212" s="28">
        <v>19</v>
      </c>
      <c r="D212" s="34" t="s">
        <v>517</v>
      </c>
      <c r="E212" s="28">
        <v>1906</v>
      </c>
      <c r="F212" s="34" t="s">
        <v>2236</v>
      </c>
      <c r="G212" s="28" t="s">
        <v>70</v>
      </c>
      <c r="H212" s="34" t="s">
        <v>2237</v>
      </c>
      <c r="I212" s="28">
        <v>1906023</v>
      </c>
      <c r="J212" s="34" t="s">
        <v>2238</v>
      </c>
      <c r="K212" s="280" t="s">
        <v>70</v>
      </c>
      <c r="L212" s="34" t="s">
        <v>2239</v>
      </c>
      <c r="M212" s="280">
        <v>190602300</v>
      </c>
      <c r="N212" s="34" t="s">
        <v>2240</v>
      </c>
      <c r="O212" s="321">
        <v>19899</v>
      </c>
      <c r="P212" s="205"/>
      <c r="Q212" s="321">
        <v>19899</v>
      </c>
      <c r="R212" s="79">
        <v>2020003630136</v>
      </c>
      <c r="S212" s="34" t="s">
        <v>2241</v>
      </c>
      <c r="T212" s="500">
        <f t="shared" si="27"/>
        <v>1</v>
      </c>
      <c r="U212" s="34" t="s">
        <v>2242</v>
      </c>
      <c r="V212" s="34" t="s">
        <v>2243</v>
      </c>
      <c r="W212" s="34" t="s">
        <v>2244</v>
      </c>
      <c r="X212" s="859">
        <v>74774902.618580431</v>
      </c>
      <c r="Y212" s="860"/>
      <c r="Z212" s="860"/>
      <c r="AA212" s="860"/>
      <c r="AB212" s="707">
        <f t="shared" si="28"/>
        <v>74774902.618580431</v>
      </c>
      <c r="AC212" s="861" t="s">
        <v>2259</v>
      </c>
      <c r="AD212" s="205"/>
      <c r="AE212" s="205">
        <v>253</v>
      </c>
      <c r="AF212" s="65" t="s">
        <v>2260</v>
      </c>
      <c r="AG212" s="320">
        <v>292684</v>
      </c>
      <c r="AH212" s="28">
        <v>282326</v>
      </c>
      <c r="AI212" s="28">
        <v>135912</v>
      </c>
      <c r="AJ212" s="28">
        <v>45122</v>
      </c>
      <c r="AK212" s="28">
        <v>365607</v>
      </c>
      <c r="AL212" s="28">
        <v>75612</v>
      </c>
      <c r="AM212" s="28">
        <v>2145</v>
      </c>
      <c r="AN212" s="28">
        <v>12718</v>
      </c>
      <c r="AO212" s="28">
        <v>26</v>
      </c>
      <c r="AP212" s="28">
        <v>37</v>
      </c>
      <c r="AQ212" s="28" t="s">
        <v>1818</v>
      </c>
      <c r="AR212" s="28" t="s">
        <v>1819</v>
      </c>
      <c r="AS212" s="28">
        <v>53164</v>
      </c>
      <c r="AT212" s="28">
        <v>16982</v>
      </c>
      <c r="AU212" s="28">
        <v>60013</v>
      </c>
      <c r="AV212" s="28">
        <v>57501</v>
      </c>
      <c r="AW212" s="843">
        <v>45293</v>
      </c>
      <c r="AX212" s="843">
        <v>45657</v>
      </c>
      <c r="AY212" s="28" t="s">
        <v>1820</v>
      </c>
      <c r="AZ212" s="15"/>
      <c r="BA212" s="15"/>
      <c r="BB212" s="15"/>
      <c r="BC212" s="15"/>
      <c r="BD212" s="15"/>
      <c r="BE212" s="15"/>
      <c r="BF212" s="15"/>
      <c r="BG212" s="15"/>
      <c r="BH212" s="15"/>
      <c r="BI212" s="15"/>
      <c r="BJ212" s="15"/>
      <c r="BK212" s="15"/>
      <c r="BL212" s="15"/>
      <c r="BM212" s="15"/>
      <c r="BN212" s="15"/>
    </row>
    <row r="213" spans="1:66" s="47" customFormat="1" ht="63.75" x14ac:dyDescent="0.2">
      <c r="A213" s="28">
        <v>1</v>
      </c>
      <c r="B213" s="34" t="s">
        <v>315</v>
      </c>
      <c r="C213" s="28">
        <v>19</v>
      </c>
      <c r="D213" s="34" t="s">
        <v>517</v>
      </c>
      <c r="E213" s="28">
        <v>1906</v>
      </c>
      <c r="F213" s="34" t="s">
        <v>2236</v>
      </c>
      <c r="G213" s="28" t="s">
        <v>70</v>
      </c>
      <c r="H213" s="34" t="s">
        <v>2237</v>
      </c>
      <c r="I213" s="28">
        <v>1906023</v>
      </c>
      <c r="J213" s="34" t="s">
        <v>2238</v>
      </c>
      <c r="K213" s="280" t="s">
        <v>70</v>
      </c>
      <c r="L213" s="34" t="s">
        <v>2239</v>
      </c>
      <c r="M213" s="280">
        <v>190602300</v>
      </c>
      <c r="N213" s="34" t="s">
        <v>2240</v>
      </c>
      <c r="O213" s="321">
        <v>19899</v>
      </c>
      <c r="P213" s="205"/>
      <c r="Q213" s="321">
        <v>19899</v>
      </c>
      <c r="R213" s="79">
        <v>2020003630136</v>
      </c>
      <c r="S213" s="34" t="s">
        <v>2241</v>
      </c>
      <c r="T213" s="500">
        <f t="shared" si="27"/>
        <v>1</v>
      </c>
      <c r="U213" s="34" t="s">
        <v>2242</v>
      </c>
      <c r="V213" s="34" t="s">
        <v>2243</v>
      </c>
      <c r="W213" s="34" t="s">
        <v>2244</v>
      </c>
      <c r="X213" s="322">
        <v>4347887761.7508497</v>
      </c>
      <c r="Y213" s="322"/>
      <c r="Z213" s="322"/>
      <c r="AA213" s="322"/>
      <c r="AB213" s="707">
        <f t="shared" si="28"/>
        <v>4347887761.7508497</v>
      </c>
      <c r="AC213" s="861" t="s">
        <v>2261</v>
      </c>
      <c r="AD213" s="65"/>
      <c r="AE213" s="205">
        <v>154</v>
      </c>
      <c r="AF213" s="65" t="s">
        <v>2246</v>
      </c>
      <c r="AG213" s="320">
        <v>292684</v>
      </c>
      <c r="AH213" s="28">
        <v>282326</v>
      </c>
      <c r="AI213" s="28">
        <v>135912</v>
      </c>
      <c r="AJ213" s="28">
        <v>45122</v>
      </c>
      <c r="AK213" s="28">
        <v>365607</v>
      </c>
      <c r="AL213" s="28">
        <v>75612</v>
      </c>
      <c r="AM213" s="28">
        <v>2145</v>
      </c>
      <c r="AN213" s="28">
        <v>12718</v>
      </c>
      <c r="AO213" s="28">
        <v>26</v>
      </c>
      <c r="AP213" s="28">
        <v>37</v>
      </c>
      <c r="AQ213" s="28" t="s">
        <v>1818</v>
      </c>
      <c r="AR213" s="28" t="s">
        <v>1819</v>
      </c>
      <c r="AS213" s="28">
        <v>53164</v>
      </c>
      <c r="AT213" s="28">
        <v>16982</v>
      </c>
      <c r="AU213" s="28">
        <v>60013</v>
      </c>
      <c r="AV213" s="28">
        <v>57501</v>
      </c>
      <c r="AW213" s="843">
        <v>45293</v>
      </c>
      <c r="AX213" s="843">
        <v>45657</v>
      </c>
      <c r="AY213" s="28" t="s">
        <v>1820</v>
      </c>
      <c r="AZ213" s="15"/>
      <c r="BA213" s="15"/>
      <c r="BB213" s="15"/>
      <c r="BC213" s="15"/>
      <c r="BD213" s="15"/>
      <c r="BE213" s="15"/>
      <c r="BF213" s="15"/>
      <c r="BG213" s="15"/>
      <c r="BH213" s="15"/>
      <c r="BI213" s="15"/>
      <c r="BJ213" s="15"/>
      <c r="BK213" s="15"/>
      <c r="BL213" s="15"/>
      <c r="BM213" s="15"/>
      <c r="BN213" s="15"/>
    </row>
    <row r="214" spans="1:66" s="47" customFormat="1" ht="63.75" x14ac:dyDescent="0.2">
      <c r="A214" s="28">
        <v>1</v>
      </c>
      <c r="B214" s="34" t="s">
        <v>315</v>
      </c>
      <c r="C214" s="28">
        <v>19</v>
      </c>
      <c r="D214" s="34" t="s">
        <v>517</v>
      </c>
      <c r="E214" s="28">
        <v>1906</v>
      </c>
      <c r="F214" s="34" t="s">
        <v>2236</v>
      </c>
      <c r="G214" s="28" t="s">
        <v>70</v>
      </c>
      <c r="H214" s="34" t="s">
        <v>2237</v>
      </c>
      <c r="I214" s="28">
        <v>1906023</v>
      </c>
      <c r="J214" s="34" t="s">
        <v>2238</v>
      </c>
      <c r="K214" s="280" t="s">
        <v>70</v>
      </c>
      <c r="L214" s="34" t="s">
        <v>2239</v>
      </c>
      <c r="M214" s="280">
        <v>190602300</v>
      </c>
      <c r="N214" s="34" t="s">
        <v>2240</v>
      </c>
      <c r="O214" s="321">
        <v>19899</v>
      </c>
      <c r="P214" s="205"/>
      <c r="Q214" s="321">
        <v>19899</v>
      </c>
      <c r="R214" s="79">
        <v>2020003630136</v>
      </c>
      <c r="S214" s="34" t="s">
        <v>2241</v>
      </c>
      <c r="T214" s="500">
        <f t="shared" si="27"/>
        <v>1</v>
      </c>
      <c r="U214" s="34" t="s">
        <v>2242</v>
      </c>
      <c r="V214" s="34" t="s">
        <v>2243</v>
      </c>
      <c r="W214" s="34" t="s">
        <v>2244</v>
      </c>
      <c r="X214" s="322">
        <v>2994975614.0216494</v>
      </c>
      <c r="Y214" s="322"/>
      <c r="Z214" s="322"/>
      <c r="AA214" s="322"/>
      <c r="AB214" s="707">
        <f t="shared" si="28"/>
        <v>2994975614.0216494</v>
      </c>
      <c r="AC214" s="861" t="s">
        <v>2262</v>
      </c>
      <c r="AD214" s="205"/>
      <c r="AE214" s="205">
        <v>237</v>
      </c>
      <c r="AF214" s="65" t="s">
        <v>2248</v>
      </c>
      <c r="AG214" s="320">
        <v>292684</v>
      </c>
      <c r="AH214" s="28">
        <v>282326</v>
      </c>
      <c r="AI214" s="28">
        <v>135912</v>
      </c>
      <c r="AJ214" s="28">
        <v>45122</v>
      </c>
      <c r="AK214" s="28">
        <v>365607</v>
      </c>
      <c r="AL214" s="28">
        <v>75612</v>
      </c>
      <c r="AM214" s="28">
        <v>2145</v>
      </c>
      <c r="AN214" s="28">
        <v>12718</v>
      </c>
      <c r="AO214" s="28">
        <v>26</v>
      </c>
      <c r="AP214" s="28">
        <v>37</v>
      </c>
      <c r="AQ214" s="28" t="s">
        <v>1818</v>
      </c>
      <c r="AR214" s="28" t="s">
        <v>1819</v>
      </c>
      <c r="AS214" s="28">
        <v>53164</v>
      </c>
      <c r="AT214" s="28">
        <v>16982</v>
      </c>
      <c r="AU214" s="28">
        <v>60013</v>
      </c>
      <c r="AV214" s="28">
        <v>57501</v>
      </c>
      <c r="AW214" s="843">
        <v>45293</v>
      </c>
      <c r="AX214" s="843">
        <v>45657</v>
      </c>
      <c r="AY214" s="28" t="s">
        <v>1820</v>
      </c>
      <c r="AZ214" s="15"/>
      <c r="BA214" s="15"/>
      <c r="BB214" s="15"/>
      <c r="BC214" s="15"/>
      <c r="BD214" s="15"/>
      <c r="BE214" s="15"/>
      <c r="BF214" s="15"/>
      <c r="BG214" s="15"/>
      <c r="BH214" s="15"/>
      <c r="BI214" s="15"/>
      <c r="BJ214" s="15"/>
      <c r="BK214" s="15"/>
      <c r="BL214" s="15"/>
      <c r="BM214" s="15"/>
      <c r="BN214" s="15"/>
    </row>
    <row r="215" spans="1:66" s="47" customFormat="1" ht="63.75" x14ac:dyDescent="0.2">
      <c r="A215" s="28">
        <v>1</v>
      </c>
      <c r="B215" s="34" t="s">
        <v>315</v>
      </c>
      <c r="C215" s="28">
        <v>19</v>
      </c>
      <c r="D215" s="34" t="s">
        <v>517</v>
      </c>
      <c r="E215" s="28">
        <v>1906</v>
      </c>
      <c r="F215" s="34" t="s">
        <v>2236</v>
      </c>
      <c r="G215" s="28" t="s">
        <v>70</v>
      </c>
      <c r="H215" s="34" t="s">
        <v>2237</v>
      </c>
      <c r="I215" s="28">
        <v>1906023</v>
      </c>
      <c r="J215" s="34" t="s">
        <v>2238</v>
      </c>
      <c r="K215" s="280" t="s">
        <v>70</v>
      </c>
      <c r="L215" s="34" t="s">
        <v>2239</v>
      </c>
      <c r="M215" s="280">
        <v>190602300</v>
      </c>
      <c r="N215" s="34" t="s">
        <v>2240</v>
      </c>
      <c r="O215" s="317">
        <v>19899</v>
      </c>
      <c r="P215" s="205"/>
      <c r="Q215" s="321">
        <v>19899</v>
      </c>
      <c r="R215" s="79">
        <v>2020003630136</v>
      </c>
      <c r="S215" s="34" t="s">
        <v>2241</v>
      </c>
      <c r="T215" s="500">
        <f t="shared" si="27"/>
        <v>1</v>
      </c>
      <c r="U215" s="34" t="s">
        <v>2242</v>
      </c>
      <c r="V215" s="34" t="s">
        <v>2243</v>
      </c>
      <c r="W215" s="34" t="s">
        <v>2244</v>
      </c>
      <c r="X215" s="322">
        <v>629588723.99023557</v>
      </c>
      <c r="Y215" s="322"/>
      <c r="Z215" s="322"/>
      <c r="AA215" s="322"/>
      <c r="AB215" s="707">
        <f t="shared" si="28"/>
        <v>629588723.99023557</v>
      </c>
      <c r="AC215" s="861" t="s">
        <v>2263</v>
      </c>
      <c r="AD215" s="205"/>
      <c r="AE215" s="205">
        <v>240</v>
      </c>
      <c r="AF215" s="65" t="s">
        <v>2250</v>
      </c>
      <c r="AG215" s="320">
        <v>292684</v>
      </c>
      <c r="AH215" s="28">
        <v>282326</v>
      </c>
      <c r="AI215" s="28">
        <v>135912</v>
      </c>
      <c r="AJ215" s="28">
        <v>45122</v>
      </c>
      <c r="AK215" s="28">
        <v>365607</v>
      </c>
      <c r="AL215" s="28">
        <v>75612</v>
      </c>
      <c r="AM215" s="28">
        <v>2145</v>
      </c>
      <c r="AN215" s="28">
        <v>12718</v>
      </c>
      <c r="AO215" s="28">
        <v>26</v>
      </c>
      <c r="AP215" s="28">
        <v>37</v>
      </c>
      <c r="AQ215" s="28" t="s">
        <v>1818</v>
      </c>
      <c r="AR215" s="28" t="s">
        <v>1819</v>
      </c>
      <c r="AS215" s="28">
        <v>53164</v>
      </c>
      <c r="AT215" s="28">
        <v>16982</v>
      </c>
      <c r="AU215" s="28">
        <v>60013</v>
      </c>
      <c r="AV215" s="28">
        <v>57501</v>
      </c>
      <c r="AW215" s="843">
        <v>45293</v>
      </c>
      <c r="AX215" s="843">
        <v>45657</v>
      </c>
      <c r="AY215" s="28" t="s">
        <v>1820</v>
      </c>
      <c r="AZ215" s="15"/>
      <c r="BA215" s="15"/>
      <c r="BB215" s="15"/>
      <c r="BC215" s="15"/>
      <c r="BD215" s="15"/>
      <c r="BE215" s="15"/>
      <c r="BF215" s="15"/>
      <c r="BG215" s="15"/>
      <c r="BH215" s="15"/>
      <c r="BI215" s="15"/>
      <c r="BJ215" s="15"/>
      <c r="BK215" s="15"/>
      <c r="BL215" s="15"/>
      <c r="BM215" s="15"/>
      <c r="BN215" s="15"/>
    </row>
    <row r="216" spans="1:66" s="47" customFormat="1" ht="63.75" x14ac:dyDescent="0.2">
      <c r="A216" s="28">
        <v>1</v>
      </c>
      <c r="B216" s="34" t="s">
        <v>315</v>
      </c>
      <c r="C216" s="28">
        <v>19</v>
      </c>
      <c r="D216" s="34" t="s">
        <v>517</v>
      </c>
      <c r="E216" s="28">
        <v>1906</v>
      </c>
      <c r="F216" s="34" t="s">
        <v>2236</v>
      </c>
      <c r="G216" s="28" t="s">
        <v>70</v>
      </c>
      <c r="H216" s="34" t="s">
        <v>2237</v>
      </c>
      <c r="I216" s="28">
        <v>1906023</v>
      </c>
      <c r="J216" s="34" t="s">
        <v>2238</v>
      </c>
      <c r="K216" s="280" t="s">
        <v>70</v>
      </c>
      <c r="L216" s="34" t="s">
        <v>2239</v>
      </c>
      <c r="M216" s="280">
        <v>190602300</v>
      </c>
      <c r="N216" s="34" t="s">
        <v>2240</v>
      </c>
      <c r="O216" s="317">
        <v>19899</v>
      </c>
      <c r="P216" s="205"/>
      <c r="Q216" s="321">
        <v>19899</v>
      </c>
      <c r="R216" s="79">
        <v>2020003630136</v>
      </c>
      <c r="S216" s="34" t="s">
        <v>2241</v>
      </c>
      <c r="T216" s="500">
        <f t="shared" si="27"/>
        <v>1</v>
      </c>
      <c r="U216" s="34" t="s">
        <v>2242</v>
      </c>
      <c r="V216" s="34" t="s">
        <v>2243</v>
      </c>
      <c r="W216" s="34" t="s">
        <v>2244</v>
      </c>
      <c r="X216" s="322">
        <v>940510528.14161134</v>
      </c>
      <c r="Y216" s="322"/>
      <c r="Z216" s="322"/>
      <c r="AA216" s="322"/>
      <c r="AB216" s="707">
        <f t="shared" si="28"/>
        <v>940510528.14161134</v>
      </c>
      <c r="AC216" s="861" t="s">
        <v>2264</v>
      </c>
      <c r="AD216" s="205"/>
      <c r="AE216" s="205">
        <v>243</v>
      </c>
      <c r="AF216" s="65" t="s">
        <v>2252</v>
      </c>
      <c r="AG216" s="320">
        <v>292684</v>
      </c>
      <c r="AH216" s="28">
        <v>282326</v>
      </c>
      <c r="AI216" s="28">
        <v>135912</v>
      </c>
      <c r="AJ216" s="28">
        <v>45122</v>
      </c>
      <c r="AK216" s="28">
        <v>365607</v>
      </c>
      <c r="AL216" s="28">
        <v>75612</v>
      </c>
      <c r="AM216" s="28">
        <v>2145</v>
      </c>
      <c r="AN216" s="28">
        <v>12718</v>
      </c>
      <c r="AO216" s="28">
        <v>26</v>
      </c>
      <c r="AP216" s="28">
        <v>37</v>
      </c>
      <c r="AQ216" s="28" t="s">
        <v>1818</v>
      </c>
      <c r="AR216" s="28" t="s">
        <v>1819</v>
      </c>
      <c r="AS216" s="28">
        <v>53164</v>
      </c>
      <c r="AT216" s="28">
        <v>16982</v>
      </c>
      <c r="AU216" s="28">
        <v>60013</v>
      </c>
      <c r="AV216" s="28">
        <v>57501</v>
      </c>
      <c r="AW216" s="843">
        <v>45293</v>
      </c>
      <c r="AX216" s="843">
        <v>45657</v>
      </c>
      <c r="AY216" s="28" t="s">
        <v>1820</v>
      </c>
      <c r="AZ216" s="15"/>
      <c r="BA216" s="15"/>
      <c r="BB216" s="15"/>
      <c r="BC216" s="15"/>
      <c r="BD216" s="15"/>
      <c r="BE216" s="15"/>
      <c r="BF216" s="15"/>
      <c r="BG216" s="15"/>
      <c r="BH216" s="15"/>
      <c r="BI216" s="15"/>
      <c r="BJ216" s="15"/>
      <c r="BK216" s="15"/>
      <c r="BL216" s="15"/>
      <c r="BM216" s="15"/>
      <c r="BN216" s="15"/>
    </row>
    <row r="217" spans="1:66" s="47" customFormat="1" ht="63.75" x14ac:dyDescent="0.2">
      <c r="A217" s="28">
        <v>1</v>
      </c>
      <c r="B217" s="34" t="s">
        <v>315</v>
      </c>
      <c r="C217" s="28">
        <v>19</v>
      </c>
      <c r="D217" s="34" t="s">
        <v>517</v>
      </c>
      <c r="E217" s="28">
        <v>1906</v>
      </c>
      <c r="F217" s="34" t="s">
        <v>2236</v>
      </c>
      <c r="G217" s="28" t="s">
        <v>70</v>
      </c>
      <c r="H217" s="34" t="s">
        <v>2237</v>
      </c>
      <c r="I217" s="28">
        <v>1906023</v>
      </c>
      <c r="J217" s="34" t="s">
        <v>2238</v>
      </c>
      <c r="K217" s="280" t="s">
        <v>70</v>
      </c>
      <c r="L217" s="34" t="s">
        <v>2239</v>
      </c>
      <c r="M217" s="280">
        <v>190602300</v>
      </c>
      <c r="N217" s="34" t="s">
        <v>2240</v>
      </c>
      <c r="O217" s="321">
        <v>19899</v>
      </c>
      <c r="P217" s="205"/>
      <c r="Q217" s="321">
        <v>19899</v>
      </c>
      <c r="R217" s="79">
        <v>2020003630136</v>
      </c>
      <c r="S217" s="34" t="s">
        <v>2241</v>
      </c>
      <c r="T217" s="500">
        <f t="shared" si="27"/>
        <v>1</v>
      </c>
      <c r="U217" s="34" t="s">
        <v>2242</v>
      </c>
      <c r="V217" s="34" t="s">
        <v>2243</v>
      </c>
      <c r="W217" s="34" t="s">
        <v>2244</v>
      </c>
      <c r="X217" s="322">
        <v>445665205.07830644</v>
      </c>
      <c r="Y217" s="322"/>
      <c r="Z217" s="322"/>
      <c r="AA217" s="322"/>
      <c r="AB217" s="707">
        <f t="shared" si="28"/>
        <v>445665205.07830644</v>
      </c>
      <c r="AC217" s="861" t="s">
        <v>2265</v>
      </c>
      <c r="AD217" s="205"/>
      <c r="AE217" s="205">
        <v>246</v>
      </c>
      <c r="AF217" s="65" t="s">
        <v>2254</v>
      </c>
      <c r="AG217" s="320">
        <v>292684</v>
      </c>
      <c r="AH217" s="28">
        <v>282326</v>
      </c>
      <c r="AI217" s="28">
        <v>135912</v>
      </c>
      <c r="AJ217" s="28">
        <v>45122</v>
      </c>
      <c r="AK217" s="28">
        <v>365607</v>
      </c>
      <c r="AL217" s="28">
        <v>75612</v>
      </c>
      <c r="AM217" s="28">
        <v>2145</v>
      </c>
      <c r="AN217" s="28">
        <v>12718</v>
      </c>
      <c r="AO217" s="28">
        <v>26</v>
      </c>
      <c r="AP217" s="28">
        <v>37</v>
      </c>
      <c r="AQ217" s="28" t="s">
        <v>1818</v>
      </c>
      <c r="AR217" s="28" t="s">
        <v>1819</v>
      </c>
      <c r="AS217" s="28">
        <v>53164</v>
      </c>
      <c r="AT217" s="28">
        <v>16982</v>
      </c>
      <c r="AU217" s="28">
        <v>60013</v>
      </c>
      <c r="AV217" s="28">
        <v>57501</v>
      </c>
      <c r="AW217" s="843">
        <v>45293</v>
      </c>
      <c r="AX217" s="843">
        <v>45657</v>
      </c>
      <c r="AY217" s="28" t="s">
        <v>1820</v>
      </c>
      <c r="AZ217" s="15"/>
      <c r="BA217" s="15"/>
      <c r="BB217" s="15"/>
      <c r="BC217" s="15"/>
      <c r="BD217" s="15"/>
      <c r="BE217" s="15"/>
      <c r="BF217" s="15"/>
      <c r="BG217" s="15"/>
      <c r="BH217" s="15"/>
      <c r="BI217" s="15"/>
      <c r="BJ217" s="15"/>
      <c r="BK217" s="15"/>
      <c r="BL217" s="15"/>
      <c r="BM217" s="15"/>
      <c r="BN217" s="15"/>
    </row>
    <row r="218" spans="1:66" s="47" customFormat="1" ht="63.75" x14ac:dyDescent="0.2">
      <c r="A218" s="28">
        <v>1</v>
      </c>
      <c r="B218" s="34" t="s">
        <v>315</v>
      </c>
      <c r="C218" s="28">
        <v>19</v>
      </c>
      <c r="D218" s="34" t="s">
        <v>517</v>
      </c>
      <c r="E218" s="28">
        <v>1906</v>
      </c>
      <c r="F218" s="34" t="s">
        <v>2236</v>
      </c>
      <c r="G218" s="28" t="s">
        <v>70</v>
      </c>
      <c r="H218" s="34" t="s">
        <v>2237</v>
      </c>
      <c r="I218" s="28">
        <v>1906023</v>
      </c>
      <c r="J218" s="34" t="s">
        <v>2238</v>
      </c>
      <c r="K218" s="280" t="s">
        <v>70</v>
      </c>
      <c r="L218" s="34" t="s">
        <v>2239</v>
      </c>
      <c r="M218" s="280">
        <v>190602300</v>
      </c>
      <c r="N218" s="34" t="s">
        <v>2240</v>
      </c>
      <c r="O218" s="321">
        <v>19899</v>
      </c>
      <c r="P218" s="205"/>
      <c r="Q218" s="321">
        <v>19899</v>
      </c>
      <c r="R218" s="79">
        <v>2020003630136</v>
      </c>
      <c r="S218" s="34" t="s">
        <v>2241</v>
      </c>
      <c r="T218" s="500">
        <f t="shared" si="27"/>
        <v>1</v>
      </c>
      <c r="U218" s="34" t="s">
        <v>2242</v>
      </c>
      <c r="V218" s="34" t="s">
        <v>2243</v>
      </c>
      <c r="W218" s="34" t="s">
        <v>2244</v>
      </c>
      <c r="X218" s="322">
        <v>278705653.35363209</v>
      </c>
      <c r="Y218" s="322"/>
      <c r="Z218" s="322"/>
      <c r="AA218" s="322"/>
      <c r="AB218" s="707">
        <f t="shared" si="28"/>
        <v>278705653.35363209</v>
      </c>
      <c r="AC218" s="861" t="s">
        <v>2266</v>
      </c>
      <c r="AD218" s="205"/>
      <c r="AE218" s="205">
        <v>249</v>
      </c>
      <c r="AF218" s="65" t="s">
        <v>2256</v>
      </c>
      <c r="AG218" s="320">
        <v>292684</v>
      </c>
      <c r="AH218" s="28">
        <v>282326</v>
      </c>
      <c r="AI218" s="28">
        <v>135912</v>
      </c>
      <c r="AJ218" s="28">
        <v>45122</v>
      </c>
      <c r="AK218" s="28">
        <v>365607</v>
      </c>
      <c r="AL218" s="28">
        <v>75612</v>
      </c>
      <c r="AM218" s="28">
        <v>2145</v>
      </c>
      <c r="AN218" s="28">
        <v>12718</v>
      </c>
      <c r="AO218" s="28">
        <v>26</v>
      </c>
      <c r="AP218" s="28">
        <v>37</v>
      </c>
      <c r="AQ218" s="28" t="s">
        <v>1818</v>
      </c>
      <c r="AR218" s="28" t="s">
        <v>1819</v>
      </c>
      <c r="AS218" s="28">
        <v>53164</v>
      </c>
      <c r="AT218" s="28">
        <v>16982</v>
      </c>
      <c r="AU218" s="28">
        <v>60013</v>
      </c>
      <c r="AV218" s="28">
        <v>57501</v>
      </c>
      <c r="AW218" s="843">
        <v>45293</v>
      </c>
      <c r="AX218" s="843">
        <v>45657</v>
      </c>
      <c r="AY218" s="28" t="s">
        <v>1820</v>
      </c>
      <c r="AZ218" s="15"/>
      <c r="BA218" s="15"/>
      <c r="BB218" s="15"/>
      <c r="BC218" s="15"/>
      <c r="BD218" s="15"/>
      <c r="BE218" s="15"/>
      <c r="BF218" s="15"/>
      <c r="BG218" s="15"/>
      <c r="BH218" s="15"/>
      <c r="BI218" s="15"/>
      <c r="BJ218" s="15"/>
      <c r="BK218" s="15"/>
      <c r="BL218" s="15"/>
      <c r="BM218" s="15"/>
      <c r="BN218" s="15"/>
    </row>
    <row r="219" spans="1:66" s="47" customFormat="1" ht="63.75" x14ac:dyDescent="0.2">
      <c r="A219" s="28">
        <v>1</v>
      </c>
      <c r="B219" s="34" t="s">
        <v>315</v>
      </c>
      <c r="C219" s="28">
        <v>19</v>
      </c>
      <c r="D219" s="34" t="s">
        <v>517</v>
      </c>
      <c r="E219" s="28">
        <v>1906</v>
      </c>
      <c r="F219" s="34" t="s">
        <v>2236</v>
      </c>
      <c r="G219" s="28" t="s">
        <v>70</v>
      </c>
      <c r="H219" s="34" t="s">
        <v>2237</v>
      </c>
      <c r="I219" s="28">
        <v>1906023</v>
      </c>
      <c r="J219" s="34" t="s">
        <v>2238</v>
      </c>
      <c r="K219" s="280" t="s">
        <v>70</v>
      </c>
      <c r="L219" s="34" t="s">
        <v>2239</v>
      </c>
      <c r="M219" s="280">
        <v>190602300</v>
      </c>
      <c r="N219" s="34" t="s">
        <v>2240</v>
      </c>
      <c r="O219" s="321">
        <v>19899</v>
      </c>
      <c r="P219" s="205"/>
      <c r="Q219" s="321">
        <v>19899</v>
      </c>
      <c r="R219" s="79">
        <v>2020003630136</v>
      </c>
      <c r="S219" s="34" t="s">
        <v>2241</v>
      </c>
      <c r="T219" s="500">
        <f t="shared" si="27"/>
        <v>1</v>
      </c>
      <c r="U219" s="34" t="s">
        <v>2242</v>
      </c>
      <c r="V219" s="34" t="s">
        <v>2243</v>
      </c>
      <c r="W219" s="34" t="s">
        <v>2244</v>
      </c>
      <c r="X219" s="322">
        <v>9006530554.9267521</v>
      </c>
      <c r="Y219" s="322"/>
      <c r="Z219" s="322"/>
      <c r="AA219" s="322"/>
      <c r="AB219" s="707">
        <f t="shared" si="28"/>
        <v>9006530554.9267521</v>
      </c>
      <c r="AC219" s="861" t="s">
        <v>2267</v>
      </c>
      <c r="AD219" s="205"/>
      <c r="AE219" s="205">
        <v>252</v>
      </c>
      <c r="AF219" s="65" t="s">
        <v>2268</v>
      </c>
      <c r="AG219" s="320">
        <v>292684</v>
      </c>
      <c r="AH219" s="28">
        <v>282326</v>
      </c>
      <c r="AI219" s="28">
        <v>135912</v>
      </c>
      <c r="AJ219" s="28">
        <v>45122</v>
      </c>
      <c r="AK219" s="28">
        <v>365607</v>
      </c>
      <c r="AL219" s="28">
        <v>75612</v>
      </c>
      <c r="AM219" s="28">
        <v>2145</v>
      </c>
      <c r="AN219" s="28">
        <v>12718</v>
      </c>
      <c r="AO219" s="28">
        <v>26</v>
      </c>
      <c r="AP219" s="28">
        <v>37</v>
      </c>
      <c r="AQ219" s="28" t="s">
        <v>1818</v>
      </c>
      <c r="AR219" s="28" t="s">
        <v>1819</v>
      </c>
      <c r="AS219" s="28">
        <v>53164</v>
      </c>
      <c r="AT219" s="28">
        <v>16982</v>
      </c>
      <c r="AU219" s="28">
        <v>60013</v>
      </c>
      <c r="AV219" s="28">
        <v>57501</v>
      </c>
      <c r="AW219" s="843">
        <v>45293</v>
      </c>
      <c r="AX219" s="843">
        <v>45657</v>
      </c>
      <c r="AY219" s="28" t="s">
        <v>1820</v>
      </c>
      <c r="AZ219" s="15"/>
      <c r="BA219" s="15"/>
      <c r="BB219" s="15"/>
      <c r="BC219" s="15"/>
      <c r="BD219" s="15"/>
      <c r="BE219" s="15"/>
      <c r="BF219" s="15"/>
      <c r="BG219" s="15"/>
      <c r="BH219" s="15"/>
      <c r="BI219" s="15"/>
      <c r="BJ219" s="15"/>
      <c r="BK219" s="15"/>
      <c r="BL219" s="15"/>
      <c r="BM219" s="15"/>
      <c r="BN219" s="15"/>
    </row>
    <row r="220" spans="1:66" s="47" customFormat="1" ht="63.75" x14ac:dyDescent="0.2">
      <c r="A220" s="28">
        <v>1</v>
      </c>
      <c r="B220" s="34" t="s">
        <v>315</v>
      </c>
      <c r="C220" s="28">
        <v>19</v>
      </c>
      <c r="D220" s="34" t="s">
        <v>517</v>
      </c>
      <c r="E220" s="28">
        <v>1906</v>
      </c>
      <c r="F220" s="34" t="s">
        <v>2236</v>
      </c>
      <c r="G220" s="28" t="s">
        <v>70</v>
      </c>
      <c r="H220" s="34" t="s">
        <v>2237</v>
      </c>
      <c r="I220" s="28">
        <v>1906023</v>
      </c>
      <c r="J220" s="34" t="s">
        <v>2238</v>
      </c>
      <c r="K220" s="280" t="s">
        <v>70</v>
      </c>
      <c r="L220" s="34" t="s">
        <v>2239</v>
      </c>
      <c r="M220" s="280">
        <v>190602300</v>
      </c>
      <c r="N220" s="34" t="s">
        <v>2240</v>
      </c>
      <c r="O220" s="321">
        <v>19899</v>
      </c>
      <c r="P220" s="205"/>
      <c r="Q220" s="321">
        <v>19899</v>
      </c>
      <c r="R220" s="79">
        <v>2020003630136</v>
      </c>
      <c r="S220" s="34" t="s">
        <v>2241</v>
      </c>
      <c r="T220" s="500">
        <f t="shared" si="27"/>
        <v>1</v>
      </c>
      <c r="U220" s="34" t="s">
        <v>2242</v>
      </c>
      <c r="V220" s="34" t="s">
        <v>2243</v>
      </c>
      <c r="W220" s="34" t="s">
        <v>2244</v>
      </c>
      <c r="X220" s="322">
        <v>309518195.75802165</v>
      </c>
      <c r="Y220" s="322"/>
      <c r="Z220" s="322"/>
      <c r="AA220" s="322"/>
      <c r="AB220" s="707">
        <f t="shared" si="28"/>
        <v>309518195.75802165</v>
      </c>
      <c r="AC220" s="861" t="s">
        <v>2269</v>
      </c>
      <c r="AD220" s="205"/>
      <c r="AE220" s="205">
        <v>253</v>
      </c>
      <c r="AF220" s="65" t="s">
        <v>2260</v>
      </c>
      <c r="AG220" s="320">
        <v>292684</v>
      </c>
      <c r="AH220" s="28">
        <v>282326</v>
      </c>
      <c r="AI220" s="28">
        <v>135912</v>
      </c>
      <c r="AJ220" s="28">
        <v>45122</v>
      </c>
      <c r="AK220" s="28">
        <v>365607</v>
      </c>
      <c r="AL220" s="28">
        <v>75612</v>
      </c>
      <c r="AM220" s="28">
        <v>2145</v>
      </c>
      <c r="AN220" s="28">
        <v>12718</v>
      </c>
      <c r="AO220" s="28">
        <v>26</v>
      </c>
      <c r="AP220" s="28">
        <v>37</v>
      </c>
      <c r="AQ220" s="28" t="s">
        <v>1818</v>
      </c>
      <c r="AR220" s="28" t="s">
        <v>1819</v>
      </c>
      <c r="AS220" s="28">
        <v>53164</v>
      </c>
      <c r="AT220" s="28">
        <v>16982</v>
      </c>
      <c r="AU220" s="28">
        <v>60013</v>
      </c>
      <c r="AV220" s="28">
        <v>57501</v>
      </c>
      <c r="AW220" s="843">
        <v>45293</v>
      </c>
      <c r="AX220" s="843">
        <v>45657</v>
      </c>
      <c r="AY220" s="28" t="s">
        <v>1820</v>
      </c>
      <c r="AZ220" s="15"/>
      <c r="BA220" s="15"/>
      <c r="BB220" s="15"/>
      <c r="BC220" s="15"/>
      <c r="BD220" s="15"/>
      <c r="BE220" s="15"/>
      <c r="BF220" s="15"/>
      <c r="BG220" s="15"/>
      <c r="BH220" s="15"/>
      <c r="BI220" s="15"/>
      <c r="BJ220" s="15"/>
      <c r="BK220" s="15"/>
      <c r="BL220" s="15"/>
      <c r="BM220" s="15"/>
      <c r="BN220" s="15"/>
    </row>
    <row r="221" spans="1:66" s="47" customFormat="1" ht="63.75" x14ac:dyDescent="0.2">
      <c r="A221" s="28">
        <v>1</v>
      </c>
      <c r="B221" s="34" t="s">
        <v>315</v>
      </c>
      <c r="C221" s="28">
        <v>19</v>
      </c>
      <c r="D221" s="34" t="s">
        <v>517</v>
      </c>
      <c r="E221" s="28">
        <v>1906</v>
      </c>
      <c r="F221" s="34" t="s">
        <v>2236</v>
      </c>
      <c r="G221" s="28" t="s">
        <v>70</v>
      </c>
      <c r="H221" s="34" t="s">
        <v>2237</v>
      </c>
      <c r="I221" s="28">
        <v>1906023</v>
      </c>
      <c r="J221" s="34" t="s">
        <v>2238</v>
      </c>
      <c r="K221" s="280" t="s">
        <v>70</v>
      </c>
      <c r="L221" s="34" t="s">
        <v>2239</v>
      </c>
      <c r="M221" s="280">
        <v>190602300</v>
      </c>
      <c r="N221" s="34" t="s">
        <v>2240</v>
      </c>
      <c r="O221" s="1216">
        <v>19899</v>
      </c>
      <c r="P221" s="205"/>
      <c r="Q221" s="321">
        <v>19899</v>
      </c>
      <c r="R221" s="79">
        <v>2020003630136</v>
      </c>
      <c r="S221" s="34" t="s">
        <v>2241</v>
      </c>
      <c r="T221" s="500">
        <f t="shared" si="27"/>
        <v>1</v>
      </c>
      <c r="U221" s="34" t="s">
        <v>2242</v>
      </c>
      <c r="V221" s="34" t="s">
        <v>2243</v>
      </c>
      <c r="W221" s="34" t="s">
        <v>2244</v>
      </c>
      <c r="X221" s="322">
        <v>161034847.41662723</v>
      </c>
      <c r="Y221" s="322"/>
      <c r="Z221" s="322"/>
      <c r="AA221" s="322"/>
      <c r="AB221" s="709">
        <f t="shared" si="28"/>
        <v>161034847.41662723</v>
      </c>
      <c r="AC221" s="861" t="s">
        <v>2270</v>
      </c>
      <c r="AD221" s="65"/>
      <c r="AE221" s="205">
        <v>154</v>
      </c>
      <c r="AF221" s="65" t="s">
        <v>2246</v>
      </c>
      <c r="AG221" s="320">
        <v>292684</v>
      </c>
      <c r="AH221" s="28">
        <v>282326</v>
      </c>
      <c r="AI221" s="28">
        <v>135912</v>
      </c>
      <c r="AJ221" s="28">
        <v>45122</v>
      </c>
      <c r="AK221" s="28">
        <v>365607</v>
      </c>
      <c r="AL221" s="28">
        <v>75612</v>
      </c>
      <c r="AM221" s="28">
        <v>2145</v>
      </c>
      <c r="AN221" s="28">
        <v>12718</v>
      </c>
      <c r="AO221" s="28">
        <v>26</v>
      </c>
      <c r="AP221" s="28">
        <v>37</v>
      </c>
      <c r="AQ221" s="28" t="s">
        <v>1818</v>
      </c>
      <c r="AR221" s="28" t="s">
        <v>1819</v>
      </c>
      <c r="AS221" s="28">
        <v>53164</v>
      </c>
      <c r="AT221" s="28">
        <v>16982</v>
      </c>
      <c r="AU221" s="28">
        <v>60013</v>
      </c>
      <c r="AV221" s="28">
        <v>57501</v>
      </c>
      <c r="AW221" s="843">
        <v>45293</v>
      </c>
      <c r="AX221" s="843">
        <v>45657</v>
      </c>
      <c r="AY221" s="28" t="s">
        <v>1820</v>
      </c>
      <c r="AZ221" s="15"/>
      <c r="BA221" s="15"/>
      <c r="BB221" s="15"/>
      <c r="BC221" s="15"/>
      <c r="BD221" s="15"/>
      <c r="BE221" s="15"/>
      <c r="BF221" s="15"/>
      <c r="BG221" s="15"/>
      <c r="BH221" s="15"/>
      <c r="BI221" s="15"/>
      <c r="BJ221" s="15"/>
      <c r="BK221" s="15"/>
      <c r="BL221" s="15"/>
      <c r="BM221" s="15"/>
      <c r="BN221" s="15"/>
    </row>
    <row r="222" spans="1:66" s="47" customFormat="1" ht="63.75" x14ac:dyDescent="0.2">
      <c r="A222" s="28">
        <v>1</v>
      </c>
      <c r="B222" s="34" t="s">
        <v>315</v>
      </c>
      <c r="C222" s="28">
        <v>19</v>
      </c>
      <c r="D222" s="34" t="s">
        <v>517</v>
      </c>
      <c r="E222" s="28">
        <v>1906</v>
      </c>
      <c r="F222" s="34" t="s">
        <v>2236</v>
      </c>
      <c r="G222" s="28" t="s">
        <v>70</v>
      </c>
      <c r="H222" s="34" t="s">
        <v>2237</v>
      </c>
      <c r="I222" s="28">
        <v>1906023</v>
      </c>
      <c r="J222" s="34" t="s">
        <v>2238</v>
      </c>
      <c r="K222" s="280" t="s">
        <v>70</v>
      </c>
      <c r="L222" s="34" t="s">
        <v>2239</v>
      </c>
      <c r="M222" s="280">
        <v>190602300</v>
      </c>
      <c r="N222" s="34" t="s">
        <v>2240</v>
      </c>
      <c r="O222" s="1217"/>
      <c r="P222" s="205"/>
      <c r="Q222" s="321">
        <v>19899</v>
      </c>
      <c r="R222" s="79">
        <v>2020003630136</v>
      </c>
      <c r="S222" s="34" t="s">
        <v>2241</v>
      </c>
      <c r="T222" s="500">
        <f t="shared" si="27"/>
        <v>1</v>
      </c>
      <c r="U222" s="34" t="s">
        <v>2242</v>
      </c>
      <c r="V222" s="34" t="s">
        <v>2243</v>
      </c>
      <c r="W222" s="34" t="s">
        <v>2244</v>
      </c>
      <c r="X222" s="322">
        <v>110926377.92155895</v>
      </c>
      <c r="Y222" s="322"/>
      <c r="Z222" s="322"/>
      <c r="AA222" s="322"/>
      <c r="AB222" s="709">
        <f t="shared" si="28"/>
        <v>110926377.92155895</v>
      </c>
      <c r="AC222" s="861" t="s">
        <v>2271</v>
      </c>
      <c r="AD222" s="205"/>
      <c r="AE222" s="205">
        <v>237</v>
      </c>
      <c r="AF222" s="65" t="s">
        <v>2248</v>
      </c>
      <c r="AG222" s="320">
        <v>292684</v>
      </c>
      <c r="AH222" s="28">
        <v>282326</v>
      </c>
      <c r="AI222" s="28">
        <v>135912</v>
      </c>
      <c r="AJ222" s="28">
        <v>45122</v>
      </c>
      <c r="AK222" s="28">
        <v>365607</v>
      </c>
      <c r="AL222" s="28">
        <v>75612</v>
      </c>
      <c r="AM222" s="28">
        <v>2145</v>
      </c>
      <c r="AN222" s="28">
        <v>12718</v>
      </c>
      <c r="AO222" s="28">
        <v>26</v>
      </c>
      <c r="AP222" s="28">
        <v>37</v>
      </c>
      <c r="AQ222" s="28" t="s">
        <v>1818</v>
      </c>
      <c r="AR222" s="28" t="s">
        <v>1819</v>
      </c>
      <c r="AS222" s="28">
        <v>53164</v>
      </c>
      <c r="AT222" s="28">
        <v>16982</v>
      </c>
      <c r="AU222" s="28">
        <v>60013</v>
      </c>
      <c r="AV222" s="28">
        <v>57501</v>
      </c>
      <c r="AW222" s="843">
        <v>45293</v>
      </c>
      <c r="AX222" s="843">
        <v>45657</v>
      </c>
      <c r="AY222" s="28" t="s">
        <v>1820</v>
      </c>
      <c r="AZ222" s="15"/>
      <c r="BA222" s="15"/>
      <c r="BB222" s="15"/>
      <c r="BC222" s="15"/>
      <c r="BD222" s="15"/>
      <c r="BE222" s="15"/>
      <c r="BF222" s="15"/>
      <c r="BG222" s="15"/>
      <c r="BH222" s="15"/>
      <c r="BI222" s="15"/>
      <c r="BJ222" s="15"/>
      <c r="BK222" s="15"/>
      <c r="BL222" s="15"/>
      <c r="BM222" s="15"/>
      <c r="BN222" s="15"/>
    </row>
    <row r="223" spans="1:66" s="47" customFormat="1" ht="63.75" x14ac:dyDescent="0.2">
      <c r="A223" s="28">
        <v>1</v>
      </c>
      <c r="B223" s="34" t="s">
        <v>315</v>
      </c>
      <c r="C223" s="28">
        <v>19</v>
      </c>
      <c r="D223" s="34" t="s">
        <v>517</v>
      </c>
      <c r="E223" s="28">
        <v>1906</v>
      </c>
      <c r="F223" s="34" t="s">
        <v>2236</v>
      </c>
      <c r="G223" s="28" t="s">
        <v>70</v>
      </c>
      <c r="H223" s="34" t="s">
        <v>2237</v>
      </c>
      <c r="I223" s="28">
        <v>1906023</v>
      </c>
      <c r="J223" s="34" t="s">
        <v>2238</v>
      </c>
      <c r="K223" s="280" t="s">
        <v>70</v>
      </c>
      <c r="L223" s="34" t="s">
        <v>2239</v>
      </c>
      <c r="M223" s="280">
        <v>190602300</v>
      </c>
      <c r="N223" s="34" t="s">
        <v>2240</v>
      </c>
      <c r="O223" s="321">
        <v>19899</v>
      </c>
      <c r="P223" s="205"/>
      <c r="Q223" s="321">
        <v>19899</v>
      </c>
      <c r="R223" s="79">
        <v>2020003630136</v>
      </c>
      <c r="S223" s="34" t="s">
        <v>2241</v>
      </c>
      <c r="T223" s="500">
        <f t="shared" si="27"/>
        <v>1</v>
      </c>
      <c r="U223" s="34" t="s">
        <v>2242</v>
      </c>
      <c r="V223" s="34" t="s">
        <v>2243</v>
      </c>
      <c r="W223" s="34" t="s">
        <v>2244</v>
      </c>
      <c r="X223" s="322">
        <v>23318385.767660581</v>
      </c>
      <c r="Y223" s="322"/>
      <c r="Z223" s="322"/>
      <c r="AA223" s="322"/>
      <c r="AB223" s="709">
        <f t="shared" si="28"/>
        <v>23318385.767660581</v>
      </c>
      <c r="AC223" s="861" t="s">
        <v>2272</v>
      </c>
      <c r="AD223" s="205"/>
      <c r="AE223" s="205">
        <v>240</v>
      </c>
      <c r="AF223" s="65" t="s">
        <v>2250</v>
      </c>
      <c r="AG223" s="320">
        <v>292684</v>
      </c>
      <c r="AH223" s="28">
        <v>282326</v>
      </c>
      <c r="AI223" s="28">
        <v>135912</v>
      </c>
      <c r="AJ223" s="28">
        <v>45122</v>
      </c>
      <c r="AK223" s="28">
        <v>365607</v>
      </c>
      <c r="AL223" s="28">
        <v>75612</v>
      </c>
      <c r="AM223" s="28">
        <v>2145</v>
      </c>
      <c r="AN223" s="28">
        <v>12718</v>
      </c>
      <c r="AO223" s="28">
        <v>26</v>
      </c>
      <c r="AP223" s="28">
        <v>37</v>
      </c>
      <c r="AQ223" s="28" t="s">
        <v>1818</v>
      </c>
      <c r="AR223" s="28" t="s">
        <v>1819</v>
      </c>
      <c r="AS223" s="28">
        <v>53164</v>
      </c>
      <c r="AT223" s="28">
        <v>16982</v>
      </c>
      <c r="AU223" s="28">
        <v>60013</v>
      </c>
      <c r="AV223" s="28">
        <v>57501</v>
      </c>
      <c r="AW223" s="843">
        <v>45293</v>
      </c>
      <c r="AX223" s="843">
        <v>45657</v>
      </c>
      <c r="AY223" s="28" t="s">
        <v>1820</v>
      </c>
      <c r="AZ223" s="15"/>
      <c r="BA223" s="15"/>
      <c r="BB223" s="15"/>
      <c r="BC223" s="15"/>
      <c r="BD223" s="15"/>
      <c r="BE223" s="15"/>
      <c r="BF223" s="15"/>
      <c r="BG223" s="15"/>
      <c r="BH223" s="15"/>
      <c r="BI223" s="15"/>
      <c r="BJ223" s="15"/>
      <c r="BK223" s="15"/>
      <c r="BL223" s="15"/>
      <c r="BM223" s="15"/>
      <c r="BN223" s="15"/>
    </row>
    <row r="224" spans="1:66" s="47" customFormat="1" ht="63.75" x14ac:dyDescent="0.2">
      <c r="A224" s="28">
        <v>1</v>
      </c>
      <c r="B224" s="34" t="s">
        <v>315</v>
      </c>
      <c r="C224" s="28">
        <v>19</v>
      </c>
      <c r="D224" s="34" t="s">
        <v>517</v>
      </c>
      <c r="E224" s="28">
        <v>1906</v>
      </c>
      <c r="F224" s="34" t="s">
        <v>2236</v>
      </c>
      <c r="G224" s="28" t="s">
        <v>70</v>
      </c>
      <c r="H224" s="34" t="s">
        <v>2237</v>
      </c>
      <c r="I224" s="28">
        <v>1906023</v>
      </c>
      <c r="J224" s="34" t="s">
        <v>2238</v>
      </c>
      <c r="K224" s="280" t="s">
        <v>70</v>
      </c>
      <c r="L224" s="34" t="s">
        <v>2239</v>
      </c>
      <c r="M224" s="280">
        <v>190602300</v>
      </c>
      <c r="N224" s="34" t="s">
        <v>2240</v>
      </c>
      <c r="O224" s="321">
        <v>19899</v>
      </c>
      <c r="P224" s="205"/>
      <c r="Q224" s="321">
        <v>19899</v>
      </c>
      <c r="R224" s="79">
        <v>2020003630136</v>
      </c>
      <c r="S224" s="34" t="s">
        <v>2241</v>
      </c>
      <c r="T224" s="500">
        <f t="shared" si="27"/>
        <v>1</v>
      </c>
      <c r="U224" s="34" t="s">
        <v>2242</v>
      </c>
      <c r="V224" s="34" t="s">
        <v>2243</v>
      </c>
      <c r="W224" s="34" t="s">
        <v>2244</v>
      </c>
      <c r="X224" s="322">
        <v>34834148.83093176</v>
      </c>
      <c r="Y224" s="322"/>
      <c r="Z224" s="322"/>
      <c r="AA224" s="322"/>
      <c r="AB224" s="709">
        <f t="shared" si="28"/>
        <v>34834148.83093176</v>
      </c>
      <c r="AC224" s="861" t="s">
        <v>2273</v>
      </c>
      <c r="AD224" s="205"/>
      <c r="AE224" s="205">
        <v>243</v>
      </c>
      <c r="AF224" s="65" t="s">
        <v>2252</v>
      </c>
      <c r="AG224" s="320">
        <v>292684</v>
      </c>
      <c r="AH224" s="28">
        <v>282326</v>
      </c>
      <c r="AI224" s="28">
        <v>135912</v>
      </c>
      <c r="AJ224" s="28">
        <v>45122</v>
      </c>
      <c r="AK224" s="28">
        <v>365607</v>
      </c>
      <c r="AL224" s="28">
        <v>75612</v>
      </c>
      <c r="AM224" s="28">
        <v>2145</v>
      </c>
      <c r="AN224" s="28">
        <v>12718</v>
      </c>
      <c r="AO224" s="28">
        <v>26</v>
      </c>
      <c r="AP224" s="28">
        <v>37</v>
      </c>
      <c r="AQ224" s="28" t="s">
        <v>1818</v>
      </c>
      <c r="AR224" s="28" t="s">
        <v>1819</v>
      </c>
      <c r="AS224" s="28">
        <v>53164</v>
      </c>
      <c r="AT224" s="28">
        <v>16982</v>
      </c>
      <c r="AU224" s="28">
        <v>60013</v>
      </c>
      <c r="AV224" s="28">
        <v>57501</v>
      </c>
      <c r="AW224" s="843">
        <v>45293</v>
      </c>
      <c r="AX224" s="843">
        <v>45657</v>
      </c>
      <c r="AY224" s="28" t="s">
        <v>1820</v>
      </c>
      <c r="AZ224" s="15"/>
      <c r="BA224" s="15"/>
      <c r="BB224" s="15"/>
      <c r="BC224" s="15"/>
      <c r="BD224" s="15"/>
      <c r="BE224" s="15"/>
      <c r="BF224" s="15"/>
      <c r="BG224" s="15"/>
      <c r="BH224" s="15"/>
      <c r="BI224" s="15"/>
      <c r="BJ224" s="15"/>
      <c r="BK224" s="15"/>
      <c r="BL224" s="15"/>
      <c r="BM224" s="15"/>
      <c r="BN224" s="15"/>
    </row>
    <row r="225" spans="1:66" s="47" customFormat="1" ht="63.75" x14ac:dyDescent="0.2">
      <c r="A225" s="28">
        <v>1</v>
      </c>
      <c r="B225" s="34" t="s">
        <v>315</v>
      </c>
      <c r="C225" s="28">
        <v>19</v>
      </c>
      <c r="D225" s="34" t="s">
        <v>517</v>
      </c>
      <c r="E225" s="28">
        <v>1906</v>
      </c>
      <c r="F225" s="34" t="s">
        <v>2236</v>
      </c>
      <c r="G225" s="28" t="s">
        <v>70</v>
      </c>
      <c r="H225" s="34" t="s">
        <v>2237</v>
      </c>
      <c r="I225" s="28">
        <v>1906023</v>
      </c>
      <c r="J225" s="34" t="s">
        <v>2238</v>
      </c>
      <c r="K225" s="280" t="s">
        <v>70</v>
      </c>
      <c r="L225" s="34" t="s">
        <v>2239</v>
      </c>
      <c r="M225" s="280">
        <v>190602300</v>
      </c>
      <c r="N225" s="34" t="s">
        <v>2240</v>
      </c>
      <c r="O225" s="321">
        <v>19899</v>
      </c>
      <c r="P225" s="205"/>
      <c r="Q225" s="321">
        <v>19899</v>
      </c>
      <c r="R225" s="79">
        <v>2020003630136</v>
      </c>
      <c r="S225" s="34" t="s">
        <v>2241</v>
      </c>
      <c r="T225" s="500">
        <f t="shared" si="27"/>
        <v>1</v>
      </c>
      <c r="U225" s="34" t="s">
        <v>2242</v>
      </c>
      <c r="V225" s="34" t="s">
        <v>2243</v>
      </c>
      <c r="W225" s="34" t="s">
        <v>2244</v>
      </c>
      <c r="X225" s="322">
        <v>16506320.363197435</v>
      </c>
      <c r="Y225" s="322"/>
      <c r="Z225" s="322"/>
      <c r="AA225" s="322"/>
      <c r="AB225" s="709">
        <f t="shared" si="28"/>
        <v>16506320.363197435</v>
      </c>
      <c r="AC225" s="861" t="s">
        <v>2274</v>
      </c>
      <c r="AD225" s="862"/>
      <c r="AE225" s="205">
        <v>246</v>
      </c>
      <c r="AF225" s="65" t="s">
        <v>2254</v>
      </c>
      <c r="AG225" s="320">
        <v>292684</v>
      </c>
      <c r="AH225" s="28">
        <v>282326</v>
      </c>
      <c r="AI225" s="28">
        <v>135912</v>
      </c>
      <c r="AJ225" s="28">
        <v>45122</v>
      </c>
      <c r="AK225" s="28">
        <v>365607</v>
      </c>
      <c r="AL225" s="28">
        <v>75612</v>
      </c>
      <c r="AM225" s="28">
        <v>2145</v>
      </c>
      <c r="AN225" s="28">
        <v>12718</v>
      </c>
      <c r="AO225" s="28">
        <v>26</v>
      </c>
      <c r="AP225" s="28">
        <v>37</v>
      </c>
      <c r="AQ225" s="28" t="s">
        <v>1818</v>
      </c>
      <c r="AR225" s="28" t="s">
        <v>1819</v>
      </c>
      <c r="AS225" s="28">
        <v>53164</v>
      </c>
      <c r="AT225" s="28">
        <v>16982</v>
      </c>
      <c r="AU225" s="28">
        <v>60013</v>
      </c>
      <c r="AV225" s="28">
        <v>57501</v>
      </c>
      <c r="AW225" s="843">
        <v>45293</v>
      </c>
      <c r="AX225" s="843">
        <v>45657</v>
      </c>
      <c r="AY225" s="28" t="s">
        <v>1820</v>
      </c>
      <c r="AZ225" s="15"/>
      <c r="BA225" s="15"/>
      <c r="BB225" s="15"/>
      <c r="BC225" s="15"/>
      <c r="BD225" s="15"/>
      <c r="BE225" s="15"/>
      <c r="BF225" s="15"/>
      <c r="BG225" s="15"/>
      <c r="BH225" s="15"/>
      <c r="BI225" s="15"/>
      <c r="BJ225" s="15"/>
      <c r="BK225" s="15"/>
      <c r="BL225" s="15"/>
      <c r="BM225" s="15"/>
      <c r="BN225" s="15"/>
    </row>
    <row r="226" spans="1:66" s="47" customFormat="1" ht="63.75" x14ac:dyDescent="0.2">
      <c r="A226" s="28">
        <v>1</v>
      </c>
      <c r="B226" s="34" t="s">
        <v>315</v>
      </c>
      <c r="C226" s="28">
        <v>19</v>
      </c>
      <c r="D226" s="34" t="s">
        <v>517</v>
      </c>
      <c r="E226" s="28">
        <v>1906</v>
      </c>
      <c r="F226" s="34" t="s">
        <v>2236</v>
      </c>
      <c r="G226" s="28" t="s">
        <v>70</v>
      </c>
      <c r="H226" s="34" t="s">
        <v>2237</v>
      </c>
      <c r="I226" s="28">
        <v>1906023</v>
      </c>
      <c r="J226" s="34" t="s">
        <v>2238</v>
      </c>
      <c r="K226" s="280" t="s">
        <v>70</v>
      </c>
      <c r="L226" s="34" t="s">
        <v>2239</v>
      </c>
      <c r="M226" s="280">
        <v>190602300</v>
      </c>
      <c r="N226" s="34" t="s">
        <v>2240</v>
      </c>
      <c r="O226" s="321">
        <v>19899</v>
      </c>
      <c r="P226" s="205"/>
      <c r="Q226" s="321">
        <v>19899</v>
      </c>
      <c r="R226" s="79">
        <v>2020003630136</v>
      </c>
      <c r="S226" s="34" t="s">
        <v>2241</v>
      </c>
      <c r="T226" s="500">
        <f t="shared" si="27"/>
        <v>1</v>
      </c>
      <c r="U226" s="34" t="s">
        <v>2242</v>
      </c>
      <c r="V226" s="34" t="s">
        <v>2243</v>
      </c>
      <c r="W226" s="34" t="s">
        <v>2244</v>
      </c>
      <c r="X226" s="322">
        <v>10322557.715675784</v>
      </c>
      <c r="Y226" s="322"/>
      <c r="Z226" s="322"/>
      <c r="AA226" s="322"/>
      <c r="AB226" s="709">
        <f t="shared" si="28"/>
        <v>10322557.715675784</v>
      </c>
      <c r="AC226" s="861" t="s">
        <v>2275</v>
      </c>
      <c r="AD226" s="862"/>
      <c r="AE226" s="205">
        <v>249</v>
      </c>
      <c r="AF226" s="65" t="s">
        <v>2256</v>
      </c>
      <c r="AG226" s="320">
        <v>292684</v>
      </c>
      <c r="AH226" s="28">
        <v>282326</v>
      </c>
      <c r="AI226" s="28">
        <v>135912</v>
      </c>
      <c r="AJ226" s="28">
        <v>45122</v>
      </c>
      <c r="AK226" s="28">
        <v>365607</v>
      </c>
      <c r="AL226" s="28">
        <v>75612</v>
      </c>
      <c r="AM226" s="28">
        <v>2145</v>
      </c>
      <c r="AN226" s="28">
        <v>12718</v>
      </c>
      <c r="AO226" s="28">
        <v>26</v>
      </c>
      <c r="AP226" s="28">
        <v>37</v>
      </c>
      <c r="AQ226" s="28" t="s">
        <v>1818</v>
      </c>
      <c r="AR226" s="28" t="s">
        <v>1819</v>
      </c>
      <c r="AS226" s="28">
        <v>53164</v>
      </c>
      <c r="AT226" s="28">
        <v>16982</v>
      </c>
      <c r="AU226" s="28">
        <v>60013</v>
      </c>
      <c r="AV226" s="28">
        <v>57501</v>
      </c>
      <c r="AW226" s="843">
        <v>45293</v>
      </c>
      <c r="AX226" s="843">
        <v>45657</v>
      </c>
      <c r="AY226" s="28" t="s">
        <v>1820</v>
      </c>
      <c r="AZ226" s="15"/>
      <c r="BA226" s="15"/>
      <c r="BB226" s="15"/>
      <c r="BC226" s="15"/>
      <c r="BD226" s="15"/>
      <c r="BE226" s="15"/>
      <c r="BF226" s="15"/>
      <c r="BG226" s="15"/>
      <c r="BH226" s="15"/>
      <c r="BI226" s="15"/>
      <c r="BJ226" s="15"/>
      <c r="BK226" s="15"/>
      <c r="BL226" s="15"/>
      <c r="BM226" s="15"/>
      <c r="BN226" s="15"/>
    </row>
    <row r="227" spans="1:66" s="47" customFormat="1" ht="63.75" x14ac:dyDescent="0.2">
      <c r="A227" s="28">
        <v>1</v>
      </c>
      <c r="B227" s="34" t="s">
        <v>315</v>
      </c>
      <c r="C227" s="28">
        <v>19</v>
      </c>
      <c r="D227" s="34" t="s">
        <v>517</v>
      </c>
      <c r="E227" s="28">
        <v>1906</v>
      </c>
      <c r="F227" s="34" t="s">
        <v>2236</v>
      </c>
      <c r="G227" s="28" t="s">
        <v>70</v>
      </c>
      <c r="H227" s="34" t="s">
        <v>2237</v>
      </c>
      <c r="I227" s="28">
        <v>1906023</v>
      </c>
      <c r="J227" s="34" t="s">
        <v>2238</v>
      </c>
      <c r="K227" s="280" t="s">
        <v>70</v>
      </c>
      <c r="L227" s="34" t="s">
        <v>2239</v>
      </c>
      <c r="M227" s="280">
        <v>190602300</v>
      </c>
      <c r="N227" s="34" t="s">
        <v>2240</v>
      </c>
      <c r="O227" s="321">
        <v>19899</v>
      </c>
      <c r="P227" s="205"/>
      <c r="Q227" s="321">
        <v>19899</v>
      </c>
      <c r="R227" s="79">
        <v>2020003630136</v>
      </c>
      <c r="S227" s="34" t="s">
        <v>2241</v>
      </c>
      <c r="T227" s="500">
        <f t="shared" si="27"/>
        <v>1</v>
      </c>
      <c r="U227" s="34" t="s">
        <v>2242</v>
      </c>
      <c r="V227" s="34" t="s">
        <v>2243</v>
      </c>
      <c r="W227" s="34" t="s">
        <v>2244</v>
      </c>
      <c r="X227" s="322">
        <v>333579281.05342197</v>
      </c>
      <c r="Y227" s="322"/>
      <c r="Z227" s="322"/>
      <c r="AA227" s="322"/>
      <c r="AB227" s="709">
        <f t="shared" si="28"/>
        <v>333579281.05342197</v>
      </c>
      <c r="AC227" s="861" t="s">
        <v>2276</v>
      </c>
      <c r="AD227" s="862"/>
      <c r="AE227" s="205">
        <v>252</v>
      </c>
      <c r="AF227" s="65" t="s">
        <v>2268</v>
      </c>
      <c r="AG227" s="320">
        <v>292684</v>
      </c>
      <c r="AH227" s="28">
        <v>282326</v>
      </c>
      <c r="AI227" s="28">
        <v>135912</v>
      </c>
      <c r="AJ227" s="28">
        <v>45122</v>
      </c>
      <c r="AK227" s="28">
        <v>365607</v>
      </c>
      <c r="AL227" s="28">
        <v>75612</v>
      </c>
      <c r="AM227" s="28">
        <v>2145</v>
      </c>
      <c r="AN227" s="28">
        <v>12718</v>
      </c>
      <c r="AO227" s="28">
        <v>26</v>
      </c>
      <c r="AP227" s="28">
        <v>37</v>
      </c>
      <c r="AQ227" s="28" t="s">
        <v>1818</v>
      </c>
      <c r="AR227" s="28" t="s">
        <v>1819</v>
      </c>
      <c r="AS227" s="28">
        <v>53164</v>
      </c>
      <c r="AT227" s="28">
        <v>16982</v>
      </c>
      <c r="AU227" s="28">
        <v>60013</v>
      </c>
      <c r="AV227" s="28">
        <v>57501</v>
      </c>
      <c r="AW227" s="843">
        <v>45293</v>
      </c>
      <c r="AX227" s="843">
        <v>45657</v>
      </c>
      <c r="AY227" s="28" t="s">
        <v>1820</v>
      </c>
      <c r="AZ227" s="15"/>
      <c r="BA227" s="15"/>
      <c r="BB227" s="15"/>
      <c r="BC227" s="15"/>
      <c r="BD227" s="15"/>
      <c r="BE227" s="15"/>
      <c r="BF227" s="15"/>
      <c r="BG227" s="15"/>
      <c r="BH227" s="15"/>
      <c r="BI227" s="15"/>
      <c r="BJ227" s="15"/>
      <c r="BK227" s="15"/>
      <c r="BL227" s="15"/>
      <c r="BM227" s="15"/>
      <c r="BN227" s="15"/>
    </row>
    <row r="228" spans="1:66" s="47" customFormat="1" ht="63.75" x14ac:dyDescent="0.2">
      <c r="A228" s="28">
        <v>1</v>
      </c>
      <c r="B228" s="34" t="s">
        <v>315</v>
      </c>
      <c r="C228" s="28">
        <v>19</v>
      </c>
      <c r="D228" s="34" t="s">
        <v>517</v>
      </c>
      <c r="E228" s="28">
        <v>1906</v>
      </c>
      <c r="F228" s="34" t="s">
        <v>2236</v>
      </c>
      <c r="G228" s="28" t="s">
        <v>70</v>
      </c>
      <c r="H228" s="34" t="s">
        <v>2237</v>
      </c>
      <c r="I228" s="28">
        <v>1906023</v>
      </c>
      <c r="J228" s="34" t="s">
        <v>2238</v>
      </c>
      <c r="K228" s="280" t="s">
        <v>70</v>
      </c>
      <c r="L228" s="34" t="s">
        <v>2239</v>
      </c>
      <c r="M228" s="280">
        <v>190602300</v>
      </c>
      <c r="N228" s="34" t="s">
        <v>2240</v>
      </c>
      <c r="O228" s="321">
        <v>19899</v>
      </c>
      <c r="P228" s="205"/>
      <c r="Q228" s="321">
        <v>19899</v>
      </c>
      <c r="R228" s="79">
        <v>2020003630136</v>
      </c>
      <c r="S228" s="34" t="s">
        <v>2241</v>
      </c>
      <c r="T228" s="500">
        <f t="shared" si="27"/>
        <v>1</v>
      </c>
      <c r="U228" s="34" t="s">
        <v>2242</v>
      </c>
      <c r="V228" s="34" t="s">
        <v>2243</v>
      </c>
      <c r="W228" s="34" t="s">
        <v>2244</v>
      </c>
      <c r="X228" s="322">
        <v>11463776.932110002</v>
      </c>
      <c r="Y228" s="322"/>
      <c r="Z228" s="322"/>
      <c r="AA228" s="322"/>
      <c r="AB228" s="709">
        <f t="shared" si="28"/>
        <v>11463776.932110002</v>
      </c>
      <c r="AC228" s="861" t="s">
        <v>2277</v>
      </c>
      <c r="AD228" s="862"/>
      <c r="AE228" s="205">
        <v>253</v>
      </c>
      <c r="AF228" s="65" t="s">
        <v>2260</v>
      </c>
      <c r="AG228" s="320">
        <v>292684</v>
      </c>
      <c r="AH228" s="28">
        <v>282326</v>
      </c>
      <c r="AI228" s="28">
        <v>135912</v>
      </c>
      <c r="AJ228" s="28">
        <v>45122</v>
      </c>
      <c r="AK228" s="28">
        <v>365607</v>
      </c>
      <c r="AL228" s="28">
        <v>75612</v>
      </c>
      <c r="AM228" s="28">
        <v>2145</v>
      </c>
      <c r="AN228" s="28">
        <v>12718</v>
      </c>
      <c r="AO228" s="28">
        <v>26</v>
      </c>
      <c r="AP228" s="28">
        <v>37</v>
      </c>
      <c r="AQ228" s="28" t="s">
        <v>1818</v>
      </c>
      <c r="AR228" s="28" t="s">
        <v>1819</v>
      </c>
      <c r="AS228" s="28">
        <v>53164</v>
      </c>
      <c r="AT228" s="28">
        <v>16982</v>
      </c>
      <c r="AU228" s="28">
        <v>60013</v>
      </c>
      <c r="AV228" s="28">
        <v>57501</v>
      </c>
      <c r="AW228" s="843">
        <v>45293</v>
      </c>
      <c r="AX228" s="843">
        <v>45657</v>
      </c>
      <c r="AY228" s="28" t="s">
        <v>1820</v>
      </c>
      <c r="AZ228" s="15"/>
      <c r="BA228" s="15"/>
      <c r="BB228" s="15"/>
      <c r="BC228" s="15"/>
      <c r="BD228" s="15"/>
      <c r="BE228" s="15"/>
      <c r="BF228" s="15"/>
      <c r="BG228" s="15"/>
      <c r="BH228" s="15"/>
      <c r="BI228" s="15"/>
      <c r="BJ228" s="15"/>
      <c r="BK228" s="15"/>
      <c r="BL228" s="15"/>
      <c r="BM228" s="15"/>
      <c r="BN228" s="15"/>
    </row>
    <row r="229" spans="1:66" s="47" customFormat="1" ht="63.75" x14ac:dyDescent="0.2">
      <c r="A229" s="28">
        <v>1</v>
      </c>
      <c r="B229" s="34" t="s">
        <v>315</v>
      </c>
      <c r="C229" s="28">
        <v>19</v>
      </c>
      <c r="D229" s="34" t="s">
        <v>517</v>
      </c>
      <c r="E229" s="28">
        <v>1906</v>
      </c>
      <c r="F229" s="34" t="s">
        <v>2236</v>
      </c>
      <c r="G229" s="28" t="s">
        <v>70</v>
      </c>
      <c r="H229" s="34" t="s">
        <v>2237</v>
      </c>
      <c r="I229" s="28">
        <v>1906023</v>
      </c>
      <c r="J229" s="34" t="s">
        <v>2238</v>
      </c>
      <c r="K229" s="280" t="s">
        <v>70</v>
      </c>
      <c r="L229" s="34" t="s">
        <v>2239</v>
      </c>
      <c r="M229" s="280">
        <v>190602300</v>
      </c>
      <c r="N229" s="34" t="s">
        <v>2240</v>
      </c>
      <c r="O229" s="321">
        <v>19899</v>
      </c>
      <c r="P229" s="205"/>
      <c r="Q229" s="321">
        <v>19899</v>
      </c>
      <c r="R229" s="79">
        <v>2020003630136</v>
      </c>
      <c r="S229" s="34" t="s">
        <v>2241</v>
      </c>
      <c r="T229" s="500">
        <f t="shared" si="27"/>
        <v>1</v>
      </c>
      <c r="U229" s="34" t="s">
        <v>2242</v>
      </c>
      <c r="V229" s="34" t="s">
        <v>2243</v>
      </c>
      <c r="W229" s="34" t="s">
        <v>2244</v>
      </c>
      <c r="X229" s="322">
        <v>285845562.00229973</v>
      </c>
      <c r="Y229" s="322"/>
      <c r="Z229" s="322"/>
      <c r="AA229" s="322"/>
      <c r="AB229" s="709">
        <f t="shared" si="28"/>
        <v>285845562.00229973</v>
      </c>
      <c r="AC229" s="861" t="s">
        <v>2278</v>
      </c>
      <c r="AD229" s="65"/>
      <c r="AE229" s="205">
        <v>154</v>
      </c>
      <c r="AF229" s="65" t="s">
        <v>2246</v>
      </c>
      <c r="AG229" s="320">
        <v>292684</v>
      </c>
      <c r="AH229" s="28">
        <v>282326</v>
      </c>
      <c r="AI229" s="28">
        <v>135912</v>
      </c>
      <c r="AJ229" s="28">
        <v>45122</v>
      </c>
      <c r="AK229" s="28">
        <v>365607</v>
      </c>
      <c r="AL229" s="28">
        <v>75612</v>
      </c>
      <c r="AM229" s="28">
        <v>2145</v>
      </c>
      <c r="AN229" s="28">
        <v>12718</v>
      </c>
      <c r="AO229" s="28">
        <v>26</v>
      </c>
      <c r="AP229" s="28">
        <v>37</v>
      </c>
      <c r="AQ229" s="28" t="s">
        <v>1818</v>
      </c>
      <c r="AR229" s="28" t="s">
        <v>1819</v>
      </c>
      <c r="AS229" s="28">
        <v>53164</v>
      </c>
      <c r="AT229" s="28">
        <v>16982</v>
      </c>
      <c r="AU229" s="28">
        <v>60013</v>
      </c>
      <c r="AV229" s="28">
        <v>57501</v>
      </c>
      <c r="AW229" s="843">
        <v>45293</v>
      </c>
      <c r="AX229" s="843">
        <v>45657</v>
      </c>
      <c r="AY229" s="28" t="s">
        <v>1820</v>
      </c>
      <c r="AZ229" s="15"/>
      <c r="BA229" s="15"/>
      <c r="BB229" s="15"/>
      <c r="BC229" s="15"/>
      <c r="BD229" s="15"/>
      <c r="BE229" s="15"/>
      <c r="BF229" s="15"/>
      <c r="BG229" s="15"/>
      <c r="BH229" s="15"/>
      <c r="BI229" s="15"/>
      <c r="BJ229" s="15"/>
      <c r="BK229" s="15"/>
      <c r="BL229" s="15"/>
      <c r="BM229" s="15"/>
      <c r="BN229" s="15"/>
    </row>
    <row r="230" spans="1:66" s="47" customFormat="1" ht="63.75" x14ac:dyDescent="0.2">
      <c r="A230" s="28">
        <v>1</v>
      </c>
      <c r="B230" s="34" t="s">
        <v>315</v>
      </c>
      <c r="C230" s="28">
        <v>19</v>
      </c>
      <c r="D230" s="34" t="s">
        <v>517</v>
      </c>
      <c r="E230" s="28">
        <v>1906</v>
      </c>
      <c r="F230" s="34" t="s">
        <v>2236</v>
      </c>
      <c r="G230" s="28" t="s">
        <v>70</v>
      </c>
      <c r="H230" s="34" t="s">
        <v>2237</v>
      </c>
      <c r="I230" s="28">
        <v>1906023</v>
      </c>
      <c r="J230" s="34" t="s">
        <v>2238</v>
      </c>
      <c r="K230" s="280" t="s">
        <v>70</v>
      </c>
      <c r="L230" s="34" t="s">
        <v>2239</v>
      </c>
      <c r="M230" s="280">
        <v>190602300</v>
      </c>
      <c r="N230" s="34" t="s">
        <v>2240</v>
      </c>
      <c r="O230" s="321">
        <v>19899</v>
      </c>
      <c r="P230" s="205"/>
      <c r="Q230" s="321">
        <v>19899</v>
      </c>
      <c r="R230" s="79">
        <v>2020003630136</v>
      </c>
      <c r="S230" s="34" t="s">
        <v>2241</v>
      </c>
      <c r="T230" s="500">
        <f t="shared" si="27"/>
        <v>1</v>
      </c>
      <c r="U230" s="34" t="s">
        <v>2242</v>
      </c>
      <c r="V230" s="34" t="s">
        <v>2243</v>
      </c>
      <c r="W230" s="34" t="s">
        <v>2244</v>
      </c>
      <c r="X230" s="322">
        <v>196900319.07089943</v>
      </c>
      <c r="Y230" s="322"/>
      <c r="Z230" s="322"/>
      <c r="AA230" s="322"/>
      <c r="AB230" s="709">
        <f t="shared" si="28"/>
        <v>196900319.07089943</v>
      </c>
      <c r="AC230" s="861" t="s">
        <v>2279</v>
      </c>
      <c r="AD230" s="862"/>
      <c r="AE230" s="205">
        <v>237</v>
      </c>
      <c r="AF230" s="65" t="s">
        <v>2248</v>
      </c>
      <c r="AG230" s="320">
        <v>292684</v>
      </c>
      <c r="AH230" s="28">
        <v>282326</v>
      </c>
      <c r="AI230" s="28">
        <v>135912</v>
      </c>
      <c r="AJ230" s="28">
        <v>45122</v>
      </c>
      <c r="AK230" s="28">
        <v>365607</v>
      </c>
      <c r="AL230" s="28">
        <v>75612</v>
      </c>
      <c r="AM230" s="28">
        <v>2145</v>
      </c>
      <c r="AN230" s="28">
        <v>12718</v>
      </c>
      <c r="AO230" s="28">
        <v>26</v>
      </c>
      <c r="AP230" s="28">
        <v>37</v>
      </c>
      <c r="AQ230" s="28" t="s">
        <v>1818</v>
      </c>
      <c r="AR230" s="28" t="s">
        <v>1819</v>
      </c>
      <c r="AS230" s="28">
        <v>53164</v>
      </c>
      <c r="AT230" s="28">
        <v>16982</v>
      </c>
      <c r="AU230" s="28">
        <v>60013</v>
      </c>
      <c r="AV230" s="28">
        <v>57501</v>
      </c>
      <c r="AW230" s="843">
        <v>45293</v>
      </c>
      <c r="AX230" s="843">
        <v>45657</v>
      </c>
      <c r="AY230" s="28" t="s">
        <v>1820</v>
      </c>
      <c r="AZ230" s="15"/>
      <c r="BA230" s="15"/>
      <c r="BB230" s="15"/>
      <c r="BC230" s="15"/>
      <c r="BD230" s="15"/>
      <c r="BE230" s="15"/>
      <c r="BF230" s="15"/>
      <c r="BG230" s="15"/>
      <c r="BH230" s="15"/>
      <c r="BI230" s="15"/>
      <c r="BJ230" s="15"/>
      <c r="BK230" s="15"/>
      <c r="BL230" s="15"/>
      <c r="BM230" s="15"/>
      <c r="BN230" s="15"/>
    </row>
    <row r="231" spans="1:66" s="47" customFormat="1" ht="63.75" x14ac:dyDescent="0.2">
      <c r="A231" s="28">
        <v>1</v>
      </c>
      <c r="B231" s="34" t="s">
        <v>315</v>
      </c>
      <c r="C231" s="28">
        <v>19</v>
      </c>
      <c r="D231" s="34" t="s">
        <v>517</v>
      </c>
      <c r="E231" s="28">
        <v>1906</v>
      </c>
      <c r="F231" s="34" t="s">
        <v>2236</v>
      </c>
      <c r="G231" s="28" t="s">
        <v>70</v>
      </c>
      <c r="H231" s="34" t="s">
        <v>2237</v>
      </c>
      <c r="I231" s="28">
        <v>1906023</v>
      </c>
      <c r="J231" s="34" t="s">
        <v>2238</v>
      </c>
      <c r="K231" s="280" t="s">
        <v>70</v>
      </c>
      <c r="L231" s="34" t="s">
        <v>2239</v>
      </c>
      <c r="M231" s="280">
        <v>190602300</v>
      </c>
      <c r="N231" s="34" t="s">
        <v>2240</v>
      </c>
      <c r="O231" s="321">
        <v>19899</v>
      </c>
      <c r="P231" s="205"/>
      <c r="Q231" s="321">
        <v>19899</v>
      </c>
      <c r="R231" s="79">
        <v>2020003630136</v>
      </c>
      <c r="S231" s="34" t="s">
        <v>2241</v>
      </c>
      <c r="T231" s="500">
        <f t="shared" si="27"/>
        <v>1</v>
      </c>
      <c r="U231" s="34" t="s">
        <v>2242</v>
      </c>
      <c r="V231" s="34" t="s">
        <v>2243</v>
      </c>
      <c r="W231" s="34" t="s">
        <v>2244</v>
      </c>
      <c r="X231" s="322">
        <v>41391395.661701612</v>
      </c>
      <c r="Y231" s="322"/>
      <c r="Z231" s="322"/>
      <c r="AA231" s="322"/>
      <c r="AB231" s="709">
        <f t="shared" si="28"/>
        <v>41391395.661701612</v>
      </c>
      <c r="AC231" s="861" t="s">
        <v>2280</v>
      </c>
      <c r="AD231" s="862"/>
      <c r="AE231" s="205">
        <v>240</v>
      </c>
      <c r="AF231" s="65" t="s">
        <v>2250</v>
      </c>
      <c r="AG231" s="320">
        <v>292684</v>
      </c>
      <c r="AH231" s="28">
        <v>282326</v>
      </c>
      <c r="AI231" s="28">
        <v>135912</v>
      </c>
      <c r="AJ231" s="28">
        <v>45122</v>
      </c>
      <c r="AK231" s="28">
        <v>365607</v>
      </c>
      <c r="AL231" s="28">
        <v>75612</v>
      </c>
      <c r="AM231" s="28">
        <v>2145</v>
      </c>
      <c r="AN231" s="28">
        <v>12718</v>
      </c>
      <c r="AO231" s="28">
        <v>26</v>
      </c>
      <c r="AP231" s="28">
        <v>37</v>
      </c>
      <c r="AQ231" s="28" t="s">
        <v>1818</v>
      </c>
      <c r="AR231" s="28" t="s">
        <v>1819</v>
      </c>
      <c r="AS231" s="28">
        <v>53164</v>
      </c>
      <c r="AT231" s="28">
        <v>16982</v>
      </c>
      <c r="AU231" s="28">
        <v>60013</v>
      </c>
      <c r="AV231" s="28">
        <v>57501</v>
      </c>
      <c r="AW231" s="843">
        <v>45293</v>
      </c>
      <c r="AX231" s="843">
        <v>45657</v>
      </c>
      <c r="AY231" s="28" t="s">
        <v>1820</v>
      </c>
      <c r="AZ231" s="15"/>
      <c r="BA231" s="15"/>
      <c r="BB231" s="15"/>
      <c r="BC231" s="15"/>
      <c r="BD231" s="15"/>
      <c r="BE231" s="15"/>
      <c r="BF231" s="15"/>
      <c r="BG231" s="15"/>
      <c r="BH231" s="15"/>
      <c r="BI231" s="15"/>
      <c r="BJ231" s="15"/>
      <c r="BK231" s="15"/>
      <c r="BL231" s="15"/>
      <c r="BM231" s="15"/>
      <c r="BN231" s="15"/>
    </row>
    <row r="232" spans="1:66" s="47" customFormat="1" ht="63.75" x14ac:dyDescent="0.2">
      <c r="A232" s="28">
        <v>1</v>
      </c>
      <c r="B232" s="34" t="s">
        <v>315</v>
      </c>
      <c r="C232" s="28">
        <v>19</v>
      </c>
      <c r="D232" s="34" t="s">
        <v>517</v>
      </c>
      <c r="E232" s="28">
        <v>1906</v>
      </c>
      <c r="F232" s="34" t="s">
        <v>2236</v>
      </c>
      <c r="G232" s="28" t="s">
        <v>70</v>
      </c>
      <c r="H232" s="34" t="s">
        <v>2237</v>
      </c>
      <c r="I232" s="28">
        <v>1906023</v>
      </c>
      <c r="J232" s="34" t="s">
        <v>2238</v>
      </c>
      <c r="K232" s="280" t="s">
        <v>70</v>
      </c>
      <c r="L232" s="34" t="s">
        <v>2239</v>
      </c>
      <c r="M232" s="280">
        <v>190602300</v>
      </c>
      <c r="N232" s="34" t="s">
        <v>2240</v>
      </c>
      <c r="O232" s="321">
        <v>19899</v>
      </c>
      <c r="P232" s="205"/>
      <c r="Q232" s="321">
        <v>19899</v>
      </c>
      <c r="R232" s="79">
        <v>2020003630136</v>
      </c>
      <c r="S232" s="34" t="s">
        <v>2241</v>
      </c>
      <c r="T232" s="500">
        <f t="shared" si="27"/>
        <v>1</v>
      </c>
      <c r="U232" s="34" t="s">
        <v>2242</v>
      </c>
      <c r="V232" s="34" t="s">
        <v>2243</v>
      </c>
      <c r="W232" s="34" t="s">
        <v>2244</v>
      </c>
      <c r="X232" s="322">
        <v>61832497.805200748</v>
      </c>
      <c r="Y232" s="322"/>
      <c r="Z232" s="322"/>
      <c r="AA232" s="322"/>
      <c r="AB232" s="709">
        <f t="shared" si="28"/>
        <v>61832497.805200748</v>
      </c>
      <c r="AC232" s="861" t="s">
        <v>2281</v>
      </c>
      <c r="AD232" s="862"/>
      <c r="AE232" s="205">
        <v>243</v>
      </c>
      <c r="AF232" s="65" t="s">
        <v>2252</v>
      </c>
      <c r="AG232" s="320">
        <v>292684</v>
      </c>
      <c r="AH232" s="28">
        <v>282326</v>
      </c>
      <c r="AI232" s="28">
        <v>135912</v>
      </c>
      <c r="AJ232" s="28">
        <v>45122</v>
      </c>
      <c r="AK232" s="28">
        <v>365607</v>
      </c>
      <c r="AL232" s="28">
        <v>75612</v>
      </c>
      <c r="AM232" s="28">
        <v>2145</v>
      </c>
      <c r="AN232" s="28">
        <v>12718</v>
      </c>
      <c r="AO232" s="28">
        <v>26</v>
      </c>
      <c r="AP232" s="28">
        <v>37</v>
      </c>
      <c r="AQ232" s="28" t="s">
        <v>1818</v>
      </c>
      <c r="AR232" s="28" t="s">
        <v>1819</v>
      </c>
      <c r="AS232" s="28">
        <v>53164</v>
      </c>
      <c r="AT232" s="28">
        <v>16982</v>
      </c>
      <c r="AU232" s="28">
        <v>60013</v>
      </c>
      <c r="AV232" s="28">
        <v>57501</v>
      </c>
      <c r="AW232" s="843">
        <v>45293</v>
      </c>
      <c r="AX232" s="843">
        <v>45657</v>
      </c>
      <c r="AY232" s="28" t="s">
        <v>1820</v>
      </c>
      <c r="AZ232" s="15"/>
      <c r="BA232" s="15"/>
      <c r="BB232" s="15"/>
      <c r="BC232" s="15"/>
      <c r="BD232" s="15"/>
      <c r="BE232" s="15"/>
      <c r="BF232" s="15"/>
      <c r="BG232" s="15"/>
      <c r="BH232" s="15"/>
      <c r="BI232" s="15"/>
      <c r="BJ232" s="15"/>
      <c r="BK232" s="15"/>
      <c r="BL232" s="15"/>
      <c r="BM232" s="15"/>
      <c r="BN232" s="15"/>
    </row>
    <row r="233" spans="1:66" s="47" customFormat="1" ht="63.75" x14ac:dyDescent="0.2">
      <c r="A233" s="28">
        <v>1</v>
      </c>
      <c r="B233" s="34" t="s">
        <v>315</v>
      </c>
      <c r="C233" s="28">
        <v>19</v>
      </c>
      <c r="D233" s="34" t="s">
        <v>517</v>
      </c>
      <c r="E233" s="28">
        <v>1906</v>
      </c>
      <c r="F233" s="34" t="s">
        <v>2236</v>
      </c>
      <c r="G233" s="28" t="s">
        <v>70</v>
      </c>
      <c r="H233" s="34" t="s">
        <v>2237</v>
      </c>
      <c r="I233" s="28">
        <v>1906023</v>
      </c>
      <c r="J233" s="34" t="s">
        <v>2238</v>
      </c>
      <c r="K233" s="280" t="s">
        <v>70</v>
      </c>
      <c r="L233" s="34" t="s">
        <v>2239</v>
      </c>
      <c r="M233" s="280">
        <v>190602300</v>
      </c>
      <c r="N233" s="34" t="s">
        <v>2240</v>
      </c>
      <c r="O233" s="321">
        <v>19899</v>
      </c>
      <c r="P233" s="205"/>
      <c r="Q233" s="321">
        <v>19899</v>
      </c>
      <c r="R233" s="79">
        <v>2020003630136</v>
      </c>
      <c r="S233" s="34" t="s">
        <v>2241</v>
      </c>
      <c r="T233" s="500">
        <f t="shared" si="27"/>
        <v>1</v>
      </c>
      <c r="U233" s="34" t="s">
        <v>2242</v>
      </c>
      <c r="V233" s="34" t="s">
        <v>2243</v>
      </c>
      <c r="W233" s="34" t="s">
        <v>2244</v>
      </c>
      <c r="X233" s="322">
        <v>29299611.211486161</v>
      </c>
      <c r="Y233" s="322"/>
      <c r="Z233" s="322"/>
      <c r="AA233" s="322"/>
      <c r="AB233" s="709">
        <f t="shared" si="28"/>
        <v>29299611.211486161</v>
      </c>
      <c r="AC233" s="861" t="s">
        <v>2282</v>
      </c>
      <c r="AD233" s="205"/>
      <c r="AE233" s="205">
        <v>246</v>
      </c>
      <c r="AF233" s="65" t="s">
        <v>2254</v>
      </c>
      <c r="AG233" s="320">
        <v>292684</v>
      </c>
      <c r="AH233" s="28">
        <v>282326</v>
      </c>
      <c r="AI233" s="28">
        <v>135912</v>
      </c>
      <c r="AJ233" s="28">
        <v>45122</v>
      </c>
      <c r="AK233" s="28">
        <v>365607</v>
      </c>
      <c r="AL233" s="28">
        <v>75612</v>
      </c>
      <c r="AM233" s="28">
        <v>2145</v>
      </c>
      <c r="AN233" s="28">
        <v>12718</v>
      </c>
      <c r="AO233" s="28">
        <v>26</v>
      </c>
      <c r="AP233" s="28">
        <v>37</v>
      </c>
      <c r="AQ233" s="28" t="s">
        <v>1818</v>
      </c>
      <c r="AR233" s="28" t="s">
        <v>1819</v>
      </c>
      <c r="AS233" s="28">
        <v>53164</v>
      </c>
      <c r="AT233" s="28">
        <v>16982</v>
      </c>
      <c r="AU233" s="28">
        <v>60013</v>
      </c>
      <c r="AV233" s="28">
        <v>57501</v>
      </c>
      <c r="AW233" s="843">
        <v>45293</v>
      </c>
      <c r="AX233" s="843">
        <v>45657</v>
      </c>
      <c r="AY233" s="28" t="s">
        <v>1820</v>
      </c>
      <c r="AZ233" s="15"/>
      <c r="BA233" s="15"/>
      <c r="BB233" s="15"/>
      <c r="BC233" s="15"/>
      <c r="BD233" s="15"/>
      <c r="BE233" s="15"/>
      <c r="BF233" s="15"/>
      <c r="BG233" s="15"/>
      <c r="BH233" s="15"/>
      <c r="BI233" s="15"/>
      <c r="BJ233" s="15"/>
      <c r="BK233" s="15"/>
      <c r="BL233" s="15"/>
      <c r="BM233" s="15"/>
      <c r="BN233" s="15"/>
    </row>
    <row r="234" spans="1:66" s="47" customFormat="1" ht="63.75" x14ac:dyDescent="0.2">
      <c r="A234" s="28">
        <v>1</v>
      </c>
      <c r="B234" s="34" t="s">
        <v>315</v>
      </c>
      <c r="C234" s="28">
        <v>19</v>
      </c>
      <c r="D234" s="34" t="s">
        <v>517</v>
      </c>
      <c r="E234" s="28">
        <v>1906</v>
      </c>
      <c r="F234" s="34" t="s">
        <v>2236</v>
      </c>
      <c r="G234" s="28" t="s">
        <v>70</v>
      </c>
      <c r="H234" s="34" t="s">
        <v>2237</v>
      </c>
      <c r="I234" s="28">
        <v>1906023</v>
      </c>
      <c r="J234" s="34" t="s">
        <v>2238</v>
      </c>
      <c r="K234" s="280" t="s">
        <v>70</v>
      </c>
      <c r="L234" s="34" t="s">
        <v>2239</v>
      </c>
      <c r="M234" s="280">
        <v>190602300</v>
      </c>
      <c r="N234" s="34" t="s">
        <v>2240</v>
      </c>
      <c r="O234" s="321">
        <v>19899</v>
      </c>
      <c r="P234" s="205"/>
      <c r="Q234" s="321">
        <v>19899</v>
      </c>
      <c r="R234" s="79">
        <v>2020003630136</v>
      </c>
      <c r="S234" s="34" t="s">
        <v>2241</v>
      </c>
      <c r="T234" s="500">
        <f t="shared" si="27"/>
        <v>1</v>
      </c>
      <c r="U234" s="34" t="s">
        <v>2242</v>
      </c>
      <c r="V234" s="34" t="s">
        <v>2243</v>
      </c>
      <c r="W234" s="34" t="s">
        <v>2244</v>
      </c>
      <c r="X234" s="322">
        <v>18323098.129839052</v>
      </c>
      <c r="Y234" s="322"/>
      <c r="Z234" s="322"/>
      <c r="AA234" s="322"/>
      <c r="AB234" s="709">
        <f t="shared" si="28"/>
        <v>18323098.129839052</v>
      </c>
      <c r="AC234" s="861" t="s">
        <v>2283</v>
      </c>
      <c r="AD234" s="205"/>
      <c r="AE234" s="205">
        <v>249</v>
      </c>
      <c r="AF234" s="65" t="s">
        <v>2256</v>
      </c>
      <c r="AG234" s="320">
        <v>292684</v>
      </c>
      <c r="AH234" s="28">
        <v>282326</v>
      </c>
      <c r="AI234" s="28">
        <v>135912</v>
      </c>
      <c r="AJ234" s="28">
        <v>45122</v>
      </c>
      <c r="AK234" s="28">
        <v>365607</v>
      </c>
      <c r="AL234" s="28">
        <v>75612</v>
      </c>
      <c r="AM234" s="28">
        <v>2145</v>
      </c>
      <c r="AN234" s="28">
        <v>12718</v>
      </c>
      <c r="AO234" s="28">
        <v>26</v>
      </c>
      <c r="AP234" s="28">
        <v>37</v>
      </c>
      <c r="AQ234" s="28" t="s">
        <v>1818</v>
      </c>
      <c r="AR234" s="28" t="s">
        <v>1819</v>
      </c>
      <c r="AS234" s="28">
        <v>53164</v>
      </c>
      <c r="AT234" s="28">
        <v>16982</v>
      </c>
      <c r="AU234" s="28">
        <v>60013</v>
      </c>
      <c r="AV234" s="28">
        <v>57501</v>
      </c>
      <c r="AW234" s="843">
        <v>45293</v>
      </c>
      <c r="AX234" s="843">
        <v>45657</v>
      </c>
      <c r="AY234" s="28" t="s">
        <v>1820</v>
      </c>
      <c r="AZ234" s="15"/>
      <c r="BA234" s="15"/>
      <c r="BB234" s="15"/>
      <c r="BC234" s="15"/>
      <c r="BD234" s="15"/>
      <c r="BE234" s="15"/>
      <c r="BF234" s="15"/>
      <c r="BG234" s="15"/>
      <c r="BH234" s="15"/>
      <c r="BI234" s="15"/>
      <c r="BJ234" s="15"/>
      <c r="BK234" s="15"/>
      <c r="BL234" s="15"/>
      <c r="BM234" s="15"/>
      <c r="BN234" s="15"/>
    </row>
    <row r="235" spans="1:66" s="47" customFormat="1" ht="63.75" x14ac:dyDescent="0.2">
      <c r="A235" s="28">
        <v>1</v>
      </c>
      <c r="B235" s="34" t="s">
        <v>315</v>
      </c>
      <c r="C235" s="28">
        <v>19</v>
      </c>
      <c r="D235" s="34" t="s">
        <v>517</v>
      </c>
      <c r="E235" s="28">
        <v>1906</v>
      </c>
      <c r="F235" s="34" t="s">
        <v>2236</v>
      </c>
      <c r="G235" s="28" t="s">
        <v>70</v>
      </c>
      <c r="H235" s="34" t="s">
        <v>2237</v>
      </c>
      <c r="I235" s="28">
        <v>1906023</v>
      </c>
      <c r="J235" s="34" t="s">
        <v>2238</v>
      </c>
      <c r="K235" s="280" t="s">
        <v>70</v>
      </c>
      <c r="L235" s="34" t="s">
        <v>2239</v>
      </c>
      <c r="M235" s="280">
        <v>190602300</v>
      </c>
      <c r="N235" s="34" t="s">
        <v>2240</v>
      </c>
      <c r="O235" s="321">
        <v>19899</v>
      </c>
      <c r="P235" s="205"/>
      <c r="Q235" s="321">
        <v>19899</v>
      </c>
      <c r="R235" s="79">
        <v>2020003630136</v>
      </c>
      <c r="S235" s="34" t="s">
        <v>2241</v>
      </c>
      <c r="T235" s="500">
        <f t="shared" si="27"/>
        <v>1</v>
      </c>
      <c r="U235" s="34" t="s">
        <v>2242</v>
      </c>
      <c r="V235" s="34" t="s">
        <v>2243</v>
      </c>
      <c r="W235" s="34" t="s">
        <v>2244</v>
      </c>
      <c r="X235" s="322">
        <v>592121261.91758132</v>
      </c>
      <c r="Y235" s="322"/>
      <c r="Z235" s="322"/>
      <c r="AA235" s="322"/>
      <c r="AB235" s="709">
        <f t="shared" si="28"/>
        <v>592121261.91758132</v>
      </c>
      <c r="AC235" s="861" t="s">
        <v>2284</v>
      </c>
      <c r="AD235" s="205"/>
      <c r="AE235" s="205">
        <v>252</v>
      </c>
      <c r="AF235" s="65" t="s">
        <v>2268</v>
      </c>
      <c r="AG235" s="320">
        <v>292684</v>
      </c>
      <c r="AH235" s="28">
        <v>282326</v>
      </c>
      <c r="AI235" s="28">
        <v>135912</v>
      </c>
      <c r="AJ235" s="28">
        <v>45122</v>
      </c>
      <c r="AK235" s="28">
        <v>365607</v>
      </c>
      <c r="AL235" s="28">
        <v>75612</v>
      </c>
      <c r="AM235" s="28">
        <v>2145</v>
      </c>
      <c r="AN235" s="28">
        <v>12718</v>
      </c>
      <c r="AO235" s="28">
        <v>26</v>
      </c>
      <c r="AP235" s="28">
        <v>37</v>
      </c>
      <c r="AQ235" s="28" t="s">
        <v>1818</v>
      </c>
      <c r="AR235" s="28" t="s">
        <v>1819</v>
      </c>
      <c r="AS235" s="28">
        <v>53164</v>
      </c>
      <c r="AT235" s="28">
        <v>16982</v>
      </c>
      <c r="AU235" s="28">
        <v>60013</v>
      </c>
      <c r="AV235" s="28">
        <v>57501</v>
      </c>
      <c r="AW235" s="843">
        <v>45293</v>
      </c>
      <c r="AX235" s="843">
        <v>45657</v>
      </c>
      <c r="AY235" s="28" t="s">
        <v>1820</v>
      </c>
      <c r="AZ235" s="15"/>
      <c r="BA235" s="15"/>
      <c r="BB235" s="15"/>
      <c r="BC235" s="15"/>
      <c r="BD235" s="15"/>
      <c r="BE235" s="15"/>
      <c r="BF235" s="15"/>
      <c r="BG235" s="15"/>
      <c r="BH235" s="15"/>
      <c r="BI235" s="15"/>
      <c r="BJ235" s="15"/>
      <c r="BK235" s="15"/>
      <c r="BL235" s="15"/>
      <c r="BM235" s="15"/>
      <c r="BN235" s="15"/>
    </row>
    <row r="236" spans="1:66" s="47" customFormat="1" ht="63.75" x14ac:dyDescent="0.2">
      <c r="A236" s="28">
        <v>1</v>
      </c>
      <c r="B236" s="34" t="s">
        <v>315</v>
      </c>
      <c r="C236" s="28">
        <v>19</v>
      </c>
      <c r="D236" s="34" t="s">
        <v>517</v>
      </c>
      <c r="E236" s="28">
        <v>1906</v>
      </c>
      <c r="F236" s="34" t="s">
        <v>2236</v>
      </c>
      <c r="G236" s="28" t="s">
        <v>70</v>
      </c>
      <c r="H236" s="34" t="s">
        <v>2237</v>
      </c>
      <c r="I236" s="28">
        <v>1906023</v>
      </c>
      <c r="J236" s="34" t="s">
        <v>2238</v>
      </c>
      <c r="K236" s="280" t="s">
        <v>70</v>
      </c>
      <c r="L236" s="34" t="s">
        <v>2239</v>
      </c>
      <c r="M236" s="280">
        <v>190602300</v>
      </c>
      <c r="N236" s="34" t="s">
        <v>2240</v>
      </c>
      <c r="O236" s="321">
        <v>19899</v>
      </c>
      <c r="P236" s="205"/>
      <c r="Q236" s="321">
        <v>19899</v>
      </c>
      <c r="R236" s="79">
        <v>2020003630136</v>
      </c>
      <c r="S236" s="34" t="s">
        <v>2241</v>
      </c>
      <c r="T236" s="500">
        <f t="shared" si="27"/>
        <v>1</v>
      </c>
      <c r="U236" s="34" t="s">
        <v>2242</v>
      </c>
      <c r="V236" s="34" t="s">
        <v>2243</v>
      </c>
      <c r="W236" s="34" t="s">
        <v>2244</v>
      </c>
      <c r="X236" s="322">
        <v>20348823.94957725</v>
      </c>
      <c r="Y236" s="322"/>
      <c r="Z236" s="322"/>
      <c r="AA236" s="322"/>
      <c r="AB236" s="709">
        <f t="shared" si="28"/>
        <v>20348823.94957725</v>
      </c>
      <c r="AC236" s="861" t="s">
        <v>2285</v>
      </c>
      <c r="AD236" s="205"/>
      <c r="AE236" s="205">
        <v>253</v>
      </c>
      <c r="AF236" s="65" t="s">
        <v>2260</v>
      </c>
      <c r="AG236" s="320">
        <v>292684</v>
      </c>
      <c r="AH236" s="28">
        <v>282326</v>
      </c>
      <c r="AI236" s="28">
        <v>135912</v>
      </c>
      <c r="AJ236" s="28">
        <v>45122</v>
      </c>
      <c r="AK236" s="28">
        <v>365607</v>
      </c>
      <c r="AL236" s="28">
        <v>75612</v>
      </c>
      <c r="AM236" s="28">
        <v>2145</v>
      </c>
      <c r="AN236" s="28">
        <v>12718</v>
      </c>
      <c r="AO236" s="28">
        <v>26</v>
      </c>
      <c r="AP236" s="28">
        <v>37</v>
      </c>
      <c r="AQ236" s="28" t="s">
        <v>1818</v>
      </c>
      <c r="AR236" s="28" t="s">
        <v>1819</v>
      </c>
      <c r="AS236" s="28">
        <v>53164</v>
      </c>
      <c r="AT236" s="28">
        <v>16982</v>
      </c>
      <c r="AU236" s="28">
        <v>60013</v>
      </c>
      <c r="AV236" s="28">
        <v>57501</v>
      </c>
      <c r="AW236" s="843">
        <v>45293</v>
      </c>
      <c r="AX236" s="843">
        <v>45657</v>
      </c>
      <c r="AY236" s="28" t="s">
        <v>1820</v>
      </c>
      <c r="AZ236" s="15"/>
      <c r="BA236" s="15"/>
      <c r="BB236" s="15"/>
      <c r="BC236" s="15"/>
      <c r="BD236" s="15"/>
      <c r="BE236" s="15"/>
      <c r="BF236" s="15"/>
      <c r="BG236" s="15"/>
      <c r="BH236" s="15"/>
      <c r="BI236" s="15"/>
      <c r="BJ236" s="15"/>
      <c r="BK236" s="15"/>
      <c r="BL236" s="15"/>
      <c r="BM236" s="15"/>
      <c r="BN236" s="15"/>
    </row>
    <row r="237" spans="1:66" s="47" customFormat="1" ht="63.75" x14ac:dyDescent="0.2">
      <c r="A237" s="28">
        <v>1</v>
      </c>
      <c r="B237" s="34" t="s">
        <v>315</v>
      </c>
      <c r="C237" s="28">
        <v>19</v>
      </c>
      <c r="D237" s="34" t="s">
        <v>517</v>
      </c>
      <c r="E237" s="28">
        <v>1906</v>
      </c>
      <c r="F237" s="34" t="s">
        <v>2236</v>
      </c>
      <c r="G237" s="28" t="s">
        <v>70</v>
      </c>
      <c r="H237" s="34" t="s">
        <v>2237</v>
      </c>
      <c r="I237" s="28">
        <v>1906023</v>
      </c>
      <c r="J237" s="34" t="s">
        <v>2238</v>
      </c>
      <c r="K237" s="280" t="s">
        <v>70</v>
      </c>
      <c r="L237" s="34" t="s">
        <v>2239</v>
      </c>
      <c r="M237" s="280">
        <v>190602300</v>
      </c>
      <c r="N237" s="34" t="s">
        <v>2240</v>
      </c>
      <c r="O237" s="321">
        <v>19899</v>
      </c>
      <c r="P237" s="205"/>
      <c r="Q237" s="321">
        <v>19899</v>
      </c>
      <c r="R237" s="79">
        <v>2020003630136</v>
      </c>
      <c r="S237" s="34" t="s">
        <v>2241</v>
      </c>
      <c r="T237" s="500">
        <f t="shared" si="27"/>
        <v>1</v>
      </c>
      <c r="U237" s="34" t="s">
        <v>2242</v>
      </c>
      <c r="V237" s="34" t="s">
        <v>2243</v>
      </c>
      <c r="W237" s="34" t="s">
        <v>2244</v>
      </c>
      <c r="X237" s="322">
        <v>68229857.241818219</v>
      </c>
      <c r="Y237" s="322"/>
      <c r="Z237" s="322"/>
      <c r="AA237" s="322"/>
      <c r="AB237" s="709">
        <f t="shared" si="28"/>
        <v>68229857.241818219</v>
      </c>
      <c r="AC237" s="861" t="s">
        <v>2286</v>
      </c>
      <c r="AD237" s="65"/>
      <c r="AE237" s="205">
        <v>154</v>
      </c>
      <c r="AF237" s="65" t="s">
        <v>2246</v>
      </c>
      <c r="AG237" s="320">
        <v>292684</v>
      </c>
      <c r="AH237" s="28">
        <v>282326</v>
      </c>
      <c r="AI237" s="28">
        <v>135912</v>
      </c>
      <c r="AJ237" s="28">
        <v>45122</v>
      </c>
      <c r="AK237" s="28">
        <v>365607</v>
      </c>
      <c r="AL237" s="28">
        <v>75612</v>
      </c>
      <c r="AM237" s="28">
        <v>2145</v>
      </c>
      <c r="AN237" s="28">
        <v>12718</v>
      </c>
      <c r="AO237" s="28">
        <v>26</v>
      </c>
      <c r="AP237" s="28">
        <v>37</v>
      </c>
      <c r="AQ237" s="28" t="s">
        <v>1818</v>
      </c>
      <c r="AR237" s="28" t="s">
        <v>1819</v>
      </c>
      <c r="AS237" s="28">
        <v>53164</v>
      </c>
      <c r="AT237" s="28">
        <v>16982</v>
      </c>
      <c r="AU237" s="28">
        <v>60013</v>
      </c>
      <c r="AV237" s="28">
        <v>57501</v>
      </c>
      <c r="AW237" s="843">
        <v>45293</v>
      </c>
      <c r="AX237" s="843">
        <v>45657</v>
      </c>
      <c r="AY237" s="28" t="s">
        <v>1820</v>
      </c>
      <c r="AZ237" s="15"/>
      <c r="BA237" s="15"/>
      <c r="BB237" s="15"/>
      <c r="BC237" s="15"/>
      <c r="BD237" s="15"/>
      <c r="BE237" s="15"/>
      <c r="BF237" s="15"/>
      <c r="BG237" s="15"/>
      <c r="BH237" s="15"/>
      <c r="BI237" s="15"/>
      <c r="BJ237" s="15"/>
      <c r="BK237" s="15"/>
      <c r="BL237" s="15"/>
      <c r="BM237" s="15"/>
      <c r="BN237" s="15"/>
    </row>
    <row r="238" spans="1:66" s="47" customFormat="1" ht="63.75" x14ac:dyDescent="0.2">
      <c r="A238" s="28">
        <v>1</v>
      </c>
      <c r="B238" s="34" t="s">
        <v>315</v>
      </c>
      <c r="C238" s="28">
        <v>19</v>
      </c>
      <c r="D238" s="34" t="s">
        <v>517</v>
      </c>
      <c r="E238" s="28">
        <v>1906</v>
      </c>
      <c r="F238" s="34" t="s">
        <v>2236</v>
      </c>
      <c r="G238" s="28" t="s">
        <v>70</v>
      </c>
      <c r="H238" s="34" t="s">
        <v>2237</v>
      </c>
      <c r="I238" s="28">
        <v>1906023</v>
      </c>
      <c r="J238" s="34" t="s">
        <v>2238</v>
      </c>
      <c r="K238" s="280" t="s">
        <v>70</v>
      </c>
      <c r="L238" s="34" t="s">
        <v>2239</v>
      </c>
      <c r="M238" s="280">
        <v>190602300</v>
      </c>
      <c r="N238" s="34" t="s">
        <v>2240</v>
      </c>
      <c r="O238" s="321">
        <v>19899</v>
      </c>
      <c r="P238" s="205"/>
      <c r="Q238" s="321">
        <v>19899</v>
      </c>
      <c r="R238" s="79">
        <v>2020003630136</v>
      </c>
      <c r="S238" s="34" t="s">
        <v>2241</v>
      </c>
      <c r="T238" s="500">
        <f t="shared" si="27"/>
        <v>1</v>
      </c>
      <c r="U238" s="34" t="s">
        <v>2242</v>
      </c>
      <c r="V238" s="34" t="s">
        <v>2243</v>
      </c>
      <c r="W238" s="34" t="s">
        <v>2244</v>
      </c>
      <c r="X238" s="322">
        <v>46999087.783520825</v>
      </c>
      <c r="Y238" s="322"/>
      <c r="Z238" s="322"/>
      <c r="AA238" s="322"/>
      <c r="AB238" s="709">
        <f t="shared" si="28"/>
        <v>46999087.783520825</v>
      </c>
      <c r="AC238" s="861" t="s">
        <v>2287</v>
      </c>
      <c r="AD238" s="205"/>
      <c r="AE238" s="205">
        <v>237</v>
      </c>
      <c r="AF238" s="65" t="s">
        <v>2248</v>
      </c>
      <c r="AG238" s="320">
        <v>292684</v>
      </c>
      <c r="AH238" s="28">
        <v>282326</v>
      </c>
      <c r="AI238" s="28">
        <v>135912</v>
      </c>
      <c r="AJ238" s="28">
        <v>45122</v>
      </c>
      <c r="AK238" s="28">
        <v>365607</v>
      </c>
      <c r="AL238" s="28">
        <v>75612</v>
      </c>
      <c r="AM238" s="28">
        <v>2145</v>
      </c>
      <c r="AN238" s="28">
        <v>12718</v>
      </c>
      <c r="AO238" s="28">
        <v>26</v>
      </c>
      <c r="AP238" s="28">
        <v>37</v>
      </c>
      <c r="AQ238" s="28" t="s">
        <v>1818</v>
      </c>
      <c r="AR238" s="28" t="s">
        <v>1819</v>
      </c>
      <c r="AS238" s="28">
        <v>53164</v>
      </c>
      <c r="AT238" s="28">
        <v>16982</v>
      </c>
      <c r="AU238" s="28">
        <v>60013</v>
      </c>
      <c r="AV238" s="28">
        <v>57501</v>
      </c>
      <c r="AW238" s="843">
        <v>45293</v>
      </c>
      <c r="AX238" s="843">
        <v>45657</v>
      </c>
      <c r="AY238" s="28" t="s">
        <v>1820</v>
      </c>
      <c r="AZ238" s="15"/>
      <c r="BA238" s="15"/>
      <c r="BB238" s="15"/>
      <c r="BC238" s="15"/>
      <c r="BD238" s="15"/>
      <c r="BE238" s="15"/>
      <c r="BF238" s="15"/>
      <c r="BG238" s="15"/>
      <c r="BH238" s="15"/>
      <c r="BI238" s="15"/>
      <c r="BJ238" s="15"/>
      <c r="BK238" s="15"/>
      <c r="BL238" s="15"/>
      <c r="BM238" s="15"/>
      <c r="BN238" s="15"/>
    </row>
    <row r="239" spans="1:66" s="47" customFormat="1" ht="63.75" x14ac:dyDescent="0.2">
      <c r="A239" s="28">
        <v>1</v>
      </c>
      <c r="B239" s="34" t="s">
        <v>315</v>
      </c>
      <c r="C239" s="28">
        <v>19</v>
      </c>
      <c r="D239" s="34" t="s">
        <v>517</v>
      </c>
      <c r="E239" s="28">
        <v>1906</v>
      </c>
      <c r="F239" s="34" t="s">
        <v>2236</v>
      </c>
      <c r="G239" s="28" t="s">
        <v>70</v>
      </c>
      <c r="H239" s="34" t="s">
        <v>2237</v>
      </c>
      <c r="I239" s="28">
        <v>1906023</v>
      </c>
      <c r="J239" s="34" t="s">
        <v>2238</v>
      </c>
      <c r="K239" s="280" t="s">
        <v>70</v>
      </c>
      <c r="L239" s="34" t="s">
        <v>2239</v>
      </c>
      <c r="M239" s="280">
        <v>190602300</v>
      </c>
      <c r="N239" s="34" t="s">
        <v>2240</v>
      </c>
      <c r="O239" s="321">
        <v>19899</v>
      </c>
      <c r="P239" s="205"/>
      <c r="Q239" s="321">
        <v>19899</v>
      </c>
      <c r="R239" s="79">
        <v>2020003630136</v>
      </c>
      <c r="S239" s="34" t="s">
        <v>2241</v>
      </c>
      <c r="T239" s="500">
        <f t="shared" si="27"/>
        <v>1</v>
      </c>
      <c r="U239" s="34" t="s">
        <v>2242</v>
      </c>
      <c r="V239" s="34" t="s">
        <v>2243</v>
      </c>
      <c r="W239" s="34" t="s">
        <v>2244</v>
      </c>
      <c r="X239" s="322">
        <v>9879912.0659945533</v>
      </c>
      <c r="Y239" s="322"/>
      <c r="Z239" s="322"/>
      <c r="AA239" s="322"/>
      <c r="AB239" s="709">
        <f t="shared" si="28"/>
        <v>9879912.0659945533</v>
      </c>
      <c r="AC239" s="861" t="s">
        <v>2288</v>
      </c>
      <c r="AD239" s="205"/>
      <c r="AE239" s="205">
        <v>240</v>
      </c>
      <c r="AF239" s="65" t="s">
        <v>2250</v>
      </c>
      <c r="AG239" s="320">
        <v>292684</v>
      </c>
      <c r="AH239" s="28">
        <v>282326</v>
      </c>
      <c r="AI239" s="28">
        <v>135912</v>
      </c>
      <c r="AJ239" s="28">
        <v>45122</v>
      </c>
      <c r="AK239" s="28">
        <v>365607</v>
      </c>
      <c r="AL239" s="28">
        <v>75612</v>
      </c>
      <c r="AM239" s="28">
        <v>2145</v>
      </c>
      <c r="AN239" s="28">
        <v>12718</v>
      </c>
      <c r="AO239" s="28">
        <v>26</v>
      </c>
      <c r="AP239" s="28">
        <v>37</v>
      </c>
      <c r="AQ239" s="28" t="s">
        <v>1818</v>
      </c>
      <c r="AR239" s="28" t="s">
        <v>1819</v>
      </c>
      <c r="AS239" s="28">
        <v>53164</v>
      </c>
      <c r="AT239" s="28">
        <v>16982</v>
      </c>
      <c r="AU239" s="28">
        <v>60013</v>
      </c>
      <c r="AV239" s="28">
        <v>57501</v>
      </c>
      <c r="AW239" s="843">
        <v>45293</v>
      </c>
      <c r="AX239" s="843">
        <v>45657</v>
      </c>
      <c r="AY239" s="28" t="s">
        <v>1820</v>
      </c>
      <c r="AZ239" s="15"/>
      <c r="BA239" s="15"/>
      <c r="BB239" s="15"/>
      <c r="BC239" s="15"/>
      <c r="BD239" s="15"/>
      <c r="BE239" s="15"/>
      <c r="BF239" s="15"/>
      <c r="BG239" s="15"/>
      <c r="BH239" s="15"/>
      <c r="BI239" s="15"/>
      <c r="BJ239" s="15"/>
      <c r="BK239" s="15"/>
      <c r="BL239" s="15"/>
      <c r="BM239" s="15"/>
      <c r="BN239" s="15"/>
    </row>
    <row r="240" spans="1:66" s="47" customFormat="1" ht="63.75" x14ac:dyDescent="0.2">
      <c r="A240" s="28">
        <v>1</v>
      </c>
      <c r="B240" s="34" t="s">
        <v>315</v>
      </c>
      <c r="C240" s="28">
        <v>19</v>
      </c>
      <c r="D240" s="34" t="s">
        <v>517</v>
      </c>
      <c r="E240" s="28">
        <v>1906</v>
      </c>
      <c r="F240" s="34" t="s">
        <v>2236</v>
      </c>
      <c r="G240" s="28" t="s">
        <v>70</v>
      </c>
      <c r="H240" s="34" t="s">
        <v>2237</v>
      </c>
      <c r="I240" s="28">
        <v>1906023</v>
      </c>
      <c r="J240" s="34" t="s">
        <v>2238</v>
      </c>
      <c r="K240" s="280" t="s">
        <v>70</v>
      </c>
      <c r="L240" s="34" t="s">
        <v>2239</v>
      </c>
      <c r="M240" s="280">
        <v>190602300</v>
      </c>
      <c r="N240" s="34" t="s">
        <v>2240</v>
      </c>
      <c r="O240" s="321">
        <v>19899</v>
      </c>
      <c r="P240" s="205"/>
      <c r="Q240" s="321">
        <v>19899</v>
      </c>
      <c r="R240" s="79">
        <v>2020003630136</v>
      </c>
      <c r="S240" s="34" t="s">
        <v>2241</v>
      </c>
      <c r="T240" s="500">
        <f t="shared" si="27"/>
        <v>1</v>
      </c>
      <c r="U240" s="34" t="s">
        <v>2242</v>
      </c>
      <c r="V240" s="34" t="s">
        <v>2243</v>
      </c>
      <c r="W240" s="34" t="s">
        <v>2244</v>
      </c>
      <c r="X240" s="322">
        <v>14759097.425203141</v>
      </c>
      <c r="Y240" s="322"/>
      <c r="Z240" s="322"/>
      <c r="AA240" s="322"/>
      <c r="AB240" s="709">
        <f t="shared" si="28"/>
        <v>14759097.425203141</v>
      </c>
      <c r="AC240" s="861" t="s">
        <v>2289</v>
      </c>
      <c r="AD240" s="205"/>
      <c r="AE240" s="205">
        <v>243</v>
      </c>
      <c r="AF240" s="65" t="s">
        <v>2252</v>
      </c>
      <c r="AG240" s="320">
        <v>292684</v>
      </c>
      <c r="AH240" s="28">
        <v>282326</v>
      </c>
      <c r="AI240" s="28">
        <v>135912</v>
      </c>
      <c r="AJ240" s="28">
        <v>45122</v>
      </c>
      <c r="AK240" s="28">
        <v>365607</v>
      </c>
      <c r="AL240" s="28">
        <v>75612</v>
      </c>
      <c r="AM240" s="28">
        <v>2145</v>
      </c>
      <c r="AN240" s="28">
        <v>12718</v>
      </c>
      <c r="AO240" s="28">
        <v>26</v>
      </c>
      <c r="AP240" s="28">
        <v>37</v>
      </c>
      <c r="AQ240" s="28" t="s">
        <v>1818</v>
      </c>
      <c r="AR240" s="28" t="s">
        <v>1819</v>
      </c>
      <c r="AS240" s="28">
        <v>53164</v>
      </c>
      <c r="AT240" s="28">
        <v>16982</v>
      </c>
      <c r="AU240" s="28">
        <v>60013</v>
      </c>
      <c r="AV240" s="28">
        <v>57501</v>
      </c>
      <c r="AW240" s="843">
        <v>45293</v>
      </c>
      <c r="AX240" s="843">
        <v>45657</v>
      </c>
      <c r="AY240" s="28" t="s">
        <v>1820</v>
      </c>
      <c r="AZ240" s="15"/>
      <c r="BA240" s="15"/>
      <c r="BB240" s="15"/>
      <c r="BC240" s="15"/>
      <c r="BD240" s="15"/>
      <c r="BE240" s="15"/>
      <c r="BF240" s="15"/>
      <c r="BG240" s="15"/>
      <c r="BH240" s="15"/>
      <c r="BI240" s="15"/>
      <c r="BJ240" s="15"/>
      <c r="BK240" s="15"/>
      <c r="BL240" s="15"/>
      <c r="BM240" s="15"/>
      <c r="BN240" s="15"/>
    </row>
    <row r="241" spans="1:66" s="47" customFormat="1" ht="63.75" x14ac:dyDescent="0.2">
      <c r="A241" s="28">
        <v>1</v>
      </c>
      <c r="B241" s="34" t="s">
        <v>315</v>
      </c>
      <c r="C241" s="28">
        <v>19</v>
      </c>
      <c r="D241" s="34" t="s">
        <v>517</v>
      </c>
      <c r="E241" s="28">
        <v>1906</v>
      </c>
      <c r="F241" s="34" t="s">
        <v>2236</v>
      </c>
      <c r="G241" s="28" t="s">
        <v>70</v>
      </c>
      <c r="H241" s="34" t="s">
        <v>2237</v>
      </c>
      <c r="I241" s="28">
        <v>1906023</v>
      </c>
      <c r="J241" s="34" t="s">
        <v>2238</v>
      </c>
      <c r="K241" s="280" t="s">
        <v>70</v>
      </c>
      <c r="L241" s="34" t="s">
        <v>2239</v>
      </c>
      <c r="M241" s="280">
        <v>190602300</v>
      </c>
      <c r="N241" s="34" t="s">
        <v>2240</v>
      </c>
      <c r="O241" s="321">
        <v>19899</v>
      </c>
      <c r="P241" s="205"/>
      <c r="Q241" s="321">
        <v>19899</v>
      </c>
      <c r="R241" s="79">
        <v>2020003630136</v>
      </c>
      <c r="S241" s="34" t="s">
        <v>2241</v>
      </c>
      <c r="T241" s="500">
        <f t="shared" si="27"/>
        <v>1</v>
      </c>
      <c r="U241" s="34" t="s">
        <v>2242</v>
      </c>
      <c r="V241" s="34" t="s">
        <v>2243</v>
      </c>
      <c r="W241" s="34" t="s">
        <v>2244</v>
      </c>
      <c r="X241" s="322">
        <v>6993665.6570669245</v>
      </c>
      <c r="Y241" s="322"/>
      <c r="Z241" s="322"/>
      <c r="AA241" s="322"/>
      <c r="AB241" s="709">
        <f t="shared" si="28"/>
        <v>6993665.6570669245</v>
      </c>
      <c r="AC241" s="861" t="s">
        <v>2290</v>
      </c>
      <c r="AD241" s="205"/>
      <c r="AE241" s="205">
        <v>246</v>
      </c>
      <c r="AF241" s="65" t="s">
        <v>2254</v>
      </c>
      <c r="AG241" s="320">
        <v>292684</v>
      </c>
      <c r="AH241" s="28">
        <v>282326</v>
      </c>
      <c r="AI241" s="28">
        <v>135912</v>
      </c>
      <c r="AJ241" s="28">
        <v>45122</v>
      </c>
      <c r="AK241" s="28">
        <v>365607</v>
      </c>
      <c r="AL241" s="28">
        <v>75612</v>
      </c>
      <c r="AM241" s="28">
        <v>2145</v>
      </c>
      <c r="AN241" s="28">
        <v>12718</v>
      </c>
      <c r="AO241" s="28">
        <v>26</v>
      </c>
      <c r="AP241" s="28">
        <v>37</v>
      </c>
      <c r="AQ241" s="28" t="s">
        <v>1818</v>
      </c>
      <c r="AR241" s="28" t="s">
        <v>1819</v>
      </c>
      <c r="AS241" s="28">
        <v>53164</v>
      </c>
      <c r="AT241" s="28">
        <v>16982</v>
      </c>
      <c r="AU241" s="28">
        <v>60013</v>
      </c>
      <c r="AV241" s="28">
        <v>57501</v>
      </c>
      <c r="AW241" s="843">
        <v>45293</v>
      </c>
      <c r="AX241" s="843">
        <v>45657</v>
      </c>
      <c r="AY241" s="28" t="s">
        <v>1820</v>
      </c>
      <c r="AZ241" s="15"/>
      <c r="BA241" s="15"/>
      <c r="BB241" s="15"/>
      <c r="BC241" s="15"/>
      <c r="BD241" s="15"/>
      <c r="BE241" s="15"/>
      <c r="BF241" s="15"/>
      <c r="BG241" s="15"/>
      <c r="BH241" s="15"/>
      <c r="BI241" s="15"/>
      <c r="BJ241" s="15"/>
      <c r="BK241" s="15"/>
      <c r="BL241" s="15"/>
      <c r="BM241" s="15"/>
      <c r="BN241" s="15"/>
    </row>
    <row r="242" spans="1:66" s="47" customFormat="1" ht="63.75" x14ac:dyDescent="0.2">
      <c r="A242" s="28">
        <v>1</v>
      </c>
      <c r="B242" s="34" t="s">
        <v>315</v>
      </c>
      <c r="C242" s="28">
        <v>19</v>
      </c>
      <c r="D242" s="34" t="s">
        <v>517</v>
      </c>
      <c r="E242" s="28">
        <v>1906</v>
      </c>
      <c r="F242" s="34" t="s">
        <v>2236</v>
      </c>
      <c r="G242" s="28" t="s">
        <v>70</v>
      </c>
      <c r="H242" s="34" t="s">
        <v>2237</v>
      </c>
      <c r="I242" s="28">
        <v>1906023</v>
      </c>
      <c r="J242" s="34" t="s">
        <v>2238</v>
      </c>
      <c r="K242" s="280" t="s">
        <v>70</v>
      </c>
      <c r="L242" s="34" t="s">
        <v>2239</v>
      </c>
      <c r="M242" s="280">
        <v>190602300</v>
      </c>
      <c r="N242" s="34" t="s">
        <v>2240</v>
      </c>
      <c r="O242" s="321">
        <v>19899</v>
      </c>
      <c r="P242" s="205"/>
      <c r="Q242" s="321">
        <v>19899</v>
      </c>
      <c r="R242" s="79">
        <v>2020003630136</v>
      </c>
      <c r="S242" s="34" t="s">
        <v>2241</v>
      </c>
      <c r="T242" s="500">
        <f t="shared" si="27"/>
        <v>1</v>
      </c>
      <c r="U242" s="34" t="s">
        <v>2242</v>
      </c>
      <c r="V242" s="34" t="s">
        <v>2243</v>
      </c>
      <c r="W242" s="34" t="s">
        <v>2244</v>
      </c>
      <c r="X242" s="322">
        <v>4373628.7555749668</v>
      </c>
      <c r="Y242" s="322"/>
      <c r="Z242" s="322"/>
      <c r="AA242" s="322"/>
      <c r="AB242" s="709">
        <f t="shared" si="28"/>
        <v>4373628.7555749668</v>
      </c>
      <c r="AC242" s="861" t="s">
        <v>2291</v>
      </c>
      <c r="AD242" s="205"/>
      <c r="AE242" s="205">
        <v>249</v>
      </c>
      <c r="AF242" s="65" t="s">
        <v>2256</v>
      </c>
      <c r="AG242" s="320">
        <v>292684</v>
      </c>
      <c r="AH242" s="28">
        <v>282326</v>
      </c>
      <c r="AI242" s="28">
        <v>135912</v>
      </c>
      <c r="AJ242" s="28">
        <v>45122</v>
      </c>
      <c r="AK242" s="28">
        <v>365607</v>
      </c>
      <c r="AL242" s="28">
        <v>75612</v>
      </c>
      <c r="AM242" s="28">
        <v>2145</v>
      </c>
      <c r="AN242" s="28">
        <v>12718</v>
      </c>
      <c r="AO242" s="28">
        <v>26</v>
      </c>
      <c r="AP242" s="28">
        <v>37</v>
      </c>
      <c r="AQ242" s="28" t="s">
        <v>1818</v>
      </c>
      <c r="AR242" s="28" t="s">
        <v>1819</v>
      </c>
      <c r="AS242" s="28">
        <v>53164</v>
      </c>
      <c r="AT242" s="28">
        <v>16982</v>
      </c>
      <c r="AU242" s="28">
        <v>60013</v>
      </c>
      <c r="AV242" s="28">
        <v>57501</v>
      </c>
      <c r="AW242" s="843">
        <v>45293</v>
      </c>
      <c r="AX242" s="843">
        <v>45657</v>
      </c>
      <c r="AY242" s="28" t="s">
        <v>1820</v>
      </c>
      <c r="AZ242" s="15"/>
      <c r="BA242" s="15"/>
      <c r="BB242" s="15"/>
      <c r="BC242" s="15"/>
      <c r="BD242" s="15"/>
      <c r="BE242" s="15"/>
      <c r="BF242" s="15"/>
      <c r="BG242" s="15"/>
      <c r="BH242" s="15"/>
      <c r="BI242" s="15"/>
      <c r="BJ242" s="15"/>
      <c r="BK242" s="15"/>
      <c r="BL242" s="15"/>
      <c r="BM242" s="15"/>
      <c r="BN242" s="15"/>
    </row>
    <row r="243" spans="1:66" s="47" customFormat="1" ht="63.75" x14ac:dyDescent="0.2">
      <c r="A243" s="28">
        <v>1</v>
      </c>
      <c r="B243" s="34" t="s">
        <v>315</v>
      </c>
      <c r="C243" s="28">
        <v>19</v>
      </c>
      <c r="D243" s="34" t="s">
        <v>517</v>
      </c>
      <c r="E243" s="28">
        <v>1906</v>
      </c>
      <c r="F243" s="34" t="s">
        <v>2236</v>
      </c>
      <c r="G243" s="28" t="s">
        <v>70</v>
      </c>
      <c r="H243" s="34" t="s">
        <v>2237</v>
      </c>
      <c r="I243" s="28">
        <v>1906023</v>
      </c>
      <c r="J243" s="34" t="s">
        <v>2238</v>
      </c>
      <c r="K243" s="280" t="s">
        <v>70</v>
      </c>
      <c r="L243" s="34" t="s">
        <v>2239</v>
      </c>
      <c r="M243" s="280">
        <v>190602300</v>
      </c>
      <c r="N243" s="34" t="s">
        <v>2240</v>
      </c>
      <c r="O243" s="321">
        <v>19899</v>
      </c>
      <c r="P243" s="205"/>
      <c r="Q243" s="321">
        <v>19899</v>
      </c>
      <c r="R243" s="79">
        <v>2020003630136</v>
      </c>
      <c r="S243" s="34" t="s">
        <v>2241</v>
      </c>
      <c r="T243" s="500">
        <f t="shared" si="27"/>
        <v>1</v>
      </c>
      <c r="U243" s="34" t="s">
        <v>2242</v>
      </c>
      <c r="V243" s="34" t="s">
        <v>2243</v>
      </c>
      <c r="W243" s="34" t="s">
        <v>2244</v>
      </c>
      <c r="X243" s="322">
        <v>141336282.73772818</v>
      </c>
      <c r="Y243" s="322"/>
      <c r="Z243" s="322"/>
      <c r="AA243" s="322"/>
      <c r="AB243" s="709">
        <f t="shared" si="28"/>
        <v>141336282.73772818</v>
      </c>
      <c r="AC243" s="861" t="s">
        <v>2292</v>
      </c>
      <c r="AD243" s="205"/>
      <c r="AE243" s="205">
        <v>252</v>
      </c>
      <c r="AF243" s="65" t="s">
        <v>2268</v>
      </c>
      <c r="AG243" s="320">
        <v>292684</v>
      </c>
      <c r="AH243" s="28">
        <v>282326</v>
      </c>
      <c r="AI243" s="28">
        <v>135912</v>
      </c>
      <c r="AJ243" s="28">
        <v>45122</v>
      </c>
      <c r="AK243" s="28">
        <v>365607</v>
      </c>
      <c r="AL243" s="28">
        <v>75612</v>
      </c>
      <c r="AM243" s="28">
        <v>2145</v>
      </c>
      <c r="AN243" s="28">
        <v>12718</v>
      </c>
      <c r="AO243" s="28">
        <v>26</v>
      </c>
      <c r="AP243" s="28">
        <v>37</v>
      </c>
      <c r="AQ243" s="28" t="s">
        <v>1818</v>
      </c>
      <c r="AR243" s="28" t="s">
        <v>1819</v>
      </c>
      <c r="AS243" s="28">
        <v>53164</v>
      </c>
      <c r="AT243" s="28">
        <v>16982</v>
      </c>
      <c r="AU243" s="28">
        <v>60013</v>
      </c>
      <c r="AV243" s="28">
        <v>57501</v>
      </c>
      <c r="AW243" s="843">
        <v>45293</v>
      </c>
      <c r="AX243" s="843">
        <v>45657</v>
      </c>
      <c r="AY243" s="28" t="s">
        <v>1820</v>
      </c>
      <c r="AZ243" s="15"/>
      <c r="BA243" s="15"/>
      <c r="BB243" s="15"/>
      <c r="BC243" s="15"/>
      <c r="BD243" s="15"/>
      <c r="BE243" s="15"/>
      <c r="BF243" s="15"/>
      <c r="BG243" s="15"/>
      <c r="BH243" s="15"/>
      <c r="BI243" s="15"/>
      <c r="BJ243" s="15"/>
      <c r="BK243" s="15"/>
      <c r="BL243" s="15"/>
      <c r="BM243" s="15"/>
      <c r="BN243" s="15"/>
    </row>
    <row r="244" spans="1:66" s="47" customFormat="1" ht="63.75" x14ac:dyDescent="0.2">
      <c r="A244" s="28">
        <v>1</v>
      </c>
      <c r="B244" s="34" t="s">
        <v>315</v>
      </c>
      <c r="C244" s="28">
        <v>19</v>
      </c>
      <c r="D244" s="34" t="s">
        <v>517</v>
      </c>
      <c r="E244" s="28">
        <v>1906</v>
      </c>
      <c r="F244" s="34" t="s">
        <v>2236</v>
      </c>
      <c r="G244" s="28" t="s">
        <v>70</v>
      </c>
      <c r="H244" s="34" t="s">
        <v>2237</v>
      </c>
      <c r="I244" s="28">
        <v>1906023</v>
      </c>
      <c r="J244" s="34" t="s">
        <v>2238</v>
      </c>
      <c r="K244" s="280" t="s">
        <v>70</v>
      </c>
      <c r="L244" s="34" t="s">
        <v>2239</v>
      </c>
      <c r="M244" s="280">
        <v>190602300</v>
      </c>
      <c r="N244" s="34" t="s">
        <v>2240</v>
      </c>
      <c r="O244" s="321">
        <v>19899</v>
      </c>
      <c r="P244" s="205"/>
      <c r="Q244" s="321">
        <v>19899</v>
      </c>
      <c r="R244" s="79">
        <v>2020003630136</v>
      </c>
      <c r="S244" s="34" t="s">
        <v>2241</v>
      </c>
      <c r="T244" s="500">
        <f t="shared" si="27"/>
        <v>1</v>
      </c>
      <c r="U244" s="34" t="s">
        <v>2242</v>
      </c>
      <c r="V244" s="34" t="s">
        <v>2243</v>
      </c>
      <c r="W244" s="34" t="s">
        <v>2244</v>
      </c>
      <c r="X244" s="322">
        <v>4857159.031587055</v>
      </c>
      <c r="Y244" s="322"/>
      <c r="Z244" s="322"/>
      <c r="AA244" s="322"/>
      <c r="AB244" s="709">
        <f t="shared" si="28"/>
        <v>4857159.031587055</v>
      </c>
      <c r="AC244" s="861" t="s">
        <v>2293</v>
      </c>
      <c r="AD244" s="205"/>
      <c r="AE244" s="205">
        <v>253</v>
      </c>
      <c r="AF244" s="65" t="s">
        <v>2260</v>
      </c>
      <c r="AG244" s="320">
        <v>292684</v>
      </c>
      <c r="AH244" s="28">
        <v>282326</v>
      </c>
      <c r="AI244" s="28">
        <v>135912</v>
      </c>
      <c r="AJ244" s="28">
        <v>45122</v>
      </c>
      <c r="AK244" s="28">
        <v>365607</v>
      </c>
      <c r="AL244" s="28">
        <v>75612</v>
      </c>
      <c r="AM244" s="28">
        <v>2145</v>
      </c>
      <c r="AN244" s="28">
        <v>12718</v>
      </c>
      <c r="AO244" s="28">
        <v>26</v>
      </c>
      <c r="AP244" s="28">
        <v>37</v>
      </c>
      <c r="AQ244" s="28" t="s">
        <v>1818</v>
      </c>
      <c r="AR244" s="28" t="s">
        <v>1819</v>
      </c>
      <c r="AS244" s="28">
        <v>53164</v>
      </c>
      <c r="AT244" s="28">
        <v>16982</v>
      </c>
      <c r="AU244" s="28">
        <v>60013</v>
      </c>
      <c r="AV244" s="28">
        <v>57501</v>
      </c>
      <c r="AW244" s="843">
        <v>45293</v>
      </c>
      <c r="AX244" s="843">
        <v>45657</v>
      </c>
      <c r="AY244" s="28" t="s">
        <v>1820</v>
      </c>
      <c r="AZ244" s="15"/>
      <c r="BA244" s="15"/>
      <c r="BB244" s="15"/>
      <c r="BC244" s="15"/>
      <c r="BD244" s="15"/>
      <c r="BE244" s="15"/>
      <c r="BF244" s="15"/>
      <c r="BG244" s="15"/>
      <c r="BH244" s="15"/>
      <c r="BI244" s="15"/>
      <c r="BJ244" s="15"/>
      <c r="BK244" s="15"/>
      <c r="BL244" s="15"/>
      <c r="BM244" s="15"/>
      <c r="BN244" s="15"/>
    </row>
    <row r="245" spans="1:66" s="47" customFormat="1" ht="63.75" x14ac:dyDescent="0.2">
      <c r="A245" s="28">
        <v>1</v>
      </c>
      <c r="B245" s="34" t="s">
        <v>315</v>
      </c>
      <c r="C245" s="28">
        <v>19</v>
      </c>
      <c r="D245" s="34" t="s">
        <v>517</v>
      </c>
      <c r="E245" s="28">
        <v>1906</v>
      </c>
      <c r="F245" s="34" t="s">
        <v>2236</v>
      </c>
      <c r="G245" s="28" t="s">
        <v>70</v>
      </c>
      <c r="H245" s="34" t="s">
        <v>2237</v>
      </c>
      <c r="I245" s="28">
        <v>1906023</v>
      </c>
      <c r="J245" s="34" t="s">
        <v>2238</v>
      </c>
      <c r="K245" s="280" t="s">
        <v>70</v>
      </c>
      <c r="L245" s="34" t="s">
        <v>2239</v>
      </c>
      <c r="M245" s="280">
        <v>190602300</v>
      </c>
      <c r="N245" s="34" t="s">
        <v>2240</v>
      </c>
      <c r="O245" s="321">
        <v>19899</v>
      </c>
      <c r="P245" s="205"/>
      <c r="Q245" s="321">
        <v>19899</v>
      </c>
      <c r="R245" s="79">
        <v>2020003630136</v>
      </c>
      <c r="S245" s="34" t="s">
        <v>2241</v>
      </c>
      <c r="T245" s="500">
        <f t="shared" si="27"/>
        <v>1</v>
      </c>
      <c r="U245" s="34" t="s">
        <v>2242</v>
      </c>
      <c r="V245" s="34" t="s">
        <v>2243</v>
      </c>
      <c r="W245" s="34" t="s">
        <v>2244</v>
      </c>
      <c r="X245" s="322">
        <v>834935303.56638145</v>
      </c>
      <c r="Y245" s="322"/>
      <c r="Z245" s="322"/>
      <c r="AA245" s="322"/>
      <c r="AB245" s="709">
        <f t="shared" si="28"/>
        <v>834935303.56638145</v>
      </c>
      <c r="AC245" s="861" t="s">
        <v>2294</v>
      </c>
      <c r="AD245" s="65"/>
      <c r="AE245" s="205">
        <v>154</v>
      </c>
      <c r="AF245" s="65" t="s">
        <v>2246</v>
      </c>
      <c r="AG245" s="320">
        <v>292684</v>
      </c>
      <c r="AH245" s="28">
        <v>282326</v>
      </c>
      <c r="AI245" s="28">
        <v>135912</v>
      </c>
      <c r="AJ245" s="28">
        <v>45122</v>
      </c>
      <c r="AK245" s="28">
        <v>365607</v>
      </c>
      <c r="AL245" s="28">
        <v>75612</v>
      </c>
      <c r="AM245" s="28">
        <v>2145</v>
      </c>
      <c r="AN245" s="28">
        <v>12718</v>
      </c>
      <c r="AO245" s="28">
        <v>26</v>
      </c>
      <c r="AP245" s="28">
        <v>37</v>
      </c>
      <c r="AQ245" s="28" t="s">
        <v>1818</v>
      </c>
      <c r="AR245" s="28" t="s">
        <v>1819</v>
      </c>
      <c r="AS245" s="28">
        <v>53164</v>
      </c>
      <c r="AT245" s="28">
        <v>16982</v>
      </c>
      <c r="AU245" s="28">
        <v>60013</v>
      </c>
      <c r="AV245" s="28">
        <v>57501</v>
      </c>
      <c r="AW245" s="843">
        <v>45293</v>
      </c>
      <c r="AX245" s="843">
        <v>45657</v>
      </c>
      <c r="AY245" s="28" t="s">
        <v>1820</v>
      </c>
      <c r="AZ245" s="15"/>
      <c r="BA245" s="15"/>
      <c r="BB245" s="15"/>
      <c r="BC245" s="15"/>
      <c r="BD245" s="15"/>
      <c r="BE245" s="15"/>
      <c r="BF245" s="15"/>
      <c r="BG245" s="15"/>
      <c r="BH245" s="15"/>
      <c r="BI245" s="15"/>
      <c r="BJ245" s="15"/>
      <c r="BK245" s="15"/>
      <c r="BL245" s="15"/>
      <c r="BM245" s="15"/>
      <c r="BN245" s="15"/>
    </row>
    <row r="246" spans="1:66" s="47" customFormat="1" ht="63.75" x14ac:dyDescent="0.2">
      <c r="A246" s="28">
        <v>1</v>
      </c>
      <c r="B246" s="34" t="s">
        <v>315</v>
      </c>
      <c r="C246" s="28">
        <v>19</v>
      </c>
      <c r="D246" s="34" t="s">
        <v>517</v>
      </c>
      <c r="E246" s="28">
        <v>1906</v>
      </c>
      <c r="F246" s="34" t="s">
        <v>2236</v>
      </c>
      <c r="G246" s="28" t="s">
        <v>70</v>
      </c>
      <c r="H246" s="34" t="s">
        <v>2237</v>
      </c>
      <c r="I246" s="28">
        <v>1906023</v>
      </c>
      <c r="J246" s="34" t="s">
        <v>2238</v>
      </c>
      <c r="K246" s="280" t="s">
        <v>70</v>
      </c>
      <c r="L246" s="34" t="s">
        <v>2239</v>
      </c>
      <c r="M246" s="280">
        <v>190602300</v>
      </c>
      <c r="N246" s="34" t="s">
        <v>2240</v>
      </c>
      <c r="O246" s="321">
        <v>19899</v>
      </c>
      <c r="P246" s="205"/>
      <c r="Q246" s="321">
        <v>19899</v>
      </c>
      <c r="R246" s="79">
        <v>2020003630136</v>
      </c>
      <c r="S246" s="34" t="s">
        <v>2241</v>
      </c>
      <c r="T246" s="500">
        <f t="shared" si="27"/>
        <v>1</v>
      </c>
      <c r="U246" s="34" t="s">
        <v>2242</v>
      </c>
      <c r="V246" s="34" t="s">
        <v>2243</v>
      </c>
      <c r="W246" s="34" t="s">
        <v>2244</v>
      </c>
      <c r="X246" s="322">
        <v>575132342.52857196</v>
      </c>
      <c r="Y246" s="322"/>
      <c r="Z246" s="322"/>
      <c r="AA246" s="322"/>
      <c r="AB246" s="709">
        <f t="shared" si="28"/>
        <v>575132342.52857196</v>
      </c>
      <c r="AC246" s="861" t="s">
        <v>2295</v>
      </c>
      <c r="AD246" s="205"/>
      <c r="AE246" s="205">
        <v>237</v>
      </c>
      <c r="AF246" s="65" t="s">
        <v>2248</v>
      </c>
      <c r="AG246" s="320">
        <v>292684</v>
      </c>
      <c r="AH246" s="28">
        <v>282326</v>
      </c>
      <c r="AI246" s="28">
        <v>135912</v>
      </c>
      <c r="AJ246" s="28">
        <v>45122</v>
      </c>
      <c r="AK246" s="28">
        <v>365607</v>
      </c>
      <c r="AL246" s="28">
        <v>75612</v>
      </c>
      <c r="AM246" s="28">
        <v>2145</v>
      </c>
      <c r="AN246" s="28">
        <v>12718</v>
      </c>
      <c r="AO246" s="28">
        <v>26</v>
      </c>
      <c r="AP246" s="28">
        <v>37</v>
      </c>
      <c r="AQ246" s="28" t="s">
        <v>1818</v>
      </c>
      <c r="AR246" s="28" t="s">
        <v>1819</v>
      </c>
      <c r="AS246" s="28">
        <v>53164</v>
      </c>
      <c r="AT246" s="28">
        <v>16982</v>
      </c>
      <c r="AU246" s="28">
        <v>60013</v>
      </c>
      <c r="AV246" s="28">
        <v>57501</v>
      </c>
      <c r="AW246" s="843">
        <v>45293</v>
      </c>
      <c r="AX246" s="843">
        <v>45657</v>
      </c>
      <c r="AY246" s="28" t="s">
        <v>1820</v>
      </c>
      <c r="AZ246" s="15"/>
      <c r="BA246" s="15"/>
      <c r="BB246" s="15"/>
      <c r="BC246" s="15"/>
      <c r="BD246" s="15"/>
      <c r="BE246" s="15"/>
      <c r="BF246" s="15"/>
      <c r="BG246" s="15"/>
      <c r="BH246" s="15"/>
      <c r="BI246" s="15"/>
      <c r="BJ246" s="15"/>
      <c r="BK246" s="15"/>
      <c r="BL246" s="15"/>
      <c r="BM246" s="15"/>
      <c r="BN246" s="15"/>
    </row>
    <row r="247" spans="1:66" s="47" customFormat="1" ht="63.75" x14ac:dyDescent="0.2">
      <c r="A247" s="28">
        <v>1</v>
      </c>
      <c r="B247" s="34" t="s">
        <v>315</v>
      </c>
      <c r="C247" s="28">
        <v>19</v>
      </c>
      <c r="D247" s="34" t="s">
        <v>517</v>
      </c>
      <c r="E247" s="28">
        <v>1906</v>
      </c>
      <c r="F247" s="34" t="s">
        <v>2236</v>
      </c>
      <c r="G247" s="28" t="s">
        <v>70</v>
      </c>
      <c r="H247" s="34" t="s">
        <v>2237</v>
      </c>
      <c r="I247" s="28">
        <v>1906023</v>
      </c>
      <c r="J247" s="34" t="s">
        <v>2238</v>
      </c>
      <c r="K247" s="280" t="s">
        <v>70</v>
      </c>
      <c r="L247" s="34" t="s">
        <v>2239</v>
      </c>
      <c r="M247" s="280">
        <v>190602300</v>
      </c>
      <c r="N247" s="34" t="s">
        <v>2240</v>
      </c>
      <c r="O247" s="321">
        <v>19899</v>
      </c>
      <c r="P247" s="205"/>
      <c r="Q247" s="321">
        <v>19899</v>
      </c>
      <c r="R247" s="79">
        <v>2020003630136</v>
      </c>
      <c r="S247" s="34" t="s">
        <v>2241</v>
      </c>
      <c r="T247" s="500">
        <f t="shared" si="27"/>
        <v>1</v>
      </c>
      <c r="U247" s="34" t="s">
        <v>2242</v>
      </c>
      <c r="V247" s="34" t="s">
        <v>2243</v>
      </c>
      <c r="W247" s="34" t="s">
        <v>2244</v>
      </c>
      <c r="X247" s="322">
        <v>120901431.03764893</v>
      </c>
      <c r="Y247" s="322"/>
      <c r="Z247" s="322"/>
      <c r="AA247" s="322"/>
      <c r="AB247" s="709">
        <f t="shared" si="28"/>
        <v>120901431.03764893</v>
      </c>
      <c r="AC247" s="861" t="s">
        <v>2296</v>
      </c>
      <c r="AD247" s="205"/>
      <c r="AE247" s="205">
        <v>240</v>
      </c>
      <c r="AF247" s="65" t="s">
        <v>2250</v>
      </c>
      <c r="AG247" s="320">
        <v>292684</v>
      </c>
      <c r="AH247" s="28">
        <v>282326</v>
      </c>
      <c r="AI247" s="28">
        <v>135912</v>
      </c>
      <c r="AJ247" s="28">
        <v>45122</v>
      </c>
      <c r="AK247" s="28">
        <v>365607</v>
      </c>
      <c r="AL247" s="28">
        <v>75612</v>
      </c>
      <c r="AM247" s="28">
        <v>2145</v>
      </c>
      <c r="AN247" s="28">
        <v>12718</v>
      </c>
      <c r="AO247" s="28">
        <v>26</v>
      </c>
      <c r="AP247" s="28">
        <v>37</v>
      </c>
      <c r="AQ247" s="28" t="s">
        <v>1818</v>
      </c>
      <c r="AR247" s="28" t="s">
        <v>1819</v>
      </c>
      <c r="AS247" s="28">
        <v>53164</v>
      </c>
      <c r="AT247" s="28">
        <v>16982</v>
      </c>
      <c r="AU247" s="28">
        <v>60013</v>
      </c>
      <c r="AV247" s="28">
        <v>57501</v>
      </c>
      <c r="AW247" s="843">
        <v>45293</v>
      </c>
      <c r="AX247" s="843">
        <v>45657</v>
      </c>
      <c r="AY247" s="28" t="s">
        <v>1820</v>
      </c>
      <c r="AZ247" s="15"/>
      <c r="BA247" s="15"/>
      <c r="BB247" s="15"/>
      <c r="BC247" s="15"/>
      <c r="BD247" s="15"/>
      <c r="BE247" s="15"/>
      <c r="BF247" s="15"/>
      <c r="BG247" s="15"/>
      <c r="BH247" s="15"/>
      <c r="BI247" s="15"/>
      <c r="BJ247" s="15"/>
      <c r="BK247" s="15"/>
      <c r="BL247" s="15"/>
      <c r="BM247" s="15"/>
      <c r="BN247" s="15"/>
    </row>
    <row r="248" spans="1:66" s="47" customFormat="1" ht="63.75" x14ac:dyDescent="0.2">
      <c r="A248" s="28">
        <v>1</v>
      </c>
      <c r="B248" s="34" t="s">
        <v>315</v>
      </c>
      <c r="C248" s="28">
        <v>19</v>
      </c>
      <c r="D248" s="34" t="s">
        <v>517</v>
      </c>
      <c r="E248" s="28">
        <v>1906</v>
      </c>
      <c r="F248" s="34" t="s">
        <v>2236</v>
      </c>
      <c r="G248" s="28" t="s">
        <v>70</v>
      </c>
      <c r="H248" s="34" t="s">
        <v>2237</v>
      </c>
      <c r="I248" s="28">
        <v>1906023</v>
      </c>
      <c r="J248" s="34" t="s">
        <v>2238</v>
      </c>
      <c r="K248" s="280" t="s">
        <v>70</v>
      </c>
      <c r="L248" s="34" t="s">
        <v>2239</v>
      </c>
      <c r="M248" s="280">
        <v>190602300</v>
      </c>
      <c r="N248" s="34" t="s">
        <v>2240</v>
      </c>
      <c r="O248" s="321">
        <v>19899</v>
      </c>
      <c r="P248" s="205"/>
      <c r="Q248" s="321">
        <v>19899</v>
      </c>
      <c r="R248" s="79">
        <v>2020003630136</v>
      </c>
      <c r="S248" s="34" t="s">
        <v>2241</v>
      </c>
      <c r="T248" s="500">
        <f t="shared" si="27"/>
        <v>1</v>
      </c>
      <c r="U248" s="34" t="s">
        <v>2242</v>
      </c>
      <c r="V248" s="34" t="s">
        <v>2243</v>
      </c>
      <c r="W248" s="34" t="s">
        <v>2244</v>
      </c>
      <c r="X248" s="322">
        <v>180608489.99585852</v>
      </c>
      <c r="Y248" s="322"/>
      <c r="Z248" s="322"/>
      <c r="AA248" s="322"/>
      <c r="AB248" s="709">
        <f t="shared" si="28"/>
        <v>180608489.99585852</v>
      </c>
      <c r="AC248" s="861" t="s">
        <v>2297</v>
      </c>
      <c r="AD248" s="205"/>
      <c r="AE248" s="205">
        <v>243</v>
      </c>
      <c r="AF248" s="65" t="s">
        <v>2252</v>
      </c>
      <c r="AG248" s="320">
        <v>292684</v>
      </c>
      <c r="AH248" s="28">
        <v>282326</v>
      </c>
      <c r="AI248" s="28">
        <v>135912</v>
      </c>
      <c r="AJ248" s="28">
        <v>45122</v>
      </c>
      <c r="AK248" s="28">
        <v>365607</v>
      </c>
      <c r="AL248" s="28">
        <v>75612</v>
      </c>
      <c r="AM248" s="28">
        <v>2145</v>
      </c>
      <c r="AN248" s="28">
        <v>12718</v>
      </c>
      <c r="AO248" s="28">
        <v>26</v>
      </c>
      <c r="AP248" s="28">
        <v>37</v>
      </c>
      <c r="AQ248" s="28" t="s">
        <v>1818</v>
      </c>
      <c r="AR248" s="28" t="s">
        <v>1819</v>
      </c>
      <c r="AS248" s="28">
        <v>53164</v>
      </c>
      <c r="AT248" s="28">
        <v>16982</v>
      </c>
      <c r="AU248" s="28">
        <v>60013</v>
      </c>
      <c r="AV248" s="28">
        <v>57501</v>
      </c>
      <c r="AW248" s="843">
        <v>45293</v>
      </c>
      <c r="AX248" s="843">
        <v>45657</v>
      </c>
      <c r="AY248" s="28" t="s">
        <v>1820</v>
      </c>
      <c r="AZ248" s="15"/>
      <c r="BA248" s="15"/>
      <c r="BB248" s="15"/>
      <c r="BC248" s="15"/>
      <c r="BD248" s="15"/>
      <c r="BE248" s="15"/>
      <c r="BF248" s="15"/>
      <c r="BG248" s="15"/>
      <c r="BH248" s="15"/>
      <c r="BI248" s="15"/>
      <c r="BJ248" s="15"/>
      <c r="BK248" s="15"/>
      <c r="BL248" s="15"/>
      <c r="BM248" s="15"/>
      <c r="BN248" s="15"/>
    </row>
    <row r="249" spans="1:66" s="47" customFormat="1" ht="63.75" x14ac:dyDescent="0.2">
      <c r="A249" s="28">
        <v>1</v>
      </c>
      <c r="B249" s="34" t="s">
        <v>315</v>
      </c>
      <c r="C249" s="28">
        <v>19</v>
      </c>
      <c r="D249" s="34" t="s">
        <v>517</v>
      </c>
      <c r="E249" s="28">
        <v>1906</v>
      </c>
      <c r="F249" s="34" t="s">
        <v>2236</v>
      </c>
      <c r="G249" s="28" t="s">
        <v>70</v>
      </c>
      <c r="H249" s="34" t="s">
        <v>2237</v>
      </c>
      <c r="I249" s="28">
        <v>1906023</v>
      </c>
      <c r="J249" s="34" t="s">
        <v>2238</v>
      </c>
      <c r="K249" s="280" t="s">
        <v>70</v>
      </c>
      <c r="L249" s="34" t="s">
        <v>2239</v>
      </c>
      <c r="M249" s="280">
        <v>190602300</v>
      </c>
      <c r="N249" s="34" t="s">
        <v>2240</v>
      </c>
      <c r="O249" s="321">
        <v>19899</v>
      </c>
      <c r="P249" s="205"/>
      <c r="Q249" s="321">
        <v>19899</v>
      </c>
      <c r="R249" s="79">
        <v>2020003630136</v>
      </c>
      <c r="S249" s="34" t="s">
        <v>2241</v>
      </c>
      <c r="T249" s="500">
        <f t="shared" si="27"/>
        <v>1</v>
      </c>
      <c r="U249" s="34" t="s">
        <v>2242</v>
      </c>
      <c r="V249" s="34" t="s">
        <v>2243</v>
      </c>
      <c r="W249" s="34" t="s">
        <v>2244</v>
      </c>
      <c r="X249" s="322">
        <v>85582157.056691825</v>
      </c>
      <c r="Y249" s="322"/>
      <c r="Z249" s="322"/>
      <c r="AA249" s="322"/>
      <c r="AB249" s="709">
        <f t="shared" si="28"/>
        <v>85582157.056691825</v>
      </c>
      <c r="AC249" s="861" t="s">
        <v>2298</v>
      </c>
      <c r="AD249" s="205"/>
      <c r="AE249" s="205">
        <v>246</v>
      </c>
      <c r="AF249" s="65" t="s">
        <v>2254</v>
      </c>
      <c r="AG249" s="320">
        <v>292684</v>
      </c>
      <c r="AH249" s="28">
        <v>282326</v>
      </c>
      <c r="AI249" s="28">
        <v>135912</v>
      </c>
      <c r="AJ249" s="28">
        <v>45122</v>
      </c>
      <c r="AK249" s="28">
        <v>365607</v>
      </c>
      <c r="AL249" s="28">
        <v>75612</v>
      </c>
      <c r="AM249" s="28">
        <v>2145</v>
      </c>
      <c r="AN249" s="28">
        <v>12718</v>
      </c>
      <c r="AO249" s="28">
        <v>26</v>
      </c>
      <c r="AP249" s="28">
        <v>37</v>
      </c>
      <c r="AQ249" s="28" t="s">
        <v>1818</v>
      </c>
      <c r="AR249" s="28" t="s">
        <v>1819</v>
      </c>
      <c r="AS249" s="28">
        <v>53164</v>
      </c>
      <c r="AT249" s="28">
        <v>16982</v>
      </c>
      <c r="AU249" s="28">
        <v>60013</v>
      </c>
      <c r="AV249" s="28">
        <v>57501</v>
      </c>
      <c r="AW249" s="843">
        <v>45293</v>
      </c>
      <c r="AX249" s="843">
        <v>45657</v>
      </c>
      <c r="AY249" s="28" t="s">
        <v>1820</v>
      </c>
      <c r="AZ249" s="15"/>
      <c r="BA249" s="15"/>
      <c r="BB249" s="15"/>
      <c r="BC249" s="15"/>
      <c r="BD249" s="15"/>
      <c r="BE249" s="15"/>
      <c r="BF249" s="15"/>
      <c r="BG249" s="15"/>
      <c r="BH249" s="15"/>
      <c r="BI249" s="15"/>
      <c r="BJ249" s="15"/>
      <c r="BK249" s="15"/>
      <c r="BL249" s="15"/>
      <c r="BM249" s="15"/>
      <c r="BN249" s="15"/>
    </row>
    <row r="250" spans="1:66" s="47" customFormat="1" ht="63.75" x14ac:dyDescent="0.2">
      <c r="A250" s="28">
        <v>1</v>
      </c>
      <c r="B250" s="34" t="s">
        <v>315</v>
      </c>
      <c r="C250" s="28">
        <v>19</v>
      </c>
      <c r="D250" s="34" t="s">
        <v>517</v>
      </c>
      <c r="E250" s="28">
        <v>1906</v>
      </c>
      <c r="F250" s="34" t="s">
        <v>2236</v>
      </c>
      <c r="G250" s="28" t="s">
        <v>70</v>
      </c>
      <c r="H250" s="34" t="s">
        <v>2237</v>
      </c>
      <c r="I250" s="28">
        <v>1906023</v>
      </c>
      <c r="J250" s="34" t="s">
        <v>2238</v>
      </c>
      <c r="K250" s="280" t="s">
        <v>70</v>
      </c>
      <c r="L250" s="34" t="s">
        <v>2239</v>
      </c>
      <c r="M250" s="280">
        <v>190602300</v>
      </c>
      <c r="N250" s="34" t="s">
        <v>2240</v>
      </c>
      <c r="O250" s="321">
        <v>19899</v>
      </c>
      <c r="P250" s="205"/>
      <c r="Q250" s="321">
        <v>19899</v>
      </c>
      <c r="R250" s="79">
        <v>2020003630136</v>
      </c>
      <c r="S250" s="34" t="s">
        <v>2241</v>
      </c>
      <c r="T250" s="500">
        <f t="shared" si="27"/>
        <v>1</v>
      </c>
      <c r="U250" s="34" t="s">
        <v>2242</v>
      </c>
      <c r="V250" s="34" t="s">
        <v>2243</v>
      </c>
      <c r="W250" s="34" t="s">
        <v>2244</v>
      </c>
      <c r="X250" s="322">
        <v>53520514.337006517</v>
      </c>
      <c r="Y250" s="322"/>
      <c r="Z250" s="322"/>
      <c r="AA250" s="322"/>
      <c r="AB250" s="709">
        <f t="shared" si="28"/>
        <v>53520514.337006517</v>
      </c>
      <c r="AC250" s="861" t="s">
        <v>2299</v>
      </c>
      <c r="AD250" s="205"/>
      <c r="AE250" s="205">
        <v>249</v>
      </c>
      <c r="AF250" s="65" t="s">
        <v>2256</v>
      </c>
      <c r="AG250" s="320">
        <v>292684</v>
      </c>
      <c r="AH250" s="28">
        <v>282326</v>
      </c>
      <c r="AI250" s="28">
        <v>135912</v>
      </c>
      <c r="AJ250" s="28">
        <v>45122</v>
      </c>
      <c r="AK250" s="28">
        <v>365607</v>
      </c>
      <c r="AL250" s="28">
        <v>75612</v>
      </c>
      <c r="AM250" s="28">
        <v>2145</v>
      </c>
      <c r="AN250" s="28">
        <v>12718</v>
      </c>
      <c r="AO250" s="28">
        <v>26</v>
      </c>
      <c r="AP250" s="28">
        <v>37</v>
      </c>
      <c r="AQ250" s="28" t="s">
        <v>1818</v>
      </c>
      <c r="AR250" s="28" t="s">
        <v>1819</v>
      </c>
      <c r="AS250" s="28">
        <v>53164</v>
      </c>
      <c r="AT250" s="28">
        <v>16982</v>
      </c>
      <c r="AU250" s="28">
        <v>60013</v>
      </c>
      <c r="AV250" s="28">
        <v>57501</v>
      </c>
      <c r="AW250" s="843">
        <v>45293</v>
      </c>
      <c r="AX250" s="843">
        <v>45657</v>
      </c>
      <c r="AY250" s="28" t="s">
        <v>1820</v>
      </c>
      <c r="AZ250" s="15"/>
      <c r="BA250" s="15"/>
      <c r="BB250" s="15"/>
      <c r="BC250" s="15"/>
      <c r="BD250" s="15"/>
      <c r="BE250" s="15"/>
      <c r="BF250" s="15"/>
      <c r="BG250" s="15"/>
      <c r="BH250" s="15"/>
      <c r="BI250" s="15"/>
      <c r="BJ250" s="15"/>
      <c r="BK250" s="15"/>
      <c r="BL250" s="15"/>
      <c r="BM250" s="15"/>
      <c r="BN250" s="15"/>
    </row>
    <row r="251" spans="1:66" s="47" customFormat="1" ht="63.75" x14ac:dyDescent="0.2">
      <c r="A251" s="28">
        <v>1</v>
      </c>
      <c r="B251" s="34" t="s">
        <v>315</v>
      </c>
      <c r="C251" s="28">
        <v>19</v>
      </c>
      <c r="D251" s="34" t="s">
        <v>517</v>
      </c>
      <c r="E251" s="28">
        <v>1906</v>
      </c>
      <c r="F251" s="34" t="s">
        <v>2236</v>
      </c>
      <c r="G251" s="28" t="s">
        <v>70</v>
      </c>
      <c r="H251" s="34" t="s">
        <v>2237</v>
      </c>
      <c r="I251" s="28">
        <v>1906023</v>
      </c>
      <c r="J251" s="34" t="s">
        <v>2238</v>
      </c>
      <c r="K251" s="280" t="s">
        <v>70</v>
      </c>
      <c r="L251" s="34" t="s">
        <v>2239</v>
      </c>
      <c r="M251" s="280">
        <v>190602300</v>
      </c>
      <c r="N251" s="34" t="s">
        <v>2240</v>
      </c>
      <c r="O251" s="321">
        <v>19899</v>
      </c>
      <c r="P251" s="205"/>
      <c r="Q251" s="321">
        <v>19899</v>
      </c>
      <c r="R251" s="79">
        <v>2020003630136</v>
      </c>
      <c r="S251" s="34" t="s">
        <v>2241</v>
      </c>
      <c r="T251" s="500">
        <f t="shared" si="27"/>
        <v>1</v>
      </c>
      <c r="U251" s="34" t="s">
        <v>2242</v>
      </c>
      <c r="V251" s="34" t="s">
        <v>2243</v>
      </c>
      <c r="W251" s="34" t="s">
        <v>2244</v>
      </c>
      <c r="X251" s="322">
        <v>1729545640.3247824</v>
      </c>
      <c r="Y251" s="322"/>
      <c r="Z251" s="322"/>
      <c r="AA251" s="322"/>
      <c r="AB251" s="709">
        <f t="shared" si="28"/>
        <v>1729545640.3247824</v>
      </c>
      <c r="AC251" s="861" t="s">
        <v>2300</v>
      </c>
      <c r="AD251" s="205"/>
      <c r="AE251" s="205">
        <v>252</v>
      </c>
      <c r="AF251" s="65" t="s">
        <v>2268</v>
      </c>
      <c r="AG251" s="320">
        <v>292684</v>
      </c>
      <c r="AH251" s="28">
        <v>282326</v>
      </c>
      <c r="AI251" s="28">
        <v>135912</v>
      </c>
      <c r="AJ251" s="28">
        <v>45122</v>
      </c>
      <c r="AK251" s="28">
        <v>365607</v>
      </c>
      <c r="AL251" s="28">
        <v>75612</v>
      </c>
      <c r="AM251" s="28">
        <v>2145</v>
      </c>
      <c r="AN251" s="28">
        <v>12718</v>
      </c>
      <c r="AO251" s="28">
        <v>26</v>
      </c>
      <c r="AP251" s="28">
        <v>37</v>
      </c>
      <c r="AQ251" s="28" t="s">
        <v>1818</v>
      </c>
      <c r="AR251" s="28" t="s">
        <v>1819</v>
      </c>
      <c r="AS251" s="28">
        <v>53164</v>
      </c>
      <c r="AT251" s="28">
        <v>16982</v>
      </c>
      <c r="AU251" s="28">
        <v>60013</v>
      </c>
      <c r="AV251" s="28">
        <v>57501</v>
      </c>
      <c r="AW251" s="843">
        <v>45293</v>
      </c>
      <c r="AX251" s="843">
        <v>45657</v>
      </c>
      <c r="AY251" s="28" t="s">
        <v>1820</v>
      </c>
      <c r="AZ251" s="15"/>
      <c r="BA251" s="15"/>
      <c r="BB251" s="15"/>
      <c r="BC251" s="15"/>
      <c r="BD251" s="15"/>
      <c r="BE251" s="15"/>
      <c r="BF251" s="15"/>
      <c r="BG251" s="15"/>
      <c r="BH251" s="15"/>
      <c r="BI251" s="15"/>
      <c r="BJ251" s="15"/>
      <c r="BK251" s="15"/>
      <c r="BL251" s="15"/>
      <c r="BM251" s="15"/>
      <c r="BN251" s="15"/>
    </row>
    <row r="252" spans="1:66" s="47" customFormat="1" ht="63.75" x14ac:dyDescent="0.2">
      <c r="A252" s="28">
        <v>1</v>
      </c>
      <c r="B252" s="34" t="s">
        <v>315</v>
      </c>
      <c r="C252" s="28">
        <v>19</v>
      </c>
      <c r="D252" s="34" t="s">
        <v>517</v>
      </c>
      <c r="E252" s="28">
        <v>1906</v>
      </c>
      <c r="F252" s="34" t="s">
        <v>2236</v>
      </c>
      <c r="G252" s="28" t="s">
        <v>70</v>
      </c>
      <c r="H252" s="34" t="s">
        <v>2237</v>
      </c>
      <c r="I252" s="28">
        <v>1906023</v>
      </c>
      <c r="J252" s="34" t="s">
        <v>2238</v>
      </c>
      <c r="K252" s="280" t="s">
        <v>70</v>
      </c>
      <c r="L252" s="34" t="s">
        <v>2239</v>
      </c>
      <c r="M252" s="280">
        <v>190602300</v>
      </c>
      <c r="N252" s="34" t="s">
        <v>2240</v>
      </c>
      <c r="O252" s="321">
        <v>19899</v>
      </c>
      <c r="P252" s="205"/>
      <c r="Q252" s="321">
        <v>19899</v>
      </c>
      <c r="R252" s="79">
        <v>2020003630136</v>
      </c>
      <c r="S252" s="34" t="s">
        <v>2241</v>
      </c>
      <c r="T252" s="500">
        <f t="shared" si="27"/>
        <v>1</v>
      </c>
      <c r="U252" s="34" t="s">
        <v>2242</v>
      </c>
      <c r="V252" s="34" t="s">
        <v>2243</v>
      </c>
      <c r="W252" s="34" t="s">
        <v>2244</v>
      </c>
      <c r="X252" s="322">
        <v>59437520.67566628</v>
      </c>
      <c r="Y252" s="322"/>
      <c r="Z252" s="322"/>
      <c r="AA252" s="322"/>
      <c r="AB252" s="709">
        <f t="shared" si="28"/>
        <v>59437520.67566628</v>
      </c>
      <c r="AC252" s="861" t="s">
        <v>2301</v>
      </c>
      <c r="AD252" s="205"/>
      <c r="AE252" s="205">
        <v>253</v>
      </c>
      <c r="AF252" s="65" t="s">
        <v>2260</v>
      </c>
      <c r="AG252" s="320">
        <v>292684</v>
      </c>
      <c r="AH252" s="28">
        <v>282326</v>
      </c>
      <c r="AI252" s="28">
        <v>135912</v>
      </c>
      <c r="AJ252" s="28">
        <v>45122</v>
      </c>
      <c r="AK252" s="28">
        <v>365607</v>
      </c>
      <c r="AL252" s="28">
        <v>75612</v>
      </c>
      <c r="AM252" s="28">
        <v>2145</v>
      </c>
      <c r="AN252" s="28">
        <v>12718</v>
      </c>
      <c r="AO252" s="28">
        <v>26</v>
      </c>
      <c r="AP252" s="28">
        <v>37</v>
      </c>
      <c r="AQ252" s="28" t="s">
        <v>1818</v>
      </c>
      <c r="AR252" s="28" t="s">
        <v>1819</v>
      </c>
      <c r="AS252" s="28">
        <v>53164</v>
      </c>
      <c r="AT252" s="28">
        <v>16982</v>
      </c>
      <c r="AU252" s="28">
        <v>60013</v>
      </c>
      <c r="AV252" s="28">
        <v>57501</v>
      </c>
      <c r="AW252" s="843">
        <v>45293</v>
      </c>
      <c r="AX252" s="843">
        <v>45657</v>
      </c>
      <c r="AY252" s="28" t="s">
        <v>1820</v>
      </c>
      <c r="AZ252" s="15"/>
      <c r="BA252" s="15"/>
      <c r="BB252" s="15"/>
      <c r="BC252" s="15"/>
      <c r="BD252" s="15"/>
      <c r="BE252" s="15"/>
      <c r="BF252" s="15"/>
      <c r="BG252" s="15"/>
      <c r="BH252" s="15"/>
      <c r="BI252" s="15"/>
      <c r="BJ252" s="15"/>
      <c r="BK252" s="15"/>
      <c r="BL252" s="15"/>
      <c r="BM252" s="15"/>
      <c r="BN252" s="15"/>
    </row>
    <row r="253" spans="1:66" s="47" customFormat="1" ht="63.75" x14ac:dyDescent="0.2">
      <c r="A253" s="28">
        <v>1</v>
      </c>
      <c r="B253" s="34" t="s">
        <v>315</v>
      </c>
      <c r="C253" s="28">
        <v>19</v>
      </c>
      <c r="D253" s="34" t="s">
        <v>517</v>
      </c>
      <c r="E253" s="28">
        <v>1906</v>
      </c>
      <c r="F253" s="34" t="s">
        <v>2236</v>
      </c>
      <c r="G253" s="28" t="s">
        <v>70</v>
      </c>
      <c r="H253" s="34" t="s">
        <v>2237</v>
      </c>
      <c r="I253" s="28">
        <v>1906023</v>
      </c>
      <c r="J253" s="34" t="s">
        <v>2238</v>
      </c>
      <c r="K253" s="280" t="s">
        <v>70</v>
      </c>
      <c r="L253" s="34" t="s">
        <v>2239</v>
      </c>
      <c r="M253" s="280">
        <v>190602300</v>
      </c>
      <c r="N253" s="34" t="s">
        <v>2240</v>
      </c>
      <c r="O253" s="321">
        <v>19899</v>
      </c>
      <c r="P253" s="205"/>
      <c r="Q253" s="321">
        <v>19899</v>
      </c>
      <c r="R253" s="79">
        <v>2020003630136</v>
      </c>
      <c r="S253" s="34" t="s">
        <v>2241</v>
      </c>
      <c r="T253" s="500">
        <f t="shared" si="27"/>
        <v>1</v>
      </c>
      <c r="U253" s="34" t="s">
        <v>2242</v>
      </c>
      <c r="V253" s="34" t="s">
        <v>2243</v>
      </c>
      <c r="W253" s="34" t="s">
        <v>2244</v>
      </c>
      <c r="X253" s="322">
        <v>1287040437.6904373</v>
      </c>
      <c r="Y253" s="322"/>
      <c r="Z253" s="322"/>
      <c r="AA253" s="322"/>
      <c r="AB253" s="709">
        <f t="shared" si="28"/>
        <v>1287040437.6904373</v>
      </c>
      <c r="AC253" s="861" t="s">
        <v>2302</v>
      </c>
      <c r="AD253" s="65"/>
      <c r="AE253" s="205">
        <v>154</v>
      </c>
      <c r="AF253" s="65" t="s">
        <v>2246</v>
      </c>
      <c r="AG253" s="320">
        <v>292684</v>
      </c>
      <c r="AH253" s="28">
        <v>282326</v>
      </c>
      <c r="AI253" s="28">
        <v>135912</v>
      </c>
      <c r="AJ253" s="28">
        <v>45122</v>
      </c>
      <c r="AK253" s="28">
        <v>365607</v>
      </c>
      <c r="AL253" s="28">
        <v>75612</v>
      </c>
      <c r="AM253" s="28">
        <v>2145</v>
      </c>
      <c r="AN253" s="28">
        <v>12718</v>
      </c>
      <c r="AO253" s="28">
        <v>26</v>
      </c>
      <c r="AP253" s="28">
        <v>37</v>
      </c>
      <c r="AQ253" s="28" t="s">
        <v>1818</v>
      </c>
      <c r="AR253" s="28" t="s">
        <v>1819</v>
      </c>
      <c r="AS253" s="28">
        <v>53164</v>
      </c>
      <c r="AT253" s="28">
        <v>16982</v>
      </c>
      <c r="AU253" s="28">
        <v>60013</v>
      </c>
      <c r="AV253" s="28">
        <v>57501</v>
      </c>
      <c r="AW253" s="843">
        <v>45293</v>
      </c>
      <c r="AX253" s="843">
        <v>45657</v>
      </c>
      <c r="AY253" s="28" t="s">
        <v>1820</v>
      </c>
      <c r="AZ253" s="15"/>
      <c r="BA253" s="15"/>
      <c r="BB253" s="15"/>
      <c r="BC253" s="15"/>
      <c r="BD253" s="15"/>
      <c r="BE253" s="15"/>
      <c r="BF253" s="15"/>
      <c r="BG253" s="15"/>
      <c r="BH253" s="15"/>
      <c r="BI253" s="15"/>
      <c r="BJ253" s="15"/>
      <c r="BK253" s="15"/>
      <c r="BL253" s="15"/>
      <c r="BM253" s="15"/>
      <c r="BN253" s="15"/>
    </row>
    <row r="254" spans="1:66" s="47" customFormat="1" ht="63.75" x14ac:dyDescent="0.2">
      <c r="A254" s="28">
        <v>1</v>
      </c>
      <c r="B254" s="34" t="s">
        <v>315</v>
      </c>
      <c r="C254" s="28">
        <v>19</v>
      </c>
      <c r="D254" s="34" t="s">
        <v>517</v>
      </c>
      <c r="E254" s="28">
        <v>1906</v>
      </c>
      <c r="F254" s="34" t="s">
        <v>2236</v>
      </c>
      <c r="G254" s="28" t="s">
        <v>70</v>
      </c>
      <c r="H254" s="34" t="s">
        <v>2237</v>
      </c>
      <c r="I254" s="28">
        <v>1906023</v>
      </c>
      <c r="J254" s="34" t="s">
        <v>2238</v>
      </c>
      <c r="K254" s="280" t="s">
        <v>70</v>
      </c>
      <c r="L254" s="34" t="s">
        <v>2239</v>
      </c>
      <c r="M254" s="280">
        <v>190602300</v>
      </c>
      <c r="N254" s="34" t="s">
        <v>2240</v>
      </c>
      <c r="O254" s="321">
        <v>19899</v>
      </c>
      <c r="P254" s="205"/>
      <c r="Q254" s="321">
        <v>19899</v>
      </c>
      <c r="R254" s="79">
        <v>2020003630136</v>
      </c>
      <c r="S254" s="34" t="s">
        <v>2241</v>
      </c>
      <c r="T254" s="500">
        <f t="shared" si="27"/>
        <v>1</v>
      </c>
      <c r="U254" s="34" t="s">
        <v>2242</v>
      </c>
      <c r="V254" s="34" t="s">
        <v>2243</v>
      </c>
      <c r="W254" s="34" t="s">
        <v>2244</v>
      </c>
      <c r="X254" s="863">
        <v>886558010.77771616</v>
      </c>
      <c r="Y254" s="863"/>
      <c r="Z254" s="863"/>
      <c r="AA254" s="863"/>
      <c r="AB254" s="709">
        <f t="shared" si="28"/>
        <v>886558010.77771616</v>
      </c>
      <c r="AC254" s="861" t="s">
        <v>2303</v>
      </c>
      <c r="AD254" s="205"/>
      <c r="AE254" s="205">
        <v>237</v>
      </c>
      <c r="AF254" s="65" t="s">
        <v>2248</v>
      </c>
      <c r="AG254" s="320">
        <v>292684</v>
      </c>
      <c r="AH254" s="28">
        <v>282326</v>
      </c>
      <c r="AI254" s="28">
        <v>135912</v>
      </c>
      <c r="AJ254" s="28">
        <v>45122</v>
      </c>
      <c r="AK254" s="28">
        <v>365607</v>
      </c>
      <c r="AL254" s="28">
        <v>75612</v>
      </c>
      <c r="AM254" s="28">
        <v>2145</v>
      </c>
      <c r="AN254" s="28">
        <v>12718</v>
      </c>
      <c r="AO254" s="28">
        <v>26</v>
      </c>
      <c r="AP254" s="28">
        <v>37</v>
      </c>
      <c r="AQ254" s="28" t="s">
        <v>1818</v>
      </c>
      <c r="AR254" s="28" t="s">
        <v>1819</v>
      </c>
      <c r="AS254" s="28">
        <v>53164</v>
      </c>
      <c r="AT254" s="28">
        <v>16982</v>
      </c>
      <c r="AU254" s="28">
        <v>60013</v>
      </c>
      <c r="AV254" s="28">
        <v>57501</v>
      </c>
      <c r="AW254" s="843">
        <v>45293</v>
      </c>
      <c r="AX254" s="843">
        <v>45657</v>
      </c>
      <c r="AY254" s="28" t="s">
        <v>1820</v>
      </c>
      <c r="AZ254" s="15"/>
      <c r="BA254" s="15"/>
      <c r="BB254" s="15"/>
      <c r="BC254" s="15"/>
      <c r="BD254" s="15"/>
      <c r="BE254" s="15"/>
      <c r="BF254" s="15"/>
      <c r="BG254" s="15"/>
      <c r="BH254" s="15"/>
      <c r="BI254" s="15"/>
      <c r="BJ254" s="15"/>
      <c r="BK254" s="15"/>
      <c r="BL254" s="15"/>
      <c r="BM254" s="15"/>
      <c r="BN254" s="15"/>
    </row>
    <row r="255" spans="1:66" s="47" customFormat="1" ht="63.75" x14ac:dyDescent="0.2">
      <c r="A255" s="28">
        <v>1</v>
      </c>
      <c r="B255" s="34" t="s">
        <v>315</v>
      </c>
      <c r="C255" s="28">
        <v>19</v>
      </c>
      <c r="D255" s="34" t="s">
        <v>517</v>
      </c>
      <c r="E255" s="28">
        <v>1906</v>
      </c>
      <c r="F255" s="34" t="s">
        <v>2236</v>
      </c>
      <c r="G255" s="28" t="s">
        <v>70</v>
      </c>
      <c r="H255" s="34" t="s">
        <v>2237</v>
      </c>
      <c r="I255" s="28">
        <v>1906023</v>
      </c>
      <c r="J255" s="34" t="s">
        <v>2238</v>
      </c>
      <c r="K255" s="280" t="s">
        <v>70</v>
      </c>
      <c r="L255" s="34" t="s">
        <v>2239</v>
      </c>
      <c r="M255" s="280">
        <v>190602300</v>
      </c>
      <c r="N255" s="34" t="s">
        <v>2240</v>
      </c>
      <c r="O255" s="321">
        <v>19899</v>
      </c>
      <c r="P255" s="205"/>
      <c r="Q255" s="321">
        <v>19899</v>
      </c>
      <c r="R255" s="79">
        <v>2020003630136</v>
      </c>
      <c r="S255" s="34" t="s">
        <v>2241</v>
      </c>
      <c r="T255" s="500">
        <f t="shared" si="27"/>
        <v>1</v>
      </c>
      <c r="U255" s="34" t="s">
        <v>2242</v>
      </c>
      <c r="V255" s="34" t="s">
        <v>2243</v>
      </c>
      <c r="W255" s="34" t="s">
        <v>2244</v>
      </c>
      <c r="X255" s="863">
        <v>186367770.119957</v>
      </c>
      <c r="Y255" s="863"/>
      <c r="Z255" s="863"/>
      <c r="AA255" s="863"/>
      <c r="AB255" s="709">
        <f t="shared" si="28"/>
        <v>186367770.119957</v>
      </c>
      <c r="AC255" s="861" t="s">
        <v>2304</v>
      </c>
      <c r="AD255" s="205"/>
      <c r="AE255" s="205">
        <v>240</v>
      </c>
      <c r="AF255" s="65" t="s">
        <v>2250</v>
      </c>
      <c r="AG255" s="320">
        <v>292684</v>
      </c>
      <c r="AH255" s="28">
        <v>282326</v>
      </c>
      <c r="AI255" s="28">
        <v>135912</v>
      </c>
      <c r="AJ255" s="28">
        <v>45122</v>
      </c>
      <c r="AK255" s="28">
        <v>365607</v>
      </c>
      <c r="AL255" s="28">
        <v>75612</v>
      </c>
      <c r="AM255" s="28">
        <v>2145</v>
      </c>
      <c r="AN255" s="28">
        <v>12718</v>
      </c>
      <c r="AO255" s="28">
        <v>26</v>
      </c>
      <c r="AP255" s="28">
        <v>37</v>
      </c>
      <c r="AQ255" s="28" t="s">
        <v>1818</v>
      </c>
      <c r="AR255" s="28" t="s">
        <v>1819</v>
      </c>
      <c r="AS255" s="28">
        <v>53164</v>
      </c>
      <c r="AT255" s="28">
        <v>16982</v>
      </c>
      <c r="AU255" s="28">
        <v>60013</v>
      </c>
      <c r="AV255" s="28">
        <v>57501</v>
      </c>
      <c r="AW255" s="843">
        <v>45293</v>
      </c>
      <c r="AX255" s="843">
        <v>45657</v>
      </c>
      <c r="AY255" s="28" t="s">
        <v>1820</v>
      </c>
      <c r="AZ255" s="15"/>
      <c r="BA255" s="15"/>
      <c r="BB255" s="15"/>
      <c r="BC255" s="15"/>
      <c r="BD255" s="15"/>
      <c r="BE255" s="15"/>
      <c r="BF255" s="15"/>
      <c r="BG255" s="15"/>
      <c r="BH255" s="15"/>
      <c r="BI255" s="15"/>
      <c r="BJ255" s="15"/>
      <c r="BK255" s="15"/>
      <c r="BL255" s="15"/>
      <c r="BM255" s="15"/>
      <c r="BN255" s="15"/>
    </row>
    <row r="256" spans="1:66" s="47" customFormat="1" ht="63.75" x14ac:dyDescent="0.2">
      <c r="A256" s="28">
        <v>1</v>
      </c>
      <c r="B256" s="34" t="s">
        <v>315</v>
      </c>
      <c r="C256" s="28">
        <v>19</v>
      </c>
      <c r="D256" s="34" t="s">
        <v>517</v>
      </c>
      <c r="E256" s="28">
        <v>1906</v>
      </c>
      <c r="F256" s="34" t="s">
        <v>2236</v>
      </c>
      <c r="G256" s="28" t="s">
        <v>70</v>
      </c>
      <c r="H256" s="34" t="s">
        <v>2237</v>
      </c>
      <c r="I256" s="28">
        <v>1906023</v>
      </c>
      <c r="J256" s="34" t="s">
        <v>2238</v>
      </c>
      <c r="K256" s="280" t="s">
        <v>70</v>
      </c>
      <c r="L256" s="34" t="s">
        <v>2239</v>
      </c>
      <c r="M256" s="280">
        <v>190602300</v>
      </c>
      <c r="N256" s="34" t="s">
        <v>2240</v>
      </c>
      <c r="O256" s="321">
        <v>19899</v>
      </c>
      <c r="P256" s="205"/>
      <c r="Q256" s="321">
        <v>19899</v>
      </c>
      <c r="R256" s="79">
        <v>2020003630136</v>
      </c>
      <c r="S256" s="34" t="s">
        <v>2241</v>
      </c>
      <c r="T256" s="500">
        <f t="shared" si="27"/>
        <v>1</v>
      </c>
      <c r="U256" s="34" t="s">
        <v>2242</v>
      </c>
      <c r="V256" s="34" t="s">
        <v>2243</v>
      </c>
      <c r="W256" s="34" t="s">
        <v>2244</v>
      </c>
      <c r="X256" s="863">
        <v>278405319.5762344</v>
      </c>
      <c r="Y256" s="863"/>
      <c r="Z256" s="863"/>
      <c r="AA256" s="863"/>
      <c r="AB256" s="709">
        <f t="shared" si="28"/>
        <v>278405319.5762344</v>
      </c>
      <c r="AC256" s="861" t="s">
        <v>2305</v>
      </c>
      <c r="AD256" s="205"/>
      <c r="AE256" s="205">
        <v>243</v>
      </c>
      <c r="AF256" s="65" t="s">
        <v>2252</v>
      </c>
      <c r="AG256" s="320">
        <v>292684</v>
      </c>
      <c r="AH256" s="28">
        <v>282326</v>
      </c>
      <c r="AI256" s="28">
        <v>135912</v>
      </c>
      <c r="AJ256" s="28">
        <v>45122</v>
      </c>
      <c r="AK256" s="28">
        <v>365607</v>
      </c>
      <c r="AL256" s="28">
        <v>75612</v>
      </c>
      <c r="AM256" s="28">
        <v>2145</v>
      </c>
      <c r="AN256" s="28">
        <v>12718</v>
      </c>
      <c r="AO256" s="28">
        <v>26</v>
      </c>
      <c r="AP256" s="28">
        <v>37</v>
      </c>
      <c r="AQ256" s="28" t="s">
        <v>1818</v>
      </c>
      <c r="AR256" s="28" t="s">
        <v>1819</v>
      </c>
      <c r="AS256" s="28">
        <v>53164</v>
      </c>
      <c r="AT256" s="28">
        <v>16982</v>
      </c>
      <c r="AU256" s="28">
        <v>60013</v>
      </c>
      <c r="AV256" s="28">
        <v>57501</v>
      </c>
      <c r="AW256" s="843">
        <v>45293</v>
      </c>
      <c r="AX256" s="843">
        <v>45657</v>
      </c>
      <c r="AY256" s="28" t="s">
        <v>1820</v>
      </c>
      <c r="AZ256" s="15"/>
      <c r="BA256" s="15"/>
      <c r="BB256" s="15"/>
      <c r="BC256" s="15"/>
      <c r="BD256" s="15"/>
      <c r="BE256" s="15"/>
      <c r="BF256" s="15"/>
      <c r="BG256" s="15"/>
      <c r="BH256" s="15"/>
      <c r="BI256" s="15"/>
      <c r="BJ256" s="15"/>
      <c r="BK256" s="15"/>
      <c r="BL256" s="15"/>
      <c r="BM256" s="15"/>
      <c r="BN256" s="15"/>
    </row>
    <row r="257" spans="1:66" s="47" customFormat="1" ht="63.75" x14ac:dyDescent="0.2">
      <c r="A257" s="28">
        <v>1</v>
      </c>
      <c r="B257" s="34" t="s">
        <v>315</v>
      </c>
      <c r="C257" s="28">
        <v>19</v>
      </c>
      <c r="D257" s="34" t="s">
        <v>517</v>
      </c>
      <c r="E257" s="28">
        <v>1906</v>
      </c>
      <c r="F257" s="34" t="s">
        <v>2236</v>
      </c>
      <c r="G257" s="28" t="s">
        <v>70</v>
      </c>
      <c r="H257" s="34" t="s">
        <v>2237</v>
      </c>
      <c r="I257" s="28">
        <v>1906023</v>
      </c>
      <c r="J257" s="34" t="s">
        <v>2238</v>
      </c>
      <c r="K257" s="280" t="s">
        <v>70</v>
      </c>
      <c r="L257" s="34" t="s">
        <v>2239</v>
      </c>
      <c r="M257" s="280">
        <v>190602300</v>
      </c>
      <c r="N257" s="34" t="s">
        <v>2240</v>
      </c>
      <c r="O257" s="321">
        <v>19899</v>
      </c>
      <c r="P257" s="205"/>
      <c r="Q257" s="321">
        <v>19899</v>
      </c>
      <c r="R257" s="79">
        <v>2020003630136</v>
      </c>
      <c r="S257" s="34" t="s">
        <v>2241</v>
      </c>
      <c r="T257" s="500">
        <f t="shared" si="27"/>
        <v>1</v>
      </c>
      <c r="U257" s="34" t="s">
        <v>2242</v>
      </c>
      <c r="V257" s="34" t="s">
        <v>2243</v>
      </c>
      <c r="W257" s="34" t="s">
        <v>2244</v>
      </c>
      <c r="X257" s="863">
        <v>131923630.97625217</v>
      </c>
      <c r="Y257" s="863"/>
      <c r="Z257" s="863"/>
      <c r="AA257" s="863"/>
      <c r="AB257" s="709">
        <f t="shared" si="28"/>
        <v>131923630.97625217</v>
      </c>
      <c r="AC257" s="861" t="s">
        <v>2306</v>
      </c>
      <c r="AD257" s="205"/>
      <c r="AE257" s="205">
        <v>246</v>
      </c>
      <c r="AF257" s="65" t="s">
        <v>2254</v>
      </c>
      <c r="AG257" s="320">
        <v>292684</v>
      </c>
      <c r="AH257" s="28">
        <v>282326</v>
      </c>
      <c r="AI257" s="28">
        <v>135912</v>
      </c>
      <c r="AJ257" s="28">
        <v>45122</v>
      </c>
      <c r="AK257" s="28">
        <v>365607</v>
      </c>
      <c r="AL257" s="28">
        <v>75612</v>
      </c>
      <c r="AM257" s="28">
        <v>2145</v>
      </c>
      <c r="AN257" s="28">
        <v>12718</v>
      </c>
      <c r="AO257" s="28">
        <v>26</v>
      </c>
      <c r="AP257" s="28">
        <v>37</v>
      </c>
      <c r="AQ257" s="28" t="s">
        <v>1818</v>
      </c>
      <c r="AR257" s="28" t="s">
        <v>1819</v>
      </c>
      <c r="AS257" s="28">
        <v>53164</v>
      </c>
      <c r="AT257" s="28">
        <v>16982</v>
      </c>
      <c r="AU257" s="28">
        <v>60013</v>
      </c>
      <c r="AV257" s="28">
        <v>57501</v>
      </c>
      <c r="AW257" s="843">
        <v>45293</v>
      </c>
      <c r="AX257" s="843">
        <v>45657</v>
      </c>
      <c r="AY257" s="28" t="s">
        <v>1820</v>
      </c>
      <c r="AZ257" s="15"/>
      <c r="BA257" s="15"/>
      <c r="BB257" s="15"/>
      <c r="BC257" s="15"/>
      <c r="BD257" s="15"/>
      <c r="BE257" s="15"/>
      <c r="BF257" s="15"/>
      <c r="BG257" s="15"/>
      <c r="BH257" s="15"/>
      <c r="BI257" s="15"/>
      <c r="BJ257" s="15"/>
      <c r="BK257" s="15"/>
      <c r="BL257" s="15"/>
      <c r="BM257" s="15"/>
      <c r="BN257" s="15"/>
    </row>
    <row r="258" spans="1:66" s="47" customFormat="1" ht="63.75" x14ac:dyDescent="0.2">
      <c r="A258" s="28">
        <v>1</v>
      </c>
      <c r="B258" s="34" t="s">
        <v>315</v>
      </c>
      <c r="C258" s="28">
        <v>19</v>
      </c>
      <c r="D258" s="34" t="s">
        <v>517</v>
      </c>
      <c r="E258" s="28">
        <v>1906</v>
      </c>
      <c r="F258" s="34" t="s">
        <v>2236</v>
      </c>
      <c r="G258" s="28" t="s">
        <v>70</v>
      </c>
      <c r="H258" s="34" t="s">
        <v>2237</v>
      </c>
      <c r="I258" s="28">
        <v>1906023</v>
      </c>
      <c r="J258" s="34" t="s">
        <v>2238</v>
      </c>
      <c r="K258" s="280" t="s">
        <v>70</v>
      </c>
      <c r="L258" s="34" t="s">
        <v>2239</v>
      </c>
      <c r="M258" s="280">
        <v>190602300</v>
      </c>
      <c r="N258" s="34" t="s">
        <v>2240</v>
      </c>
      <c r="O258" s="321">
        <v>19899</v>
      </c>
      <c r="P258" s="205"/>
      <c r="Q258" s="321">
        <v>19899</v>
      </c>
      <c r="R258" s="79">
        <v>2020003630136</v>
      </c>
      <c r="S258" s="34" t="s">
        <v>2241</v>
      </c>
      <c r="T258" s="500">
        <f t="shared" si="27"/>
        <v>1</v>
      </c>
      <c r="U258" s="34" t="s">
        <v>2242</v>
      </c>
      <c r="V258" s="34" t="s">
        <v>2243</v>
      </c>
      <c r="W258" s="34" t="s">
        <v>2244</v>
      </c>
      <c r="X258" s="863">
        <v>82501082.303608268</v>
      </c>
      <c r="Y258" s="863"/>
      <c r="Z258" s="863"/>
      <c r="AA258" s="863"/>
      <c r="AB258" s="709">
        <f t="shared" si="28"/>
        <v>82501082.303608268</v>
      </c>
      <c r="AC258" s="861" t="s">
        <v>2307</v>
      </c>
      <c r="AD258" s="205"/>
      <c r="AE258" s="205">
        <v>249</v>
      </c>
      <c r="AF258" s="65" t="s">
        <v>2256</v>
      </c>
      <c r="AG258" s="320">
        <v>292684</v>
      </c>
      <c r="AH258" s="28">
        <v>282326</v>
      </c>
      <c r="AI258" s="28">
        <v>135912</v>
      </c>
      <c r="AJ258" s="28">
        <v>45122</v>
      </c>
      <c r="AK258" s="28">
        <v>365607</v>
      </c>
      <c r="AL258" s="28">
        <v>75612</v>
      </c>
      <c r="AM258" s="28">
        <v>2145</v>
      </c>
      <c r="AN258" s="28">
        <v>12718</v>
      </c>
      <c r="AO258" s="28">
        <v>26</v>
      </c>
      <c r="AP258" s="28">
        <v>37</v>
      </c>
      <c r="AQ258" s="28" t="s">
        <v>1818</v>
      </c>
      <c r="AR258" s="28" t="s">
        <v>1819</v>
      </c>
      <c r="AS258" s="28">
        <v>53164</v>
      </c>
      <c r="AT258" s="28">
        <v>16982</v>
      </c>
      <c r="AU258" s="28">
        <v>60013</v>
      </c>
      <c r="AV258" s="28">
        <v>57501</v>
      </c>
      <c r="AW258" s="843">
        <v>45293</v>
      </c>
      <c r="AX258" s="843">
        <v>45657</v>
      </c>
      <c r="AY258" s="28" t="s">
        <v>1820</v>
      </c>
      <c r="AZ258" s="15"/>
      <c r="BA258" s="15"/>
      <c r="BB258" s="15"/>
      <c r="BC258" s="15"/>
      <c r="BD258" s="15"/>
      <c r="BE258" s="15"/>
      <c r="BF258" s="15"/>
      <c r="BG258" s="15"/>
      <c r="BH258" s="15"/>
      <c r="BI258" s="15"/>
      <c r="BJ258" s="15"/>
      <c r="BK258" s="15"/>
      <c r="BL258" s="15"/>
      <c r="BM258" s="15"/>
      <c r="BN258" s="15"/>
    </row>
    <row r="259" spans="1:66" s="47" customFormat="1" ht="63.75" x14ac:dyDescent="0.2">
      <c r="A259" s="28">
        <v>1</v>
      </c>
      <c r="B259" s="34" t="s">
        <v>315</v>
      </c>
      <c r="C259" s="28">
        <v>19</v>
      </c>
      <c r="D259" s="34" t="s">
        <v>517</v>
      </c>
      <c r="E259" s="28">
        <v>1906</v>
      </c>
      <c r="F259" s="34" t="s">
        <v>2236</v>
      </c>
      <c r="G259" s="28" t="s">
        <v>70</v>
      </c>
      <c r="H259" s="34" t="s">
        <v>2237</v>
      </c>
      <c r="I259" s="28">
        <v>1906023</v>
      </c>
      <c r="J259" s="34" t="s">
        <v>2238</v>
      </c>
      <c r="K259" s="280" t="s">
        <v>70</v>
      </c>
      <c r="L259" s="34" t="s">
        <v>2239</v>
      </c>
      <c r="M259" s="280">
        <v>190602300</v>
      </c>
      <c r="N259" s="34" t="s">
        <v>2240</v>
      </c>
      <c r="O259" s="321">
        <v>19899</v>
      </c>
      <c r="P259" s="205"/>
      <c r="Q259" s="321">
        <v>19899</v>
      </c>
      <c r="R259" s="79">
        <v>2020003630136</v>
      </c>
      <c r="S259" s="34" t="s">
        <v>2241</v>
      </c>
      <c r="T259" s="500">
        <f t="shared" si="27"/>
        <v>1</v>
      </c>
      <c r="U259" s="34" t="s">
        <v>2242</v>
      </c>
      <c r="V259" s="34" t="s">
        <v>2243</v>
      </c>
      <c r="W259" s="34" t="s">
        <v>2244</v>
      </c>
      <c r="X259" s="863">
        <v>2666069057.5916195</v>
      </c>
      <c r="Y259" s="863"/>
      <c r="Z259" s="863"/>
      <c r="AA259" s="863"/>
      <c r="AB259" s="709">
        <f t="shared" si="28"/>
        <v>2666069057.5916195</v>
      </c>
      <c r="AC259" s="861" t="s">
        <v>2308</v>
      </c>
      <c r="AD259" s="205"/>
      <c r="AE259" s="205">
        <v>252</v>
      </c>
      <c r="AF259" s="65" t="s">
        <v>2268</v>
      </c>
      <c r="AG259" s="320">
        <v>292684</v>
      </c>
      <c r="AH259" s="28">
        <v>282326</v>
      </c>
      <c r="AI259" s="28">
        <v>135912</v>
      </c>
      <c r="AJ259" s="28">
        <v>45122</v>
      </c>
      <c r="AK259" s="28">
        <v>365607</v>
      </c>
      <c r="AL259" s="28">
        <v>75612</v>
      </c>
      <c r="AM259" s="28">
        <v>2145</v>
      </c>
      <c r="AN259" s="28">
        <v>12718</v>
      </c>
      <c r="AO259" s="28">
        <v>26</v>
      </c>
      <c r="AP259" s="28">
        <v>37</v>
      </c>
      <c r="AQ259" s="28" t="s">
        <v>1818</v>
      </c>
      <c r="AR259" s="28" t="s">
        <v>1819</v>
      </c>
      <c r="AS259" s="28">
        <v>53164</v>
      </c>
      <c r="AT259" s="28">
        <v>16982</v>
      </c>
      <c r="AU259" s="28">
        <v>60013</v>
      </c>
      <c r="AV259" s="28">
        <v>57501</v>
      </c>
      <c r="AW259" s="843">
        <v>45293</v>
      </c>
      <c r="AX259" s="843">
        <v>45657</v>
      </c>
      <c r="AY259" s="28" t="s">
        <v>1820</v>
      </c>
      <c r="AZ259" s="15"/>
      <c r="BA259" s="15"/>
      <c r="BB259" s="15"/>
      <c r="BC259" s="15"/>
      <c r="BD259" s="15"/>
      <c r="BE259" s="15"/>
      <c r="BF259" s="15"/>
      <c r="BG259" s="15"/>
      <c r="BH259" s="15"/>
      <c r="BI259" s="15"/>
      <c r="BJ259" s="15"/>
      <c r="BK259" s="15"/>
      <c r="BL259" s="15"/>
      <c r="BM259" s="15"/>
      <c r="BN259" s="15"/>
    </row>
    <row r="260" spans="1:66" s="47" customFormat="1" ht="63.75" x14ac:dyDescent="0.2">
      <c r="A260" s="28">
        <v>1</v>
      </c>
      <c r="B260" s="34" t="s">
        <v>315</v>
      </c>
      <c r="C260" s="28">
        <v>19</v>
      </c>
      <c r="D260" s="34" t="s">
        <v>517</v>
      </c>
      <c r="E260" s="28">
        <v>1906</v>
      </c>
      <c r="F260" s="34" t="s">
        <v>2236</v>
      </c>
      <c r="G260" s="28" t="s">
        <v>70</v>
      </c>
      <c r="H260" s="34" t="s">
        <v>2237</v>
      </c>
      <c r="I260" s="28">
        <v>1906023</v>
      </c>
      <c r="J260" s="34" t="s">
        <v>2238</v>
      </c>
      <c r="K260" s="280" t="s">
        <v>70</v>
      </c>
      <c r="L260" s="34" t="s">
        <v>2239</v>
      </c>
      <c r="M260" s="280">
        <v>190602300</v>
      </c>
      <c r="N260" s="34" t="s">
        <v>2240</v>
      </c>
      <c r="O260" s="321">
        <v>19899</v>
      </c>
      <c r="P260" s="205"/>
      <c r="Q260" s="321">
        <v>19899</v>
      </c>
      <c r="R260" s="79">
        <v>2020003630136</v>
      </c>
      <c r="S260" s="34" t="s">
        <v>2241</v>
      </c>
      <c r="T260" s="500">
        <f t="shared" si="27"/>
        <v>1</v>
      </c>
      <c r="U260" s="34" t="s">
        <v>2242</v>
      </c>
      <c r="V260" s="34" t="s">
        <v>2243</v>
      </c>
      <c r="W260" s="34" t="s">
        <v>2244</v>
      </c>
      <c r="X260" s="863">
        <v>91622060.175063536</v>
      </c>
      <c r="Y260" s="863"/>
      <c r="Z260" s="863"/>
      <c r="AA260" s="863"/>
      <c r="AB260" s="709">
        <f t="shared" si="28"/>
        <v>91622060.175063536</v>
      </c>
      <c r="AC260" s="861" t="s">
        <v>2309</v>
      </c>
      <c r="AD260" s="205"/>
      <c r="AE260" s="205">
        <v>253</v>
      </c>
      <c r="AF260" s="65" t="s">
        <v>2260</v>
      </c>
      <c r="AG260" s="320">
        <v>292684</v>
      </c>
      <c r="AH260" s="28">
        <v>282326</v>
      </c>
      <c r="AI260" s="28">
        <v>135912</v>
      </c>
      <c r="AJ260" s="28">
        <v>45122</v>
      </c>
      <c r="AK260" s="28">
        <v>365607</v>
      </c>
      <c r="AL260" s="28">
        <v>75612</v>
      </c>
      <c r="AM260" s="28">
        <v>2145</v>
      </c>
      <c r="AN260" s="28">
        <v>12718</v>
      </c>
      <c r="AO260" s="28">
        <v>26</v>
      </c>
      <c r="AP260" s="28">
        <v>37</v>
      </c>
      <c r="AQ260" s="28" t="s">
        <v>1818</v>
      </c>
      <c r="AR260" s="28" t="s">
        <v>1819</v>
      </c>
      <c r="AS260" s="28">
        <v>53164</v>
      </c>
      <c r="AT260" s="28">
        <v>16982</v>
      </c>
      <c r="AU260" s="28">
        <v>60013</v>
      </c>
      <c r="AV260" s="28">
        <v>57501</v>
      </c>
      <c r="AW260" s="843">
        <v>45293</v>
      </c>
      <c r="AX260" s="843">
        <v>45657</v>
      </c>
      <c r="AY260" s="28" t="s">
        <v>1820</v>
      </c>
      <c r="AZ260" s="15"/>
      <c r="BA260" s="15"/>
      <c r="BB260" s="15"/>
      <c r="BC260" s="15"/>
      <c r="BD260" s="15"/>
      <c r="BE260" s="15"/>
      <c r="BF260" s="15"/>
      <c r="BG260" s="15"/>
      <c r="BH260" s="15"/>
      <c r="BI260" s="15"/>
      <c r="BJ260" s="15"/>
      <c r="BK260" s="15"/>
      <c r="BL260" s="15"/>
      <c r="BM260" s="15"/>
      <c r="BN260" s="15"/>
    </row>
    <row r="261" spans="1:66" s="47" customFormat="1" ht="63.75" x14ac:dyDescent="0.2">
      <c r="A261" s="28">
        <v>1</v>
      </c>
      <c r="B261" s="34" t="s">
        <v>315</v>
      </c>
      <c r="C261" s="28">
        <v>19</v>
      </c>
      <c r="D261" s="34" t="s">
        <v>517</v>
      </c>
      <c r="E261" s="28">
        <v>1906</v>
      </c>
      <c r="F261" s="34" t="s">
        <v>2236</v>
      </c>
      <c r="G261" s="28" t="s">
        <v>70</v>
      </c>
      <c r="H261" s="34" t="s">
        <v>2237</v>
      </c>
      <c r="I261" s="28">
        <v>1906023</v>
      </c>
      <c r="J261" s="34" t="s">
        <v>2238</v>
      </c>
      <c r="K261" s="280" t="s">
        <v>70</v>
      </c>
      <c r="L261" s="34" t="s">
        <v>2239</v>
      </c>
      <c r="M261" s="280">
        <v>190602300</v>
      </c>
      <c r="N261" s="34" t="s">
        <v>2240</v>
      </c>
      <c r="O261" s="321">
        <v>19899</v>
      </c>
      <c r="P261" s="205"/>
      <c r="Q261" s="321">
        <v>19899</v>
      </c>
      <c r="R261" s="79">
        <v>2020003630136</v>
      </c>
      <c r="S261" s="34" t="s">
        <v>2241</v>
      </c>
      <c r="T261" s="500">
        <f t="shared" si="27"/>
        <v>1</v>
      </c>
      <c r="U261" s="34" t="s">
        <v>2242</v>
      </c>
      <c r="V261" s="34" t="s">
        <v>2243</v>
      </c>
      <c r="W261" s="34" t="s">
        <v>2244</v>
      </c>
      <c r="X261" s="322">
        <v>130461059.99486735</v>
      </c>
      <c r="Y261" s="322"/>
      <c r="Z261" s="322"/>
      <c r="AA261" s="322"/>
      <c r="AB261" s="709">
        <f t="shared" si="28"/>
        <v>130461059.99486735</v>
      </c>
      <c r="AC261" s="861" t="s">
        <v>2310</v>
      </c>
      <c r="AD261" s="65"/>
      <c r="AE261" s="205">
        <v>154</v>
      </c>
      <c r="AF261" s="65" t="s">
        <v>2246</v>
      </c>
      <c r="AG261" s="320">
        <v>292684</v>
      </c>
      <c r="AH261" s="28">
        <v>282326</v>
      </c>
      <c r="AI261" s="28">
        <v>135912</v>
      </c>
      <c r="AJ261" s="28">
        <v>45122</v>
      </c>
      <c r="AK261" s="28">
        <v>365607</v>
      </c>
      <c r="AL261" s="28">
        <v>75612</v>
      </c>
      <c r="AM261" s="28">
        <v>2145</v>
      </c>
      <c r="AN261" s="28">
        <v>12718</v>
      </c>
      <c r="AO261" s="28">
        <v>26</v>
      </c>
      <c r="AP261" s="28">
        <v>37</v>
      </c>
      <c r="AQ261" s="28" t="s">
        <v>1818</v>
      </c>
      <c r="AR261" s="28" t="s">
        <v>1819</v>
      </c>
      <c r="AS261" s="28">
        <v>53164</v>
      </c>
      <c r="AT261" s="28">
        <v>16982</v>
      </c>
      <c r="AU261" s="28">
        <v>60013</v>
      </c>
      <c r="AV261" s="28">
        <v>57501</v>
      </c>
      <c r="AW261" s="843">
        <v>45293</v>
      </c>
      <c r="AX261" s="843">
        <v>45657</v>
      </c>
      <c r="AY261" s="28" t="s">
        <v>1820</v>
      </c>
      <c r="AZ261" s="15"/>
      <c r="BA261" s="15"/>
      <c r="BB261" s="15"/>
      <c r="BC261" s="15"/>
      <c r="BD261" s="15"/>
      <c r="BE261" s="15"/>
      <c r="BF261" s="15"/>
      <c r="BG261" s="15"/>
      <c r="BH261" s="15"/>
      <c r="BI261" s="15"/>
      <c r="BJ261" s="15"/>
      <c r="BK261" s="15"/>
      <c r="BL261" s="15"/>
      <c r="BM261" s="15"/>
      <c r="BN261" s="15"/>
    </row>
    <row r="262" spans="1:66" s="47" customFormat="1" ht="63.75" x14ac:dyDescent="0.2">
      <c r="A262" s="28">
        <v>1</v>
      </c>
      <c r="B262" s="34" t="s">
        <v>315</v>
      </c>
      <c r="C262" s="28">
        <v>19</v>
      </c>
      <c r="D262" s="34" t="s">
        <v>517</v>
      </c>
      <c r="E262" s="28">
        <v>1906</v>
      </c>
      <c r="F262" s="34" t="s">
        <v>2236</v>
      </c>
      <c r="G262" s="28" t="s">
        <v>70</v>
      </c>
      <c r="H262" s="34" t="s">
        <v>2237</v>
      </c>
      <c r="I262" s="28">
        <v>1906023</v>
      </c>
      <c r="J262" s="34" t="s">
        <v>2238</v>
      </c>
      <c r="K262" s="280" t="s">
        <v>70</v>
      </c>
      <c r="L262" s="34" t="s">
        <v>2239</v>
      </c>
      <c r="M262" s="280">
        <v>190602300</v>
      </c>
      <c r="N262" s="34" t="s">
        <v>2240</v>
      </c>
      <c r="O262" s="317">
        <v>19899</v>
      </c>
      <c r="P262" s="205"/>
      <c r="Q262" s="321">
        <v>19899</v>
      </c>
      <c r="R262" s="79">
        <v>2020003630136</v>
      </c>
      <c r="S262" s="34" t="s">
        <v>2241</v>
      </c>
      <c r="T262" s="500">
        <f t="shared" si="27"/>
        <v>1</v>
      </c>
      <c r="U262" s="34" t="s">
        <v>2242</v>
      </c>
      <c r="V262" s="34" t="s">
        <v>2243</v>
      </c>
      <c r="W262" s="34" t="s">
        <v>2244</v>
      </c>
      <c r="X262" s="322">
        <v>89866094.681961417</v>
      </c>
      <c r="Y262" s="322"/>
      <c r="Z262" s="322"/>
      <c r="AA262" s="322"/>
      <c r="AB262" s="709">
        <f t="shared" si="28"/>
        <v>89866094.681961417</v>
      </c>
      <c r="AC262" s="861" t="s">
        <v>2311</v>
      </c>
      <c r="AD262" s="205"/>
      <c r="AE262" s="205">
        <v>237</v>
      </c>
      <c r="AF262" s="65" t="s">
        <v>2248</v>
      </c>
      <c r="AG262" s="320">
        <v>292684</v>
      </c>
      <c r="AH262" s="28">
        <v>282326</v>
      </c>
      <c r="AI262" s="28">
        <v>135912</v>
      </c>
      <c r="AJ262" s="28">
        <v>45122</v>
      </c>
      <c r="AK262" s="28">
        <v>365607</v>
      </c>
      <c r="AL262" s="28">
        <v>75612</v>
      </c>
      <c r="AM262" s="28">
        <v>2145</v>
      </c>
      <c r="AN262" s="28">
        <v>12718</v>
      </c>
      <c r="AO262" s="28">
        <v>26</v>
      </c>
      <c r="AP262" s="28">
        <v>37</v>
      </c>
      <c r="AQ262" s="28" t="s">
        <v>1818</v>
      </c>
      <c r="AR262" s="28" t="s">
        <v>1819</v>
      </c>
      <c r="AS262" s="28">
        <v>53164</v>
      </c>
      <c r="AT262" s="28">
        <v>16982</v>
      </c>
      <c r="AU262" s="28">
        <v>60013</v>
      </c>
      <c r="AV262" s="28">
        <v>57501</v>
      </c>
      <c r="AW262" s="843">
        <v>45293</v>
      </c>
      <c r="AX262" s="843">
        <v>45657</v>
      </c>
      <c r="AY262" s="28" t="s">
        <v>1820</v>
      </c>
      <c r="AZ262" s="15"/>
      <c r="BA262" s="15"/>
      <c r="BB262" s="15"/>
      <c r="BC262" s="15"/>
      <c r="BD262" s="15"/>
      <c r="BE262" s="15"/>
      <c r="BF262" s="15"/>
      <c r="BG262" s="15"/>
      <c r="BH262" s="15"/>
      <c r="BI262" s="15"/>
      <c r="BJ262" s="15"/>
      <c r="BK262" s="15"/>
      <c r="BL262" s="15"/>
      <c r="BM262" s="15"/>
      <c r="BN262" s="15"/>
    </row>
    <row r="263" spans="1:66" s="47" customFormat="1" ht="63.75" x14ac:dyDescent="0.2">
      <c r="A263" s="28">
        <v>1</v>
      </c>
      <c r="B263" s="34" t="s">
        <v>315</v>
      </c>
      <c r="C263" s="28">
        <v>19</v>
      </c>
      <c r="D263" s="34" t="s">
        <v>517</v>
      </c>
      <c r="E263" s="28">
        <v>1906</v>
      </c>
      <c r="F263" s="34" t="s">
        <v>2236</v>
      </c>
      <c r="G263" s="28" t="s">
        <v>70</v>
      </c>
      <c r="H263" s="34" t="s">
        <v>2237</v>
      </c>
      <c r="I263" s="28">
        <v>1906023</v>
      </c>
      <c r="J263" s="34" t="s">
        <v>2238</v>
      </c>
      <c r="K263" s="280" t="s">
        <v>70</v>
      </c>
      <c r="L263" s="34" t="s">
        <v>2239</v>
      </c>
      <c r="M263" s="280">
        <v>190602300</v>
      </c>
      <c r="N263" s="34" t="s">
        <v>2240</v>
      </c>
      <c r="O263" s="317">
        <v>19899</v>
      </c>
      <c r="P263" s="205"/>
      <c r="Q263" s="321">
        <v>19899</v>
      </c>
      <c r="R263" s="79">
        <v>2020003630136</v>
      </c>
      <c r="S263" s="34" t="s">
        <v>2241</v>
      </c>
      <c r="T263" s="500">
        <f t="shared" si="27"/>
        <v>1</v>
      </c>
      <c r="U263" s="34" t="s">
        <v>2242</v>
      </c>
      <c r="V263" s="34" t="s">
        <v>2243</v>
      </c>
      <c r="W263" s="34" t="s">
        <v>2244</v>
      </c>
      <c r="X263" s="322">
        <v>18891198.851809014</v>
      </c>
      <c r="Y263" s="322"/>
      <c r="Z263" s="322"/>
      <c r="AA263" s="322"/>
      <c r="AB263" s="709">
        <f t="shared" si="28"/>
        <v>18891198.851809014</v>
      </c>
      <c r="AC263" s="861" t="s">
        <v>2312</v>
      </c>
      <c r="AD263" s="205"/>
      <c r="AE263" s="205">
        <v>240</v>
      </c>
      <c r="AF263" s="65" t="s">
        <v>2250</v>
      </c>
      <c r="AG263" s="320">
        <v>292684</v>
      </c>
      <c r="AH263" s="28">
        <v>282326</v>
      </c>
      <c r="AI263" s="28">
        <v>135912</v>
      </c>
      <c r="AJ263" s="28">
        <v>45122</v>
      </c>
      <c r="AK263" s="28">
        <v>365607</v>
      </c>
      <c r="AL263" s="28">
        <v>75612</v>
      </c>
      <c r="AM263" s="28">
        <v>2145</v>
      </c>
      <c r="AN263" s="28">
        <v>12718</v>
      </c>
      <c r="AO263" s="28">
        <v>26</v>
      </c>
      <c r="AP263" s="28">
        <v>37</v>
      </c>
      <c r="AQ263" s="28" t="s">
        <v>1818</v>
      </c>
      <c r="AR263" s="28" t="s">
        <v>1819</v>
      </c>
      <c r="AS263" s="28">
        <v>53164</v>
      </c>
      <c r="AT263" s="28">
        <v>16982</v>
      </c>
      <c r="AU263" s="28">
        <v>60013</v>
      </c>
      <c r="AV263" s="28">
        <v>57501</v>
      </c>
      <c r="AW263" s="843">
        <v>45293</v>
      </c>
      <c r="AX263" s="843">
        <v>45657</v>
      </c>
      <c r="AY263" s="28" t="s">
        <v>1820</v>
      </c>
      <c r="AZ263" s="15"/>
      <c r="BA263" s="15"/>
      <c r="BB263" s="15"/>
      <c r="BC263" s="15"/>
      <c r="BD263" s="15"/>
      <c r="BE263" s="15"/>
      <c r="BF263" s="15"/>
      <c r="BG263" s="15"/>
      <c r="BH263" s="15"/>
      <c r="BI263" s="15"/>
      <c r="BJ263" s="15"/>
      <c r="BK263" s="15"/>
      <c r="BL263" s="15"/>
      <c r="BM263" s="15"/>
      <c r="BN263" s="15"/>
    </row>
    <row r="264" spans="1:66" s="47" customFormat="1" ht="63.75" x14ac:dyDescent="0.2">
      <c r="A264" s="28">
        <v>1</v>
      </c>
      <c r="B264" s="34" t="s">
        <v>315</v>
      </c>
      <c r="C264" s="28">
        <v>19</v>
      </c>
      <c r="D264" s="34" t="s">
        <v>517</v>
      </c>
      <c r="E264" s="28">
        <v>1906</v>
      </c>
      <c r="F264" s="34" t="s">
        <v>2236</v>
      </c>
      <c r="G264" s="28" t="s">
        <v>70</v>
      </c>
      <c r="H264" s="34" t="s">
        <v>2237</v>
      </c>
      <c r="I264" s="28">
        <v>1906023</v>
      </c>
      <c r="J264" s="34" t="s">
        <v>2238</v>
      </c>
      <c r="K264" s="280" t="s">
        <v>70</v>
      </c>
      <c r="L264" s="34" t="s">
        <v>2239</v>
      </c>
      <c r="M264" s="280">
        <v>190602300</v>
      </c>
      <c r="N264" s="34" t="s">
        <v>2240</v>
      </c>
      <c r="O264" s="317">
        <v>19899</v>
      </c>
      <c r="P264" s="205"/>
      <c r="Q264" s="321">
        <v>19899</v>
      </c>
      <c r="R264" s="79">
        <v>2020003630136</v>
      </c>
      <c r="S264" s="34" t="s">
        <v>2241</v>
      </c>
      <c r="T264" s="500">
        <f t="shared" si="27"/>
        <v>1</v>
      </c>
      <c r="U264" s="34" t="s">
        <v>2242</v>
      </c>
      <c r="V264" s="34" t="s">
        <v>2243</v>
      </c>
      <c r="W264" s="34" t="s">
        <v>2244</v>
      </c>
      <c r="X264" s="322">
        <v>28220599.785739895</v>
      </c>
      <c r="Y264" s="322"/>
      <c r="Z264" s="322"/>
      <c r="AA264" s="322"/>
      <c r="AB264" s="709">
        <f t="shared" si="28"/>
        <v>28220599.785739895</v>
      </c>
      <c r="AC264" s="861" t="s">
        <v>2313</v>
      </c>
      <c r="AD264" s="205"/>
      <c r="AE264" s="205">
        <v>243</v>
      </c>
      <c r="AF264" s="65" t="s">
        <v>2252</v>
      </c>
      <c r="AG264" s="320">
        <v>292684</v>
      </c>
      <c r="AH264" s="28">
        <v>282326</v>
      </c>
      <c r="AI264" s="28">
        <v>135912</v>
      </c>
      <c r="AJ264" s="28">
        <v>45122</v>
      </c>
      <c r="AK264" s="28">
        <v>365607</v>
      </c>
      <c r="AL264" s="28">
        <v>75612</v>
      </c>
      <c r="AM264" s="28">
        <v>2145</v>
      </c>
      <c r="AN264" s="28">
        <v>12718</v>
      </c>
      <c r="AO264" s="28">
        <v>26</v>
      </c>
      <c r="AP264" s="28">
        <v>37</v>
      </c>
      <c r="AQ264" s="28" t="s">
        <v>1818</v>
      </c>
      <c r="AR264" s="28" t="s">
        <v>1819</v>
      </c>
      <c r="AS264" s="28">
        <v>53164</v>
      </c>
      <c r="AT264" s="28">
        <v>16982</v>
      </c>
      <c r="AU264" s="28">
        <v>60013</v>
      </c>
      <c r="AV264" s="28">
        <v>57501</v>
      </c>
      <c r="AW264" s="843">
        <v>45293</v>
      </c>
      <c r="AX264" s="843">
        <v>45657</v>
      </c>
      <c r="AY264" s="28" t="s">
        <v>1820</v>
      </c>
      <c r="AZ264" s="15"/>
      <c r="BA264" s="15"/>
      <c r="BB264" s="15"/>
      <c r="BC264" s="15"/>
      <c r="BD264" s="15"/>
      <c r="BE264" s="15"/>
      <c r="BF264" s="15"/>
      <c r="BG264" s="15"/>
      <c r="BH264" s="15"/>
      <c r="BI264" s="15"/>
      <c r="BJ264" s="15"/>
      <c r="BK264" s="15"/>
      <c r="BL264" s="15"/>
      <c r="BM264" s="15"/>
      <c r="BN264" s="15"/>
    </row>
    <row r="265" spans="1:66" s="47" customFormat="1" ht="63.75" x14ac:dyDescent="0.2">
      <c r="A265" s="28">
        <v>1</v>
      </c>
      <c r="B265" s="34" t="s">
        <v>315</v>
      </c>
      <c r="C265" s="28">
        <v>19</v>
      </c>
      <c r="D265" s="34" t="s">
        <v>517</v>
      </c>
      <c r="E265" s="28">
        <v>1906</v>
      </c>
      <c r="F265" s="34" t="s">
        <v>2236</v>
      </c>
      <c r="G265" s="28" t="s">
        <v>70</v>
      </c>
      <c r="H265" s="34" t="s">
        <v>2237</v>
      </c>
      <c r="I265" s="28">
        <v>1906023</v>
      </c>
      <c r="J265" s="34" t="s">
        <v>2238</v>
      </c>
      <c r="K265" s="280" t="s">
        <v>70</v>
      </c>
      <c r="L265" s="34" t="s">
        <v>2239</v>
      </c>
      <c r="M265" s="280">
        <v>190602300</v>
      </c>
      <c r="N265" s="34" t="s">
        <v>2240</v>
      </c>
      <c r="O265" s="317">
        <v>19899</v>
      </c>
      <c r="P265" s="205"/>
      <c r="Q265" s="321">
        <v>19899</v>
      </c>
      <c r="R265" s="79">
        <v>2020003630136</v>
      </c>
      <c r="S265" s="34" t="s">
        <v>2241</v>
      </c>
      <c r="T265" s="500">
        <f t="shared" si="27"/>
        <v>1</v>
      </c>
      <c r="U265" s="34" t="s">
        <v>2242</v>
      </c>
      <c r="V265" s="34" t="s">
        <v>2243</v>
      </c>
      <c r="W265" s="34" t="s">
        <v>2244</v>
      </c>
      <c r="X265" s="322">
        <v>13372459.972134294</v>
      </c>
      <c r="Y265" s="322"/>
      <c r="Z265" s="322"/>
      <c r="AA265" s="322"/>
      <c r="AB265" s="709">
        <f t="shared" si="28"/>
        <v>13372459.972134294</v>
      </c>
      <c r="AC265" s="861" t="s">
        <v>2314</v>
      </c>
      <c r="AD265" s="205"/>
      <c r="AE265" s="205">
        <v>246</v>
      </c>
      <c r="AF265" s="65" t="s">
        <v>2254</v>
      </c>
      <c r="AG265" s="320">
        <v>292684</v>
      </c>
      <c r="AH265" s="28">
        <v>282326</v>
      </c>
      <c r="AI265" s="28">
        <v>135912</v>
      </c>
      <c r="AJ265" s="28">
        <v>45122</v>
      </c>
      <c r="AK265" s="28">
        <v>365607</v>
      </c>
      <c r="AL265" s="28">
        <v>75612</v>
      </c>
      <c r="AM265" s="28">
        <v>2145</v>
      </c>
      <c r="AN265" s="28">
        <v>12718</v>
      </c>
      <c r="AO265" s="28">
        <v>26</v>
      </c>
      <c r="AP265" s="28">
        <v>37</v>
      </c>
      <c r="AQ265" s="28" t="s">
        <v>1818</v>
      </c>
      <c r="AR265" s="28" t="s">
        <v>1819</v>
      </c>
      <c r="AS265" s="28">
        <v>53164</v>
      </c>
      <c r="AT265" s="28">
        <v>16982</v>
      </c>
      <c r="AU265" s="28">
        <v>60013</v>
      </c>
      <c r="AV265" s="28">
        <v>57501</v>
      </c>
      <c r="AW265" s="843">
        <v>45293</v>
      </c>
      <c r="AX265" s="843">
        <v>45657</v>
      </c>
      <c r="AY265" s="28" t="s">
        <v>1820</v>
      </c>
      <c r="AZ265" s="15"/>
      <c r="BA265" s="15"/>
      <c r="BB265" s="15"/>
      <c r="BC265" s="15"/>
      <c r="BD265" s="15"/>
      <c r="BE265" s="15"/>
      <c r="BF265" s="15"/>
      <c r="BG265" s="15"/>
      <c r="BH265" s="15"/>
      <c r="BI265" s="15"/>
      <c r="BJ265" s="15"/>
      <c r="BK265" s="15"/>
      <c r="BL265" s="15"/>
      <c r="BM265" s="15"/>
      <c r="BN265" s="15"/>
    </row>
    <row r="266" spans="1:66" s="47" customFormat="1" ht="63.75" x14ac:dyDescent="0.2">
      <c r="A266" s="28">
        <v>1</v>
      </c>
      <c r="B266" s="34" t="s">
        <v>315</v>
      </c>
      <c r="C266" s="28">
        <v>19</v>
      </c>
      <c r="D266" s="34" t="s">
        <v>517</v>
      </c>
      <c r="E266" s="28">
        <v>1906</v>
      </c>
      <c r="F266" s="34" t="s">
        <v>2236</v>
      </c>
      <c r="G266" s="28" t="s">
        <v>70</v>
      </c>
      <c r="H266" s="34" t="s">
        <v>2237</v>
      </c>
      <c r="I266" s="28">
        <v>1906023</v>
      </c>
      <c r="J266" s="34" t="s">
        <v>2238</v>
      </c>
      <c r="K266" s="280" t="s">
        <v>70</v>
      </c>
      <c r="L266" s="34" t="s">
        <v>2239</v>
      </c>
      <c r="M266" s="280">
        <v>190602300</v>
      </c>
      <c r="N266" s="34" t="s">
        <v>2240</v>
      </c>
      <c r="O266" s="317">
        <v>19899</v>
      </c>
      <c r="P266" s="205"/>
      <c r="Q266" s="321">
        <v>19899</v>
      </c>
      <c r="R266" s="79">
        <v>2020003630136</v>
      </c>
      <c r="S266" s="34" t="s">
        <v>2241</v>
      </c>
      <c r="T266" s="500">
        <f t="shared" si="27"/>
        <v>1</v>
      </c>
      <c r="U266" s="34" t="s">
        <v>2242</v>
      </c>
      <c r="V266" s="34" t="s">
        <v>2243</v>
      </c>
      <c r="W266" s="34" t="s">
        <v>2244</v>
      </c>
      <c r="X266" s="322">
        <v>8362735.4144107467</v>
      </c>
      <c r="Y266" s="322"/>
      <c r="Z266" s="322"/>
      <c r="AA266" s="322"/>
      <c r="AB266" s="709">
        <f t="shared" si="28"/>
        <v>8362735.4144107467</v>
      </c>
      <c r="AC266" s="861" t="s">
        <v>2315</v>
      </c>
      <c r="AD266" s="205"/>
      <c r="AE266" s="205">
        <v>249</v>
      </c>
      <c r="AF266" s="65" t="s">
        <v>2256</v>
      </c>
      <c r="AG266" s="320">
        <v>292684</v>
      </c>
      <c r="AH266" s="28">
        <v>282326</v>
      </c>
      <c r="AI266" s="28">
        <v>135912</v>
      </c>
      <c r="AJ266" s="28">
        <v>45122</v>
      </c>
      <c r="AK266" s="28">
        <v>365607</v>
      </c>
      <c r="AL266" s="28">
        <v>75612</v>
      </c>
      <c r="AM266" s="28">
        <v>2145</v>
      </c>
      <c r="AN266" s="28">
        <v>12718</v>
      </c>
      <c r="AO266" s="28">
        <v>26</v>
      </c>
      <c r="AP266" s="28">
        <v>37</v>
      </c>
      <c r="AQ266" s="28" t="s">
        <v>1818</v>
      </c>
      <c r="AR266" s="28" t="s">
        <v>1819</v>
      </c>
      <c r="AS266" s="28">
        <v>53164</v>
      </c>
      <c r="AT266" s="28">
        <v>16982</v>
      </c>
      <c r="AU266" s="28">
        <v>60013</v>
      </c>
      <c r="AV266" s="28">
        <v>57501</v>
      </c>
      <c r="AW266" s="843">
        <v>45293</v>
      </c>
      <c r="AX266" s="843">
        <v>45657</v>
      </c>
      <c r="AY266" s="28" t="s">
        <v>1820</v>
      </c>
      <c r="AZ266" s="15"/>
      <c r="BA266" s="15"/>
      <c r="BB266" s="15"/>
      <c r="BC266" s="15"/>
      <c r="BD266" s="15"/>
      <c r="BE266" s="15"/>
      <c r="BF266" s="15"/>
      <c r="BG266" s="15"/>
      <c r="BH266" s="15"/>
      <c r="BI266" s="15"/>
      <c r="BJ266" s="15"/>
      <c r="BK266" s="15"/>
      <c r="BL266" s="15"/>
      <c r="BM266" s="15"/>
      <c r="BN266" s="15"/>
    </row>
    <row r="267" spans="1:66" s="47" customFormat="1" ht="63.75" x14ac:dyDescent="0.2">
      <c r="A267" s="28">
        <v>1</v>
      </c>
      <c r="B267" s="34" t="s">
        <v>315</v>
      </c>
      <c r="C267" s="28">
        <v>19</v>
      </c>
      <c r="D267" s="34" t="s">
        <v>517</v>
      </c>
      <c r="E267" s="28">
        <v>1906</v>
      </c>
      <c r="F267" s="34" t="s">
        <v>2236</v>
      </c>
      <c r="G267" s="28" t="s">
        <v>70</v>
      </c>
      <c r="H267" s="34" t="s">
        <v>2237</v>
      </c>
      <c r="I267" s="28">
        <v>1906023</v>
      </c>
      <c r="J267" s="34" t="s">
        <v>2238</v>
      </c>
      <c r="K267" s="280" t="s">
        <v>70</v>
      </c>
      <c r="L267" s="34" t="s">
        <v>2239</v>
      </c>
      <c r="M267" s="280">
        <v>190602300</v>
      </c>
      <c r="N267" s="34" t="s">
        <v>2240</v>
      </c>
      <c r="O267" s="317">
        <v>19899</v>
      </c>
      <c r="P267" s="205"/>
      <c r="Q267" s="321">
        <v>19899</v>
      </c>
      <c r="R267" s="79">
        <v>2020003630136</v>
      </c>
      <c r="S267" s="34" t="s">
        <v>2241</v>
      </c>
      <c r="T267" s="500">
        <f t="shared" si="27"/>
        <v>1</v>
      </c>
      <c r="U267" s="34" t="s">
        <v>2242</v>
      </c>
      <c r="V267" s="34" t="s">
        <v>2243</v>
      </c>
      <c r="W267" s="34" t="s">
        <v>2244</v>
      </c>
      <c r="X267" s="322">
        <v>270246516.80491954</v>
      </c>
      <c r="Y267" s="322"/>
      <c r="Z267" s="322"/>
      <c r="AA267" s="322"/>
      <c r="AB267" s="709">
        <f t="shared" si="28"/>
        <v>270246516.80491954</v>
      </c>
      <c r="AC267" s="861" t="s">
        <v>2316</v>
      </c>
      <c r="AD267" s="205"/>
      <c r="AE267" s="205">
        <v>252</v>
      </c>
      <c r="AF267" s="65" t="s">
        <v>2268</v>
      </c>
      <c r="AG267" s="320">
        <v>292684</v>
      </c>
      <c r="AH267" s="28">
        <v>282326</v>
      </c>
      <c r="AI267" s="28">
        <v>135912</v>
      </c>
      <c r="AJ267" s="28">
        <v>45122</v>
      </c>
      <c r="AK267" s="28">
        <v>365607</v>
      </c>
      <c r="AL267" s="28">
        <v>75612</v>
      </c>
      <c r="AM267" s="28">
        <v>2145</v>
      </c>
      <c r="AN267" s="28">
        <v>12718</v>
      </c>
      <c r="AO267" s="28">
        <v>26</v>
      </c>
      <c r="AP267" s="28">
        <v>37</v>
      </c>
      <c r="AQ267" s="28" t="s">
        <v>1818</v>
      </c>
      <c r="AR267" s="28" t="s">
        <v>1819</v>
      </c>
      <c r="AS267" s="28">
        <v>53164</v>
      </c>
      <c r="AT267" s="28">
        <v>16982</v>
      </c>
      <c r="AU267" s="28">
        <v>60013</v>
      </c>
      <c r="AV267" s="28">
        <v>57501</v>
      </c>
      <c r="AW267" s="843">
        <v>45293</v>
      </c>
      <c r="AX267" s="843">
        <v>45657</v>
      </c>
      <c r="AY267" s="28" t="s">
        <v>1820</v>
      </c>
      <c r="AZ267" s="15"/>
      <c r="BA267" s="15"/>
      <c r="BB267" s="15"/>
      <c r="BC267" s="15"/>
      <c r="BD267" s="15"/>
      <c r="BE267" s="15"/>
      <c r="BF267" s="15"/>
      <c r="BG267" s="15"/>
      <c r="BH267" s="15"/>
      <c r="BI267" s="15"/>
      <c r="BJ267" s="15"/>
      <c r="BK267" s="15"/>
      <c r="BL267" s="15"/>
      <c r="BM267" s="15"/>
      <c r="BN267" s="15"/>
    </row>
    <row r="268" spans="1:66" s="47" customFormat="1" ht="63.75" x14ac:dyDescent="0.2">
      <c r="A268" s="28">
        <v>1</v>
      </c>
      <c r="B268" s="34" t="s">
        <v>315</v>
      </c>
      <c r="C268" s="28">
        <v>19</v>
      </c>
      <c r="D268" s="34" t="s">
        <v>517</v>
      </c>
      <c r="E268" s="28">
        <v>1906</v>
      </c>
      <c r="F268" s="34" t="s">
        <v>2236</v>
      </c>
      <c r="G268" s="28" t="s">
        <v>70</v>
      </c>
      <c r="H268" s="34" t="s">
        <v>2237</v>
      </c>
      <c r="I268" s="28">
        <v>1906023</v>
      </c>
      <c r="J268" s="34" t="s">
        <v>2238</v>
      </c>
      <c r="K268" s="280" t="s">
        <v>70</v>
      </c>
      <c r="L268" s="34" t="s">
        <v>2239</v>
      </c>
      <c r="M268" s="280">
        <v>190602300</v>
      </c>
      <c r="N268" s="34" t="s">
        <v>2240</v>
      </c>
      <c r="O268" s="317">
        <v>19899</v>
      </c>
      <c r="P268" s="205"/>
      <c r="Q268" s="321">
        <v>19899</v>
      </c>
      <c r="R268" s="79">
        <v>2020003630136</v>
      </c>
      <c r="S268" s="34" t="s">
        <v>2241</v>
      </c>
      <c r="T268" s="500">
        <f t="shared" si="27"/>
        <v>1</v>
      </c>
      <c r="U268" s="34" t="s">
        <v>2242</v>
      </c>
      <c r="V268" s="34" t="s">
        <v>2243</v>
      </c>
      <c r="W268" s="34" t="s">
        <v>2244</v>
      </c>
      <c r="X268" s="322">
        <v>9287284.7964294553</v>
      </c>
      <c r="Y268" s="322"/>
      <c r="Z268" s="322"/>
      <c r="AA268" s="322"/>
      <c r="AB268" s="709">
        <f t="shared" si="28"/>
        <v>9287284.7964294553</v>
      </c>
      <c r="AC268" s="861" t="s">
        <v>2317</v>
      </c>
      <c r="AD268" s="205"/>
      <c r="AE268" s="205">
        <v>253</v>
      </c>
      <c r="AF268" s="65" t="s">
        <v>2260</v>
      </c>
      <c r="AG268" s="320">
        <v>292684</v>
      </c>
      <c r="AH268" s="28">
        <v>282326</v>
      </c>
      <c r="AI268" s="28">
        <v>135912</v>
      </c>
      <c r="AJ268" s="28">
        <v>45122</v>
      </c>
      <c r="AK268" s="28">
        <v>365607</v>
      </c>
      <c r="AL268" s="28">
        <v>75612</v>
      </c>
      <c r="AM268" s="28">
        <v>2145</v>
      </c>
      <c r="AN268" s="28">
        <v>12718</v>
      </c>
      <c r="AO268" s="28">
        <v>26</v>
      </c>
      <c r="AP268" s="28">
        <v>37</v>
      </c>
      <c r="AQ268" s="28" t="s">
        <v>1818</v>
      </c>
      <c r="AR268" s="28" t="s">
        <v>1819</v>
      </c>
      <c r="AS268" s="28">
        <v>53164</v>
      </c>
      <c r="AT268" s="28">
        <v>16982</v>
      </c>
      <c r="AU268" s="28">
        <v>60013</v>
      </c>
      <c r="AV268" s="28">
        <v>57501</v>
      </c>
      <c r="AW268" s="843">
        <v>45293</v>
      </c>
      <c r="AX268" s="843">
        <v>45657</v>
      </c>
      <c r="AY268" s="28" t="s">
        <v>1820</v>
      </c>
      <c r="AZ268" s="15"/>
      <c r="BA268" s="15"/>
      <c r="BB268" s="15"/>
      <c r="BC268" s="15"/>
      <c r="BD268" s="15"/>
      <c r="BE268" s="15"/>
      <c r="BF268" s="15"/>
      <c r="BG268" s="15"/>
      <c r="BH268" s="15"/>
      <c r="BI268" s="15"/>
      <c r="BJ268" s="15"/>
      <c r="BK268" s="15"/>
      <c r="BL268" s="15"/>
      <c r="BM268" s="15"/>
      <c r="BN268" s="15"/>
    </row>
    <row r="269" spans="1:66" s="47" customFormat="1" ht="63.75" x14ac:dyDescent="0.2">
      <c r="A269" s="28">
        <v>1</v>
      </c>
      <c r="B269" s="34" t="s">
        <v>315</v>
      </c>
      <c r="C269" s="28">
        <v>19</v>
      </c>
      <c r="D269" s="34" t="s">
        <v>517</v>
      </c>
      <c r="E269" s="28">
        <v>1906</v>
      </c>
      <c r="F269" s="34" t="s">
        <v>2236</v>
      </c>
      <c r="G269" s="28" t="s">
        <v>70</v>
      </c>
      <c r="H269" s="34" t="s">
        <v>2237</v>
      </c>
      <c r="I269" s="28">
        <v>1906023</v>
      </c>
      <c r="J269" s="34" t="s">
        <v>2238</v>
      </c>
      <c r="K269" s="280" t="s">
        <v>70</v>
      </c>
      <c r="L269" s="34" t="s">
        <v>2239</v>
      </c>
      <c r="M269" s="280">
        <v>190602300</v>
      </c>
      <c r="N269" s="34" t="s">
        <v>2240</v>
      </c>
      <c r="O269" s="317">
        <v>19899</v>
      </c>
      <c r="P269" s="205"/>
      <c r="Q269" s="321">
        <v>19899</v>
      </c>
      <c r="R269" s="79">
        <v>2020003630136</v>
      </c>
      <c r="S269" s="34" t="s">
        <v>2241</v>
      </c>
      <c r="T269" s="500">
        <f t="shared" si="27"/>
        <v>1</v>
      </c>
      <c r="U269" s="34" t="s">
        <v>2242</v>
      </c>
      <c r="V269" s="34" t="s">
        <v>2243</v>
      </c>
      <c r="W269" s="34" t="s">
        <v>2244</v>
      </c>
      <c r="X269" s="322">
        <v>227871468.93446159</v>
      </c>
      <c r="Y269" s="322"/>
      <c r="Z269" s="322"/>
      <c r="AA269" s="322"/>
      <c r="AB269" s="709">
        <f t="shared" si="28"/>
        <v>227871468.93446159</v>
      </c>
      <c r="AC269" s="861" t="s">
        <v>2318</v>
      </c>
      <c r="AD269" s="65"/>
      <c r="AE269" s="205">
        <v>154</v>
      </c>
      <c r="AF269" s="65" t="s">
        <v>2246</v>
      </c>
      <c r="AG269" s="320">
        <v>292684</v>
      </c>
      <c r="AH269" s="28">
        <v>282326</v>
      </c>
      <c r="AI269" s="28">
        <v>135912</v>
      </c>
      <c r="AJ269" s="28">
        <v>45122</v>
      </c>
      <c r="AK269" s="28">
        <v>365607</v>
      </c>
      <c r="AL269" s="28">
        <v>75612</v>
      </c>
      <c r="AM269" s="28">
        <v>2145</v>
      </c>
      <c r="AN269" s="28">
        <v>12718</v>
      </c>
      <c r="AO269" s="28">
        <v>26</v>
      </c>
      <c r="AP269" s="28">
        <v>37</v>
      </c>
      <c r="AQ269" s="28" t="s">
        <v>1818</v>
      </c>
      <c r="AR269" s="28" t="s">
        <v>1819</v>
      </c>
      <c r="AS269" s="28">
        <v>53164</v>
      </c>
      <c r="AT269" s="28">
        <v>16982</v>
      </c>
      <c r="AU269" s="28">
        <v>60013</v>
      </c>
      <c r="AV269" s="28">
        <v>57501</v>
      </c>
      <c r="AW269" s="843">
        <v>45293</v>
      </c>
      <c r="AX269" s="843">
        <v>45657</v>
      </c>
      <c r="AY269" s="28" t="s">
        <v>1820</v>
      </c>
      <c r="AZ269" s="15"/>
      <c r="BA269" s="15"/>
      <c r="BB269" s="15"/>
      <c r="BC269" s="15"/>
      <c r="BD269" s="15"/>
      <c r="BE269" s="15"/>
      <c r="BF269" s="15"/>
      <c r="BG269" s="15"/>
      <c r="BH269" s="15"/>
      <c r="BI269" s="15"/>
      <c r="BJ269" s="15"/>
      <c r="BK269" s="15"/>
      <c r="BL269" s="15"/>
      <c r="BM269" s="15"/>
      <c r="BN269" s="15"/>
    </row>
    <row r="270" spans="1:66" s="47" customFormat="1" ht="63.75" x14ac:dyDescent="0.2">
      <c r="A270" s="28">
        <v>1</v>
      </c>
      <c r="B270" s="34" t="s">
        <v>315</v>
      </c>
      <c r="C270" s="28">
        <v>19</v>
      </c>
      <c r="D270" s="34" t="s">
        <v>517</v>
      </c>
      <c r="E270" s="28">
        <v>1906</v>
      </c>
      <c r="F270" s="34" t="s">
        <v>2236</v>
      </c>
      <c r="G270" s="28" t="s">
        <v>70</v>
      </c>
      <c r="H270" s="34" t="s">
        <v>2237</v>
      </c>
      <c r="I270" s="28">
        <v>1906023</v>
      </c>
      <c r="J270" s="34" t="s">
        <v>2238</v>
      </c>
      <c r="K270" s="280" t="s">
        <v>70</v>
      </c>
      <c r="L270" s="34" t="s">
        <v>2239</v>
      </c>
      <c r="M270" s="280">
        <v>190602300</v>
      </c>
      <c r="N270" s="34" t="s">
        <v>2240</v>
      </c>
      <c r="O270" s="317">
        <v>19899</v>
      </c>
      <c r="P270" s="205"/>
      <c r="Q270" s="321">
        <v>19899</v>
      </c>
      <c r="R270" s="79">
        <v>2020003630136</v>
      </c>
      <c r="S270" s="34" t="s">
        <v>2241</v>
      </c>
      <c r="T270" s="500">
        <f t="shared" ref="T270:T312" si="29">SUM($X$205:$X$312)/SUM($X$205:$X$312)</f>
        <v>1</v>
      </c>
      <c r="U270" s="34" t="s">
        <v>2242</v>
      </c>
      <c r="V270" s="34" t="s">
        <v>2243</v>
      </c>
      <c r="W270" s="34" t="s">
        <v>2244</v>
      </c>
      <c r="X270" s="322">
        <v>156965756.7046259</v>
      </c>
      <c r="Y270" s="322"/>
      <c r="Z270" s="322"/>
      <c r="AA270" s="322"/>
      <c r="AB270" s="709">
        <f t="shared" si="28"/>
        <v>156965756.7046259</v>
      </c>
      <c r="AC270" s="861" t="s">
        <v>2319</v>
      </c>
      <c r="AD270" s="205"/>
      <c r="AE270" s="205">
        <v>237</v>
      </c>
      <c r="AF270" s="65" t="s">
        <v>2248</v>
      </c>
      <c r="AG270" s="320">
        <v>292684</v>
      </c>
      <c r="AH270" s="28">
        <v>282326</v>
      </c>
      <c r="AI270" s="28">
        <v>135912</v>
      </c>
      <c r="AJ270" s="28">
        <v>45122</v>
      </c>
      <c r="AK270" s="28">
        <v>365607</v>
      </c>
      <c r="AL270" s="28">
        <v>75612</v>
      </c>
      <c r="AM270" s="28">
        <v>2145</v>
      </c>
      <c r="AN270" s="28">
        <v>12718</v>
      </c>
      <c r="AO270" s="28">
        <v>26</v>
      </c>
      <c r="AP270" s="28">
        <v>37</v>
      </c>
      <c r="AQ270" s="28" t="s">
        <v>1818</v>
      </c>
      <c r="AR270" s="28" t="s">
        <v>1819</v>
      </c>
      <c r="AS270" s="28">
        <v>53164</v>
      </c>
      <c r="AT270" s="28">
        <v>16982</v>
      </c>
      <c r="AU270" s="28">
        <v>60013</v>
      </c>
      <c r="AV270" s="28">
        <v>57501</v>
      </c>
      <c r="AW270" s="843">
        <v>45293</v>
      </c>
      <c r="AX270" s="843">
        <v>45657</v>
      </c>
      <c r="AY270" s="28" t="s">
        <v>1820</v>
      </c>
      <c r="AZ270" s="15"/>
      <c r="BA270" s="15"/>
      <c r="BB270" s="15"/>
      <c r="BC270" s="15"/>
      <c r="BD270" s="15"/>
      <c r="BE270" s="15"/>
      <c r="BF270" s="15"/>
      <c r="BG270" s="15"/>
      <c r="BH270" s="15"/>
      <c r="BI270" s="15"/>
      <c r="BJ270" s="15"/>
      <c r="BK270" s="15"/>
      <c r="BL270" s="15"/>
      <c r="BM270" s="15"/>
      <c r="BN270" s="15"/>
    </row>
    <row r="271" spans="1:66" s="47" customFormat="1" ht="63.75" x14ac:dyDescent="0.2">
      <c r="A271" s="28">
        <v>1</v>
      </c>
      <c r="B271" s="34" t="s">
        <v>315</v>
      </c>
      <c r="C271" s="28">
        <v>19</v>
      </c>
      <c r="D271" s="34" t="s">
        <v>517</v>
      </c>
      <c r="E271" s="28">
        <v>1906</v>
      </c>
      <c r="F271" s="34" t="s">
        <v>2236</v>
      </c>
      <c r="G271" s="28" t="s">
        <v>70</v>
      </c>
      <c r="H271" s="34" t="s">
        <v>2237</v>
      </c>
      <c r="I271" s="28">
        <v>1906023</v>
      </c>
      <c r="J271" s="34" t="s">
        <v>2238</v>
      </c>
      <c r="K271" s="280" t="s">
        <v>70</v>
      </c>
      <c r="L271" s="34" t="s">
        <v>2239</v>
      </c>
      <c r="M271" s="280">
        <v>190602300</v>
      </c>
      <c r="N271" s="34" t="s">
        <v>2240</v>
      </c>
      <c r="O271" s="317">
        <v>19899</v>
      </c>
      <c r="P271" s="205"/>
      <c r="Q271" s="321">
        <v>19899</v>
      </c>
      <c r="R271" s="79">
        <v>2020003630136</v>
      </c>
      <c r="S271" s="34" t="s">
        <v>2241</v>
      </c>
      <c r="T271" s="500">
        <f t="shared" si="29"/>
        <v>1</v>
      </c>
      <c r="U271" s="34" t="s">
        <v>2242</v>
      </c>
      <c r="V271" s="34" t="s">
        <v>2243</v>
      </c>
      <c r="W271" s="34" t="s">
        <v>2244</v>
      </c>
      <c r="X271" s="322">
        <v>32996552.630065195</v>
      </c>
      <c r="Y271" s="322"/>
      <c r="Z271" s="322"/>
      <c r="AA271" s="322"/>
      <c r="AB271" s="709">
        <f t="shared" ref="AB271:AB327" si="30">X271-Y271+Z271-AA271</f>
        <v>32996552.630065195</v>
      </c>
      <c r="AC271" s="861" t="s">
        <v>2320</v>
      </c>
      <c r="AD271" s="205"/>
      <c r="AE271" s="205">
        <v>240</v>
      </c>
      <c r="AF271" s="65" t="s">
        <v>2250</v>
      </c>
      <c r="AG271" s="320">
        <v>292684</v>
      </c>
      <c r="AH271" s="28">
        <v>282326</v>
      </c>
      <c r="AI271" s="28">
        <v>135912</v>
      </c>
      <c r="AJ271" s="28">
        <v>45122</v>
      </c>
      <c r="AK271" s="28">
        <v>365607</v>
      </c>
      <c r="AL271" s="28">
        <v>75612</v>
      </c>
      <c r="AM271" s="28">
        <v>2145</v>
      </c>
      <c r="AN271" s="28">
        <v>12718</v>
      </c>
      <c r="AO271" s="28">
        <v>26</v>
      </c>
      <c r="AP271" s="28">
        <v>37</v>
      </c>
      <c r="AQ271" s="28" t="s">
        <v>1818</v>
      </c>
      <c r="AR271" s="28" t="s">
        <v>1819</v>
      </c>
      <c r="AS271" s="28">
        <v>53164</v>
      </c>
      <c r="AT271" s="28">
        <v>16982</v>
      </c>
      <c r="AU271" s="28">
        <v>60013</v>
      </c>
      <c r="AV271" s="28">
        <v>57501</v>
      </c>
      <c r="AW271" s="843">
        <v>45293</v>
      </c>
      <c r="AX271" s="843">
        <v>45657</v>
      </c>
      <c r="AY271" s="28" t="s">
        <v>1820</v>
      </c>
      <c r="AZ271" s="15"/>
      <c r="BA271" s="15"/>
      <c r="BB271" s="15"/>
      <c r="BC271" s="15"/>
      <c r="BD271" s="15"/>
      <c r="BE271" s="15"/>
      <c r="BF271" s="15"/>
      <c r="BG271" s="15"/>
      <c r="BH271" s="15"/>
      <c r="BI271" s="15"/>
      <c r="BJ271" s="15"/>
      <c r="BK271" s="15"/>
      <c r="BL271" s="15"/>
      <c r="BM271" s="15"/>
      <c r="BN271" s="15"/>
    </row>
    <row r="272" spans="1:66" s="47" customFormat="1" ht="63.75" x14ac:dyDescent="0.2">
      <c r="A272" s="28">
        <v>1</v>
      </c>
      <c r="B272" s="34" t="s">
        <v>315</v>
      </c>
      <c r="C272" s="28">
        <v>19</v>
      </c>
      <c r="D272" s="34" t="s">
        <v>517</v>
      </c>
      <c r="E272" s="28">
        <v>1906</v>
      </c>
      <c r="F272" s="34" t="s">
        <v>2236</v>
      </c>
      <c r="G272" s="28" t="s">
        <v>70</v>
      </c>
      <c r="H272" s="34" t="s">
        <v>2237</v>
      </c>
      <c r="I272" s="28">
        <v>1906023</v>
      </c>
      <c r="J272" s="34" t="s">
        <v>2238</v>
      </c>
      <c r="K272" s="280" t="s">
        <v>70</v>
      </c>
      <c r="L272" s="34" t="s">
        <v>2239</v>
      </c>
      <c r="M272" s="280">
        <v>190602300</v>
      </c>
      <c r="N272" s="34" t="s">
        <v>2240</v>
      </c>
      <c r="O272" s="317">
        <v>19899</v>
      </c>
      <c r="P272" s="205"/>
      <c r="Q272" s="321">
        <v>19899</v>
      </c>
      <c r="R272" s="79">
        <v>2020003630136</v>
      </c>
      <c r="S272" s="34" t="s">
        <v>2241</v>
      </c>
      <c r="T272" s="500">
        <f t="shared" si="29"/>
        <v>1</v>
      </c>
      <c r="U272" s="34" t="s">
        <v>2242</v>
      </c>
      <c r="V272" s="34" t="s">
        <v>2243</v>
      </c>
      <c r="W272" s="34" t="s">
        <v>2244</v>
      </c>
      <c r="X272" s="322">
        <v>49291869.371911429</v>
      </c>
      <c r="Y272" s="322"/>
      <c r="Z272" s="322"/>
      <c r="AA272" s="322"/>
      <c r="AB272" s="709">
        <f t="shared" si="30"/>
        <v>49291869.371911429</v>
      </c>
      <c r="AC272" s="861" t="s">
        <v>2321</v>
      </c>
      <c r="AD272" s="205"/>
      <c r="AE272" s="205">
        <v>243</v>
      </c>
      <c r="AF272" s="65" t="s">
        <v>2252</v>
      </c>
      <c r="AG272" s="320">
        <v>292684</v>
      </c>
      <c r="AH272" s="28">
        <v>282326</v>
      </c>
      <c r="AI272" s="28">
        <v>135912</v>
      </c>
      <c r="AJ272" s="28">
        <v>45122</v>
      </c>
      <c r="AK272" s="28">
        <v>365607</v>
      </c>
      <c r="AL272" s="28">
        <v>75612</v>
      </c>
      <c r="AM272" s="28">
        <v>2145</v>
      </c>
      <c r="AN272" s="28">
        <v>12718</v>
      </c>
      <c r="AO272" s="28">
        <v>26</v>
      </c>
      <c r="AP272" s="28">
        <v>37</v>
      </c>
      <c r="AQ272" s="28" t="s">
        <v>1818</v>
      </c>
      <c r="AR272" s="28" t="s">
        <v>1819</v>
      </c>
      <c r="AS272" s="28">
        <v>53164</v>
      </c>
      <c r="AT272" s="28">
        <v>16982</v>
      </c>
      <c r="AU272" s="28">
        <v>60013</v>
      </c>
      <c r="AV272" s="28">
        <v>57501</v>
      </c>
      <c r="AW272" s="843">
        <v>45293</v>
      </c>
      <c r="AX272" s="843">
        <v>45657</v>
      </c>
      <c r="AY272" s="28" t="s">
        <v>1820</v>
      </c>
      <c r="AZ272" s="15"/>
      <c r="BA272" s="15"/>
      <c r="BB272" s="15"/>
      <c r="BC272" s="15"/>
      <c r="BD272" s="15"/>
      <c r="BE272" s="15"/>
      <c r="BF272" s="15"/>
      <c r="BG272" s="15"/>
      <c r="BH272" s="15"/>
      <c r="BI272" s="15"/>
      <c r="BJ272" s="15"/>
      <c r="BK272" s="15"/>
      <c r="BL272" s="15"/>
      <c r="BM272" s="15"/>
      <c r="BN272" s="15"/>
    </row>
    <row r="273" spans="1:66" s="47" customFormat="1" ht="63.75" x14ac:dyDescent="0.2">
      <c r="A273" s="28">
        <v>1</v>
      </c>
      <c r="B273" s="34" t="s">
        <v>315</v>
      </c>
      <c r="C273" s="28">
        <v>19</v>
      </c>
      <c r="D273" s="34" t="s">
        <v>517</v>
      </c>
      <c r="E273" s="28">
        <v>1906</v>
      </c>
      <c r="F273" s="34" t="s">
        <v>2236</v>
      </c>
      <c r="G273" s="28" t="s">
        <v>70</v>
      </c>
      <c r="H273" s="34" t="s">
        <v>2237</v>
      </c>
      <c r="I273" s="28">
        <v>1906023</v>
      </c>
      <c r="J273" s="34" t="s">
        <v>2238</v>
      </c>
      <c r="K273" s="280" t="s">
        <v>70</v>
      </c>
      <c r="L273" s="34" t="s">
        <v>2239</v>
      </c>
      <c r="M273" s="280">
        <v>190602300</v>
      </c>
      <c r="N273" s="34" t="s">
        <v>2240</v>
      </c>
      <c r="O273" s="317">
        <v>19899</v>
      </c>
      <c r="P273" s="205"/>
      <c r="Q273" s="321">
        <v>19899</v>
      </c>
      <c r="R273" s="79">
        <v>2020003630136</v>
      </c>
      <c r="S273" s="34" t="s">
        <v>2241</v>
      </c>
      <c r="T273" s="500">
        <f t="shared" si="29"/>
        <v>1</v>
      </c>
      <c r="U273" s="34" t="s">
        <v>2242</v>
      </c>
      <c r="V273" s="34" t="s">
        <v>2243</v>
      </c>
      <c r="W273" s="34" t="s">
        <v>2244</v>
      </c>
      <c r="X273" s="322">
        <v>23357177.208566409</v>
      </c>
      <c r="Y273" s="322"/>
      <c r="Z273" s="322"/>
      <c r="AA273" s="322"/>
      <c r="AB273" s="709">
        <f t="shared" si="30"/>
        <v>23357177.208566409</v>
      </c>
      <c r="AC273" s="861" t="s">
        <v>2322</v>
      </c>
      <c r="AD273" s="205"/>
      <c r="AE273" s="205">
        <v>246</v>
      </c>
      <c r="AF273" s="65" t="s">
        <v>2254</v>
      </c>
      <c r="AG273" s="320">
        <v>292684</v>
      </c>
      <c r="AH273" s="28">
        <v>282326</v>
      </c>
      <c r="AI273" s="28">
        <v>135912</v>
      </c>
      <c r="AJ273" s="28">
        <v>45122</v>
      </c>
      <c r="AK273" s="28">
        <v>365607</v>
      </c>
      <c r="AL273" s="28">
        <v>75612</v>
      </c>
      <c r="AM273" s="28">
        <v>2145</v>
      </c>
      <c r="AN273" s="28">
        <v>12718</v>
      </c>
      <c r="AO273" s="28">
        <v>26</v>
      </c>
      <c r="AP273" s="28">
        <v>37</v>
      </c>
      <c r="AQ273" s="28" t="s">
        <v>1818</v>
      </c>
      <c r="AR273" s="28" t="s">
        <v>1819</v>
      </c>
      <c r="AS273" s="28">
        <v>53164</v>
      </c>
      <c r="AT273" s="28">
        <v>16982</v>
      </c>
      <c r="AU273" s="28">
        <v>60013</v>
      </c>
      <c r="AV273" s="28">
        <v>57501</v>
      </c>
      <c r="AW273" s="843">
        <v>45293</v>
      </c>
      <c r="AX273" s="843">
        <v>45657</v>
      </c>
      <c r="AY273" s="28" t="s">
        <v>1820</v>
      </c>
      <c r="AZ273" s="15"/>
      <c r="BA273" s="15"/>
      <c r="BB273" s="15"/>
      <c r="BC273" s="15"/>
      <c r="BD273" s="15"/>
      <c r="BE273" s="15"/>
      <c r="BF273" s="15"/>
      <c r="BG273" s="15"/>
      <c r="BH273" s="15"/>
      <c r="BI273" s="15"/>
      <c r="BJ273" s="15"/>
      <c r="BK273" s="15"/>
      <c r="BL273" s="15"/>
      <c r="BM273" s="15"/>
      <c r="BN273" s="15"/>
    </row>
    <row r="274" spans="1:66" s="47" customFormat="1" ht="63.75" x14ac:dyDescent="0.2">
      <c r="A274" s="28">
        <v>1</v>
      </c>
      <c r="B274" s="34" t="s">
        <v>315</v>
      </c>
      <c r="C274" s="28">
        <v>19</v>
      </c>
      <c r="D274" s="34" t="s">
        <v>517</v>
      </c>
      <c r="E274" s="28">
        <v>1906</v>
      </c>
      <c r="F274" s="34" t="s">
        <v>2236</v>
      </c>
      <c r="G274" s="28" t="s">
        <v>70</v>
      </c>
      <c r="H274" s="34" t="s">
        <v>2237</v>
      </c>
      <c r="I274" s="28">
        <v>1906023</v>
      </c>
      <c r="J274" s="34" t="s">
        <v>2238</v>
      </c>
      <c r="K274" s="280" t="s">
        <v>70</v>
      </c>
      <c r="L274" s="34" t="s">
        <v>2239</v>
      </c>
      <c r="M274" s="280">
        <v>190602300</v>
      </c>
      <c r="N274" s="34" t="s">
        <v>2240</v>
      </c>
      <c r="O274" s="317">
        <v>19899</v>
      </c>
      <c r="P274" s="205"/>
      <c r="Q274" s="321">
        <v>19899</v>
      </c>
      <c r="R274" s="79">
        <v>2020003630136</v>
      </c>
      <c r="S274" s="34" t="s">
        <v>2241</v>
      </c>
      <c r="T274" s="500">
        <f t="shared" si="29"/>
        <v>1</v>
      </c>
      <c r="U274" s="34" t="s">
        <v>2242</v>
      </c>
      <c r="V274" s="34" t="s">
        <v>2243</v>
      </c>
      <c r="W274" s="34" t="s">
        <v>2244</v>
      </c>
      <c r="X274" s="322">
        <v>14606878.123380201</v>
      </c>
      <c r="Y274" s="322"/>
      <c r="Z274" s="322"/>
      <c r="AA274" s="322"/>
      <c r="AB274" s="709">
        <f t="shared" si="30"/>
        <v>14606878.123380201</v>
      </c>
      <c r="AC274" s="861" t="s">
        <v>2323</v>
      </c>
      <c r="AD274" s="205"/>
      <c r="AE274" s="205">
        <v>249</v>
      </c>
      <c r="AF274" s="65" t="s">
        <v>2256</v>
      </c>
      <c r="AG274" s="320">
        <v>292684</v>
      </c>
      <c r="AH274" s="28">
        <v>282326</v>
      </c>
      <c r="AI274" s="28">
        <v>135912</v>
      </c>
      <c r="AJ274" s="28">
        <v>45122</v>
      </c>
      <c r="AK274" s="28">
        <v>365607</v>
      </c>
      <c r="AL274" s="28">
        <v>75612</v>
      </c>
      <c r="AM274" s="28">
        <v>2145</v>
      </c>
      <c r="AN274" s="28">
        <v>12718</v>
      </c>
      <c r="AO274" s="28">
        <v>26</v>
      </c>
      <c r="AP274" s="28">
        <v>37</v>
      </c>
      <c r="AQ274" s="28" t="s">
        <v>1818</v>
      </c>
      <c r="AR274" s="28" t="s">
        <v>1819</v>
      </c>
      <c r="AS274" s="28">
        <v>53164</v>
      </c>
      <c r="AT274" s="28">
        <v>16982</v>
      </c>
      <c r="AU274" s="28">
        <v>60013</v>
      </c>
      <c r="AV274" s="28">
        <v>57501</v>
      </c>
      <c r="AW274" s="843">
        <v>45293</v>
      </c>
      <c r="AX274" s="843">
        <v>45657</v>
      </c>
      <c r="AY274" s="28" t="s">
        <v>1820</v>
      </c>
      <c r="AZ274" s="15"/>
      <c r="BA274" s="15"/>
      <c r="BB274" s="15"/>
      <c r="BC274" s="15"/>
      <c r="BD274" s="15"/>
      <c r="BE274" s="15"/>
      <c r="BF274" s="15"/>
      <c r="BG274" s="15"/>
      <c r="BH274" s="15"/>
      <c r="BI274" s="15"/>
      <c r="BJ274" s="15"/>
      <c r="BK274" s="15"/>
      <c r="BL274" s="15"/>
      <c r="BM274" s="15"/>
      <c r="BN274" s="15"/>
    </row>
    <row r="275" spans="1:66" s="47" customFormat="1" ht="63.75" x14ac:dyDescent="0.2">
      <c r="A275" s="28">
        <v>1</v>
      </c>
      <c r="B275" s="34" t="s">
        <v>315</v>
      </c>
      <c r="C275" s="28">
        <v>19</v>
      </c>
      <c r="D275" s="34" t="s">
        <v>517</v>
      </c>
      <c r="E275" s="28">
        <v>1906</v>
      </c>
      <c r="F275" s="34" t="s">
        <v>2236</v>
      </c>
      <c r="G275" s="28" t="s">
        <v>70</v>
      </c>
      <c r="H275" s="34" t="s">
        <v>2237</v>
      </c>
      <c r="I275" s="28">
        <v>1906023</v>
      </c>
      <c r="J275" s="34" t="s">
        <v>2238</v>
      </c>
      <c r="K275" s="280" t="s">
        <v>70</v>
      </c>
      <c r="L275" s="34" t="s">
        <v>2239</v>
      </c>
      <c r="M275" s="280">
        <v>190602300</v>
      </c>
      <c r="N275" s="34" t="s">
        <v>2240</v>
      </c>
      <c r="O275" s="317">
        <v>19899</v>
      </c>
      <c r="P275" s="205"/>
      <c r="Q275" s="321">
        <v>19899</v>
      </c>
      <c r="R275" s="79">
        <v>2020003630136</v>
      </c>
      <c r="S275" s="34" t="s">
        <v>2241</v>
      </c>
      <c r="T275" s="500">
        <f t="shared" si="29"/>
        <v>1</v>
      </c>
      <c r="U275" s="34" t="s">
        <v>2242</v>
      </c>
      <c r="V275" s="34" t="s">
        <v>2243</v>
      </c>
      <c r="W275" s="34" t="s">
        <v>2244</v>
      </c>
      <c r="X275" s="322">
        <v>472029514.10314637</v>
      </c>
      <c r="Y275" s="322"/>
      <c r="Z275" s="322"/>
      <c r="AA275" s="322"/>
      <c r="AB275" s="709">
        <f t="shared" si="30"/>
        <v>472029514.10314637</v>
      </c>
      <c r="AC275" s="861" t="s">
        <v>2324</v>
      </c>
      <c r="AD275" s="205"/>
      <c r="AE275" s="205">
        <v>252</v>
      </c>
      <c r="AF275" s="65" t="s">
        <v>2268</v>
      </c>
      <c r="AG275" s="320">
        <v>292684</v>
      </c>
      <c r="AH275" s="28">
        <v>282326</v>
      </c>
      <c r="AI275" s="28">
        <v>135912</v>
      </c>
      <c r="AJ275" s="28">
        <v>45122</v>
      </c>
      <c r="AK275" s="28">
        <v>365607</v>
      </c>
      <c r="AL275" s="28">
        <v>75612</v>
      </c>
      <c r="AM275" s="28">
        <v>2145</v>
      </c>
      <c r="AN275" s="28">
        <v>12718</v>
      </c>
      <c r="AO275" s="28">
        <v>26</v>
      </c>
      <c r="AP275" s="28">
        <v>37</v>
      </c>
      <c r="AQ275" s="28" t="s">
        <v>1818</v>
      </c>
      <c r="AR275" s="28" t="s">
        <v>1819</v>
      </c>
      <c r="AS275" s="28">
        <v>53164</v>
      </c>
      <c r="AT275" s="28">
        <v>16982</v>
      </c>
      <c r="AU275" s="28">
        <v>60013</v>
      </c>
      <c r="AV275" s="28">
        <v>57501</v>
      </c>
      <c r="AW275" s="843">
        <v>45293</v>
      </c>
      <c r="AX275" s="843">
        <v>45657</v>
      </c>
      <c r="AY275" s="28" t="s">
        <v>1820</v>
      </c>
      <c r="AZ275" s="15"/>
      <c r="BA275" s="15"/>
      <c r="BB275" s="15"/>
      <c r="BC275" s="15"/>
      <c r="BD275" s="15"/>
      <c r="BE275" s="15"/>
      <c r="BF275" s="15"/>
      <c r="BG275" s="15"/>
      <c r="BH275" s="15"/>
      <c r="BI275" s="15"/>
      <c r="BJ275" s="15"/>
      <c r="BK275" s="15"/>
      <c r="BL275" s="15"/>
      <c r="BM275" s="15"/>
      <c r="BN275" s="15"/>
    </row>
    <row r="276" spans="1:66" s="47" customFormat="1" ht="63.75" x14ac:dyDescent="0.2">
      <c r="A276" s="28">
        <v>1</v>
      </c>
      <c r="B276" s="34" t="s">
        <v>315</v>
      </c>
      <c r="C276" s="28">
        <v>19</v>
      </c>
      <c r="D276" s="34" t="s">
        <v>517</v>
      </c>
      <c r="E276" s="28">
        <v>1906</v>
      </c>
      <c r="F276" s="34" t="s">
        <v>2236</v>
      </c>
      <c r="G276" s="28" t="s">
        <v>70</v>
      </c>
      <c r="H276" s="34" t="s">
        <v>2237</v>
      </c>
      <c r="I276" s="28">
        <v>1906023</v>
      </c>
      <c r="J276" s="34" t="s">
        <v>2238</v>
      </c>
      <c r="K276" s="280" t="s">
        <v>70</v>
      </c>
      <c r="L276" s="34" t="s">
        <v>2239</v>
      </c>
      <c r="M276" s="280">
        <v>190602300</v>
      </c>
      <c r="N276" s="34" t="s">
        <v>2240</v>
      </c>
      <c r="O276" s="317">
        <v>19899</v>
      </c>
      <c r="P276" s="205"/>
      <c r="Q276" s="321">
        <v>19899</v>
      </c>
      <c r="R276" s="79">
        <v>2020003630136</v>
      </c>
      <c r="S276" s="34" t="s">
        <v>2241</v>
      </c>
      <c r="T276" s="500">
        <f t="shared" si="29"/>
        <v>1</v>
      </c>
      <c r="U276" s="34" t="s">
        <v>2242</v>
      </c>
      <c r="V276" s="34" t="s">
        <v>2243</v>
      </c>
      <c r="W276" s="34" t="s">
        <v>2244</v>
      </c>
      <c r="X276" s="322">
        <v>16221754.05487532</v>
      </c>
      <c r="Y276" s="322"/>
      <c r="Z276" s="322"/>
      <c r="AA276" s="322"/>
      <c r="AB276" s="709">
        <f t="shared" si="30"/>
        <v>16221754.05487532</v>
      </c>
      <c r="AC276" s="861" t="s">
        <v>2325</v>
      </c>
      <c r="AD276" s="205"/>
      <c r="AE276" s="205">
        <v>253</v>
      </c>
      <c r="AF276" s="65" t="s">
        <v>2260</v>
      </c>
      <c r="AG276" s="320">
        <v>292684</v>
      </c>
      <c r="AH276" s="28">
        <v>282326</v>
      </c>
      <c r="AI276" s="28">
        <v>135912</v>
      </c>
      <c r="AJ276" s="28">
        <v>45122</v>
      </c>
      <c r="AK276" s="28">
        <v>365607</v>
      </c>
      <c r="AL276" s="28">
        <v>75612</v>
      </c>
      <c r="AM276" s="28">
        <v>2145</v>
      </c>
      <c r="AN276" s="28">
        <v>12718</v>
      </c>
      <c r="AO276" s="28">
        <v>26</v>
      </c>
      <c r="AP276" s="28">
        <v>37</v>
      </c>
      <c r="AQ276" s="28" t="s">
        <v>1818</v>
      </c>
      <c r="AR276" s="28" t="s">
        <v>1819</v>
      </c>
      <c r="AS276" s="28">
        <v>53164</v>
      </c>
      <c r="AT276" s="28">
        <v>16982</v>
      </c>
      <c r="AU276" s="28">
        <v>60013</v>
      </c>
      <c r="AV276" s="28">
        <v>57501</v>
      </c>
      <c r="AW276" s="843">
        <v>45293</v>
      </c>
      <c r="AX276" s="843">
        <v>45657</v>
      </c>
      <c r="AY276" s="28" t="s">
        <v>1820</v>
      </c>
      <c r="AZ276" s="15"/>
      <c r="BA276" s="15"/>
      <c r="BB276" s="15"/>
      <c r="BC276" s="15"/>
      <c r="BD276" s="15"/>
      <c r="BE276" s="15"/>
      <c r="BF276" s="15"/>
      <c r="BG276" s="15"/>
      <c r="BH276" s="15"/>
      <c r="BI276" s="15"/>
      <c r="BJ276" s="15"/>
      <c r="BK276" s="15"/>
      <c r="BL276" s="15"/>
      <c r="BM276" s="15"/>
      <c r="BN276" s="15"/>
    </row>
    <row r="277" spans="1:66" s="47" customFormat="1" ht="76.5" x14ac:dyDescent="0.2">
      <c r="A277" s="28">
        <v>1</v>
      </c>
      <c r="B277" s="34" t="s">
        <v>315</v>
      </c>
      <c r="C277" s="28">
        <v>19</v>
      </c>
      <c r="D277" s="34" t="s">
        <v>517</v>
      </c>
      <c r="E277" s="28">
        <v>1906</v>
      </c>
      <c r="F277" s="34" t="s">
        <v>2236</v>
      </c>
      <c r="G277" s="28" t="s">
        <v>70</v>
      </c>
      <c r="H277" s="34" t="s">
        <v>2237</v>
      </c>
      <c r="I277" s="28">
        <v>1906023</v>
      </c>
      <c r="J277" s="34" t="s">
        <v>2238</v>
      </c>
      <c r="K277" s="280" t="s">
        <v>70</v>
      </c>
      <c r="L277" s="34" t="s">
        <v>2239</v>
      </c>
      <c r="M277" s="280">
        <v>190602300</v>
      </c>
      <c r="N277" s="34" t="s">
        <v>2240</v>
      </c>
      <c r="O277" s="317">
        <v>19899</v>
      </c>
      <c r="P277" s="205"/>
      <c r="Q277" s="321">
        <v>19899</v>
      </c>
      <c r="R277" s="79">
        <v>2020003630136</v>
      </c>
      <c r="S277" s="34" t="s">
        <v>2241</v>
      </c>
      <c r="T277" s="500">
        <f t="shared" si="29"/>
        <v>1</v>
      </c>
      <c r="U277" s="34" t="s">
        <v>2242</v>
      </c>
      <c r="V277" s="34" t="s">
        <v>2243</v>
      </c>
      <c r="W277" s="34" t="s">
        <v>2244</v>
      </c>
      <c r="X277" s="859">
        <v>546806382.87509525</v>
      </c>
      <c r="Y277" s="859"/>
      <c r="Z277" s="859"/>
      <c r="AA277" s="859"/>
      <c r="AB277" s="709">
        <f t="shared" si="30"/>
        <v>546806382.87509525</v>
      </c>
      <c r="AC277" s="861" t="s">
        <v>2326</v>
      </c>
      <c r="AD277" s="65"/>
      <c r="AE277" s="205">
        <v>154</v>
      </c>
      <c r="AF277" s="65" t="s">
        <v>2246</v>
      </c>
      <c r="AG277" s="320">
        <v>292684</v>
      </c>
      <c r="AH277" s="28">
        <v>282326</v>
      </c>
      <c r="AI277" s="28">
        <v>135912</v>
      </c>
      <c r="AJ277" s="28">
        <v>45122</v>
      </c>
      <c r="AK277" s="28">
        <v>365607</v>
      </c>
      <c r="AL277" s="28">
        <v>75612</v>
      </c>
      <c r="AM277" s="28">
        <v>2145</v>
      </c>
      <c r="AN277" s="28">
        <v>12718</v>
      </c>
      <c r="AO277" s="28">
        <v>26</v>
      </c>
      <c r="AP277" s="28">
        <v>37</v>
      </c>
      <c r="AQ277" s="28" t="s">
        <v>1818</v>
      </c>
      <c r="AR277" s="28" t="s">
        <v>1819</v>
      </c>
      <c r="AS277" s="28">
        <v>53164</v>
      </c>
      <c r="AT277" s="28">
        <v>16982</v>
      </c>
      <c r="AU277" s="28">
        <v>60013</v>
      </c>
      <c r="AV277" s="28">
        <v>57501</v>
      </c>
      <c r="AW277" s="843">
        <v>45293</v>
      </c>
      <c r="AX277" s="843">
        <v>45657</v>
      </c>
      <c r="AY277" s="28" t="s">
        <v>1820</v>
      </c>
      <c r="AZ277" s="15"/>
      <c r="BA277" s="15"/>
      <c r="BB277" s="15"/>
      <c r="BC277" s="15"/>
      <c r="BD277" s="15"/>
      <c r="BE277" s="15"/>
      <c r="BF277" s="15"/>
      <c r="BG277" s="15"/>
      <c r="BH277" s="15"/>
      <c r="BI277" s="15"/>
      <c r="BJ277" s="15"/>
      <c r="BK277" s="15"/>
      <c r="BL277" s="15"/>
      <c r="BM277" s="15"/>
      <c r="BN277" s="15"/>
    </row>
    <row r="278" spans="1:66" s="47" customFormat="1" ht="63.75" x14ac:dyDescent="0.2">
      <c r="A278" s="28">
        <v>1</v>
      </c>
      <c r="B278" s="34" t="s">
        <v>315</v>
      </c>
      <c r="C278" s="28">
        <v>19</v>
      </c>
      <c r="D278" s="34" t="s">
        <v>517</v>
      </c>
      <c r="E278" s="28">
        <v>1906</v>
      </c>
      <c r="F278" s="34" t="s">
        <v>2236</v>
      </c>
      <c r="G278" s="28" t="s">
        <v>70</v>
      </c>
      <c r="H278" s="34" t="s">
        <v>2237</v>
      </c>
      <c r="I278" s="28">
        <v>1906023</v>
      </c>
      <c r="J278" s="34" t="s">
        <v>2238</v>
      </c>
      <c r="K278" s="280" t="s">
        <v>70</v>
      </c>
      <c r="L278" s="34" t="s">
        <v>2239</v>
      </c>
      <c r="M278" s="280">
        <v>190602300</v>
      </c>
      <c r="N278" s="34" t="s">
        <v>2240</v>
      </c>
      <c r="O278" s="317">
        <v>19899</v>
      </c>
      <c r="P278" s="205"/>
      <c r="Q278" s="321">
        <v>19899</v>
      </c>
      <c r="R278" s="79">
        <v>2020003630136</v>
      </c>
      <c r="S278" s="34" t="s">
        <v>2241</v>
      </c>
      <c r="T278" s="500">
        <f t="shared" si="29"/>
        <v>1</v>
      </c>
      <c r="U278" s="34" t="s">
        <v>2242</v>
      </c>
      <c r="V278" s="34" t="s">
        <v>2243</v>
      </c>
      <c r="W278" s="34" t="s">
        <v>2244</v>
      </c>
      <c r="X278" s="859">
        <v>376659166.94289786</v>
      </c>
      <c r="Y278" s="859"/>
      <c r="Z278" s="859"/>
      <c r="AA278" s="859"/>
      <c r="AB278" s="709">
        <f t="shared" si="30"/>
        <v>376659166.94289786</v>
      </c>
      <c r="AC278" s="861" t="s">
        <v>2327</v>
      </c>
      <c r="AD278" s="205"/>
      <c r="AE278" s="205">
        <v>237</v>
      </c>
      <c r="AF278" s="65" t="s">
        <v>2248</v>
      </c>
      <c r="AG278" s="320">
        <v>292684</v>
      </c>
      <c r="AH278" s="28">
        <v>282326</v>
      </c>
      <c r="AI278" s="28">
        <v>135912</v>
      </c>
      <c r="AJ278" s="28">
        <v>45122</v>
      </c>
      <c r="AK278" s="28">
        <v>365607</v>
      </c>
      <c r="AL278" s="28">
        <v>75612</v>
      </c>
      <c r="AM278" s="28">
        <v>2145</v>
      </c>
      <c r="AN278" s="28">
        <v>12718</v>
      </c>
      <c r="AO278" s="28">
        <v>26</v>
      </c>
      <c r="AP278" s="28">
        <v>37</v>
      </c>
      <c r="AQ278" s="28" t="s">
        <v>1818</v>
      </c>
      <c r="AR278" s="28" t="s">
        <v>1819</v>
      </c>
      <c r="AS278" s="28">
        <v>53164</v>
      </c>
      <c r="AT278" s="28">
        <v>16982</v>
      </c>
      <c r="AU278" s="28">
        <v>60013</v>
      </c>
      <c r="AV278" s="28">
        <v>57501</v>
      </c>
      <c r="AW278" s="843">
        <v>45293</v>
      </c>
      <c r="AX278" s="843">
        <v>45657</v>
      </c>
      <c r="AY278" s="28" t="s">
        <v>1820</v>
      </c>
      <c r="AZ278" s="15"/>
      <c r="BA278" s="15"/>
      <c r="BB278" s="15"/>
      <c r="BC278" s="15"/>
      <c r="BD278" s="15"/>
      <c r="BE278" s="15"/>
      <c r="BF278" s="15"/>
      <c r="BG278" s="15"/>
      <c r="BH278" s="15"/>
      <c r="BI278" s="15"/>
      <c r="BJ278" s="15"/>
      <c r="BK278" s="15"/>
      <c r="BL278" s="15"/>
      <c r="BM278" s="15"/>
      <c r="BN278" s="15"/>
    </row>
    <row r="279" spans="1:66" s="47" customFormat="1" ht="63.75" x14ac:dyDescent="0.2">
      <c r="A279" s="28">
        <v>1</v>
      </c>
      <c r="B279" s="34" t="s">
        <v>315</v>
      </c>
      <c r="C279" s="28">
        <v>19</v>
      </c>
      <c r="D279" s="34" t="s">
        <v>517</v>
      </c>
      <c r="E279" s="28">
        <v>1906</v>
      </c>
      <c r="F279" s="34" t="s">
        <v>2236</v>
      </c>
      <c r="G279" s="28" t="s">
        <v>70</v>
      </c>
      <c r="H279" s="34" t="s">
        <v>2237</v>
      </c>
      <c r="I279" s="28">
        <v>1906023</v>
      </c>
      <c r="J279" s="34" t="s">
        <v>2238</v>
      </c>
      <c r="K279" s="280" t="s">
        <v>70</v>
      </c>
      <c r="L279" s="34" t="s">
        <v>2239</v>
      </c>
      <c r="M279" s="280">
        <v>190602300</v>
      </c>
      <c r="N279" s="34" t="s">
        <v>2240</v>
      </c>
      <c r="O279" s="317">
        <v>19899</v>
      </c>
      <c r="P279" s="205"/>
      <c r="Q279" s="321">
        <v>19899</v>
      </c>
      <c r="R279" s="79">
        <v>2020003630136</v>
      </c>
      <c r="S279" s="34" t="s">
        <v>2241</v>
      </c>
      <c r="T279" s="500">
        <f t="shared" si="29"/>
        <v>1</v>
      </c>
      <c r="U279" s="34" t="s">
        <v>2242</v>
      </c>
      <c r="V279" s="34" t="s">
        <v>2243</v>
      </c>
      <c r="W279" s="34" t="s">
        <v>2244</v>
      </c>
      <c r="X279" s="859">
        <v>79179397.382929742</v>
      </c>
      <c r="Y279" s="859"/>
      <c r="Z279" s="859"/>
      <c r="AA279" s="859"/>
      <c r="AB279" s="709">
        <f t="shared" si="30"/>
        <v>79179397.382929742</v>
      </c>
      <c r="AC279" s="861" t="s">
        <v>2328</v>
      </c>
      <c r="AD279" s="205"/>
      <c r="AE279" s="205">
        <v>240</v>
      </c>
      <c r="AF279" s="65" t="s">
        <v>2250</v>
      </c>
      <c r="AG279" s="320">
        <v>292684</v>
      </c>
      <c r="AH279" s="28">
        <v>282326</v>
      </c>
      <c r="AI279" s="28">
        <v>135912</v>
      </c>
      <c r="AJ279" s="28">
        <v>45122</v>
      </c>
      <c r="AK279" s="28">
        <v>365607</v>
      </c>
      <c r="AL279" s="28">
        <v>75612</v>
      </c>
      <c r="AM279" s="28">
        <v>2145</v>
      </c>
      <c r="AN279" s="28">
        <v>12718</v>
      </c>
      <c r="AO279" s="28">
        <v>26</v>
      </c>
      <c r="AP279" s="28">
        <v>37</v>
      </c>
      <c r="AQ279" s="28" t="s">
        <v>1818</v>
      </c>
      <c r="AR279" s="28" t="s">
        <v>1819</v>
      </c>
      <c r="AS279" s="28">
        <v>53164</v>
      </c>
      <c r="AT279" s="28">
        <v>16982</v>
      </c>
      <c r="AU279" s="28">
        <v>60013</v>
      </c>
      <c r="AV279" s="28">
        <v>57501</v>
      </c>
      <c r="AW279" s="843">
        <v>45293</v>
      </c>
      <c r="AX279" s="843">
        <v>45657</v>
      </c>
      <c r="AY279" s="28" t="s">
        <v>1820</v>
      </c>
      <c r="AZ279" s="15"/>
      <c r="BA279" s="15"/>
      <c r="BB279" s="15"/>
      <c r="BC279" s="15"/>
      <c r="BD279" s="15"/>
      <c r="BE279" s="15"/>
      <c r="BF279" s="15"/>
      <c r="BG279" s="15"/>
      <c r="BH279" s="15"/>
      <c r="BI279" s="15"/>
      <c r="BJ279" s="15"/>
      <c r="BK279" s="15"/>
      <c r="BL279" s="15"/>
      <c r="BM279" s="15"/>
      <c r="BN279" s="15"/>
    </row>
    <row r="280" spans="1:66" s="47" customFormat="1" ht="63.75" x14ac:dyDescent="0.2">
      <c r="A280" s="28">
        <v>1</v>
      </c>
      <c r="B280" s="34" t="s">
        <v>315</v>
      </c>
      <c r="C280" s="28">
        <v>19</v>
      </c>
      <c r="D280" s="34" t="s">
        <v>517</v>
      </c>
      <c r="E280" s="28">
        <v>1906</v>
      </c>
      <c r="F280" s="34" t="s">
        <v>2236</v>
      </c>
      <c r="G280" s="28" t="s">
        <v>70</v>
      </c>
      <c r="H280" s="34" t="s">
        <v>2237</v>
      </c>
      <c r="I280" s="28">
        <v>1906023</v>
      </c>
      <c r="J280" s="34" t="s">
        <v>2238</v>
      </c>
      <c r="K280" s="280" t="s">
        <v>70</v>
      </c>
      <c r="L280" s="34" t="s">
        <v>2239</v>
      </c>
      <c r="M280" s="280">
        <v>190602300</v>
      </c>
      <c r="N280" s="34" t="s">
        <v>2240</v>
      </c>
      <c r="O280" s="317">
        <v>19899</v>
      </c>
      <c r="P280" s="205"/>
      <c r="Q280" s="321">
        <v>19899</v>
      </c>
      <c r="R280" s="79">
        <v>2020003630136</v>
      </c>
      <c r="S280" s="34" t="s">
        <v>2241</v>
      </c>
      <c r="T280" s="500">
        <f t="shared" si="29"/>
        <v>1</v>
      </c>
      <c r="U280" s="34" t="s">
        <v>2242</v>
      </c>
      <c r="V280" s="34" t="s">
        <v>2243</v>
      </c>
      <c r="W280" s="34" t="s">
        <v>2244</v>
      </c>
      <c r="X280" s="859">
        <v>118282068.93316075</v>
      </c>
      <c r="Y280" s="859"/>
      <c r="Z280" s="859"/>
      <c r="AA280" s="859"/>
      <c r="AB280" s="709">
        <f t="shared" si="30"/>
        <v>118282068.93316075</v>
      </c>
      <c r="AC280" s="861" t="s">
        <v>2329</v>
      </c>
      <c r="AD280" s="205"/>
      <c r="AE280" s="205">
        <v>243</v>
      </c>
      <c r="AF280" s="65" t="s">
        <v>2252</v>
      </c>
      <c r="AG280" s="320">
        <v>292684</v>
      </c>
      <c r="AH280" s="28">
        <v>282326</v>
      </c>
      <c r="AI280" s="28">
        <v>135912</v>
      </c>
      <c r="AJ280" s="28">
        <v>45122</v>
      </c>
      <c r="AK280" s="28">
        <v>365607</v>
      </c>
      <c r="AL280" s="28">
        <v>75612</v>
      </c>
      <c r="AM280" s="28">
        <v>2145</v>
      </c>
      <c r="AN280" s="28">
        <v>12718</v>
      </c>
      <c r="AO280" s="28">
        <v>26</v>
      </c>
      <c r="AP280" s="28">
        <v>37</v>
      </c>
      <c r="AQ280" s="28" t="s">
        <v>1818</v>
      </c>
      <c r="AR280" s="28" t="s">
        <v>1819</v>
      </c>
      <c r="AS280" s="28">
        <v>53164</v>
      </c>
      <c r="AT280" s="28">
        <v>16982</v>
      </c>
      <c r="AU280" s="28">
        <v>60013</v>
      </c>
      <c r="AV280" s="28">
        <v>57501</v>
      </c>
      <c r="AW280" s="843">
        <v>45293</v>
      </c>
      <c r="AX280" s="843">
        <v>45657</v>
      </c>
      <c r="AY280" s="28" t="s">
        <v>1820</v>
      </c>
      <c r="AZ280" s="15"/>
      <c r="BA280" s="15"/>
      <c r="BB280" s="15"/>
      <c r="BC280" s="15"/>
      <c r="BD280" s="15"/>
      <c r="BE280" s="15"/>
      <c r="BF280" s="15"/>
      <c r="BG280" s="15"/>
      <c r="BH280" s="15"/>
      <c r="BI280" s="15"/>
      <c r="BJ280" s="15"/>
      <c r="BK280" s="15"/>
      <c r="BL280" s="15"/>
      <c r="BM280" s="15"/>
      <c r="BN280" s="15"/>
    </row>
    <row r="281" spans="1:66" s="47" customFormat="1" ht="63.75" x14ac:dyDescent="0.2">
      <c r="A281" s="28">
        <v>1</v>
      </c>
      <c r="B281" s="34" t="s">
        <v>315</v>
      </c>
      <c r="C281" s="28">
        <v>19</v>
      </c>
      <c r="D281" s="34" t="s">
        <v>517</v>
      </c>
      <c r="E281" s="28">
        <v>1906</v>
      </c>
      <c r="F281" s="34" t="s">
        <v>2236</v>
      </c>
      <c r="G281" s="28" t="s">
        <v>70</v>
      </c>
      <c r="H281" s="34" t="s">
        <v>2237</v>
      </c>
      <c r="I281" s="28">
        <v>1906023</v>
      </c>
      <c r="J281" s="34" t="s">
        <v>2238</v>
      </c>
      <c r="K281" s="280" t="s">
        <v>70</v>
      </c>
      <c r="L281" s="34" t="s">
        <v>2239</v>
      </c>
      <c r="M281" s="280">
        <v>190602300</v>
      </c>
      <c r="N281" s="34" t="s">
        <v>2240</v>
      </c>
      <c r="O281" s="317">
        <v>19899</v>
      </c>
      <c r="P281" s="205"/>
      <c r="Q281" s="321">
        <v>19899</v>
      </c>
      <c r="R281" s="79">
        <v>2020003630136</v>
      </c>
      <c r="S281" s="34" t="s">
        <v>2241</v>
      </c>
      <c r="T281" s="500">
        <f t="shared" si="29"/>
        <v>1</v>
      </c>
      <c r="U281" s="34" t="s">
        <v>2242</v>
      </c>
      <c r="V281" s="34" t="s">
        <v>2243</v>
      </c>
      <c r="W281" s="34" t="s">
        <v>2244</v>
      </c>
      <c r="X281" s="859">
        <v>56048498.055990256</v>
      </c>
      <c r="Y281" s="859"/>
      <c r="Z281" s="859"/>
      <c r="AA281" s="859"/>
      <c r="AB281" s="709">
        <f t="shared" si="30"/>
        <v>56048498.055990256</v>
      </c>
      <c r="AC281" s="861" t="s">
        <v>2330</v>
      </c>
      <c r="AD281" s="205"/>
      <c r="AE281" s="205">
        <v>246</v>
      </c>
      <c r="AF281" s="65" t="s">
        <v>2254</v>
      </c>
      <c r="AG281" s="320">
        <v>292684</v>
      </c>
      <c r="AH281" s="28">
        <v>282326</v>
      </c>
      <c r="AI281" s="28">
        <v>135912</v>
      </c>
      <c r="AJ281" s="28">
        <v>45122</v>
      </c>
      <c r="AK281" s="28">
        <v>365607</v>
      </c>
      <c r="AL281" s="28">
        <v>75612</v>
      </c>
      <c r="AM281" s="28">
        <v>2145</v>
      </c>
      <c r="AN281" s="28">
        <v>12718</v>
      </c>
      <c r="AO281" s="28">
        <v>26</v>
      </c>
      <c r="AP281" s="28">
        <v>37</v>
      </c>
      <c r="AQ281" s="28" t="s">
        <v>1818</v>
      </c>
      <c r="AR281" s="28" t="s">
        <v>1819</v>
      </c>
      <c r="AS281" s="28">
        <v>53164</v>
      </c>
      <c r="AT281" s="28">
        <v>16982</v>
      </c>
      <c r="AU281" s="28">
        <v>60013</v>
      </c>
      <c r="AV281" s="28">
        <v>57501</v>
      </c>
      <c r="AW281" s="843">
        <v>45293</v>
      </c>
      <c r="AX281" s="843">
        <v>45657</v>
      </c>
      <c r="AY281" s="28" t="s">
        <v>1820</v>
      </c>
      <c r="AZ281" s="15"/>
      <c r="BA281" s="15"/>
      <c r="BB281" s="15"/>
      <c r="BC281" s="15"/>
      <c r="BD281" s="15"/>
      <c r="BE281" s="15"/>
      <c r="BF281" s="15"/>
      <c r="BG281" s="15"/>
      <c r="BH281" s="15"/>
      <c r="BI281" s="15"/>
      <c r="BJ281" s="15"/>
      <c r="BK281" s="15"/>
      <c r="BL281" s="15"/>
      <c r="BM281" s="15"/>
      <c r="BN281" s="15"/>
    </row>
    <row r="282" spans="1:66" s="47" customFormat="1" ht="63.75" x14ac:dyDescent="0.2">
      <c r="A282" s="28">
        <v>1</v>
      </c>
      <c r="B282" s="34" t="s">
        <v>315</v>
      </c>
      <c r="C282" s="28">
        <v>19</v>
      </c>
      <c r="D282" s="34" t="s">
        <v>517</v>
      </c>
      <c r="E282" s="28">
        <v>1906</v>
      </c>
      <c r="F282" s="34" t="s">
        <v>2236</v>
      </c>
      <c r="G282" s="28" t="s">
        <v>70</v>
      </c>
      <c r="H282" s="34" t="s">
        <v>2237</v>
      </c>
      <c r="I282" s="28">
        <v>1906023</v>
      </c>
      <c r="J282" s="34" t="s">
        <v>2238</v>
      </c>
      <c r="K282" s="280" t="s">
        <v>70</v>
      </c>
      <c r="L282" s="34" t="s">
        <v>2239</v>
      </c>
      <c r="M282" s="280">
        <v>190602300</v>
      </c>
      <c r="N282" s="34" t="s">
        <v>2240</v>
      </c>
      <c r="O282" s="317">
        <v>19899</v>
      </c>
      <c r="P282" s="205"/>
      <c r="Q282" s="321">
        <v>19899</v>
      </c>
      <c r="R282" s="79">
        <v>2020003630136</v>
      </c>
      <c r="S282" s="34" t="s">
        <v>2241</v>
      </c>
      <c r="T282" s="500">
        <f t="shared" si="29"/>
        <v>1</v>
      </c>
      <c r="U282" s="34" t="s">
        <v>2242</v>
      </c>
      <c r="V282" s="34" t="s">
        <v>2243</v>
      </c>
      <c r="W282" s="34" t="s">
        <v>2244</v>
      </c>
      <c r="X282" s="859">
        <v>35051049.73909691</v>
      </c>
      <c r="Y282" s="859"/>
      <c r="Z282" s="859"/>
      <c r="AA282" s="859"/>
      <c r="AB282" s="709">
        <f t="shared" si="30"/>
        <v>35051049.73909691</v>
      </c>
      <c r="AC282" s="861" t="s">
        <v>2331</v>
      </c>
      <c r="AD282" s="205"/>
      <c r="AE282" s="205">
        <v>249</v>
      </c>
      <c r="AF282" s="65" t="s">
        <v>2256</v>
      </c>
      <c r="AG282" s="320">
        <v>292684</v>
      </c>
      <c r="AH282" s="28">
        <v>282326</v>
      </c>
      <c r="AI282" s="28">
        <v>135912</v>
      </c>
      <c r="AJ282" s="28">
        <v>45122</v>
      </c>
      <c r="AK282" s="28">
        <v>365607</v>
      </c>
      <c r="AL282" s="28">
        <v>75612</v>
      </c>
      <c r="AM282" s="28">
        <v>2145</v>
      </c>
      <c r="AN282" s="28">
        <v>12718</v>
      </c>
      <c r="AO282" s="28">
        <v>26</v>
      </c>
      <c r="AP282" s="28">
        <v>37</v>
      </c>
      <c r="AQ282" s="28" t="s">
        <v>1818</v>
      </c>
      <c r="AR282" s="28" t="s">
        <v>1819</v>
      </c>
      <c r="AS282" s="28">
        <v>53164</v>
      </c>
      <c r="AT282" s="28">
        <v>16982</v>
      </c>
      <c r="AU282" s="28">
        <v>60013</v>
      </c>
      <c r="AV282" s="28">
        <v>57501</v>
      </c>
      <c r="AW282" s="843">
        <v>45293</v>
      </c>
      <c r="AX282" s="843">
        <v>45657</v>
      </c>
      <c r="AY282" s="28" t="s">
        <v>1820</v>
      </c>
      <c r="AZ282" s="15"/>
      <c r="BA282" s="15"/>
      <c r="BB282" s="15"/>
      <c r="BC282" s="15"/>
      <c r="BD282" s="15"/>
      <c r="BE282" s="15"/>
      <c r="BF282" s="15"/>
      <c r="BG282" s="15"/>
      <c r="BH282" s="15"/>
      <c r="BI282" s="15"/>
      <c r="BJ282" s="15"/>
      <c r="BK282" s="15"/>
      <c r="BL282" s="15"/>
      <c r="BM282" s="15"/>
      <c r="BN282" s="15"/>
    </row>
    <row r="283" spans="1:66" s="47" customFormat="1" ht="63.75" x14ac:dyDescent="0.2">
      <c r="A283" s="28">
        <v>1</v>
      </c>
      <c r="B283" s="34" t="s">
        <v>315</v>
      </c>
      <c r="C283" s="28">
        <v>19</v>
      </c>
      <c r="D283" s="34" t="s">
        <v>517</v>
      </c>
      <c r="E283" s="28">
        <v>1906</v>
      </c>
      <c r="F283" s="34" t="s">
        <v>2236</v>
      </c>
      <c r="G283" s="28" t="s">
        <v>70</v>
      </c>
      <c r="H283" s="34" t="s">
        <v>2237</v>
      </c>
      <c r="I283" s="28">
        <v>1906023</v>
      </c>
      <c r="J283" s="34" t="s">
        <v>2238</v>
      </c>
      <c r="K283" s="280" t="s">
        <v>70</v>
      </c>
      <c r="L283" s="34" t="s">
        <v>2239</v>
      </c>
      <c r="M283" s="280">
        <v>190602300</v>
      </c>
      <c r="N283" s="34" t="s">
        <v>2240</v>
      </c>
      <c r="O283" s="317">
        <v>19899</v>
      </c>
      <c r="P283" s="205"/>
      <c r="Q283" s="321">
        <v>19899</v>
      </c>
      <c r="R283" s="79">
        <v>2020003630136</v>
      </c>
      <c r="S283" s="34" t="s">
        <v>2241</v>
      </c>
      <c r="T283" s="500">
        <f t="shared" si="29"/>
        <v>1</v>
      </c>
      <c r="U283" s="34" t="s">
        <v>2242</v>
      </c>
      <c r="V283" s="34" t="s">
        <v>2243</v>
      </c>
      <c r="W283" s="34" t="s">
        <v>2244</v>
      </c>
      <c r="X283" s="859">
        <v>1132694463.3479555</v>
      </c>
      <c r="Y283" s="859"/>
      <c r="Z283" s="859"/>
      <c r="AA283" s="859"/>
      <c r="AB283" s="709">
        <f t="shared" si="30"/>
        <v>1132694463.3479555</v>
      </c>
      <c r="AC283" s="861" t="s">
        <v>2332</v>
      </c>
      <c r="AD283" s="205"/>
      <c r="AE283" s="205">
        <v>252</v>
      </c>
      <c r="AF283" s="65" t="s">
        <v>2268</v>
      </c>
      <c r="AG283" s="320">
        <v>292684</v>
      </c>
      <c r="AH283" s="28">
        <v>282326</v>
      </c>
      <c r="AI283" s="28">
        <v>135912</v>
      </c>
      <c r="AJ283" s="28">
        <v>45122</v>
      </c>
      <c r="AK283" s="28">
        <v>365607</v>
      </c>
      <c r="AL283" s="28">
        <v>75612</v>
      </c>
      <c r="AM283" s="28">
        <v>2145</v>
      </c>
      <c r="AN283" s="28">
        <v>12718</v>
      </c>
      <c r="AO283" s="28">
        <v>26</v>
      </c>
      <c r="AP283" s="28">
        <v>37</v>
      </c>
      <c r="AQ283" s="28" t="s">
        <v>1818</v>
      </c>
      <c r="AR283" s="28" t="s">
        <v>1819</v>
      </c>
      <c r="AS283" s="28">
        <v>53164</v>
      </c>
      <c r="AT283" s="28">
        <v>16982</v>
      </c>
      <c r="AU283" s="28">
        <v>60013</v>
      </c>
      <c r="AV283" s="28">
        <v>57501</v>
      </c>
      <c r="AW283" s="843">
        <v>45293</v>
      </c>
      <c r="AX283" s="843">
        <v>45657</v>
      </c>
      <c r="AY283" s="28" t="s">
        <v>1820</v>
      </c>
      <c r="AZ283" s="15"/>
      <c r="BA283" s="15"/>
      <c r="BB283" s="15"/>
      <c r="BC283" s="15"/>
      <c r="BD283" s="15"/>
      <c r="BE283" s="15"/>
      <c r="BF283" s="15"/>
      <c r="BG283" s="15"/>
      <c r="BH283" s="15"/>
      <c r="BI283" s="15"/>
      <c r="BJ283" s="15"/>
      <c r="BK283" s="15"/>
      <c r="BL283" s="15"/>
      <c r="BM283" s="15"/>
      <c r="BN283" s="15"/>
    </row>
    <row r="284" spans="1:66" s="47" customFormat="1" ht="63.75" x14ac:dyDescent="0.2">
      <c r="A284" s="28">
        <v>1</v>
      </c>
      <c r="B284" s="34" t="s">
        <v>315</v>
      </c>
      <c r="C284" s="28">
        <v>19</v>
      </c>
      <c r="D284" s="34" t="s">
        <v>517</v>
      </c>
      <c r="E284" s="28">
        <v>1906</v>
      </c>
      <c r="F284" s="34" t="s">
        <v>2236</v>
      </c>
      <c r="G284" s="28" t="s">
        <v>70</v>
      </c>
      <c r="H284" s="34" t="s">
        <v>2237</v>
      </c>
      <c r="I284" s="28">
        <v>1906023</v>
      </c>
      <c r="J284" s="34" t="s">
        <v>2238</v>
      </c>
      <c r="K284" s="280" t="s">
        <v>70</v>
      </c>
      <c r="L284" s="34" t="s">
        <v>2239</v>
      </c>
      <c r="M284" s="280">
        <v>190602300</v>
      </c>
      <c r="N284" s="34" t="s">
        <v>2240</v>
      </c>
      <c r="O284" s="317">
        <v>19899</v>
      </c>
      <c r="P284" s="205"/>
      <c r="Q284" s="321">
        <v>19899</v>
      </c>
      <c r="R284" s="79">
        <v>2020003630136</v>
      </c>
      <c r="S284" s="34" t="s">
        <v>2241</v>
      </c>
      <c r="T284" s="500">
        <f t="shared" si="29"/>
        <v>1</v>
      </c>
      <c r="U284" s="34" t="s">
        <v>2242</v>
      </c>
      <c r="V284" s="34" t="s">
        <v>2243</v>
      </c>
      <c r="W284" s="34" t="s">
        <v>2244</v>
      </c>
      <c r="X284" s="859">
        <v>38926148.587680116</v>
      </c>
      <c r="Y284" s="859"/>
      <c r="Z284" s="859"/>
      <c r="AA284" s="859"/>
      <c r="AB284" s="709">
        <f t="shared" si="30"/>
        <v>38926148.587680116</v>
      </c>
      <c r="AC284" s="861" t="s">
        <v>2333</v>
      </c>
      <c r="AD284" s="205"/>
      <c r="AE284" s="205">
        <v>253</v>
      </c>
      <c r="AF284" s="65" t="s">
        <v>2260</v>
      </c>
      <c r="AG284" s="320">
        <v>292684</v>
      </c>
      <c r="AH284" s="28">
        <v>282326</v>
      </c>
      <c r="AI284" s="28">
        <v>135912</v>
      </c>
      <c r="AJ284" s="28">
        <v>45122</v>
      </c>
      <c r="AK284" s="28">
        <v>365607</v>
      </c>
      <c r="AL284" s="28">
        <v>75612</v>
      </c>
      <c r="AM284" s="28">
        <v>2145</v>
      </c>
      <c r="AN284" s="28">
        <v>12718</v>
      </c>
      <c r="AO284" s="28">
        <v>26</v>
      </c>
      <c r="AP284" s="28">
        <v>37</v>
      </c>
      <c r="AQ284" s="28" t="s">
        <v>1818</v>
      </c>
      <c r="AR284" s="28" t="s">
        <v>1819</v>
      </c>
      <c r="AS284" s="28">
        <v>53164</v>
      </c>
      <c r="AT284" s="28">
        <v>16982</v>
      </c>
      <c r="AU284" s="28">
        <v>60013</v>
      </c>
      <c r="AV284" s="28">
        <v>57501</v>
      </c>
      <c r="AW284" s="843">
        <v>45293</v>
      </c>
      <c r="AX284" s="843">
        <v>45657</v>
      </c>
      <c r="AY284" s="28" t="s">
        <v>1820</v>
      </c>
      <c r="AZ284" s="15"/>
      <c r="BA284" s="15"/>
      <c r="BB284" s="15"/>
      <c r="BC284" s="15"/>
      <c r="BD284" s="15"/>
      <c r="BE284" s="15"/>
      <c r="BF284" s="15"/>
      <c r="BG284" s="15"/>
      <c r="BH284" s="15"/>
      <c r="BI284" s="15"/>
      <c r="BJ284" s="15"/>
      <c r="BK284" s="15"/>
      <c r="BL284" s="15"/>
      <c r="BM284" s="15"/>
      <c r="BN284" s="15"/>
    </row>
    <row r="285" spans="1:66" s="47" customFormat="1" ht="63.75" x14ac:dyDescent="0.2">
      <c r="A285" s="28">
        <v>1</v>
      </c>
      <c r="B285" s="34" t="s">
        <v>315</v>
      </c>
      <c r="C285" s="28">
        <v>19</v>
      </c>
      <c r="D285" s="34" t="s">
        <v>517</v>
      </c>
      <c r="E285" s="28">
        <v>1906</v>
      </c>
      <c r="F285" s="34" t="s">
        <v>2236</v>
      </c>
      <c r="G285" s="28" t="s">
        <v>70</v>
      </c>
      <c r="H285" s="34" t="s">
        <v>2237</v>
      </c>
      <c r="I285" s="28">
        <v>1906023</v>
      </c>
      <c r="J285" s="34" t="s">
        <v>2238</v>
      </c>
      <c r="K285" s="280" t="s">
        <v>70</v>
      </c>
      <c r="L285" s="34" t="s">
        <v>2239</v>
      </c>
      <c r="M285" s="280">
        <v>190602300</v>
      </c>
      <c r="N285" s="34" t="s">
        <v>2240</v>
      </c>
      <c r="O285" s="317">
        <v>19899</v>
      </c>
      <c r="P285" s="205"/>
      <c r="Q285" s="321">
        <v>19899</v>
      </c>
      <c r="R285" s="79">
        <v>2020003630136</v>
      </c>
      <c r="S285" s="34" t="s">
        <v>2241</v>
      </c>
      <c r="T285" s="500">
        <f t="shared" si="29"/>
        <v>1</v>
      </c>
      <c r="U285" s="34" t="s">
        <v>2242</v>
      </c>
      <c r="V285" s="34" t="s">
        <v>2243</v>
      </c>
      <c r="W285" s="34" t="s">
        <v>2244</v>
      </c>
      <c r="X285" s="322">
        <v>146908983.60780358</v>
      </c>
      <c r="Y285" s="322"/>
      <c r="Z285" s="322"/>
      <c r="AA285" s="322"/>
      <c r="AB285" s="709">
        <f t="shared" si="30"/>
        <v>146908983.60780358</v>
      </c>
      <c r="AC285" s="861" t="s">
        <v>2334</v>
      </c>
      <c r="AD285" s="65"/>
      <c r="AE285" s="205">
        <v>154</v>
      </c>
      <c r="AF285" s="65" t="s">
        <v>2246</v>
      </c>
      <c r="AG285" s="320">
        <v>292684</v>
      </c>
      <c r="AH285" s="28">
        <v>282326</v>
      </c>
      <c r="AI285" s="28">
        <v>135912</v>
      </c>
      <c r="AJ285" s="28">
        <v>45122</v>
      </c>
      <c r="AK285" s="28">
        <v>365607</v>
      </c>
      <c r="AL285" s="28">
        <v>75612</v>
      </c>
      <c r="AM285" s="28">
        <v>2145</v>
      </c>
      <c r="AN285" s="28">
        <v>12718</v>
      </c>
      <c r="AO285" s="28">
        <v>26</v>
      </c>
      <c r="AP285" s="28">
        <v>37</v>
      </c>
      <c r="AQ285" s="28" t="s">
        <v>1818</v>
      </c>
      <c r="AR285" s="28" t="s">
        <v>1819</v>
      </c>
      <c r="AS285" s="28">
        <v>53164</v>
      </c>
      <c r="AT285" s="28">
        <v>16982</v>
      </c>
      <c r="AU285" s="28">
        <v>60013</v>
      </c>
      <c r="AV285" s="28">
        <v>57501</v>
      </c>
      <c r="AW285" s="843">
        <v>45293</v>
      </c>
      <c r="AX285" s="843">
        <v>45657</v>
      </c>
      <c r="AY285" s="28" t="s">
        <v>1820</v>
      </c>
      <c r="AZ285" s="15"/>
      <c r="BA285" s="15"/>
      <c r="BB285" s="15"/>
      <c r="BC285" s="15"/>
      <c r="BD285" s="15"/>
      <c r="BE285" s="15"/>
      <c r="BF285" s="15"/>
      <c r="BG285" s="15"/>
      <c r="BH285" s="15"/>
      <c r="BI285" s="15"/>
      <c r="BJ285" s="15"/>
      <c r="BK285" s="15"/>
      <c r="BL285" s="15"/>
      <c r="BM285" s="15"/>
      <c r="BN285" s="15"/>
    </row>
    <row r="286" spans="1:66" s="47" customFormat="1" ht="63.75" x14ac:dyDescent="0.2">
      <c r="A286" s="28">
        <v>1</v>
      </c>
      <c r="B286" s="34" t="s">
        <v>315</v>
      </c>
      <c r="C286" s="28">
        <v>19</v>
      </c>
      <c r="D286" s="34" t="s">
        <v>517</v>
      </c>
      <c r="E286" s="28">
        <v>1906</v>
      </c>
      <c r="F286" s="34" t="s">
        <v>2236</v>
      </c>
      <c r="G286" s="28" t="s">
        <v>70</v>
      </c>
      <c r="H286" s="34" t="s">
        <v>2237</v>
      </c>
      <c r="I286" s="28">
        <v>1906023</v>
      </c>
      <c r="J286" s="34" t="s">
        <v>2238</v>
      </c>
      <c r="K286" s="280" t="s">
        <v>70</v>
      </c>
      <c r="L286" s="34" t="s">
        <v>2239</v>
      </c>
      <c r="M286" s="280">
        <v>190602300</v>
      </c>
      <c r="N286" s="34" t="s">
        <v>2240</v>
      </c>
      <c r="O286" s="317">
        <v>19899</v>
      </c>
      <c r="P286" s="205"/>
      <c r="Q286" s="321">
        <v>19899</v>
      </c>
      <c r="R286" s="79">
        <v>2020003630136</v>
      </c>
      <c r="S286" s="34" t="s">
        <v>2241</v>
      </c>
      <c r="T286" s="500">
        <f t="shared" si="29"/>
        <v>1</v>
      </c>
      <c r="U286" s="34" t="s">
        <v>2242</v>
      </c>
      <c r="V286" s="34" t="s">
        <v>2243</v>
      </c>
      <c r="W286" s="34" t="s">
        <v>2244</v>
      </c>
      <c r="X286" s="322">
        <v>101195993.89311258</v>
      </c>
      <c r="Y286" s="322"/>
      <c r="Z286" s="322"/>
      <c r="AA286" s="322"/>
      <c r="AB286" s="709">
        <f t="shared" si="30"/>
        <v>101195993.89311258</v>
      </c>
      <c r="AC286" s="861" t="s">
        <v>2335</v>
      </c>
      <c r="AD286" s="205"/>
      <c r="AE286" s="205">
        <v>237</v>
      </c>
      <c r="AF286" s="65" t="s">
        <v>2248</v>
      </c>
      <c r="AG286" s="320">
        <v>292684</v>
      </c>
      <c r="AH286" s="28">
        <v>282326</v>
      </c>
      <c r="AI286" s="28">
        <v>135912</v>
      </c>
      <c r="AJ286" s="28">
        <v>45122</v>
      </c>
      <c r="AK286" s="28">
        <v>365607</v>
      </c>
      <c r="AL286" s="28">
        <v>75612</v>
      </c>
      <c r="AM286" s="28">
        <v>2145</v>
      </c>
      <c r="AN286" s="28">
        <v>12718</v>
      </c>
      <c r="AO286" s="28">
        <v>26</v>
      </c>
      <c r="AP286" s="28">
        <v>37</v>
      </c>
      <c r="AQ286" s="28" t="s">
        <v>1818</v>
      </c>
      <c r="AR286" s="28" t="s">
        <v>1819</v>
      </c>
      <c r="AS286" s="28">
        <v>53164</v>
      </c>
      <c r="AT286" s="28">
        <v>16982</v>
      </c>
      <c r="AU286" s="28">
        <v>60013</v>
      </c>
      <c r="AV286" s="28">
        <v>57501</v>
      </c>
      <c r="AW286" s="843">
        <v>45293</v>
      </c>
      <c r="AX286" s="843">
        <v>45657</v>
      </c>
      <c r="AY286" s="28" t="s">
        <v>1820</v>
      </c>
      <c r="AZ286" s="15"/>
      <c r="BA286" s="15"/>
      <c r="BB286" s="15"/>
      <c r="BC286" s="15"/>
      <c r="BD286" s="15"/>
      <c r="BE286" s="15"/>
      <c r="BF286" s="15"/>
      <c r="BG286" s="15"/>
      <c r="BH286" s="15"/>
      <c r="BI286" s="15"/>
      <c r="BJ286" s="15"/>
      <c r="BK286" s="15"/>
      <c r="BL286" s="15"/>
      <c r="BM286" s="15"/>
      <c r="BN286" s="15"/>
    </row>
    <row r="287" spans="1:66" s="47" customFormat="1" ht="63.75" x14ac:dyDescent="0.2">
      <c r="A287" s="28">
        <v>1</v>
      </c>
      <c r="B287" s="34" t="s">
        <v>315</v>
      </c>
      <c r="C287" s="28">
        <v>19</v>
      </c>
      <c r="D287" s="34" t="s">
        <v>517</v>
      </c>
      <c r="E287" s="28">
        <v>1906</v>
      </c>
      <c r="F287" s="34" t="s">
        <v>2236</v>
      </c>
      <c r="G287" s="28" t="s">
        <v>70</v>
      </c>
      <c r="H287" s="34" t="s">
        <v>2237</v>
      </c>
      <c r="I287" s="28">
        <v>1906023</v>
      </c>
      <c r="J287" s="34" t="s">
        <v>2238</v>
      </c>
      <c r="K287" s="280" t="s">
        <v>70</v>
      </c>
      <c r="L287" s="34" t="s">
        <v>2239</v>
      </c>
      <c r="M287" s="280">
        <v>190602300</v>
      </c>
      <c r="N287" s="34" t="s">
        <v>2240</v>
      </c>
      <c r="O287" s="317">
        <v>19899</v>
      </c>
      <c r="P287" s="205"/>
      <c r="Q287" s="321">
        <v>19899</v>
      </c>
      <c r="R287" s="79">
        <v>2020003630136</v>
      </c>
      <c r="S287" s="34" t="s">
        <v>2241</v>
      </c>
      <c r="T287" s="500">
        <f t="shared" si="29"/>
        <v>1</v>
      </c>
      <c r="U287" s="34" t="s">
        <v>2242</v>
      </c>
      <c r="V287" s="34" t="s">
        <v>2243</v>
      </c>
      <c r="W287" s="34" t="s">
        <v>2244</v>
      </c>
      <c r="X287" s="322">
        <v>21272913.331850547</v>
      </c>
      <c r="Y287" s="322"/>
      <c r="Z287" s="322"/>
      <c r="AA287" s="322"/>
      <c r="AB287" s="709">
        <f t="shared" si="30"/>
        <v>21272913.331850547</v>
      </c>
      <c r="AC287" s="861" t="s">
        <v>2336</v>
      </c>
      <c r="AD287" s="205"/>
      <c r="AE287" s="205">
        <v>240</v>
      </c>
      <c r="AF287" s="65" t="s">
        <v>2250</v>
      </c>
      <c r="AG287" s="320">
        <v>292684</v>
      </c>
      <c r="AH287" s="28">
        <v>282326</v>
      </c>
      <c r="AI287" s="28">
        <v>135912</v>
      </c>
      <c r="AJ287" s="28">
        <v>45122</v>
      </c>
      <c r="AK287" s="28">
        <v>365607</v>
      </c>
      <c r="AL287" s="28">
        <v>75612</v>
      </c>
      <c r="AM287" s="28">
        <v>2145</v>
      </c>
      <c r="AN287" s="28">
        <v>12718</v>
      </c>
      <c r="AO287" s="28">
        <v>26</v>
      </c>
      <c r="AP287" s="28">
        <v>37</v>
      </c>
      <c r="AQ287" s="28" t="s">
        <v>1818</v>
      </c>
      <c r="AR287" s="28" t="s">
        <v>1819</v>
      </c>
      <c r="AS287" s="28">
        <v>53164</v>
      </c>
      <c r="AT287" s="28">
        <v>16982</v>
      </c>
      <c r="AU287" s="28">
        <v>60013</v>
      </c>
      <c r="AV287" s="28">
        <v>57501</v>
      </c>
      <c r="AW287" s="843">
        <v>45293</v>
      </c>
      <c r="AX287" s="843">
        <v>45657</v>
      </c>
      <c r="AY287" s="28" t="s">
        <v>1820</v>
      </c>
      <c r="AZ287" s="15"/>
      <c r="BA287" s="15"/>
      <c r="BB287" s="15"/>
      <c r="BC287" s="15"/>
      <c r="BD287" s="15"/>
      <c r="BE287" s="15"/>
      <c r="BF287" s="15"/>
      <c r="BG287" s="15"/>
      <c r="BH287" s="15"/>
      <c r="BI287" s="15"/>
      <c r="BJ287" s="15"/>
      <c r="BK287" s="15"/>
      <c r="BL287" s="15"/>
      <c r="BM287" s="15"/>
      <c r="BN287" s="15"/>
    </row>
    <row r="288" spans="1:66" s="47" customFormat="1" ht="63.75" x14ac:dyDescent="0.2">
      <c r="A288" s="28">
        <v>1</v>
      </c>
      <c r="B288" s="34" t="s">
        <v>315</v>
      </c>
      <c r="C288" s="28">
        <v>19</v>
      </c>
      <c r="D288" s="34" t="s">
        <v>517</v>
      </c>
      <c r="E288" s="28">
        <v>1906</v>
      </c>
      <c r="F288" s="34" t="s">
        <v>2236</v>
      </c>
      <c r="G288" s="28" t="s">
        <v>70</v>
      </c>
      <c r="H288" s="34" t="s">
        <v>2237</v>
      </c>
      <c r="I288" s="28">
        <v>1906023</v>
      </c>
      <c r="J288" s="34" t="s">
        <v>2238</v>
      </c>
      <c r="K288" s="280" t="s">
        <v>70</v>
      </c>
      <c r="L288" s="34" t="s">
        <v>2239</v>
      </c>
      <c r="M288" s="280">
        <v>190602300</v>
      </c>
      <c r="N288" s="34" t="s">
        <v>2240</v>
      </c>
      <c r="O288" s="317">
        <v>19899</v>
      </c>
      <c r="P288" s="205"/>
      <c r="Q288" s="321">
        <v>19899</v>
      </c>
      <c r="R288" s="79">
        <v>2020003630136</v>
      </c>
      <c r="S288" s="34" t="s">
        <v>2241</v>
      </c>
      <c r="T288" s="500">
        <f t="shared" si="29"/>
        <v>1</v>
      </c>
      <c r="U288" s="34" t="s">
        <v>2242</v>
      </c>
      <c r="V288" s="34" t="s">
        <v>2243</v>
      </c>
      <c r="W288" s="34" t="s">
        <v>2244</v>
      </c>
      <c r="X288" s="322">
        <v>31778521.740423962</v>
      </c>
      <c r="Y288" s="322"/>
      <c r="Z288" s="322"/>
      <c r="AA288" s="322"/>
      <c r="AB288" s="709">
        <f t="shared" si="30"/>
        <v>31778521.740423962</v>
      </c>
      <c r="AC288" s="861" t="s">
        <v>2337</v>
      </c>
      <c r="AD288" s="205"/>
      <c r="AE288" s="205">
        <v>243</v>
      </c>
      <c r="AF288" s="65" t="s">
        <v>2252</v>
      </c>
      <c r="AG288" s="320">
        <v>292684</v>
      </c>
      <c r="AH288" s="28">
        <v>282326</v>
      </c>
      <c r="AI288" s="28">
        <v>135912</v>
      </c>
      <c r="AJ288" s="28">
        <v>45122</v>
      </c>
      <c r="AK288" s="28">
        <v>365607</v>
      </c>
      <c r="AL288" s="28">
        <v>75612</v>
      </c>
      <c r="AM288" s="28">
        <v>2145</v>
      </c>
      <c r="AN288" s="28">
        <v>12718</v>
      </c>
      <c r="AO288" s="28">
        <v>26</v>
      </c>
      <c r="AP288" s="28">
        <v>37</v>
      </c>
      <c r="AQ288" s="28" t="s">
        <v>1818</v>
      </c>
      <c r="AR288" s="28" t="s">
        <v>1819</v>
      </c>
      <c r="AS288" s="28">
        <v>53164</v>
      </c>
      <c r="AT288" s="28">
        <v>16982</v>
      </c>
      <c r="AU288" s="28">
        <v>60013</v>
      </c>
      <c r="AV288" s="28">
        <v>57501</v>
      </c>
      <c r="AW288" s="843">
        <v>45293</v>
      </c>
      <c r="AX288" s="843">
        <v>45657</v>
      </c>
      <c r="AY288" s="28" t="s">
        <v>1820</v>
      </c>
      <c r="AZ288" s="15"/>
      <c r="BA288" s="15"/>
      <c r="BB288" s="15"/>
      <c r="BC288" s="15"/>
      <c r="BD288" s="15"/>
      <c r="BE288" s="15"/>
      <c r="BF288" s="15"/>
      <c r="BG288" s="15"/>
      <c r="BH288" s="15"/>
      <c r="BI288" s="15"/>
      <c r="BJ288" s="15"/>
      <c r="BK288" s="15"/>
      <c r="BL288" s="15"/>
      <c r="BM288" s="15"/>
      <c r="BN288" s="15"/>
    </row>
    <row r="289" spans="1:66" s="47" customFormat="1" ht="63.75" x14ac:dyDescent="0.2">
      <c r="A289" s="28">
        <v>1</v>
      </c>
      <c r="B289" s="34" t="s">
        <v>315</v>
      </c>
      <c r="C289" s="28">
        <v>19</v>
      </c>
      <c r="D289" s="34" t="s">
        <v>517</v>
      </c>
      <c r="E289" s="28">
        <v>1906</v>
      </c>
      <c r="F289" s="34" t="s">
        <v>2236</v>
      </c>
      <c r="G289" s="28" t="s">
        <v>70</v>
      </c>
      <c r="H289" s="34" t="s">
        <v>2237</v>
      </c>
      <c r="I289" s="28">
        <v>1906023</v>
      </c>
      <c r="J289" s="34" t="s">
        <v>2238</v>
      </c>
      <c r="K289" s="280" t="s">
        <v>70</v>
      </c>
      <c r="L289" s="34" t="s">
        <v>2239</v>
      </c>
      <c r="M289" s="280">
        <v>190602300</v>
      </c>
      <c r="N289" s="34" t="s">
        <v>2240</v>
      </c>
      <c r="O289" s="317">
        <v>19899</v>
      </c>
      <c r="P289" s="205"/>
      <c r="Q289" s="321">
        <v>19899</v>
      </c>
      <c r="R289" s="79">
        <v>2020003630136</v>
      </c>
      <c r="S289" s="34" t="s">
        <v>2241</v>
      </c>
      <c r="T289" s="500">
        <f t="shared" si="29"/>
        <v>1</v>
      </c>
      <c r="U289" s="34" t="s">
        <v>2242</v>
      </c>
      <c r="V289" s="34" t="s">
        <v>2243</v>
      </c>
      <c r="W289" s="34" t="s">
        <v>2244</v>
      </c>
      <c r="X289" s="322">
        <v>15058397.524284838</v>
      </c>
      <c r="Y289" s="322"/>
      <c r="Z289" s="322"/>
      <c r="AA289" s="322"/>
      <c r="AB289" s="709">
        <f t="shared" si="30"/>
        <v>15058397.524284838</v>
      </c>
      <c r="AC289" s="861" t="s">
        <v>2338</v>
      </c>
      <c r="AD289" s="205"/>
      <c r="AE289" s="205">
        <v>246</v>
      </c>
      <c r="AF289" s="65" t="s">
        <v>2254</v>
      </c>
      <c r="AG289" s="320">
        <v>292684</v>
      </c>
      <c r="AH289" s="28">
        <v>282326</v>
      </c>
      <c r="AI289" s="28">
        <v>135912</v>
      </c>
      <c r="AJ289" s="28">
        <v>45122</v>
      </c>
      <c r="AK289" s="28">
        <v>365607</v>
      </c>
      <c r="AL289" s="28">
        <v>75612</v>
      </c>
      <c r="AM289" s="28">
        <v>2145</v>
      </c>
      <c r="AN289" s="28">
        <v>12718</v>
      </c>
      <c r="AO289" s="28">
        <v>26</v>
      </c>
      <c r="AP289" s="28">
        <v>37</v>
      </c>
      <c r="AQ289" s="28" t="s">
        <v>1818</v>
      </c>
      <c r="AR289" s="28" t="s">
        <v>1819</v>
      </c>
      <c r="AS289" s="28">
        <v>53164</v>
      </c>
      <c r="AT289" s="28">
        <v>16982</v>
      </c>
      <c r="AU289" s="28">
        <v>60013</v>
      </c>
      <c r="AV289" s="28">
        <v>57501</v>
      </c>
      <c r="AW289" s="843">
        <v>45293</v>
      </c>
      <c r="AX289" s="843">
        <v>45657</v>
      </c>
      <c r="AY289" s="28" t="s">
        <v>1820</v>
      </c>
      <c r="AZ289" s="15"/>
      <c r="BA289" s="15"/>
      <c r="BB289" s="15"/>
      <c r="BC289" s="15"/>
      <c r="BD289" s="15"/>
      <c r="BE289" s="15"/>
      <c r="BF289" s="15"/>
      <c r="BG289" s="15"/>
      <c r="BH289" s="15"/>
      <c r="BI289" s="15"/>
      <c r="BJ289" s="15"/>
      <c r="BK289" s="15"/>
      <c r="BL289" s="15"/>
      <c r="BM289" s="15"/>
      <c r="BN289" s="15"/>
    </row>
    <row r="290" spans="1:66" s="47" customFormat="1" ht="63.75" x14ac:dyDescent="0.2">
      <c r="A290" s="28">
        <v>1</v>
      </c>
      <c r="B290" s="34" t="s">
        <v>315</v>
      </c>
      <c r="C290" s="28">
        <v>19</v>
      </c>
      <c r="D290" s="34" t="s">
        <v>517</v>
      </c>
      <c r="E290" s="28">
        <v>1906</v>
      </c>
      <c r="F290" s="34" t="s">
        <v>2236</v>
      </c>
      <c r="G290" s="28" t="s">
        <v>70</v>
      </c>
      <c r="H290" s="34" t="s">
        <v>2237</v>
      </c>
      <c r="I290" s="28">
        <v>1906023</v>
      </c>
      <c r="J290" s="34" t="s">
        <v>2238</v>
      </c>
      <c r="K290" s="280" t="s">
        <v>70</v>
      </c>
      <c r="L290" s="34" t="s">
        <v>2239</v>
      </c>
      <c r="M290" s="280">
        <v>190602300</v>
      </c>
      <c r="N290" s="34" t="s">
        <v>2240</v>
      </c>
      <c r="O290" s="317">
        <v>19899</v>
      </c>
      <c r="P290" s="205"/>
      <c r="Q290" s="321">
        <v>19899</v>
      </c>
      <c r="R290" s="79">
        <v>2020003630136</v>
      </c>
      <c r="S290" s="34" t="s">
        <v>2241</v>
      </c>
      <c r="T290" s="500">
        <f t="shared" si="29"/>
        <v>1</v>
      </c>
      <c r="U290" s="34" t="s">
        <v>2242</v>
      </c>
      <c r="V290" s="34" t="s">
        <v>2243</v>
      </c>
      <c r="W290" s="34" t="s">
        <v>2244</v>
      </c>
      <c r="X290" s="322">
        <v>9417070.1967345737</v>
      </c>
      <c r="Y290" s="322"/>
      <c r="Z290" s="322"/>
      <c r="AA290" s="322"/>
      <c r="AB290" s="709">
        <f t="shared" si="30"/>
        <v>9417070.1967345737</v>
      </c>
      <c r="AC290" s="861" t="s">
        <v>2339</v>
      </c>
      <c r="AD290" s="205"/>
      <c r="AE290" s="205">
        <v>249</v>
      </c>
      <c r="AF290" s="65" t="s">
        <v>2256</v>
      </c>
      <c r="AG290" s="320">
        <v>292684</v>
      </c>
      <c r="AH290" s="28">
        <v>282326</v>
      </c>
      <c r="AI290" s="28">
        <v>135912</v>
      </c>
      <c r="AJ290" s="28">
        <v>45122</v>
      </c>
      <c r="AK290" s="28">
        <v>365607</v>
      </c>
      <c r="AL290" s="28">
        <v>75612</v>
      </c>
      <c r="AM290" s="28">
        <v>2145</v>
      </c>
      <c r="AN290" s="28">
        <v>12718</v>
      </c>
      <c r="AO290" s="28">
        <v>26</v>
      </c>
      <c r="AP290" s="28">
        <v>37</v>
      </c>
      <c r="AQ290" s="28" t="s">
        <v>1818</v>
      </c>
      <c r="AR290" s="28" t="s">
        <v>1819</v>
      </c>
      <c r="AS290" s="28">
        <v>53164</v>
      </c>
      <c r="AT290" s="28">
        <v>16982</v>
      </c>
      <c r="AU290" s="28">
        <v>60013</v>
      </c>
      <c r="AV290" s="28">
        <v>57501</v>
      </c>
      <c r="AW290" s="843">
        <v>45293</v>
      </c>
      <c r="AX290" s="843">
        <v>45657</v>
      </c>
      <c r="AY290" s="28" t="s">
        <v>1820</v>
      </c>
      <c r="AZ290" s="15"/>
      <c r="BA290" s="15"/>
      <c r="BB290" s="15"/>
      <c r="BC290" s="15"/>
      <c r="BD290" s="15"/>
      <c r="BE290" s="15"/>
      <c r="BF290" s="15"/>
      <c r="BG290" s="15"/>
      <c r="BH290" s="15"/>
      <c r="BI290" s="15"/>
      <c r="BJ290" s="15"/>
      <c r="BK290" s="15"/>
      <c r="BL290" s="15"/>
      <c r="BM290" s="15"/>
      <c r="BN290" s="15"/>
    </row>
    <row r="291" spans="1:66" s="47" customFormat="1" ht="63.75" x14ac:dyDescent="0.2">
      <c r="A291" s="28">
        <v>1</v>
      </c>
      <c r="B291" s="34" t="s">
        <v>315</v>
      </c>
      <c r="C291" s="28">
        <v>19</v>
      </c>
      <c r="D291" s="34" t="s">
        <v>517</v>
      </c>
      <c r="E291" s="28">
        <v>1906</v>
      </c>
      <c r="F291" s="34" t="s">
        <v>2236</v>
      </c>
      <c r="G291" s="28" t="s">
        <v>70</v>
      </c>
      <c r="H291" s="34" t="s">
        <v>2237</v>
      </c>
      <c r="I291" s="28">
        <v>1906023</v>
      </c>
      <c r="J291" s="34" t="s">
        <v>2238</v>
      </c>
      <c r="K291" s="280" t="s">
        <v>70</v>
      </c>
      <c r="L291" s="34" t="s">
        <v>2239</v>
      </c>
      <c r="M291" s="280">
        <v>190602300</v>
      </c>
      <c r="N291" s="34" t="s">
        <v>2240</v>
      </c>
      <c r="O291" s="317">
        <v>19899</v>
      </c>
      <c r="P291" s="205"/>
      <c r="Q291" s="321">
        <v>19899</v>
      </c>
      <c r="R291" s="79">
        <v>2020003630136</v>
      </c>
      <c r="S291" s="34" t="s">
        <v>2241</v>
      </c>
      <c r="T291" s="500">
        <f t="shared" si="29"/>
        <v>1</v>
      </c>
      <c r="U291" s="34" t="s">
        <v>2242</v>
      </c>
      <c r="V291" s="34" t="s">
        <v>2243</v>
      </c>
      <c r="W291" s="34" t="s">
        <v>2244</v>
      </c>
      <c r="X291" s="322">
        <v>304317940.60941929</v>
      </c>
      <c r="Y291" s="322"/>
      <c r="Z291" s="322"/>
      <c r="AA291" s="322"/>
      <c r="AB291" s="709">
        <f t="shared" si="30"/>
        <v>304317940.60941929</v>
      </c>
      <c r="AC291" s="861" t="s">
        <v>2340</v>
      </c>
      <c r="AD291" s="205"/>
      <c r="AE291" s="205">
        <v>252</v>
      </c>
      <c r="AF291" s="65" t="s">
        <v>2268</v>
      </c>
      <c r="AG291" s="320">
        <v>292684</v>
      </c>
      <c r="AH291" s="28">
        <v>282326</v>
      </c>
      <c r="AI291" s="28">
        <v>135912</v>
      </c>
      <c r="AJ291" s="28">
        <v>45122</v>
      </c>
      <c r="AK291" s="28">
        <v>365607</v>
      </c>
      <c r="AL291" s="28">
        <v>75612</v>
      </c>
      <c r="AM291" s="28">
        <v>2145</v>
      </c>
      <c r="AN291" s="28">
        <v>12718</v>
      </c>
      <c r="AO291" s="28">
        <v>26</v>
      </c>
      <c r="AP291" s="28">
        <v>37</v>
      </c>
      <c r="AQ291" s="28" t="s">
        <v>1818</v>
      </c>
      <c r="AR291" s="28" t="s">
        <v>1819</v>
      </c>
      <c r="AS291" s="28">
        <v>53164</v>
      </c>
      <c r="AT291" s="28">
        <v>16982</v>
      </c>
      <c r="AU291" s="28">
        <v>60013</v>
      </c>
      <c r="AV291" s="28">
        <v>57501</v>
      </c>
      <c r="AW291" s="843">
        <v>45293</v>
      </c>
      <c r="AX291" s="843">
        <v>45657</v>
      </c>
      <c r="AY291" s="28" t="s">
        <v>1820</v>
      </c>
      <c r="AZ291" s="15"/>
      <c r="BA291" s="15"/>
      <c r="BB291" s="15"/>
      <c r="BC291" s="15"/>
      <c r="BD291" s="15"/>
      <c r="BE291" s="15"/>
      <c r="BF291" s="15"/>
      <c r="BG291" s="15"/>
      <c r="BH291" s="15"/>
      <c r="BI291" s="15"/>
      <c r="BJ291" s="15"/>
      <c r="BK291" s="15"/>
      <c r="BL291" s="15"/>
      <c r="BM291" s="15"/>
      <c r="BN291" s="15"/>
    </row>
    <row r="292" spans="1:66" s="47" customFormat="1" ht="63.75" x14ac:dyDescent="0.2">
      <c r="A292" s="28">
        <v>1</v>
      </c>
      <c r="B292" s="34" t="s">
        <v>315</v>
      </c>
      <c r="C292" s="28">
        <v>19</v>
      </c>
      <c r="D292" s="34" t="s">
        <v>517</v>
      </c>
      <c r="E292" s="28">
        <v>1906</v>
      </c>
      <c r="F292" s="34" t="s">
        <v>2236</v>
      </c>
      <c r="G292" s="28" t="s">
        <v>70</v>
      </c>
      <c r="H292" s="34" t="s">
        <v>2237</v>
      </c>
      <c r="I292" s="28">
        <v>1906023</v>
      </c>
      <c r="J292" s="34" t="s">
        <v>2238</v>
      </c>
      <c r="K292" s="280" t="s">
        <v>70</v>
      </c>
      <c r="L292" s="34" t="s">
        <v>2239</v>
      </c>
      <c r="M292" s="280">
        <v>190602300</v>
      </c>
      <c r="N292" s="34" t="s">
        <v>2240</v>
      </c>
      <c r="O292" s="317">
        <v>19899</v>
      </c>
      <c r="P292" s="205"/>
      <c r="Q292" s="321">
        <v>19899</v>
      </c>
      <c r="R292" s="79">
        <v>2020003630136</v>
      </c>
      <c r="S292" s="34" t="s">
        <v>2241</v>
      </c>
      <c r="T292" s="500">
        <f t="shared" si="29"/>
        <v>1</v>
      </c>
      <c r="U292" s="34" t="s">
        <v>2242</v>
      </c>
      <c r="V292" s="34" t="s">
        <v>2243</v>
      </c>
      <c r="W292" s="34" t="s">
        <v>2244</v>
      </c>
      <c r="X292" s="322">
        <v>10458182.464356309</v>
      </c>
      <c r="Y292" s="322"/>
      <c r="Z292" s="322"/>
      <c r="AA292" s="322"/>
      <c r="AB292" s="709">
        <f t="shared" si="30"/>
        <v>10458182.464356309</v>
      </c>
      <c r="AC292" s="861" t="s">
        <v>2341</v>
      </c>
      <c r="AD292" s="205"/>
      <c r="AE292" s="205">
        <v>253</v>
      </c>
      <c r="AF292" s="65" t="s">
        <v>2260</v>
      </c>
      <c r="AG292" s="320">
        <v>292684</v>
      </c>
      <c r="AH292" s="28">
        <v>282326</v>
      </c>
      <c r="AI292" s="28">
        <v>135912</v>
      </c>
      <c r="AJ292" s="28">
        <v>45122</v>
      </c>
      <c r="AK292" s="28">
        <v>365607</v>
      </c>
      <c r="AL292" s="28">
        <v>75612</v>
      </c>
      <c r="AM292" s="28">
        <v>2145</v>
      </c>
      <c r="AN292" s="28">
        <v>12718</v>
      </c>
      <c r="AO292" s="28">
        <v>26</v>
      </c>
      <c r="AP292" s="28">
        <v>37</v>
      </c>
      <c r="AQ292" s="28" t="s">
        <v>1818</v>
      </c>
      <c r="AR292" s="28" t="s">
        <v>1819</v>
      </c>
      <c r="AS292" s="28">
        <v>53164</v>
      </c>
      <c r="AT292" s="28">
        <v>16982</v>
      </c>
      <c r="AU292" s="28">
        <v>60013</v>
      </c>
      <c r="AV292" s="28">
        <v>57501</v>
      </c>
      <c r="AW292" s="843">
        <v>45293</v>
      </c>
      <c r="AX292" s="843">
        <v>45657</v>
      </c>
      <c r="AY292" s="28" t="s">
        <v>1820</v>
      </c>
      <c r="AZ292" s="15"/>
      <c r="BA292" s="15"/>
      <c r="BB292" s="15"/>
      <c r="BC292" s="15"/>
      <c r="BD292" s="15"/>
      <c r="BE292" s="15"/>
      <c r="BF292" s="15"/>
      <c r="BG292" s="15"/>
      <c r="BH292" s="15"/>
      <c r="BI292" s="15"/>
      <c r="BJ292" s="15"/>
      <c r="BK292" s="15"/>
      <c r="BL292" s="15"/>
      <c r="BM292" s="15"/>
      <c r="BN292" s="15"/>
    </row>
    <row r="293" spans="1:66" s="47" customFormat="1" ht="63.75" x14ac:dyDescent="0.2">
      <c r="A293" s="28">
        <v>1</v>
      </c>
      <c r="B293" s="34" t="s">
        <v>315</v>
      </c>
      <c r="C293" s="28">
        <v>19</v>
      </c>
      <c r="D293" s="34" t="s">
        <v>517</v>
      </c>
      <c r="E293" s="28">
        <v>1906</v>
      </c>
      <c r="F293" s="34" t="s">
        <v>2236</v>
      </c>
      <c r="G293" s="28" t="s">
        <v>70</v>
      </c>
      <c r="H293" s="34" t="s">
        <v>2237</v>
      </c>
      <c r="I293" s="28">
        <v>1906023</v>
      </c>
      <c r="J293" s="34" t="s">
        <v>2238</v>
      </c>
      <c r="K293" s="280" t="s">
        <v>70</v>
      </c>
      <c r="L293" s="34" t="s">
        <v>2239</v>
      </c>
      <c r="M293" s="280">
        <v>190602300</v>
      </c>
      <c r="N293" s="34" t="s">
        <v>2240</v>
      </c>
      <c r="O293" s="317">
        <v>19899</v>
      </c>
      <c r="P293" s="205"/>
      <c r="Q293" s="321">
        <v>19899</v>
      </c>
      <c r="R293" s="79">
        <v>2020003630136</v>
      </c>
      <c r="S293" s="34" t="s">
        <v>2241</v>
      </c>
      <c r="T293" s="500">
        <f t="shared" si="29"/>
        <v>1</v>
      </c>
      <c r="U293" s="34" t="s">
        <v>2242</v>
      </c>
      <c r="V293" s="34" t="s">
        <v>2243</v>
      </c>
      <c r="W293" s="34" t="s">
        <v>2244</v>
      </c>
      <c r="X293" s="322">
        <v>838766702.24458241</v>
      </c>
      <c r="Y293" s="322"/>
      <c r="Z293" s="322"/>
      <c r="AA293" s="322"/>
      <c r="AB293" s="709">
        <f t="shared" si="30"/>
        <v>838766702.24458241</v>
      </c>
      <c r="AC293" s="861" t="s">
        <v>2342</v>
      </c>
      <c r="AD293" s="65"/>
      <c r="AE293" s="205">
        <v>154</v>
      </c>
      <c r="AF293" s="65" t="s">
        <v>2246</v>
      </c>
      <c r="AG293" s="320">
        <v>292684</v>
      </c>
      <c r="AH293" s="28">
        <v>282326</v>
      </c>
      <c r="AI293" s="28">
        <v>135912</v>
      </c>
      <c r="AJ293" s="28">
        <v>45122</v>
      </c>
      <c r="AK293" s="28">
        <v>365607</v>
      </c>
      <c r="AL293" s="28">
        <v>75612</v>
      </c>
      <c r="AM293" s="28">
        <v>2145</v>
      </c>
      <c r="AN293" s="28">
        <v>12718</v>
      </c>
      <c r="AO293" s="28">
        <v>26</v>
      </c>
      <c r="AP293" s="28">
        <v>37</v>
      </c>
      <c r="AQ293" s="28" t="s">
        <v>1818</v>
      </c>
      <c r="AR293" s="28" t="s">
        <v>1819</v>
      </c>
      <c r="AS293" s="28">
        <v>53164</v>
      </c>
      <c r="AT293" s="28">
        <v>16982</v>
      </c>
      <c r="AU293" s="28">
        <v>60013</v>
      </c>
      <c r="AV293" s="28">
        <v>57501</v>
      </c>
      <c r="AW293" s="843">
        <v>45293</v>
      </c>
      <c r="AX293" s="843">
        <v>45657</v>
      </c>
      <c r="AY293" s="28" t="s">
        <v>1820</v>
      </c>
      <c r="AZ293" s="15"/>
      <c r="BA293" s="15"/>
      <c r="BB293" s="15"/>
      <c r="BC293" s="15"/>
      <c r="BD293" s="15"/>
      <c r="BE293" s="15"/>
      <c r="BF293" s="15"/>
      <c r="BG293" s="15"/>
      <c r="BH293" s="15"/>
      <c r="BI293" s="15"/>
      <c r="BJ293" s="15"/>
      <c r="BK293" s="15"/>
      <c r="BL293" s="15"/>
      <c r="BM293" s="15"/>
      <c r="BN293" s="15"/>
    </row>
    <row r="294" spans="1:66" s="47" customFormat="1" ht="63.75" x14ac:dyDescent="0.2">
      <c r="A294" s="28">
        <v>1</v>
      </c>
      <c r="B294" s="34" t="s">
        <v>315</v>
      </c>
      <c r="C294" s="28">
        <v>19</v>
      </c>
      <c r="D294" s="34" t="s">
        <v>517</v>
      </c>
      <c r="E294" s="28">
        <v>1906</v>
      </c>
      <c r="F294" s="34" t="s">
        <v>2236</v>
      </c>
      <c r="G294" s="28" t="s">
        <v>70</v>
      </c>
      <c r="H294" s="34" t="s">
        <v>2237</v>
      </c>
      <c r="I294" s="28">
        <v>1906023</v>
      </c>
      <c r="J294" s="34" t="s">
        <v>2238</v>
      </c>
      <c r="K294" s="280" t="s">
        <v>70</v>
      </c>
      <c r="L294" s="34" t="s">
        <v>2239</v>
      </c>
      <c r="M294" s="280">
        <v>190602300</v>
      </c>
      <c r="N294" s="34" t="s">
        <v>2240</v>
      </c>
      <c r="O294" s="317">
        <v>19899</v>
      </c>
      <c r="P294" s="205"/>
      <c r="Q294" s="321">
        <v>19899</v>
      </c>
      <c r="R294" s="79">
        <v>2020003630136</v>
      </c>
      <c r="S294" s="34" t="s">
        <v>2241</v>
      </c>
      <c r="T294" s="500">
        <f t="shared" si="29"/>
        <v>1</v>
      </c>
      <c r="U294" s="34" t="s">
        <v>2242</v>
      </c>
      <c r="V294" s="34" t="s">
        <v>2243</v>
      </c>
      <c r="W294" s="34" t="s">
        <v>2244</v>
      </c>
      <c r="X294" s="322">
        <v>577771542.58100975</v>
      </c>
      <c r="Y294" s="322"/>
      <c r="Z294" s="322"/>
      <c r="AA294" s="322"/>
      <c r="AB294" s="709">
        <f t="shared" si="30"/>
        <v>577771542.58100975</v>
      </c>
      <c r="AC294" s="861" t="s">
        <v>2343</v>
      </c>
      <c r="AD294" s="205"/>
      <c r="AE294" s="205">
        <v>237</v>
      </c>
      <c r="AF294" s="65" t="s">
        <v>2248</v>
      </c>
      <c r="AG294" s="320">
        <v>292684</v>
      </c>
      <c r="AH294" s="28">
        <v>282326</v>
      </c>
      <c r="AI294" s="28">
        <v>135912</v>
      </c>
      <c r="AJ294" s="28">
        <v>45122</v>
      </c>
      <c r="AK294" s="28">
        <v>365607</v>
      </c>
      <c r="AL294" s="28">
        <v>75612</v>
      </c>
      <c r="AM294" s="28">
        <v>2145</v>
      </c>
      <c r="AN294" s="28">
        <v>12718</v>
      </c>
      <c r="AO294" s="28">
        <v>26</v>
      </c>
      <c r="AP294" s="28">
        <v>37</v>
      </c>
      <c r="AQ294" s="28" t="s">
        <v>1818</v>
      </c>
      <c r="AR294" s="28" t="s">
        <v>1819</v>
      </c>
      <c r="AS294" s="28">
        <v>53164</v>
      </c>
      <c r="AT294" s="28">
        <v>16982</v>
      </c>
      <c r="AU294" s="28">
        <v>60013</v>
      </c>
      <c r="AV294" s="28">
        <v>57501</v>
      </c>
      <c r="AW294" s="843">
        <v>45293</v>
      </c>
      <c r="AX294" s="843">
        <v>45657</v>
      </c>
      <c r="AY294" s="28" t="s">
        <v>1820</v>
      </c>
      <c r="AZ294" s="15"/>
      <c r="BA294" s="15"/>
      <c r="BB294" s="15"/>
      <c r="BC294" s="15"/>
      <c r="BD294" s="15"/>
      <c r="BE294" s="15"/>
      <c r="BF294" s="15"/>
      <c r="BG294" s="15"/>
      <c r="BH294" s="15"/>
      <c r="BI294" s="15"/>
      <c r="BJ294" s="15"/>
      <c r="BK294" s="15"/>
      <c r="BL294" s="15"/>
      <c r="BM294" s="15"/>
      <c r="BN294" s="15"/>
    </row>
    <row r="295" spans="1:66" s="47" customFormat="1" ht="63.75" x14ac:dyDescent="0.2">
      <c r="A295" s="28">
        <v>1</v>
      </c>
      <c r="B295" s="34" t="s">
        <v>315</v>
      </c>
      <c r="C295" s="28">
        <v>19</v>
      </c>
      <c r="D295" s="34" t="s">
        <v>517</v>
      </c>
      <c r="E295" s="28">
        <v>1906</v>
      </c>
      <c r="F295" s="34" t="s">
        <v>2236</v>
      </c>
      <c r="G295" s="28" t="s">
        <v>70</v>
      </c>
      <c r="H295" s="34" t="s">
        <v>2237</v>
      </c>
      <c r="I295" s="28">
        <v>1906023</v>
      </c>
      <c r="J295" s="34" t="s">
        <v>2238</v>
      </c>
      <c r="K295" s="280" t="s">
        <v>70</v>
      </c>
      <c r="L295" s="34" t="s">
        <v>2239</v>
      </c>
      <c r="M295" s="280">
        <v>190602300</v>
      </c>
      <c r="N295" s="34" t="s">
        <v>2240</v>
      </c>
      <c r="O295" s="317">
        <v>19899</v>
      </c>
      <c r="P295" s="205"/>
      <c r="Q295" s="321">
        <v>19899</v>
      </c>
      <c r="R295" s="79">
        <v>2020003630136</v>
      </c>
      <c r="S295" s="34" t="s">
        <v>2241</v>
      </c>
      <c r="T295" s="500">
        <f t="shared" si="29"/>
        <v>1</v>
      </c>
      <c r="U295" s="34" t="s">
        <v>2242</v>
      </c>
      <c r="V295" s="34" t="s">
        <v>2243</v>
      </c>
      <c r="W295" s="34" t="s">
        <v>2244</v>
      </c>
      <c r="X295" s="322">
        <v>121456230.41083583</v>
      </c>
      <c r="Y295" s="322"/>
      <c r="Z295" s="322"/>
      <c r="AA295" s="322"/>
      <c r="AB295" s="709">
        <f t="shared" si="30"/>
        <v>121456230.41083583</v>
      </c>
      <c r="AC295" s="861" t="s">
        <v>2344</v>
      </c>
      <c r="AD295" s="205"/>
      <c r="AE295" s="205">
        <v>240</v>
      </c>
      <c r="AF295" s="65" t="s">
        <v>2250</v>
      </c>
      <c r="AG295" s="320">
        <v>292684</v>
      </c>
      <c r="AH295" s="28">
        <v>282326</v>
      </c>
      <c r="AI295" s="28">
        <v>135912</v>
      </c>
      <c r="AJ295" s="28">
        <v>45122</v>
      </c>
      <c r="AK295" s="28">
        <v>365607</v>
      </c>
      <c r="AL295" s="28">
        <v>75612</v>
      </c>
      <c r="AM295" s="28">
        <v>2145</v>
      </c>
      <c r="AN295" s="28">
        <v>12718</v>
      </c>
      <c r="AO295" s="28">
        <v>26</v>
      </c>
      <c r="AP295" s="28">
        <v>37</v>
      </c>
      <c r="AQ295" s="28" t="s">
        <v>1818</v>
      </c>
      <c r="AR295" s="28" t="s">
        <v>1819</v>
      </c>
      <c r="AS295" s="28">
        <v>53164</v>
      </c>
      <c r="AT295" s="28">
        <v>16982</v>
      </c>
      <c r="AU295" s="28">
        <v>60013</v>
      </c>
      <c r="AV295" s="28">
        <v>57501</v>
      </c>
      <c r="AW295" s="843">
        <v>45293</v>
      </c>
      <c r="AX295" s="843">
        <v>45657</v>
      </c>
      <c r="AY295" s="28" t="s">
        <v>1820</v>
      </c>
      <c r="AZ295" s="15"/>
      <c r="BA295" s="15"/>
      <c r="BB295" s="15"/>
      <c r="BC295" s="15"/>
      <c r="BD295" s="15"/>
      <c r="BE295" s="15"/>
      <c r="BF295" s="15"/>
      <c r="BG295" s="15"/>
      <c r="BH295" s="15"/>
      <c r="BI295" s="15"/>
      <c r="BJ295" s="15"/>
      <c r="BK295" s="15"/>
      <c r="BL295" s="15"/>
      <c r="BM295" s="15"/>
      <c r="BN295" s="15"/>
    </row>
    <row r="296" spans="1:66" s="47" customFormat="1" ht="63.75" x14ac:dyDescent="0.2">
      <c r="A296" s="28">
        <v>1</v>
      </c>
      <c r="B296" s="34" t="s">
        <v>315</v>
      </c>
      <c r="C296" s="28">
        <v>19</v>
      </c>
      <c r="D296" s="34" t="s">
        <v>517</v>
      </c>
      <c r="E296" s="28">
        <v>1906</v>
      </c>
      <c r="F296" s="34" t="s">
        <v>2236</v>
      </c>
      <c r="G296" s="28" t="s">
        <v>70</v>
      </c>
      <c r="H296" s="34" t="s">
        <v>2237</v>
      </c>
      <c r="I296" s="28">
        <v>1906023</v>
      </c>
      <c r="J296" s="34" t="s">
        <v>2238</v>
      </c>
      <c r="K296" s="280" t="s">
        <v>70</v>
      </c>
      <c r="L296" s="34" t="s">
        <v>2239</v>
      </c>
      <c r="M296" s="280">
        <v>190602300</v>
      </c>
      <c r="N296" s="34" t="s">
        <v>2240</v>
      </c>
      <c r="O296" s="317">
        <v>19899</v>
      </c>
      <c r="P296" s="205"/>
      <c r="Q296" s="321">
        <v>19899</v>
      </c>
      <c r="R296" s="79">
        <v>2020003630136</v>
      </c>
      <c r="S296" s="34" t="s">
        <v>2241</v>
      </c>
      <c r="T296" s="500">
        <f t="shared" si="29"/>
        <v>1</v>
      </c>
      <c r="U296" s="34" t="s">
        <v>2242</v>
      </c>
      <c r="V296" s="34" t="s">
        <v>2243</v>
      </c>
      <c r="W296" s="34" t="s">
        <v>2244</v>
      </c>
      <c r="X296" s="322">
        <v>181437276.52205548</v>
      </c>
      <c r="Y296" s="322"/>
      <c r="Z296" s="322"/>
      <c r="AA296" s="322"/>
      <c r="AB296" s="709">
        <f t="shared" si="30"/>
        <v>181437276.52205548</v>
      </c>
      <c r="AC296" s="861" t="s">
        <v>2345</v>
      </c>
      <c r="AD296" s="205"/>
      <c r="AE296" s="205">
        <v>243</v>
      </c>
      <c r="AF296" s="65" t="s">
        <v>2252</v>
      </c>
      <c r="AG296" s="320">
        <v>292684</v>
      </c>
      <c r="AH296" s="28">
        <v>282326</v>
      </c>
      <c r="AI296" s="28">
        <v>135912</v>
      </c>
      <c r="AJ296" s="28">
        <v>45122</v>
      </c>
      <c r="AK296" s="28">
        <v>365607</v>
      </c>
      <c r="AL296" s="28">
        <v>75612</v>
      </c>
      <c r="AM296" s="28">
        <v>2145</v>
      </c>
      <c r="AN296" s="28">
        <v>12718</v>
      </c>
      <c r="AO296" s="28">
        <v>26</v>
      </c>
      <c r="AP296" s="28">
        <v>37</v>
      </c>
      <c r="AQ296" s="28" t="s">
        <v>1818</v>
      </c>
      <c r="AR296" s="28" t="s">
        <v>1819</v>
      </c>
      <c r="AS296" s="28">
        <v>53164</v>
      </c>
      <c r="AT296" s="28">
        <v>16982</v>
      </c>
      <c r="AU296" s="28">
        <v>60013</v>
      </c>
      <c r="AV296" s="28">
        <v>57501</v>
      </c>
      <c r="AW296" s="843">
        <v>45293</v>
      </c>
      <c r="AX296" s="843">
        <v>45657</v>
      </c>
      <c r="AY296" s="28" t="s">
        <v>1820</v>
      </c>
      <c r="AZ296" s="15"/>
      <c r="BA296" s="15"/>
      <c r="BB296" s="15"/>
      <c r="BC296" s="15"/>
      <c r="BD296" s="15"/>
      <c r="BE296" s="15"/>
      <c r="BF296" s="15"/>
      <c r="BG296" s="15"/>
      <c r="BH296" s="15"/>
      <c r="BI296" s="15"/>
      <c r="BJ296" s="15"/>
      <c r="BK296" s="15"/>
      <c r="BL296" s="15"/>
      <c r="BM296" s="15"/>
      <c r="BN296" s="15"/>
    </row>
    <row r="297" spans="1:66" s="47" customFormat="1" ht="63.75" x14ac:dyDescent="0.2">
      <c r="A297" s="28">
        <v>1</v>
      </c>
      <c r="B297" s="34" t="s">
        <v>315</v>
      </c>
      <c r="C297" s="28">
        <v>19</v>
      </c>
      <c r="D297" s="34" t="s">
        <v>517</v>
      </c>
      <c r="E297" s="28">
        <v>1906</v>
      </c>
      <c r="F297" s="34" t="s">
        <v>2236</v>
      </c>
      <c r="G297" s="28" t="s">
        <v>70</v>
      </c>
      <c r="H297" s="34" t="s">
        <v>2237</v>
      </c>
      <c r="I297" s="28">
        <v>1906023</v>
      </c>
      <c r="J297" s="34" t="s">
        <v>2238</v>
      </c>
      <c r="K297" s="280" t="s">
        <v>70</v>
      </c>
      <c r="L297" s="34" t="s">
        <v>2239</v>
      </c>
      <c r="M297" s="280">
        <v>190602300</v>
      </c>
      <c r="N297" s="34" t="s">
        <v>2240</v>
      </c>
      <c r="O297" s="317">
        <v>19899</v>
      </c>
      <c r="P297" s="205"/>
      <c r="Q297" s="321">
        <v>19899</v>
      </c>
      <c r="R297" s="79">
        <v>2020003630136</v>
      </c>
      <c r="S297" s="34" t="s">
        <v>2241</v>
      </c>
      <c r="T297" s="500">
        <f t="shared" si="29"/>
        <v>1</v>
      </c>
      <c r="U297" s="34" t="s">
        <v>2242</v>
      </c>
      <c r="V297" s="34" t="s">
        <v>2243</v>
      </c>
      <c r="W297" s="34" t="s">
        <v>2244</v>
      </c>
      <c r="X297" s="322">
        <v>85974881.333679482</v>
      </c>
      <c r="Y297" s="322"/>
      <c r="Z297" s="322"/>
      <c r="AA297" s="322"/>
      <c r="AB297" s="709">
        <f t="shared" si="30"/>
        <v>85974881.333679482</v>
      </c>
      <c r="AC297" s="861" t="s">
        <v>2346</v>
      </c>
      <c r="AD297" s="205"/>
      <c r="AE297" s="205">
        <v>246</v>
      </c>
      <c r="AF297" s="65" t="s">
        <v>2254</v>
      </c>
      <c r="AG297" s="320">
        <v>292684</v>
      </c>
      <c r="AH297" s="28">
        <v>282326</v>
      </c>
      <c r="AI297" s="28">
        <v>135912</v>
      </c>
      <c r="AJ297" s="28">
        <v>45122</v>
      </c>
      <c r="AK297" s="28">
        <v>365607</v>
      </c>
      <c r="AL297" s="28">
        <v>75612</v>
      </c>
      <c r="AM297" s="28">
        <v>2145</v>
      </c>
      <c r="AN297" s="28">
        <v>12718</v>
      </c>
      <c r="AO297" s="28">
        <v>26</v>
      </c>
      <c r="AP297" s="28">
        <v>37</v>
      </c>
      <c r="AQ297" s="28" t="s">
        <v>1818</v>
      </c>
      <c r="AR297" s="28" t="s">
        <v>1819</v>
      </c>
      <c r="AS297" s="28">
        <v>53164</v>
      </c>
      <c r="AT297" s="28">
        <v>16982</v>
      </c>
      <c r="AU297" s="28">
        <v>60013</v>
      </c>
      <c r="AV297" s="28">
        <v>57501</v>
      </c>
      <c r="AW297" s="843">
        <v>45293</v>
      </c>
      <c r="AX297" s="843">
        <v>45657</v>
      </c>
      <c r="AY297" s="28" t="s">
        <v>1820</v>
      </c>
      <c r="AZ297" s="15"/>
      <c r="BA297" s="15"/>
      <c r="BB297" s="15"/>
      <c r="BC297" s="15"/>
      <c r="BD297" s="15"/>
      <c r="BE297" s="15"/>
      <c r="BF297" s="15"/>
      <c r="BG297" s="15"/>
      <c r="BH297" s="15"/>
      <c r="BI297" s="15"/>
      <c r="BJ297" s="15"/>
      <c r="BK297" s="15"/>
      <c r="BL297" s="15"/>
      <c r="BM297" s="15"/>
      <c r="BN297" s="15"/>
    </row>
    <row r="298" spans="1:66" s="47" customFormat="1" ht="63.75" x14ac:dyDescent="0.2">
      <c r="A298" s="28">
        <v>1</v>
      </c>
      <c r="B298" s="34" t="s">
        <v>315</v>
      </c>
      <c r="C298" s="28">
        <v>19</v>
      </c>
      <c r="D298" s="34" t="s">
        <v>517</v>
      </c>
      <c r="E298" s="28">
        <v>1906</v>
      </c>
      <c r="F298" s="34" t="s">
        <v>2236</v>
      </c>
      <c r="G298" s="28" t="s">
        <v>70</v>
      </c>
      <c r="H298" s="34" t="s">
        <v>2237</v>
      </c>
      <c r="I298" s="28">
        <v>1906023</v>
      </c>
      <c r="J298" s="34" t="s">
        <v>2238</v>
      </c>
      <c r="K298" s="280" t="s">
        <v>70</v>
      </c>
      <c r="L298" s="34" t="s">
        <v>2239</v>
      </c>
      <c r="M298" s="280">
        <v>190602300</v>
      </c>
      <c r="N298" s="34" t="s">
        <v>2240</v>
      </c>
      <c r="O298" s="317">
        <v>19899</v>
      </c>
      <c r="P298" s="205"/>
      <c r="Q298" s="321">
        <v>19899</v>
      </c>
      <c r="R298" s="79">
        <v>2020003630136</v>
      </c>
      <c r="S298" s="34" t="s">
        <v>2241</v>
      </c>
      <c r="T298" s="500">
        <f t="shared" si="29"/>
        <v>1</v>
      </c>
      <c r="U298" s="34" t="s">
        <v>2242</v>
      </c>
      <c r="V298" s="34" t="s">
        <v>2243</v>
      </c>
      <c r="W298" s="34" t="s">
        <v>2244</v>
      </c>
      <c r="X298" s="322">
        <v>53766112.321678549</v>
      </c>
      <c r="Y298" s="322"/>
      <c r="Z298" s="322"/>
      <c r="AA298" s="322"/>
      <c r="AB298" s="709">
        <f t="shared" si="30"/>
        <v>53766112.321678549</v>
      </c>
      <c r="AC298" s="861" t="s">
        <v>2347</v>
      </c>
      <c r="AD298" s="205"/>
      <c r="AE298" s="205">
        <v>249</v>
      </c>
      <c r="AF298" s="65" t="s">
        <v>2256</v>
      </c>
      <c r="AG298" s="320">
        <v>292684</v>
      </c>
      <c r="AH298" s="28">
        <v>282326</v>
      </c>
      <c r="AI298" s="28">
        <v>135912</v>
      </c>
      <c r="AJ298" s="28">
        <v>45122</v>
      </c>
      <c r="AK298" s="28">
        <v>365607</v>
      </c>
      <c r="AL298" s="28">
        <v>75612</v>
      </c>
      <c r="AM298" s="28">
        <v>2145</v>
      </c>
      <c r="AN298" s="28">
        <v>12718</v>
      </c>
      <c r="AO298" s="28">
        <v>26</v>
      </c>
      <c r="AP298" s="28">
        <v>37</v>
      </c>
      <c r="AQ298" s="28" t="s">
        <v>1818</v>
      </c>
      <c r="AR298" s="28" t="s">
        <v>1819</v>
      </c>
      <c r="AS298" s="28">
        <v>53164</v>
      </c>
      <c r="AT298" s="28">
        <v>16982</v>
      </c>
      <c r="AU298" s="28">
        <v>60013</v>
      </c>
      <c r="AV298" s="28">
        <v>57501</v>
      </c>
      <c r="AW298" s="843">
        <v>45293</v>
      </c>
      <c r="AX298" s="843">
        <v>45657</v>
      </c>
      <c r="AY298" s="28" t="s">
        <v>1820</v>
      </c>
      <c r="AZ298" s="15"/>
      <c r="BA298" s="15"/>
      <c r="BB298" s="15"/>
      <c r="BC298" s="15"/>
      <c r="BD298" s="15"/>
      <c r="BE298" s="15"/>
      <c r="BF298" s="15"/>
      <c r="BG298" s="15"/>
      <c r="BH298" s="15"/>
      <c r="BI298" s="15"/>
      <c r="BJ298" s="15"/>
      <c r="BK298" s="15"/>
      <c r="BL298" s="15"/>
      <c r="BM298" s="15"/>
      <c r="BN298" s="15"/>
    </row>
    <row r="299" spans="1:66" s="47" customFormat="1" ht="63.75" x14ac:dyDescent="0.2">
      <c r="A299" s="28">
        <v>1</v>
      </c>
      <c r="B299" s="34" t="s">
        <v>315</v>
      </c>
      <c r="C299" s="28">
        <v>19</v>
      </c>
      <c r="D299" s="34" t="s">
        <v>517</v>
      </c>
      <c r="E299" s="28">
        <v>1906</v>
      </c>
      <c r="F299" s="34" t="s">
        <v>2236</v>
      </c>
      <c r="G299" s="28" t="s">
        <v>70</v>
      </c>
      <c r="H299" s="34" t="s">
        <v>2237</v>
      </c>
      <c r="I299" s="28">
        <v>1906023</v>
      </c>
      <c r="J299" s="34" t="s">
        <v>2238</v>
      </c>
      <c r="K299" s="280" t="s">
        <v>70</v>
      </c>
      <c r="L299" s="34" t="s">
        <v>2239</v>
      </c>
      <c r="M299" s="280">
        <v>190602300</v>
      </c>
      <c r="N299" s="34" t="s">
        <v>2240</v>
      </c>
      <c r="O299" s="317">
        <v>19899</v>
      </c>
      <c r="P299" s="205"/>
      <c r="Q299" s="321">
        <v>19899</v>
      </c>
      <c r="R299" s="79">
        <v>2020003630136</v>
      </c>
      <c r="S299" s="34" t="s">
        <v>2241</v>
      </c>
      <c r="T299" s="500">
        <f t="shared" si="29"/>
        <v>1</v>
      </c>
      <c r="U299" s="34" t="s">
        <v>2242</v>
      </c>
      <c r="V299" s="34" t="s">
        <v>2243</v>
      </c>
      <c r="W299" s="34" t="s">
        <v>2244</v>
      </c>
      <c r="X299" s="322">
        <v>1737482277.872534</v>
      </c>
      <c r="Y299" s="322"/>
      <c r="Z299" s="322"/>
      <c r="AA299" s="322"/>
      <c r="AB299" s="709">
        <f t="shared" si="30"/>
        <v>1737482277.872534</v>
      </c>
      <c r="AC299" s="861" t="s">
        <v>2348</v>
      </c>
      <c r="AD299" s="205"/>
      <c r="AE299" s="205">
        <v>252</v>
      </c>
      <c r="AF299" s="65" t="s">
        <v>2268</v>
      </c>
      <c r="AG299" s="320">
        <v>292684</v>
      </c>
      <c r="AH299" s="28">
        <v>282326</v>
      </c>
      <c r="AI299" s="28">
        <v>135912</v>
      </c>
      <c r="AJ299" s="28">
        <v>45122</v>
      </c>
      <c r="AK299" s="28">
        <v>365607</v>
      </c>
      <c r="AL299" s="28">
        <v>75612</v>
      </c>
      <c r="AM299" s="28">
        <v>2145</v>
      </c>
      <c r="AN299" s="28">
        <v>12718</v>
      </c>
      <c r="AO299" s="28">
        <v>26</v>
      </c>
      <c r="AP299" s="28">
        <v>37</v>
      </c>
      <c r="AQ299" s="28" t="s">
        <v>1818</v>
      </c>
      <c r="AR299" s="28" t="s">
        <v>1819</v>
      </c>
      <c r="AS299" s="28">
        <v>53164</v>
      </c>
      <c r="AT299" s="28">
        <v>16982</v>
      </c>
      <c r="AU299" s="28">
        <v>60013</v>
      </c>
      <c r="AV299" s="28">
        <v>57501</v>
      </c>
      <c r="AW299" s="843">
        <v>45293</v>
      </c>
      <c r="AX299" s="843">
        <v>45657</v>
      </c>
      <c r="AY299" s="28" t="s">
        <v>1820</v>
      </c>
      <c r="AZ299" s="15"/>
      <c r="BA299" s="15"/>
      <c r="BB299" s="15"/>
      <c r="BC299" s="15"/>
      <c r="BD299" s="15"/>
      <c r="BE299" s="15"/>
      <c r="BF299" s="15"/>
      <c r="BG299" s="15"/>
      <c r="BH299" s="15"/>
      <c r="BI299" s="15"/>
      <c r="BJ299" s="15"/>
      <c r="BK299" s="15"/>
      <c r="BL299" s="15"/>
      <c r="BM299" s="15"/>
      <c r="BN299" s="15"/>
    </row>
    <row r="300" spans="1:66" s="47" customFormat="1" ht="63.75" x14ac:dyDescent="0.2">
      <c r="A300" s="846">
        <v>1</v>
      </c>
      <c r="B300" s="191" t="s">
        <v>315</v>
      </c>
      <c r="C300" s="846">
        <v>19</v>
      </c>
      <c r="D300" s="191" t="s">
        <v>517</v>
      </c>
      <c r="E300" s="846">
        <v>1906</v>
      </c>
      <c r="F300" s="191" t="s">
        <v>2236</v>
      </c>
      <c r="G300" s="846" t="s">
        <v>70</v>
      </c>
      <c r="H300" s="191" t="s">
        <v>2237</v>
      </c>
      <c r="I300" s="846">
        <v>1906023</v>
      </c>
      <c r="J300" s="191" t="s">
        <v>2238</v>
      </c>
      <c r="K300" s="864" t="s">
        <v>70</v>
      </c>
      <c r="L300" s="191" t="s">
        <v>2239</v>
      </c>
      <c r="M300" s="864">
        <v>190602300</v>
      </c>
      <c r="N300" s="191" t="s">
        <v>2240</v>
      </c>
      <c r="O300" s="317">
        <v>19899</v>
      </c>
      <c r="P300" s="205"/>
      <c r="Q300" s="321">
        <v>19899</v>
      </c>
      <c r="R300" s="79">
        <v>2020003630136</v>
      </c>
      <c r="S300" s="191" t="s">
        <v>2241</v>
      </c>
      <c r="T300" s="500">
        <f t="shared" si="29"/>
        <v>1</v>
      </c>
      <c r="U300" s="191" t="s">
        <v>2242</v>
      </c>
      <c r="V300" s="191" t="s">
        <v>2243</v>
      </c>
      <c r="W300" s="191" t="s">
        <v>2244</v>
      </c>
      <c r="X300" s="322">
        <v>59710270.956052735</v>
      </c>
      <c r="Y300" s="322"/>
      <c r="Z300" s="322"/>
      <c r="AA300" s="322"/>
      <c r="AB300" s="709">
        <f t="shared" si="30"/>
        <v>59710270.956052735</v>
      </c>
      <c r="AC300" s="861" t="s">
        <v>2349</v>
      </c>
      <c r="AD300" s="205"/>
      <c r="AE300" s="205">
        <v>253</v>
      </c>
      <c r="AF300" s="65" t="s">
        <v>2260</v>
      </c>
      <c r="AG300" s="320">
        <v>292684</v>
      </c>
      <c r="AH300" s="28">
        <v>282326</v>
      </c>
      <c r="AI300" s="28">
        <v>135912</v>
      </c>
      <c r="AJ300" s="28">
        <v>45122</v>
      </c>
      <c r="AK300" s="28">
        <v>365607</v>
      </c>
      <c r="AL300" s="28">
        <v>75612</v>
      </c>
      <c r="AM300" s="28">
        <v>2145</v>
      </c>
      <c r="AN300" s="28">
        <v>12718</v>
      </c>
      <c r="AO300" s="28">
        <v>26</v>
      </c>
      <c r="AP300" s="28">
        <v>37</v>
      </c>
      <c r="AQ300" s="28" t="s">
        <v>1818</v>
      </c>
      <c r="AR300" s="28" t="s">
        <v>1819</v>
      </c>
      <c r="AS300" s="28">
        <v>53164</v>
      </c>
      <c r="AT300" s="28">
        <v>16982</v>
      </c>
      <c r="AU300" s="28">
        <v>60013</v>
      </c>
      <c r="AV300" s="28">
        <v>57501</v>
      </c>
      <c r="AW300" s="843">
        <v>45293</v>
      </c>
      <c r="AX300" s="843">
        <v>45657</v>
      </c>
      <c r="AY300" s="28" t="s">
        <v>1820</v>
      </c>
      <c r="AZ300" s="15"/>
      <c r="BA300" s="15"/>
      <c r="BB300" s="15"/>
      <c r="BC300" s="15"/>
      <c r="BD300" s="15"/>
      <c r="BE300" s="15"/>
      <c r="BF300" s="15"/>
      <c r="BG300" s="15"/>
      <c r="BH300" s="15"/>
      <c r="BI300" s="15"/>
      <c r="BJ300" s="15"/>
      <c r="BK300" s="15"/>
      <c r="BL300" s="15"/>
      <c r="BM300" s="15"/>
      <c r="BN300" s="15"/>
    </row>
    <row r="301" spans="1:66" s="47" customFormat="1" ht="63.75" x14ac:dyDescent="0.2">
      <c r="A301" s="846">
        <v>1</v>
      </c>
      <c r="B301" s="191" t="s">
        <v>315</v>
      </c>
      <c r="C301" s="846">
        <v>19</v>
      </c>
      <c r="D301" s="191" t="s">
        <v>517</v>
      </c>
      <c r="E301" s="846">
        <v>1906</v>
      </c>
      <c r="F301" s="191" t="s">
        <v>2236</v>
      </c>
      <c r="G301" s="846" t="s">
        <v>70</v>
      </c>
      <c r="H301" s="191" t="s">
        <v>2237</v>
      </c>
      <c r="I301" s="846">
        <v>1906023</v>
      </c>
      <c r="J301" s="191" t="s">
        <v>2238</v>
      </c>
      <c r="K301" s="864" t="s">
        <v>70</v>
      </c>
      <c r="L301" s="191" t="s">
        <v>2239</v>
      </c>
      <c r="M301" s="864">
        <v>190602300</v>
      </c>
      <c r="N301" s="191" t="s">
        <v>2240</v>
      </c>
      <c r="O301" s="317">
        <v>19899</v>
      </c>
      <c r="P301" s="205"/>
      <c r="Q301" s="321">
        <v>19899</v>
      </c>
      <c r="R301" s="79">
        <v>2020003630136</v>
      </c>
      <c r="S301" s="191" t="s">
        <v>2241</v>
      </c>
      <c r="T301" s="500">
        <f t="shared" si="29"/>
        <v>1</v>
      </c>
      <c r="U301" s="191" t="s">
        <v>2242</v>
      </c>
      <c r="V301" s="191" t="s">
        <v>2243</v>
      </c>
      <c r="W301" s="191" t="s">
        <v>2244</v>
      </c>
      <c r="X301" s="865">
        <v>1374833727.6199999</v>
      </c>
      <c r="Y301" s="322">
        <v>1374833727.6199999</v>
      </c>
      <c r="Z301" s="322"/>
      <c r="AA301" s="322"/>
      <c r="AB301" s="709">
        <f t="shared" si="30"/>
        <v>0</v>
      </c>
      <c r="AC301" s="866" t="s">
        <v>2350</v>
      </c>
      <c r="AD301" s="205"/>
      <c r="AE301" s="205">
        <v>88</v>
      </c>
      <c r="AF301" s="65" t="s">
        <v>2351</v>
      </c>
      <c r="AG301" s="320">
        <v>292684</v>
      </c>
      <c r="AH301" s="28">
        <v>282326</v>
      </c>
      <c r="AI301" s="28">
        <v>135912</v>
      </c>
      <c r="AJ301" s="28">
        <v>45122</v>
      </c>
      <c r="AK301" s="28">
        <v>365607</v>
      </c>
      <c r="AL301" s="28">
        <v>75612</v>
      </c>
      <c r="AM301" s="28">
        <v>2145</v>
      </c>
      <c r="AN301" s="28">
        <v>12718</v>
      </c>
      <c r="AO301" s="28">
        <v>26</v>
      </c>
      <c r="AP301" s="28">
        <v>37</v>
      </c>
      <c r="AQ301" s="28" t="s">
        <v>1818</v>
      </c>
      <c r="AR301" s="28" t="s">
        <v>1819</v>
      </c>
      <c r="AS301" s="28">
        <v>53164</v>
      </c>
      <c r="AT301" s="28">
        <v>16982</v>
      </c>
      <c r="AU301" s="28">
        <v>60013</v>
      </c>
      <c r="AV301" s="28">
        <v>57501</v>
      </c>
      <c r="AW301" s="843">
        <v>45293</v>
      </c>
      <c r="AX301" s="843">
        <v>45657</v>
      </c>
      <c r="AY301" s="28" t="s">
        <v>1820</v>
      </c>
      <c r="AZ301" s="15"/>
      <c r="BA301" s="15"/>
      <c r="BB301" s="15"/>
      <c r="BC301" s="15"/>
      <c r="BD301" s="15"/>
      <c r="BE301" s="15"/>
      <c r="BF301" s="15"/>
      <c r="BG301" s="15"/>
      <c r="BH301" s="15"/>
      <c r="BI301" s="15"/>
      <c r="BJ301" s="15"/>
      <c r="BK301" s="15"/>
      <c r="BL301" s="15"/>
      <c r="BM301" s="15"/>
      <c r="BN301" s="15"/>
    </row>
    <row r="302" spans="1:66" s="47" customFormat="1" ht="63.75" x14ac:dyDescent="0.2">
      <c r="A302" s="846">
        <v>1</v>
      </c>
      <c r="B302" s="191" t="s">
        <v>315</v>
      </c>
      <c r="C302" s="846">
        <v>19</v>
      </c>
      <c r="D302" s="191" t="s">
        <v>517</v>
      </c>
      <c r="E302" s="846">
        <v>1906</v>
      </c>
      <c r="F302" s="191" t="s">
        <v>2236</v>
      </c>
      <c r="G302" s="846" t="s">
        <v>70</v>
      </c>
      <c r="H302" s="191" t="s">
        <v>2237</v>
      </c>
      <c r="I302" s="846">
        <v>1906023</v>
      </c>
      <c r="J302" s="191" t="s">
        <v>2238</v>
      </c>
      <c r="K302" s="864" t="s">
        <v>70</v>
      </c>
      <c r="L302" s="191" t="s">
        <v>2239</v>
      </c>
      <c r="M302" s="864">
        <v>190602300</v>
      </c>
      <c r="N302" s="191" t="s">
        <v>2240</v>
      </c>
      <c r="O302" s="317">
        <v>19899</v>
      </c>
      <c r="P302" s="205"/>
      <c r="Q302" s="321">
        <v>19899</v>
      </c>
      <c r="R302" s="79">
        <v>2020003630136</v>
      </c>
      <c r="S302" s="191" t="s">
        <v>2241</v>
      </c>
      <c r="T302" s="500">
        <f t="shared" si="29"/>
        <v>1</v>
      </c>
      <c r="U302" s="191" t="s">
        <v>2242</v>
      </c>
      <c r="V302" s="191" t="s">
        <v>2243</v>
      </c>
      <c r="W302" s="191" t="s">
        <v>2244</v>
      </c>
      <c r="X302" s="867">
        <v>19917628.789999999</v>
      </c>
      <c r="Y302" s="322">
        <v>19917628.789999999</v>
      </c>
      <c r="Z302" s="322"/>
      <c r="AA302" s="322"/>
      <c r="AB302" s="709">
        <f t="shared" si="30"/>
        <v>0</v>
      </c>
      <c r="AC302" s="868" t="s">
        <v>2352</v>
      </c>
      <c r="AD302" s="205"/>
      <c r="AE302" s="205">
        <v>88</v>
      </c>
      <c r="AF302" s="65" t="s">
        <v>2351</v>
      </c>
      <c r="AG302" s="320">
        <v>292684</v>
      </c>
      <c r="AH302" s="28">
        <v>282326</v>
      </c>
      <c r="AI302" s="28">
        <v>135912</v>
      </c>
      <c r="AJ302" s="28">
        <v>45122</v>
      </c>
      <c r="AK302" s="28">
        <v>365607</v>
      </c>
      <c r="AL302" s="28">
        <v>75612</v>
      </c>
      <c r="AM302" s="28">
        <v>2145</v>
      </c>
      <c r="AN302" s="28">
        <v>12718</v>
      </c>
      <c r="AO302" s="28">
        <v>26</v>
      </c>
      <c r="AP302" s="28">
        <v>37</v>
      </c>
      <c r="AQ302" s="28" t="s">
        <v>1818</v>
      </c>
      <c r="AR302" s="28" t="s">
        <v>1819</v>
      </c>
      <c r="AS302" s="28">
        <v>53164</v>
      </c>
      <c r="AT302" s="28">
        <v>16982</v>
      </c>
      <c r="AU302" s="28">
        <v>60013</v>
      </c>
      <c r="AV302" s="28">
        <v>57501</v>
      </c>
      <c r="AW302" s="843">
        <v>45293</v>
      </c>
      <c r="AX302" s="843">
        <v>45657</v>
      </c>
      <c r="AY302" s="28" t="s">
        <v>1820</v>
      </c>
      <c r="AZ302" s="15"/>
      <c r="BA302" s="15"/>
      <c r="BB302" s="15"/>
      <c r="BC302" s="15"/>
      <c r="BD302" s="15"/>
      <c r="BE302" s="15"/>
      <c r="BF302" s="15"/>
      <c r="BG302" s="15"/>
      <c r="BH302" s="15"/>
      <c r="BI302" s="15"/>
      <c r="BJ302" s="15"/>
      <c r="BK302" s="15"/>
      <c r="BL302" s="15"/>
      <c r="BM302" s="15"/>
      <c r="BN302" s="15"/>
    </row>
    <row r="303" spans="1:66" s="47" customFormat="1" ht="63.75" x14ac:dyDescent="0.2">
      <c r="A303" s="846">
        <v>1</v>
      </c>
      <c r="B303" s="191" t="s">
        <v>315</v>
      </c>
      <c r="C303" s="846">
        <v>19</v>
      </c>
      <c r="D303" s="191" t="s">
        <v>517</v>
      </c>
      <c r="E303" s="846">
        <v>1906</v>
      </c>
      <c r="F303" s="191" t="s">
        <v>2236</v>
      </c>
      <c r="G303" s="846" t="s">
        <v>70</v>
      </c>
      <c r="H303" s="191" t="s">
        <v>2237</v>
      </c>
      <c r="I303" s="846">
        <v>1906023</v>
      </c>
      <c r="J303" s="191" t="s">
        <v>2238</v>
      </c>
      <c r="K303" s="864" t="s">
        <v>70</v>
      </c>
      <c r="L303" s="191" t="s">
        <v>2239</v>
      </c>
      <c r="M303" s="864">
        <v>190602300</v>
      </c>
      <c r="N303" s="191" t="s">
        <v>2240</v>
      </c>
      <c r="O303" s="317">
        <v>19899</v>
      </c>
      <c r="P303" s="205"/>
      <c r="Q303" s="321">
        <v>19899</v>
      </c>
      <c r="R303" s="79">
        <v>2020003630136</v>
      </c>
      <c r="S303" s="191" t="s">
        <v>2241</v>
      </c>
      <c r="T303" s="500">
        <f t="shared" si="29"/>
        <v>1</v>
      </c>
      <c r="U303" s="191" t="s">
        <v>2242</v>
      </c>
      <c r="V303" s="191" t="s">
        <v>2243</v>
      </c>
      <c r="W303" s="191" t="s">
        <v>2244</v>
      </c>
      <c r="X303" s="867">
        <v>362860827.12</v>
      </c>
      <c r="Y303" s="322">
        <v>362860827.12</v>
      </c>
      <c r="Z303" s="322"/>
      <c r="AA303" s="322"/>
      <c r="AB303" s="709">
        <f t="shared" si="30"/>
        <v>0</v>
      </c>
      <c r="AC303" s="868" t="s">
        <v>2353</v>
      </c>
      <c r="AD303" s="205"/>
      <c r="AE303" s="205">
        <v>88</v>
      </c>
      <c r="AF303" s="65" t="s">
        <v>2351</v>
      </c>
      <c r="AG303" s="320">
        <v>292684</v>
      </c>
      <c r="AH303" s="28">
        <v>282326</v>
      </c>
      <c r="AI303" s="28">
        <v>135912</v>
      </c>
      <c r="AJ303" s="28">
        <v>45122</v>
      </c>
      <c r="AK303" s="28">
        <v>365607</v>
      </c>
      <c r="AL303" s="28">
        <v>75612</v>
      </c>
      <c r="AM303" s="28">
        <v>2145</v>
      </c>
      <c r="AN303" s="28">
        <v>12718</v>
      </c>
      <c r="AO303" s="28">
        <v>26</v>
      </c>
      <c r="AP303" s="28">
        <v>37</v>
      </c>
      <c r="AQ303" s="28" t="s">
        <v>1818</v>
      </c>
      <c r="AR303" s="28" t="s">
        <v>1819</v>
      </c>
      <c r="AS303" s="28">
        <v>53164</v>
      </c>
      <c r="AT303" s="28">
        <v>16982</v>
      </c>
      <c r="AU303" s="28">
        <v>60013</v>
      </c>
      <c r="AV303" s="28">
        <v>57501</v>
      </c>
      <c r="AW303" s="843">
        <v>45293</v>
      </c>
      <c r="AX303" s="843">
        <v>45657</v>
      </c>
      <c r="AY303" s="28" t="s">
        <v>1820</v>
      </c>
      <c r="AZ303" s="15"/>
      <c r="BA303" s="15"/>
      <c r="BB303" s="15"/>
      <c r="BC303" s="15"/>
      <c r="BD303" s="15"/>
      <c r="BE303" s="15"/>
      <c r="BF303" s="15"/>
      <c r="BG303" s="15"/>
      <c r="BH303" s="15"/>
      <c r="BI303" s="15"/>
      <c r="BJ303" s="15"/>
      <c r="BK303" s="15"/>
      <c r="BL303" s="15"/>
      <c r="BM303" s="15"/>
      <c r="BN303" s="15"/>
    </row>
    <row r="304" spans="1:66" s="47" customFormat="1" ht="63.75" x14ac:dyDescent="0.2">
      <c r="A304" s="846">
        <v>1</v>
      </c>
      <c r="B304" s="191" t="s">
        <v>315</v>
      </c>
      <c r="C304" s="846">
        <v>19</v>
      </c>
      <c r="D304" s="191" t="s">
        <v>517</v>
      </c>
      <c r="E304" s="846">
        <v>1906</v>
      </c>
      <c r="F304" s="191" t="s">
        <v>2236</v>
      </c>
      <c r="G304" s="846" t="s">
        <v>70</v>
      </c>
      <c r="H304" s="191" t="s">
        <v>2237</v>
      </c>
      <c r="I304" s="846">
        <v>1906023</v>
      </c>
      <c r="J304" s="191" t="s">
        <v>2238</v>
      </c>
      <c r="K304" s="864" t="s">
        <v>70</v>
      </c>
      <c r="L304" s="191" t="s">
        <v>2239</v>
      </c>
      <c r="M304" s="864">
        <v>190602300</v>
      </c>
      <c r="N304" s="191" t="s">
        <v>2240</v>
      </c>
      <c r="O304" s="317">
        <v>19899</v>
      </c>
      <c r="P304" s="205"/>
      <c r="Q304" s="321">
        <v>19899</v>
      </c>
      <c r="R304" s="79">
        <v>2020003630136</v>
      </c>
      <c r="S304" s="191" t="s">
        <v>2241</v>
      </c>
      <c r="T304" s="500">
        <f t="shared" si="29"/>
        <v>1</v>
      </c>
      <c r="U304" s="191" t="s">
        <v>2242</v>
      </c>
      <c r="V304" s="191" t="s">
        <v>2243</v>
      </c>
      <c r="W304" s="191" t="s">
        <v>2244</v>
      </c>
      <c r="X304" s="867">
        <v>154016729.13</v>
      </c>
      <c r="Y304" s="322">
        <v>154016729.13</v>
      </c>
      <c r="Z304" s="322"/>
      <c r="AA304" s="322"/>
      <c r="AB304" s="709">
        <f t="shared" si="30"/>
        <v>0</v>
      </c>
      <c r="AC304" s="868" t="s">
        <v>2354</v>
      </c>
      <c r="AD304" s="205"/>
      <c r="AE304" s="205">
        <v>88</v>
      </c>
      <c r="AF304" s="65" t="s">
        <v>2351</v>
      </c>
      <c r="AG304" s="320">
        <v>292684</v>
      </c>
      <c r="AH304" s="28">
        <v>282326</v>
      </c>
      <c r="AI304" s="28">
        <v>135912</v>
      </c>
      <c r="AJ304" s="28">
        <v>45122</v>
      </c>
      <c r="AK304" s="28">
        <v>365607</v>
      </c>
      <c r="AL304" s="28">
        <v>75612</v>
      </c>
      <c r="AM304" s="28">
        <v>2145</v>
      </c>
      <c r="AN304" s="28">
        <v>12718</v>
      </c>
      <c r="AO304" s="28">
        <v>26</v>
      </c>
      <c r="AP304" s="28">
        <v>37</v>
      </c>
      <c r="AQ304" s="28" t="s">
        <v>1818</v>
      </c>
      <c r="AR304" s="28" t="s">
        <v>1819</v>
      </c>
      <c r="AS304" s="28">
        <v>53164</v>
      </c>
      <c r="AT304" s="28">
        <v>16982</v>
      </c>
      <c r="AU304" s="28">
        <v>60013</v>
      </c>
      <c r="AV304" s="28">
        <v>57501</v>
      </c>
      <c r="AW304" s="843">
        <v>45293</v>
      </c>
      <c r="AX304" s="843">
        <v>45657</v>
      </c>
      <c r="AY304" s="28" t="s">
        <v>1820</v>
      </c>
      <c r="AZ304" s="15"/>
      <c r="BA304" s="15"/>
      <c r="BB304" s="15"/>
      <c r="BC304" s="15"/>
      <c r="BD304" s="15"/>
      <c r="BE304" s="15"/>
      <c r="BF304" s="15"/>
      <c r="BG304" s="15"/>
      <c r="BH304" s="15"/>
      <c r="BI304" s="15"/>
      <c r="BJ304" s="15"/>
      <c r="BK304" s="15"/>
      <c r="BL304" s="15"/>
      <c r="BM304" s="15"/>
      <c r="BN304" s="15"/>
    </row>
    <row r="305" spans="1:66" s="47" customFormat="1" ht="63.75" x14ac:dyDescent="0.2">
      <c r="A305" s="846">
        <v>1</v>
      </c>
      <c r="B305" s="191" t="s">
        <v>315</v>
      </c>
      <c r="C305" s="846">
        <v>19</v>
      </c>
      <c r="D305" s="191" t="s">
        <v>517</v>
      </c>
      <c r="E305" s="846">
        <v>1906</v>
      </c>
      <c r="F305" s="191" t="s">
        <v>2236</v>
      </c>
      <c r="G305" s="846" t="s">
        <v>70</v>
      </c>
      <c r="H305" s="191" t="s">
        <v>2237</v>
      </c>
      <c r="I305" s="846">
        <v>1906023</v>
      </c>
      <c r="J305" s="191" t="s">
        <v>2238</v>
      </c>
      <c r="K305" s="864" t="s">
        <v>70</v>
      </c>
      <c r="L305" s="191" t="s">
        <v>2239</v>
      </c>
      <c r="M305" s="864">
        <v>190602300</v>
      </c>
      <c r="N305" s="191" t="s">
        <v>2240</v>
      </c>
      <c r="O305" s="317">
        <v>19899</v>
      </c>
      <c r="P305" s="205"/>
      <c r="Q305" s="321">
        <v>19899</v>
      </c>
      <c r="R305" s="79">
        <v>2020003630136</v>
      </c>
      <c r="S305" s="191" t="s">
        <v>2241</v>
      </c>
      <c r="T305" s="500">
        <f t="shared" si="29"/>
        <v>1</v>
      </c>
      <c r="U305" s="191" t="s">
        <v>2242</v>
      </c>
      <c r="V305" s="191" t="s">
        <v>2243</v>
      </c>
      <c r="W305" s="191" t="s">
        <v>2244</v>
      </c>
      <c r="X305" s="867">
        <v>43057860.939999998</v>
      </c>
      <c r="Y305" s="322">
        <v>43057860.939999998</v>
      </c>
      <c r="Z305" s="322"/>
      <c r="AA305" s="322"/>
      <c r="AB305" s="709">
        <f t="shared" si="30"/>
        <v>0</v>
      </c>
      <c r="AC305" s="868" t="s">
        <v>2355</v>
      </c>
      <c r="AD305" s="205"/>
      <c r="AE305" s="205">
        <v>88</v>
      </c>
      <c r="AF305" s="65" t="s">
        <v>2351</v>
      </c>
      <c r="AG305" s="320">
        <v>292684</v>
      </c>
      <c r="AH305" s="28">
        <v>282326</v>
      </c>
      <c r="AI305" s="28">
        <v>135912</v>
      </c>
      <c r="AJ305" s="28">
        <v>45122</v>
      </c>
      <c r="AK305" s="28">
        <v>365607</v>
      </c>
      <c r="AL305" s="28">
        <v>75612</v>
      </c>
      <c r="AM305" s="28">
        <v>2145</v>
      </c>
      <c r="AN305" s="28">
        <v>12718</v>
      </c>
      <c r="AO305" s="28">
        <v>26</v>
      </c>
      <c r="AP305" s="28">
        <v>37</v>
      </c>
      <c r="AQ305" s="28" t="s">
        <v>1818</v>
      </c>
      <c r="AR305" s="28" t="s">
        <v>1819</v>
      </c>
      <c r="AS305" s="28">
        <v>53164</v>
      </c>
      <c r="AT305" s="28">
        <v>16982</v>
      </c>
      <c r="AU305" s="28">
        <v>60013</v>
      </c>
      <c r="AV305" s="28">
        <v>57501</v>
      </c>
      <c r="AW305" s="843">
        <v>45293</v>
      </c>
      <c r="AX305" s="843">
        <v>45657</v>
      </c>
      <c r="AY305" s="28" t="s">
        <v>1820</v>
      </c>
      <c r="AZ305" s="15"/>
      <c r="BA305" s="15"/>
      <c r="BB305" s="15"/>
      <c r="BC305" s="15"/>
      <c r="BD305" s="15"/>
      <c r="BE305" s="15"/>
      <c r="BF305" s="15"/>
      <c r="BG305" s="15"/>
      <c r="BH305" s="15"/>
      <c r="BI305" s="15"/>
      <c r="BJ305" s="15"/>
      <c r="BK305" s="15"/>
      <c r="BL305" s="15"/>
      <c r="BM305" s="15"/>
      <c r="BN305" s="15"/>
    </row>
    <row r="306" spans="1:66" s="47" customFormat="1" ht="63.75" x14ac:dyDescent="0.2">
      <c r="A306" s="846">
        <v>1</v>
      </c>
      <c r="B306" s="191" t="s">
        <v>315</v>
      </c>
      <c r="C306" s="846">
        <v>19</v>
      </c>
      <c r="D306" s="191" t="s">
        <v>517</v>
      </c>
      <c r="E306" s="846">
        <v>1906</v>
      </c>
      <c r="F306" s="191" t="s">
        <v>2236</v>
      </c>
      <c r="G306" s="846" t="s">
        <v>70</v>
      </c>
      <c r="H306" s="191" t="s">
        <v>2237</v>
      </c>
      <c r="I306" s="846">
        <v>1906023</v>
      </c>
      <c r="J306" s="191" t="s">
        <v>2238</v>
      </c>
      <c r="K306" s="864" t="s">
        <v>70</v>
      </c>
      <c r="L306" s="191" t="s">
        <v>2239</v>
      </c>
      <c r="M306" s="864">
        <v>190602300</v>
      </c>
      <c r="N306" s="191" t="s">
        <v>2240</v>
      </c>
      <c r="O306" s="317">
        <v>19899</v>
      </c>
      <c r="P306" s="205"/>
      <c r="Q306" s="321">
        <v>19899</v>
      </c>
      <c r="R306" s="79">
        <v>2020003630136</v>
      </c>
      <c r="S306" s="191" t="s">
        <v>2241</v>
      </c>
      <c r="T306" s="500">
        <f t="shared" si="29"/>
        <v>1</v>
      </c>
      <c r="U306" s="191" t="s">
        <v>2242</v>
      </c>
      <c r="V306" s="191" t="s">
        <v>2243</v>
      </c>
      <c r="W306" s="191" t="s">
        <v>2244</v>
      </c>
      <c r="X306" s="867">
        <v>79929185.670000002</v>
      </c>
      <c r="Y306" s="322">
        <v>79929185.670000002</v>
      </c>
      <c r="Z306" s="322"/>
      <c r="AA306" s="322"/>
      <c r="AB306" s="709">
        <f t="shared" si="30"/>
        <v>0</v>
      </c>
      <c r="AC306" s="868" t="s">
        <v>2356</v>
      </c>
      <c r="AD306" s="205"/>
      <c r="AE306" s="205">
        <v>88</v>
      </c>
      <c r="AF306" s="65" t="s">
        <v>2351</v>
      </c>
      <c r="AG306" s="320">
        <v>292684</v>
      </c>
      <c r="AH306" s="28">
        <v>282326</v>
      </c>
      <c r="AI306" s="28">
        <v>135912</v>
      </c>
      <c r="AJ306" s="28">
        <v>45122</v>
      </c>
      <c r="AK306" s="28">
        <v>365607</v>
      </c>
      <c r="AL306" s="28">
        <v>75612</v>
      </c>
      <c r="AM306" s="28">
        <v>2145</v>
      </c>
      <c r="AN306" s="28">
        <v>12718</v>
      </c>
      <c r="AO306" s="28">
        <v>26</v>
      </c>
      <c r="AP306" s="28">
        <v>37</v>
      </c>
      <c r="AQ306" s="28" t="s">
        <v>1818</v>
      </c>
      <c r="AR306" s="28" t="s">
        <v>1819</v>
      </c>
      <c r="AS306" s="28">
        <v>53164</v>
      </c>
      <c r="AT306" s="28">
        <v>16982</v>
      </c>
      <c r="AU306" s="28">
        <v>60013</v>
      </c>
      <c r="AV306" s="28">
        <v>57501</v>
      </c>
      <c r="AW306" s="843">
        <v>45293</v>
      </c>
      <c r="AX306" s="843">
        <v>45657</v>
      </c>
      <c r="AY306" s="28" t="s">
        <v>1820</v>
      </c>
      <c r="AZ306" s="15"/>
      <c r="BA306" s="15"/>
      <c r="BB306" s="15"/>
      <c r="BC306" s="15"/>
      <c r="BD306" s="15"/>
      <c r="BE306" s="15"/>
      <c r="BF306" s="15"/>
      <c r="BG306" s="15"/>
      <c r="BH306" s="15"/>
      <c r="BI306" s="15"/>
      <c r="BJ306" s="15"/>
      <c r="BK306" s="15"/>
      <c r="BL306" s="15"/>
      <c r="BM306" s="15"/>
      <c r="BN306" s="15"/>
    </row>
    <row r="307" spans="1:66" s="47" customFormat="1" ht="63.75" x14ac:dyDescent="0.2">
      <c r="A307" s="846">
        <v>1</v>
      </c>
      <c r="B307" s="191" t="s">
        <v>315</v>
      </c>
      <c r="C307" s="846">
        <v>19</v>
      </c>
      <c r="D307" s="191" t="s">
        <v>517</v>
      </c>
      <c r="E307" s="846">
        <v>1906</v>
      </c>
      <c r="F307" s="191" t="s">
        <v>2236</v>
      </c>
      <c r="G307" s="846" t="s">
        <v>70</v>
      </c>
      <c r="H307" s="191" t="s">
        <v>2237</v>
      </c>
      <c r="I307" s="846">
        <v>1906023</v>
      </c>
      <c r="J307" s="191" t="s">
        <v>2238</v>
      </c>
      <c r="K307" s="864" t="s">
        <v>70</v>
      </c>
      <c r="L307" s="191" t="s">
        <v>2239</v>
      </c>
      <c r="M307" s="864">
        <v>190602300</v>
      </c>
      <c r="N307" s="191" t="s">
        <v>2240</v>
      </c>
      <c r="O307" s="317">
        <v>19899</v>
      </c>
      <c r="P307" s="205"/>
      <c r="Q307" s="321">
        <v>19899</v>
      </c>
      <c r="R307" s="79">
        <v>2020003630136</v>
      </c>
      <c r="S307" s="191" t="s">
        <v>2241</v>
      </c>
      <c r="T307" s="500">
        <f t="shared" si="29"/>
        <v>1</v>
      </c>
      <c r="U307" s="191" t="s">
        <v>2242</v>
      </c>
      <c r="V307" s="191" t="s">
        <v>2243</v>
      </c>
      <c r="W307" s="191" t="s">
        <v>2244</v>
      </c>
      <c r="X307" s="867">
        <v>63923948.25</v>
      </c>
      <c r="Y307" s="322">
        <v>63923948.25</v>
      </c>
      <c r="Z307" s="322"/>
      <c r="AA307" s="322"/>
      <c r="AB307" s="709">
        <f t="shared" si="30"/>
        <v>0</v>
      </c>
      <c r="AC307" s="868" t="s">
        <v>2357</v>
      </c>
      <c r="AD307" s="205"/>
      <c r="AE307" s="205">
        <v>88</v>
      </c>
      <c r="AF307" s="65" t="s">
        <v>2351</v>
      </c>
      <c r="AG307" s="320">
        <v>292684</v>
      </c>
      <c r="AH307" s="28">
        <v>282326</v>
      </c>
      <c r="AI307" s="28">
        <v>135912</v>
      </c>
      <c r="AJ307" s="28">
        <v>45122</v>
      </c>
      <c r="AK307" s="28">
        <v>365607</v>
      </c>
      <c r="AL307" s="28">
        <v>75612</v>
      </c>
      <c r="AM307" s="28">
        <v>2145</v>
      </c>
      <c r="AN307" s="28">
        <v>12718</v>
      </c>
      <c r="AO307" s="28">
        <v>26</v>
      </c>
      <c r="AP307" s="28">
        <v>37</v>
      </c>
      <c r="AQ307" s="28" t="s">
        <v>1818</v>
      </c>
      <c r="AR307" s="28" t="s">
        <v>1819</v>
      </c>
      <c r="AS307" s="28">
        <v>53164</v>
      </c>
      <c r="AT307" s="28">
        <v>16982</v>
      </c>
      <c r="AU307" s="28">
        <v>60013</v>
      </c>
      <c r="AV307" s="28">
        <v>57501</v>
      </c>
      <c r="AW307" s="843">
        <v>45293</v>
      </c>
      <c r="AX307" s="843">
        <v>45657</v>
      </c>
      <c r="AY307" s="28" t="s">
        <v>1820</v>
      </c>
      <c r="AZ307" s="15"/>
      <c r="BA307" s="15"/>
      <c r="BB307" s="15"/>
      <c r="BC307" s="15"/>
      <c r="BD307" s="15"/>
      <c r="BE307" s="15"/>
      <c r="BF307" s="15"/>
      <c r="BG307" s="15"/>
      <c r="BH307" s="15"/>
      <c r="BI307" s="15"/>
      <c r="BJ307" s="15"/>
      <c r="BK307" s="15"/>
      <c r="BL307" s="15"/>
      <c r="BM307" s="15"/>
      <c r="BN307" s="15"/>
    </row>
    <row r="308" spans="1:66" s="47" customFormat="1" ht="63.75" x14ac:dyDescent="0.2">
      <c r="A308" s="846">
        <v>1</v>
      </c>
      <c r="B308" s="191" t="s">
        <v>315</v>
      </c>
      <c r="C308" s="846">
        <v>19</v>
      </c>
      <c r="D308" s="191" t="s">
        <v>517</v>
      </c>
      <c r="E308" s="846">
        <v>1906</v>
      </c>
      <c r="F308" s="191" t="s">
        <v>2236</v>
      </c>
      <c r="G308" s="846" t="s">
        <v>70</v>
      </c>
      <c r="H308" s="191" t="s">
        <v>2237</v>
      </c>
      <c r="I308" s="846">
        <v>1906023</v>
      </c>
      <c r="J308" s="191" t="s">
        <v>2238</v>
      </c>
      <c r="K308" s="864" t="s">
        <v>70</v>
      </c>
      <c r="L308" s="191" t="s">
        <v>2239</v>
      </c>
      <c r="M308" s="864">
        <v>190602300</v>
      </c>
      <c r="N308" s="191" t="s">
        <v>2240</v>
      </c>
      <c r="O308" s="317">
        <v>19899</v>
      </c>
      <c r="P308" s="205"/>
      <c r="Q308" s="321">
        <v>19899</v>
      </c>
      <c r="R308" s="79">
        <v>2020003630136</v>
      </c>
      <c r="S308" s="191" t="s">
        <v>2241</v>
      </c>
      <c r="T308" s="500">
        <f t="shared" si="29"/>
        <v>1</v>
      </c>
      <c r="U308" s="191" t="s">
        <v>2242</v>
      </c>
      <c r="V308" s="191" t="s">
        <v>2243</v>
      </c>
      <c r="W308" s="191" t="s">
        <v>2244</v>
      </c>
      <c r="X308" s="867">
        <v>239000767.56</v>
      </c>
      <c r="Y308" s="322">
        <v>239000767.56</v>
      </c>
      <c r="Z308" s="322"/>
      <c r="AA308" s="322"/>
      <c r="AB308" s="709">
        <f t="shared" si="30"/>
        <v>0</v>
      </c>
      <c r="AC308" s="868" t="s">
        <v>2358</v>
      </c>
      <c r="AD308" s="205"/>
      <c r="AE308" s="205">
        <v>88</v>
      </c>
      <c r="AF308" s="65" t="s">
        <v>2351</v>
      </c>
      <c r="AG308" s="320">
        <v>292684</v>
      </c>
      <c r="AH308" s="28">
        <v>282326</v>
      </c>
      <c r="AI308" s="28">
        <v>135912</v>
      </c>
      <c r="AJ308" s="28">
        <v>45122</v>
      </c>
      <c r="AK308" s="28">
        <v>365607</v>
      </c>
      <c r="AL308" s="28">
        <v>75612</v>
      </c>
      <c r="AM308" s="28">
        <v>2145</v>
      </c>
      <c r="AN308" s="28">
        <v>12718</v>
      </c>
      <c r="AO308" s="28">
        <v>26</v>
      </c>
      <c r="AP308" s="28">
        <v>37</v>
      </c>
      <c r="AQ308" s="28" t="s">
        <v>1818</v>
      </c>
      <c r="AR308" s="28" t="s">
        <v>1819</v>
      </c>
      <c r="AS308" s="28">
        <v>53164</v>
      </c>
      <c r="AT308" s="28">
        <v>16982</v>
      </c>
      <c r="AU308" s="28">
        <v>60013</v>
      </c>
      <c r="AV308" s="28">
        <v>57501</v>
      </c>
      <c r="AW308" s="843">
        <v>45293</v>
      </c>
      <c r="AX308" s="843">
        <v>45657</v>
      </c>
      <c r="AY308" s="28" t="s">
        <v>1820</v>
      </c>
      <c r="AZ308" s="15"/>
      <c r="BA308" s="15"/>
      <c r="BB308" s="15"/>
      <c r="BC308" s="15"/>
      <c r="BD308" s="15"/>
      <c r="BE308" s="15"/>
      <c r="BF308" s="15"/>
      <c r="BG308" s="15"/>
      <c r="BH308" s="15"/>
      <c r="BI308" s="15"/>
      <c r="BJ308" s="15"/>
      <c r="BK308" s="15"/>
      <c r="BL308" s="15"/>
      <c r="BM308" s="15"/>
      <c r="BN308" s="15"/>
    </row>
    <row r="309" spans="1:66" s="47" customFormat="1" ht="63.75" x14ac:dyDescent="0.2">
      <c r="A309" s="846">
        <v>1</v>
      </c>
      <c r="B309" s="191" t="s">
        <v>315</v>
      </c>
      <c r="C309" s="846">
        <v>19</v>
      </c>
      <c r="D309" s="191" t="s">
        <v>517</v>
      </c>
      <c r="E309" s="846">
        <v>1906</v>
      </c>
      <c r="F309" s="191" t="s">
        <v>2236</v>
      </c>
      <c r="G309" s="846" t="s">
        <v>70</v>
      </c>
      <c r="H309" s="191" t="s">
        <v>2237</v>
      </c>
      <c r="I309" s="846">
        <v>1906023</v>
      </c>
      <c r="J309" s="191" t="s">
        <v>2238</v>
      </c>
      <c r="K309" s="864" t="s">
        <v>70</v>
      </c>
      <c r="L309" s="191" t="s">
        <v>2239</v>
      </c>
      <c r="M309" s="864">
        <v>190602300</v>
      </c>
      <c r="N309" s="191" t="s">
        <v>2240</v>
      </c>
      <c r="O309" s="317">
        <v>19899</v>
      </c>
      <c r="P309" s="205"/>
      <c r="Q309" s="321">
        <v>19899</v>
      </c>
      <c r="R309" s="79">
        <v>2020003630136</v>
      </c>
      <c r="S309" s="191" t="s">
        <v>2241</v>
      </c>
      <c r="T309" s="500">
        <f t="shared" si="29"/>
        <v>1</v>
      </c>
      <c r="U309" s="191" t="s">
        <v>2242</v>
      </c>
      <c r="V309" s="191" t="s">
        <v>2243</v>
      </c>
      <c r="W309" s="191" t="s">
        <v>2244</v>
      </c>
      <c r="X309" s="867">
        <v>294636481.75</v>
      </c>
      <c r="Y309" s="322">
        <v>294636481.75</v>
      </c>
      <c r="Z309" s="322"/>
      <c r="AA309" s="322"/>
      <c r="AB309" s="709">
        <f t="shared" si="30"/>
        <v>0</v>
      </c>
      <c r="AC309" s="868" t="s">
        <v>2359</v>
      </c>
      <c r="AD309" s="205"/>
      <c r="AE309" s="205">
        <v>88</v>
      </c>
      <c r="AF309" s="65" t="s">
        <v>2351</v>
      </c>
      <c r="AG309" s="320">
        <v>292684</v>
      </c>
      <c r="AH309" s="28">
        <v>282326</v>
      </c>
      <c r="AI309" s="28">
        <v>135912</v>
      </c>
      <c r="AJ309" s="28">
        <v>45122</v>
      </c>
      <c r="AK309" s="28">
        <v>365607</v>
      </c>
      <c r="AL309" s="28">
        <v>75612</v>
      </c>
      <c r="AM309" s="28">
        <v>2145</v>
      </c>
      <c r="AN309" s="28">
        <v>12718</v>
      </c>
      <c r="AO309" s="28">
        <v>26</v>
      </c>
      <c r="AP309" s="28">
        <v>37</v>
      </c>
      <c r="AQ309" s="28" t="s">
        <v>1818</v>
      </c>
      <c r="AR309" s="28" t="s">
        <v>1819</v>
      </c>
      <c r="AS309" s="28">
        <v>53164</v>
      </c>
      <c r="AT309" s="28">
        <v>16982</v>
      </c>
      <c r="AU309" s="28">
        <v>60013</v>
      </c>
      <c r="AV309" s="28">
        <v>57501</v>
      </c>
      <c r="AW309" s="843">
        <v>45293</v>
      </c>
      <c r="AX309" s="843">
        <v>45657</v>
      </c>
      <c r="AY309" s="28" t="s">
        <v>1820</v>
      </c>
      <c r="AZ309" s="15"/>
      <c r="BA309" s="15"/>
      <c r="BB309" s="15"/>
      <c r="BC309" s="15"/>
      <c r="BD309" s="15"/>
      <c r="BE309" s="15"/>
      <c r="BF309" s="15"/>
      <c r="BG309" s="15"/>
      <c r="BH309" s="15"/>
      <c r="BI309" s="15"/>
      <c r="BJ309" s="15"/>
      <c r="BK309" s="15"/>
      <c r="BL309" s="15"/>
      <c r="BM309" s="15"/>
      <c r="BN309" s="15"/>
    </row>
    <row r="310" spans="1:66" s="47" customFormat="1" ht="63.75" x14ac:dyDescent="0.2">
      <c r="A310" s="846">
        <v>1</v>
      </c>
      <c r="B310" s="191" t="s">
        <v>315</v>
      </c>
      <c r="C310" s="846">
        <v>19</v>
      </c>
      <c r="D310" s="191" t="s">
        <v>517</v>
      </c>
      <c r="E310" s="846">
        <v>1906</v>
      </c>
      <c r="F310" s="191" t="s">
        <v>2236</v>
      </c>
      <c r="G310" s="846" t="s">
        <v>70</v>
      </c>
      <c r="H310" s="191" t="s">
        <v>2237</v>
      </c>
      <c r="I310" s="846">
        <v>1906023</v>
      </c>
      <c r="J310" s="191" t="s">
        <v>2238</v>
      </c>
      <c r="K310" s="864" t="s">
        <v>70</v>
      </c>
      <c r="L310" s="191" t="s">
        <v>2239</v>
      </c>
      <c r="M310" s="864">
        <v>190602300</v>
      </c>
      <c r="N310" s="191" t="s">
        <v>2240</v>
      </c>
      <c r="O310" s="317">
        <v>19899</v>
      </c>
      <c r="P310" s="205"/>
      <c r="Q310" s="321">
        <v>19899</v>
      </c>
      <c r="R310" s="79">
        <v>2020003630136</v>
      </c>
      <c r="S310" s="191" t="s">
        <v>2241</v>
      </c>
      <c r="T310" s="500">
        <f t="shared" si="29"/>
        <v>1</v>
      </c>
      <c r="U310" s="191" t="s">
        <v>2242</v>
      </c>
      <c r="V310" s="191" t="s">
        <v>2243</v>
      </c>
      <c r="W310" s="191" t="s">
        <v>2244</v>
      </c>
      <c r="X310" s="867">
        <v>44027875.329999998</v>
      </c>
      <c r="Y310" s="322">
        <v>44027875.329999998</v>
      </c>
      <c r="Z310" s="322"/>
      <c r="AA310" s="322"/>
      <c r="AB310" s="709">
        <f t="shared" si="30"/>
        <v>0</v>
      </c>
      <c r="AC310" s="868" t="s">
        <v>2360</v>
      </c>
      <c r="AD310" s="205"/>
      <c r="AE310" s="205">
        <v>88</v>
      </c>
      <c r="AF310" s="65" t="s">
        <v>2351</v>
      </c>
      <c r="AG310" s="320">
        <v>292684</v>
      </c>
      <c r="AH310" s="28">
        <v>282326</v>
      </c>
      <c r="AI310" s="28">
        <v>135912</v>
      </c>
      <c r="AJ310" s="28">
        <v>45122</v>
      </c>
      <c r="AK310" s="28">
        <v>365607</v>
      </c>
      <c r="AL310" s="28">
        <v>75612</v>
      </c>
      <c r="AM310" s="28">
        <v>2145</v>
      </c>
      <c r="AN310" s="28">
        <v>12718</v>
      </c>
      <c r="AO310" s="28">
        <v>26</v>
      </c>
      <c r="AP310" s="28">
        <v>37</v>
      </c>
      <c r="AQ310" s="28" t="s">
        <v>1818</v>
      </c>
      <c r="AR310" s="28" t="s">
        <v>1819</v>
      </c>
      <c r="AS310" s="28">
        <v>53164</v>
      </c>
      <c r="AT310" s="28">
        <v>16982</v>
      </c>
      <c r="AU310" s="28">
        <v>60013</v>
      </c>
      <c r="AV310" s="28">
        <v>57501</v>
      </c>
      <c r="AW310" s="843">
        <v>45293</v>
      </c>
      <c r="AX310" s="843">
        <v>45657</v>
      </c>
      <c r="AY310" s="28" t="s">
        <v>1820</v>
      </c>
      <c r="AZ310" s="15"/>
      <c r="BA310" s="15"/>
      <c r="BB310" s="15"/>
      <c r="BC310" s="15"/>
      <c r="BD310" s="15"/>
      <c r="BE310" s="15"/>
      <c r="BF310" s="15"/>
      <c r="BG310" s="15"/>
      <c r="BH310" s="15"/>
      <c r="BI310" s="15"/>
      <c r="BJ310" s="15"/>
      <c r="BK310" s="15"/>
      <c r="BL310" s="15"/>
      <c r="BM310" s="15"/>
      <c r="BN310" s="15"/>
    </row>
    <row r="311" spans="1:66" s="47" customFormat="1" ht="63.75" x14ac:dyDescent="0.2">
      <c r="A311" s="846">
        <v>1</v>
      </c>
      <c r="B311" s="191" t="s">
        <v>315</v>
      </c>
      <c r="C311" s="846">
        <v>19</v>
      </c>
      <c r="D311" s="191" t="s">
        <v>517</v>
      </c>
      <c r="E311" s="846">
        <v>1906</v>
      </c>
      <c r="F311" s="191" t="s">
        <v>2236</v>
      </c>
      <c r="G311" s="846" t="s">
        <v>70</v>
      </c>
      <c r="H311" s="191" t="s">
        <v>2237</v>
      </c>
      <c r="I311" s="846">
        <v>1906023</v>
      </c>
      <c r="J311" s="191" t="s">
        <v>2238</v>
      </c>
      <c r="K311" s="864" t="s">
        <v>70</v>
      </c>
      <c r="L311" s="191" t="s">
        <v>2239</v>
      </c>
      <c r="M311" s="864">
        <v>190602300</v>
      </c>
      <c r="N311" s="191" t="s">
        <v>2240</v>
      </c>
      <c r="O311" s="317">
        <v>19899</v>
      </c>
      <c r="P311" s="205"/>
      <c r="Q311" s="321">
        <v>19899</v>
      </c>
      <c r="R311" s="79">
        <v>2020003630136</v>
      </c>
      <c r="S311" s="191" t="s">
        <v>2241</v>
      </c>
      <c r="T311" s="500">
        <f t="shared" si="29"/>
        <v>1</v>
      </c>
      <c r="U311" s="191" t="s">
        <v>2242</v>
      </c>
      <c r="V311" s="191" t="s">
        <v>2243</v>
      </c>
      <c r="W311" s="191" t="s">
        <v>2244</v>
      </c>
      <c r="X311" s="867">
        <v>229483848.61000001</v>
      </c>
      <c r="Y311" s="322">
        <v>229483848.61000001</v>
      </c>
      <c r="Z311" s="322"/>
      <c r="AA311" s="322"/>
      <c r="AB311" s="709">
        <f t="shared" si="30"/>
        <v>0</v>
      </c>
      <c r="AC311" s="868" t="s">
        <v>2361</v>
      </c>
      <c r="AD311" s="205"/>
      <c r="AE311" s="205">
        <v>88</v>
      </c>
      <c r="AF311" s="65" t="s">
        <v>2351</v>
      </c>
      <c r="AG311" s="320">
        <v>292684</v>
      </c>
      <c r="AH311" s="28">
        <v>282326</v>
      </c>
      <c r="AI311" s="28">
        <v>135912</v>
      </c>
      <c r="AJ311" s="28">
        <v>45122</v>
      </c>
      <c r="AK311" s="28">
        <v>365607</v>
      </c>
      <c r="AL311" s="28">
        <v>75612</v>
      </c>
      <c r="AM311" s="28">
        <v>2145</v>
      </c>
      <c r="AN311" s="28">
        <v>12718</v>
      </c>
      <c r="AO311" s="28">
        <v>26</v>
      </c>
      <c r="AP311" s="28">
        <v>37</v>
      </c>
      <c r="AQ311" s="28" t="s">
        <v>1818</v>
      </c>
      <c r="AR311" s="28" t="s">
        <v>1819</v>
      </c>
      <c r="AS311" s="28">
        <v>53164</v>
      </c>
      <c r="AT311" s="28">
        <v>16982</v>
      </c>
      <c r="AU311" s="28">
        <v>60013</v>
      </c>
      <c r="AV311" s="28">
        <v>57501</v>
      </c>
      <c r="AW311" s="843">
        <v>45293</v>
      </c>
      <c r="AX311" s="843">
        <v>45657</v>
      </c>
      <c r="AY311" s="28" t="s">
        <v>1820</v>
      </c>
      <c r="AZ311" s="15"/>
      <c r="BA311" s="15"/>
      <c r="BB311" s="15"/>
      <c r="BC311" s="15"/>
      <c r="BD311" s="15"/>
      <c r="BE311" s="15"/>
      <c r="BF311" s="15"/>
      <c r="BG311" s="15"/>
      <c r="BH311" s="15"/>
      <c r="BI311" s="15"/>
      <c r="BJ311" s="15"/>
      <c r="BK311" s="15"/>
      <c r="BL311" s="15"/>
      <c r="BM311" s="15"/>
      <c r="BN311" s="15"/>
    </row>
    <row r="312" spans="1:66" s="47" customFormat="1" ht="63.75" x14ac:dyDescent="0.2">
      <c r="A312" s="846">
        <v>1</v>
      </c>
      <c r="B312" s="191" t="s">
        <v>315</v>
      </c>
      <c r="C312" s="846">
        <v>19</v>
      </c>
      <c r="D312" s="191" t="s">
        <v>517</v>
      </c>
      <c r="E312" s="846">
        <v>1906</v>
      </c>
      <c r="F312" s="191" t="s">
        <v>2236</v>
      </c>
      <c r="G312" s="846" t="s">
        <v>70</v>
      </c>
      <c r="H312" s="191" t="s">
        <v>2237</v>
      </c>
      <c r="I312" s="846">
        <v>1906023</v>
      </c>
      <c r="J312" s="191" t="s">
        <v>2238</v>
      </c>
      <c r="K312" s="864" t="s">
        <v>70</v>
      </c>
      <c r="L312" s="191" t="s">
        <v>2239</v>
      </c>
      <c r="M312" s="864">
        <v>190602300</v>
      </c>
      <c r="N312" s="191" t="s">
        <v>2240</v>
      </c>
      <c r="O312" s="317">
        <v>19899</v>
      </c>
      <c r="P312" s="205"/>
      <c r="Q312" s="321">
        <v>19899</v>
      </c>
      <c r="R312" s="79">
        <v>2020003630136</v>
      </c>
      <c r="S312" s="191" t="s">
        <v>2241</v>
      </c>
      <c r="T312" s="500">
        <f t="shared" si="29"/>
        <v>1</v>
      </c>
      <c r="U312" s="191" t="s">
        <v>2242</v>
      </c>
      <c r="V312" s="191" t="s">
        <v>2243</v>
      </c>
      <c r="W312" s="191" t="s">
        <v>2244</v>
      </c>
      <c r="X312" s="867">
        <v>37927562.619999997</v>
      </c>
      <c r="Y312" s="322">
        <v>37927562.619999997</v>
      </c>
      <c r="Z312" s="322"/>
      <c r="AA312" s="322"/>
      <c r="AB312" s="709">
        <f t="shared" si="30"/>
        <v>0</v>
      </c>
      <c r="AC312" s="868" t="s">
        <v>2362</v>
      </c>
      <c r="AD312" s="205"/>
      <c r="AE312" s="205">
        <v>88</v>
      </c>
      <c r="AF312" s="65" t="s">
        <v>2351</v>
      </c>
      <c r="AG312" s="320">
        <v>292684</v>
      </c>
      <c r="AH312" s="28">
        <v>282326</v>
      </c>
      <c r="AI312" s="28">
        <v>135912</v>
      </c>
      <c r="AJ312" s="28">
        <v>45122</v>
      </c>
      <c r="AK312" s="28">
        <v>365607</v>
      </c>
      <c r="AL312" s="28">
        <v>75612</v>
      </c>
      <c r="AM312" s="28">
        <v>2145</v>
      </c>
      <c r="AN312" s="28">
        <v>12718</v>
      </c>
      <c r="AO312" s="28">
        <v>26</v>
      </c>
      <c r="AP312" s="28">
        <v>37</v>
      </c>
      <c r="AQ312" s="28" t="s">
        <v>1818</v>
      </c>
      <c r="AR312" s="28" t="s">
        <v>1819</v>
      </c>
      <c r="AS312" s="28">
        <v>53164</v>
      </c>
      <c r="AT312" s="28">
        <v>16982</v>
      </c>
      <c r="AU312" s="28">
        <v>60013</v>
      </c>
      <c r="AV312" s="28">
        <v>57501</v>
      </c>
      <c r="AW312" s="843">
        <v>45293</v>
      </c>
      <c r="AX312" s="843">
        <v>45657</v>
      </c>
      <c r="AY312" s="28" t="s">
        <v>1820</v>
      </c>
      <c r="AZ312" s="15"/>
      <c r="BA312" s="15"/>
      <c r="BB312" s="15"/>
      <c r="BC312" s="15"/>
      <c r="BD312" s="15"/>
      <c r="BE312" s="15"/>
      <c r="BF312" s="15"/>
      <c r="BG312" s="15"/>
      <c r="BH312" s="15"/>
      <c r="BI312" s="15"/>
      <c r="BJ312" s="15"/>
      <c r="BK312" s="15"/>
      <c r="BL312" s="15"/>
      <c r="BM312" s="15"/>
      <c r="BN312" s="15"/>
    </row>
    <row r="313" spans="1:66" s="47" customFormat="1" ht="76.5" x14ac:dyDescent="0.2">
      <c r="A313" s="28">
        <v>1</v>
      </c>
      <c r="B313" s="34" t="s">
        <v>315</v>
      </c>
      <c r="C313" s="28">
        <v>19</v>
      </c>
      <c r="D313" s="34" t="s">
        <v>517</v>
      </c>
      <c r="E313" s="28">
        <v>1906</v>
      </c>
      <c r="F313" s="34" t="s">
        <v>2236</v>
      </c>
      <c r="G313" s="28" t="s">
        <v>70</v>
      </c>
      <c r="H313" s="34" t="s">
        <v>2363</v>
      </c>
      <c r="I313" s="28">
        <v>1906023</v>
      </c>
      <c r="J313" s="34" t="s">
        <v>2238</v>
      </c>
      <c r="K313" s="280" t="s">
        <v>70</v>
      </c>
      <c r="L313" s="34" t="s">
        <v>2364</v>
      </c>
      <c r="M313" s="215">
        <v>190602301</v>
      </c>
      <c r="N313" s="34" t="s">
        <v>2365</v>
      </c>
      <c r="O313" s="205">
        <v>60</v>
      </c>
      <c r="P313" s="205"/>
      <c r="Q313" s="205">
        <v>60</v>
      </c>
      <c r="R313" s="79">
        <v>2020003630137</v>
      </c>
      <c r="S313" s="34" t="s">
        <v>2366</v>
      </c>
      <c r="T313" s="500">
        <f>SUM($X$313:$X$314)/SUM($X$313:$X$320)</f>
        <v>0.25767592938907885</v>
      </c>
      <c r="U313" s="34" t="s">
        <v>2367</v>
      </c>
      <c r="V313" s="34" t="s">
        <v>2368</v>
      </c>
      <c r="W313" s="34" t="s">
        <v>2369</v>
      </c>
      <c r="X313" s="869">
        <v>2755000000</v>
      </c>
      <c r="Y313" s="869"/>
      <c r="Z313" s="869"/>
      <c r="AA313" s="869"/>
      <c r="AB313" s="709">
        <f t="shared" si="30"/>
        <v>2755000000</v>
      </c>
      <c r="AC313" s="850" t="s">
        <v>2370</v>
      </c>
      <c r="AD313" s="205"/>
      <c r="AE313" s="205">
        <v>110</v>
      </c>
      <c r="AF313" s="28" t="s">
        <v>2371</v>
      </c>
      <c r="AG313" s="320">
        <v>292684</v>
      </c>
      <c r="AH313" s="28">
        <v>282326</v>
      </c>
      <c r="AI313" s="28">
        <v>135912</v>
      </c>
      <c r="AJ313" s="28">
        <v>45122</v>
      </c>
      <c r="AK313" s="28">
        <v>365607</v>
      </c>
      <c r="AL313" s="28">
        <v>75612</v>
      </c>
      <c r="AM313" s="28">
        <v>2145</v>
      </c>
      <c r="AN313" s="28">
        <v>12718</v>
      </c>
      <c r="AO313" s="28">
        <v>26</v>
      </c>
      <c r="AP313" s="28">
        <v>37</v>
      </c>
      <c r="AQ313" s="28" t="s">
        <v>1818</v>
      </c>
      <c r="AR313" s="28" t="s">
        <v>1819</v>
      </c>
      <c r="AS313" s="28">
        <v>53164</v>
      </c>
      <c r="AT313" s="28">
        <v>16982</v>
      </c>
      <c r="AU313" s="28">
        <v>60013</v>
      </c>
      <c r="AV313" s="28">
        <v>57501</v>
      </c>
      <c r="AW313" s="843">
        <v>45293</v>
      </c>
      <c r="AX313" s="843">
        <v>45657</v>
      </c>
      <c r="AY313" s="28" t="s">
        <v>1820</v>
      </c>
      <c r="AZ313" s="15"/>
      <c r="BA313" s="15"/>
      <c r="BB313" s="15"/>
      <c r="BC313" s="15"/>
      <c r="BD313" s="15"/>
      <c r="BE313" s="15"/>
      <c r="BF313" s="15"/>
      <c r="BG313" s="15"/>
      <c r="BH313" s="15"/>
      <c r="BI313" s="15"/>
      <c r="BJ313" s="15"/>
      <c r="BK313" s="15"/>
      <c r="BL313" s="15"/>
      <c r="BM313" s="15"/>
      <c r="BN313" s="15"/>
    </row>
    <row r="314" spans="1:66" s="47" customFormat="1" ht="76.5" x14ac:dyDescent="0.2">
      <c r="A314" s="28">
        <v>1</v>
      </c>
      <c r="B314" s="34" t="s">
        <v>315</v>
      </c>
      <c r="C314" s="28">
        <v>19</v>
      </c>
      <c r="D314" s="34" t="s">
        <v>517</v>
      </c>
      <c r="E314" s="28">
        <v>1906</v>
      </c>
      <c r="F314" s="34" t="s">
        <v>2236</v>
      </c>
      <c r="G314" s="28" t="s">
        <v>70</v>
      </c>
      <c r="H314" s="34" t="s">
        <v>2363</v>
      </c>
      <c r="I314" s="28">
        <v>1906023</v>
      </c>
      <c r="J314" s="34" t="s">
        <v>2238</v>
      </c>
      <c r="K314" s="280" t="s">
        <v>70</v>
      </c>
      <c r="L314" s="34" t="s">
        <v>2364</v>
      </c>
      <c r="M314" s="215">
        <v>190602301</v>
      </c>
      <c r="N314" s="34" t="s">
        <v>2365</v>
      </c>
      <c r="O314" s="205">
        <v>60</v>
      </c>
      <c r="P314" s="205"/>
      <c r="Q314" s="205">
        <v>60</v>
      </c>
      <c r="R314" s="79">
        <v>2020003630137</v>
      </c>
      <c r="S314" s="34" t="s">
        <v>2366</v>
      </c>
      <c r="T314" s="500">
        <f>SUM($X$313:$X$314)/SUM($X$313:$X$320)</f>
        <v>0.25767592938907885</v>
      </c>
      <c r="U314" s="34" t="s">
        <v>2367</v>
      </c>
      <c r="V314" s="34" t="s">
        <v>2368</v>
      </c>
      <c r="W314" s="34" t="s">
        <v>2369</v>
      </c>
      <c r="X314" s="869">
        <v>50000000</v>
      </c>
      <c r="Y314" s="869"/>
      <c r="Z314" s="869"/>
      <c r="AA314" s="869"/>
      <c r="AB314" s="709">
        <f t="shared" si="30"/>
        <v>50000000</v>
      </c>
      <c r="AC314" s="28" t="s">
        <v>2372</v>
      </c>
      <c r="AD314" s="205"/>
      <c r="AE314" s="205">
        <v>35</v>
      </c>
      <c r="AF314" s="28" t="s">
        <v>2373</v>
      </c>
      <c r="AG314" s="320">
        <v>292684</v>
      </c>
      <c r="AH314" s="28">
        <v>282326</v>
      </c>
      <c r="AI314" s="28">
        <v>135912</v>
      </c>
      <c r="AJ314" s="28">
        <v>45122</v>
      </c>
      <c r="AK314" s="28">
        <v>365607</v>
      </c>
      <c r="AL314" s="28">
        <v>75612</v>
      </c>
      <c r="AM314" s="28">
        <v>2145</v>
      </c>
      <c r="AN314" s="28">
        <v>12718</v>
      </c>
      <c r="AO314" s="28">
        <v>26</v>
      </c>
      <c r="AP314" s="28">
        <v>37</v>
      </c>
      <c r="AQ314" s="28" t="s">
        <v>1818</v>
      </c>
      <c r="AR314" s="28" t="s">
        <v>1819</v>
      </c>
      <c r="AS314" s="28">
        <v>53164</v>
      </c>
      <c r="AT314" s="28">
        <v>16982</v>
      </c>
      <c r="AU314" s="28">
        <v>60013</v>
      </c>
      <c r="AV314" s="28">
        <v>57501</v>
      </c>
      <c r="AW314" s="843">
        <v>45293</v>
      </c>
      <c r="AX314" s="843">
        <v>45657</v>
      </c>
      <c r="AY314" s="28" t="s">
        <v>1820</v>
      </c>
      <c r="AZ314" s="15"/>
      <c r="BA314" s="15"/>
      <c r="BB314" s="15"/>
      <c r="BC314" s="15"/>
      <c r="BD314" s="15"/>
      <c r="BE314" s="15"/>
      <c r="BF314" s="15"/>
      <c r="BG314" s="15"/>
      <c r="BH314" s="15"/>
      <c r="BI314" s="15"/>
      <c r="BJ314" s="15"/>
      <c r="BK314" s="15"/>
      <c r="BL314" s="15"/>
      <c r="BM314" s="15"/>
      <c r="BN314" s="15"/>
    </row>
    <row r="315" spans="1:66" s="47" customFormat="1" ht="76.5" x14ac:dyDescent="0.2">
      <c r="A315" s="28">
        <v>1</v>
      </c>
      <c r="B315" s="34" t="s">
        <v>315</v>
      </c>
      <c r="C315" s="28">
        <v>19</v>
      </c>
      <c r="D315" s="34" t="s">
        <v>517</v>
      </c>
      <c r="E315" s="28">
        <v>1906</v>
      </c>
      <c r="F315" s="34" t="s">
        <v>2236</v>
      </c>
      <c r="G315" s="28" t="s">
        <v>70</v>
      </c>
      <c r="H315" s="34" t="s">
        <v>2374</v>
      </c>
      <c r="I315" s="28">
        <v>1906025</v>
      </c>
      <c r="J315" s="34" t="s">
        <v>2375</v>
      </c>
      <c r="K315" s="280" t="s">
        <v>70</v>
      </c>
      <c r="L315" s="34" t="s">
        <v>2376</v>
      </c>
      <c r="M315" s="280">
        <v>190602500</v>
      </c>
      <c r="N315" s="34" t="s">
        <v>2377</v>
      </c>
      <c r="O315" s="205">
        <v>100</v>
      </c>
      <c r="P315" s="205"/>
      <c r="Q315" s="205">
        <v>100</v>
      </c>
      <c r="R315" s="79">
        <v>2020003630137</v>
      </c>
      <c r="S315" s="34" t="s">
        <v>2366</v>
      </c>
      <c r="T315" s="500">
        <f>SUM($X$315:$X$320)/SUM($X$313:$X$320)</f>
        <v>0.74232407061092121</v>
      </c>
      <c r="U315" s="34" t="s">
        <v>2367</v>
      </c>
      <c r="V315" s="34" t="s">
        <v>2368</v>
      </c>
      <c r="W315" s="34" t="s">
        <v>2378</v>
      </c>
      <c r="X315" s="870">
        <v>2149092000</v>
      </c>
      <c r="Y315" s="870"/>
      <c r="Z315" s="870"/>
      <c r="AA315" s="870"/>
      <c r="AB315" s="709">
        <f t="shared" si="30"/>
        <v>2149092000</v>
      </c>
      <c r="AC315" s="850" t="s">
        <v>2379</v>
      </c>
      <c r="AD315" s="205"/>
      <c r="AE315" s="205">
        <v>171</v>
      </c>
      <c r="AF315" s="28" t="s">
        <v>2380</v>
      </c>
      <c r="AG315" s="320">
        <v>292684</v>
      </c>
      <c r="AH315" s="28">
        <v>282326</v>
      </c>
      <c r="AI315" s="28">
        <v>135912</v>
      </c>
      <c r="AJ315" s="28">
        <v>45122</v>
      </c>
      <c r="AK315" s="28">
        <v>365607</v>
      </c>
      <c r="AL315" s="28">
        <v>75612</v>
      </c>
      <c r="AM315" s="28">
        <v>2145</v>
      </c>
      <c r="AN315" s="28">
        <v>12718</v>
      </c>
      <c r="AO315" s="28">
        <v>26</v>
      </c>
      <c r="AP315" s="28">
        <v>37</v>
      </c>
      <c r="AQ315" s="28" t="s">
        <v>1818</v>
      </c>
      <c r="AR315" s="28" t="s">
        <v>1819</v>
      </c>
      <c r="AS315" s="28">
        <v>53164</v>
      </c>
      <c r="AT315" s="28">
        <v>16982</v>
      </c>
      <c r="AU315" s="28">
        <v>60013</v>
      </c>
      <c r="AV315" s="28">
        <v>57501</v>
      </c>
      <c r="AW315" s="843">
        <v>45293</v>
      </c>
      <c r="AX315" s="843">
        <v>45657</v>
      </c>
      <c r="AY315" s="28" t="s">
        <v>1820</v>
      </c>
      <c r="AZ315" s="15"/>
      <c r="BA315" s="15"/>
      <c r="BB315" s="15"/>
      <c r="BC315" s="15"/>
      <c r="BD315" s="15"/>
      <c r="BE315" s="15"/>
      <c r="BF315" s="15"/>
      <c r="BG315" s="15"/>
      <c r="BH315" s="15"/>
      <c r="BI315" s="15"/>
      <c r="BJ315" s="15"/>
      <c r="BK315" s="15"/>
      <c r="BL315" s="15"/>
      <c r="BM315" s="15"/>
      <c r="BN315" s="15"/>
    </row>
    <row r="316" spans="1:66" s="47" customFormat="1" ht="76.5" x14ac:dyDescent="0.2">
      <c r="A316" s="28">
        <v>1</v>
      </c>
      <c r="B316" s="34" t="s">
        <v>315</v>
      </c>
      <c r="C316" s="28">
        <v>19</v>
      </c>
      <c r="D316" s="34" t="s">
        <v>517</v>
      </c>
      <c r="E316" s="28">
        <v>1906</v>
      </c>
      <c r="F316" s="34" t="s">
        <v>2236</v>
      </c>
      <c r="G316" s="28" t="s">
        <v>70</v>
      </c>
      <c r="H316" s="34" t="s">
        <v>2374</v>
      </c>
      <c r="I316" s="28">
        <v>1906025</v>
      </c>
      <c r="J316" s="34" t="s">
        <v>2375</v>
      </c>
      <c r="K316" s="280" t="s">
        <v>70</v>
      </c>
      <c r="L316" s="34" t="s">
        <v>2376</v>
      </c>
      <c r="M316" s="280">
        <v>190602500</v>
      </c>
      <c r="N316" s="34" t="s">
        <v>2377</v>
      </c>
      <c r="O316" s="205">
        <v>100</v>
      </c>
      <c r="P316" s="205"/>
      <c r="Q316" s="205">
        <v>100</v>
      </c>
      <c r="R316" s="79">
        <v>2020003630137</v>
      </c>
      <c r="S316" s="34" t="s">
        <v>2366</v>
      </c>
      <c r="T316" s="500">
        <f t="shared" ref="T316:T320" si="31">SUM($X$315:$X$320)/SUM($X$313:$X$320)</f>
        <v>0.74232407061092121</v>
      </c>
      <c r="U316" s="34" t="s">
        <v>2367</v>
      </c>
      <c r="V316" s="34" t="s">
        <v>2368</v>
      </c>
      <c r="W316" s="34" t="s">
        <v>2378</v>
      </c>
      <c r="X316" s="870">
        <v>718671250</v>
      </c>
      <c r="Y316" s="870"/>
      <c r="Z316" s="870"/>
      <c r="AA316" s="870"/>
      <c r="AB316" s="709">
        <f t="shared" si="30"/>
        <v>718671250</v>
      </c>
      <c r="AC316" s="850" t="s">
        <v>2381</v>
      </c>
      <c r="AD316" s="205"/>
      <c r="AE316" s="205">
        <v>155</v>
      </c>
      <c r="AF316" s="65" t="s">
        <v>2382</v>
      </c>
      <c r="AG316" s="28">
        <v>292684</v>
      </c>
      <c r="AH316" s="28">
        <v>282326</v>
      </c>
      <c r="AI316" s="28">
        <v>135912</v>
      </c>
      <c r="AJ316" s="28">
        <v>45122</v>
      </c>
      <c r="AK316" s="28">
        <v>365607</v>
      </c>
      <c r="AL316" s="28">
        <v>75612</v>
      </c>
      <c r="AM316" s="28">
        <v>2145</v>
      </c>
      <c r="AN316" s="28">
        <v>12718</v>
      </c>
      <c r="AO316" s="28">
        <v>26</v>
      </c>
      <c r="AP316" s="28">
        <v>37</v>
      </c>
      <c r="AQ316" s="28" t="s">
        <v>1818</v>
      </c>
      <c r="AR316" s="28" t="s">
        <v>1819</v>
      </c>
      <c r="AS316" s="28">
        <v>53164</v>
      </c>
      <c r="AT316" s="28">
        <v>16982</v>
      </c>
      <c r="AU316" s="28">
        <v>60013</v>
      </c>
      <c r="AV316" s="28">
        <v>57501</v>
      </c>
      <c r="AW316" s="843">
        <v>45293</v>
      </c>
      <c r="AX316" s="843">
        <v>45657</v>
      </c>
      <c r="AY316" s="28" t="s">
        <v>1820</v>
      </c>
      <c r="AZ316" s="15"/>
      <c r="BA316" s="15"/>
      <c r="BB316" s="15"/>
      <c r="BC316" s="15"/>
      <c r="BD316" s="15"/>
      <c r="BE316" s="15"/>
      <c r="BF316" s="15"/>
      <c r="BG316" s="15"/>
      <c r="BH316" s="15"/>
      <c r="BI316" s="15"/>
      <c r="BJ316" s="15"/>
      <c r="BK316" s="15"/>
      <c r="BL316" s="15"/>
      <c r="BM316" s="15"/>
      <c r="BN316" s="15"/>
    </row>
    <row r="317" spans="1:66" s="47" customFormat="1" ht="76.5" x14ac:dyDescent="0.2">
      <c r="A317" s="28">
        <v>1</v>
      </c>
      <c r="B317" s="34" t="s">
        <v>315</v>
      </c>
      <c r="C317" s="28">
        <v>19</v>
      </c>
      <c r="D317" s="34" t="s">
        <v>517</v>
      </c>
      <c r="E317" s="28">
        <v>1906</v>
      </c>
      <c r="F317" s="34" t="s">
        <v>2236</v>
      </c>
      <c r="G317" s="28" t="s">
        <v>70</v>
      </c>
      <c r="H317" s="34" t="s">
        <v>2374</v>
      </c>
      <c r="I317" s="28">
        <v>1906025</v>
      </c>
      <c r="J317" s="34" t="s">
        <v>2375</v>
      </c>
      <c r="K317" s="280" t="s">
        <v>70</v>
      </c>
      <c r="L317" s="34" t="s">
        <v>2376</v>
      </c>
      <c r="M317" s="280">
        <v>190602500</v>
      </c>
      <c r="N317" s="34" t="s">
        <v>2377</v>
      </c>
      <c r="O317" s="205">
        <v>100</v>
      </c>
      <c r="P317" s="205"/>
      <c r="Q317" s="205">
        <v>100</v>
      </c>
      <c r="R317" s="79">
        <v>2020003630137</v>
      </c>
      <c r="S317" s="34" t="s">
        <v>2366</v>
      </c>
      <c r="T317" s="500">
        <f t="shared" si="31"/>
        <v>0.74232407061092121</v>
      </c>
      <c r="U317" s="34" t="s">
        <v>2367</v>
      </c>
      <c r="V317" s="34" t="s">
        <v>2368</v>
      </c>
      <c r="W317" s="34" t="s">
        <v>2378</v>
      </c>
      <c r="X317" s="870">
        <v>3418746250</v>
      </c>
      <c r="Y317" s="870"/>
      <c r="Z317" s="870"/>
      <c r="AA317" s="870"/>
      <c r="AB317" s="709">
        <f t="shared" si="30"/>
        <v>3418746250</v>
      </c>
      <c r="AC317" s="850" t="s">
        <v>2383</v>
      </c>
      <c r="AD317" s="205"/>
      <c r="AE317" s="205">
        <v>238</v>
      </c>
      <c r="AF317" s="65" t="s">
        <v>2384</v>
      </c>
      <c r="AG317" s="28">
        <v>292684</v>
      </c>
      <c r="AH317" s="28">
        <v>282326</v>
      </c>
      <c r="AI317" s="28">
        <v>135912</v>
      </c>
      <c r="AJ317" s="28">
        <v>45122</v>
      </c>
      <c r="AK317" s="28">
        <v>365607</v>
      </c>
      <c r="AL317" s="28">
        <v>75612</v>
      </c>
      <c r="AM317" s="28">
        <v>2145</v>
      </c>
      <c r="AN317" s="28">
        <v>12718</v>
      </c>
      <c r="AO317" s="28">
        <v>26</v>
      </c>
      <c r="AP317" s="28">
        <v>37</v>
      </c>
      <c r="AQ317" s="28" t="s">
        <v>1818</v>
      </c>
      <c r="AR317" s="28" t="s">
        <v>1819</v>
      </c>
      <c r="AS317" s="28">
        <v>53164</v>
      </c>
      <c r="AT317" s="28">
        <v>16982</v>
      </c>
      <c r="AU317" s="28">
        <v>60013</v>
      </c>
      <c r="AV317" s="28">
        <v>57501</v>
      </c>
      <c r="AW317" s="843">
        <v>45293</v>
      </c>
      <c r="AX317" s="843">
        <v>45657</v>
      </c>
      <c r="AY317" s="28" t="s">
        <v>1820</v>
      </c>
      <c r="AZ317" s="15"/>
      <c r="BA317" s="15"/>
      <c r="BB317" s="15"/>
      <c r="BC317" s="15"/>
      <c r="BD317" s="15"/>
      <c r="BE317" s="15"/>
      <c r="BF317" s="15"/>
      <c r="BG317" s="15"/>
      <c r="BH317" s="15"/>
      <c r="BI317" s="15"/>
      <c r="BJ317" s="15"/>
      <c r="BK317" s="15"/>
      <c r="BL317" s="15"/>
      <c r="BM317" s="15"/>
      <c r="BN317" s="15"/>
    </row>
    <row r="318" spans="1:66" s="47" customFormat="1" ht="76.5" x14ac:dyDescent="0.2">
      <c r="A318" s="28">
        <v>1</v>
      </c>
      <c r="B318" s="34" t="s">
        <v>315</v>
      </c>
      <c r="C318" s="28">
        <v>19</v>
      </c>
      <c r="D318" s="34" t="s">
        <v>517</v>
      </c>
      <c r="E318" s="28">
        <v>1906</v>
      </c>
      <c r="F318" s="34" t="s">
        <v>2236</v>
      </c>
      <c r="G318" s="28" t="s">
        <v>70</v>
      </c>
      <c r="H318" s="34" t="s">
        <v>2374</v>
      </c>
      <c r="I318" s="28">
        <v>1906025</v>
      </c>
      <c r="J318" s="34" t="s">
        <v>2375</v>
      </c>
      <c r="K318" s="280" t="s">
        <v>70</v>
      </c>
      <c r="L318" s="34" t="s">
        <v>2376</v>
      </c>
      <c r="M318" s="280">
        <v>190602500</v>
      </c>
      <c r="N318" s="34" t="s">
        <v>2377</v>
      </c>
      <c r="O318" s="205">
        <v>100</v>
      </c>
      <c r="P318" s="205"/>
      <c r="Q318" s="205">
        <v>100</v>
      </c>
      <c r="R318" s="79">
        <v>2020003630137</v>
      </c>
      <c r="S318" s="34" t="s">
        <v>2366</v>
      </c>
      <c r="T318" s="500">
        <f t="shared" si="31"/>
        <v>0.74232407061092121</v>
      </c>
      <c r="U318" s="34" t="s">
        <v>2367</v>
      </c>
      <c r="V318" s="34" t="s">
        <v>2368</v>
      </c>
      <c r="W318" s="34" t="s">
        <v>2378</v>
      </c>
      <c r="X318" s="870">
        <v>1073586750</v>
      </c>
      <c r="Y318" s="870"/>
      <c r="Z318" s="870"/>
      <c r="AA318" s="870"/>
      <c r="AB318" s="709">
        <f t="shared" si="30"/>
        <v>1073586750</v>
      </c>
      <c r="AC318" s="850" t="s">
        <v>2385</v>
      </c>
      <c r="AD318" s="205"/>
      <c r="AE318" s="205">
        <v>244</v>
      </c>
      <c r="AF318" s="65" t="s">
        <v>2386</v>
      </c>
      <c r="AG318" s="28">
        <v>292684</v>
      </c>
      <c r="AH318" s="28">
        <v>282326</v>
      </c>
      <c r="AI318" s="28">
        <v>135912</v>
      </c>
      <c r="AJ318" s="28">
        <v>45122</v>
      </c>
      <c r="AK318" s="28">
        <v>365607</v>
      </c>
      <c r="AL318" s="28">
        <v>75612</v>
      </c>
      <c r="AM318" s="28">
        <v>2145</v>
      </c>
      <c r="AN318" s="28">
        <v>12718</v>
      </c>
      <c r="AO318" s="28">
        <v>26</v>
      </c>
      <c r="AP318" s="28">
        <v>37</v>
      </c>
      <c r="AQ318" s="28" t="s">
        <v>1818</v>
      </c>
      <c r="AR318" s="28" t="s">
        <v>1819</v>
      </c>
      <c r="AS318" s="28">
        <v>53164</v>
      </c>
      <c r="AT318" s="28">
        <v>16982</v>
      </c>
      <c r="AU318" s="28">
        <v>60013</v>
      </c>
      <c r="AV318" s="28">
        <v>57501</v>
      </c>
      <c r="AW318" s="843">
        <v>45293</v>
      </c>
      <c r="AX318" s="843">
        <v>45657</v>
      </c>
      <c r="AY318" s="28" t="s">
        <v>1820</v>
      </c>
      <c r="AZ318" s="15"/>
      <c r="BA318" s="15"/>
      <c r="BB318" s="15"/>
      <c r="BC318" s="15"/>
      <c r="BD318" s="15"/>
      <c r="BE318" s="15"/>
      <c r="BF318" s="15"/>
      <c r="BG318" s="15"/>
      <c r="BH318" s="15"/>
      <c r="BI318" s="15"/>
      <c r="BJ318" s="15"/>
      <c r="BK318" s="15"/>
      <c r="BL318" s="15"/>
      <c r="BM318" s="15"/>
      <c r="BN318" s="15"/>
    </row>
    <row r="319" spans="1:66" s="47" customFormat="1" ht="76.5" x14ac:dyDescent="0.2">
      <c r="A319" s="28">
        <v>1</v>
      </c>
      <c r="B319" s="34" t="s">
        <v>315</v>
      </c>
      <c r="C319" s="28">
        <v>19</v>
      </c>
      <c r="D319" s="34" t="s">
        <v>517</v>
      </c>
      <c r="E319" s="28">
        <v>1906</v>
      </c>
      <c r="F319" s="34" t="s">
        <v>2236</v>
      </c>
      <c r="G319" s="28" t="s">
        <v>70</v>
      </c>
      <c r="H319" s="34" t="s">
        <v>2374</v>
      </c>
      <c r="I319" s="28">
        <v>1906025</v>
      </c>
      <c r="J319" s="34" t="s">
        <v>2375</v>
      </c>
      <c r="K319" s="280" t="s">
        <v>70</v>
      </c>
      <c r="L319" s="34" t="s">
        <v>2376</v>
      </c>
      <c r="M319" s="280">
        <v>190602500</v>
      </c>
      <c r="N319" s="34" t="s">
        <v>2377</v>
      </c>
      <c r="O319" s="205">
        <v>100</v>
      </c>
      <c r="P319" s="205"/>
      <c r="Q319" s="205">
        <v>100</v>
      </c>
      <c r="R319" s="79">
        <v>2020003630137</v>
      </c>
      <c r="S319" s="34" t="s">
        <v>2366</v>
      </c>
      <c r="T319" s="500">
        <f t="shared" si="31"/>
        <v>0.74232407061092121</v>
      </c>
      <c r="U319" s="34" t="s">
        <v>2367</v>
      </c>
      <c r="V319" s="34" t="s">
        <v>2368</v>
      </c>
      <c r="W319" s="34" t="s">
        <v>2378</v>
      </c>
      <c r="X319" s="870">
        <v>718670250</v>
      </c>
      <c r="Y319" s="870"/>
      <c r="Z319" s="870"/>
      <c r="AA319" s="870"/>
      <c r="AB319" s="709">
        <f t="shared" si="30"/>
        <v>718670250</v>
      </c>
      <c r="AC319" s="850" t="s">
        <v>2387</v>
      </c>
      <c r="AD319" s="205"/>
      <c r="AE319" s="205">
        <v>241</v>
      </c>
      <c r="AF319" s="65" t="s">
        <v>2388</v>
      </c>
      <c r="AG319" s="28">
        <v>292684</v>
      </c>
      <c r="AH319" s="28">
        <v>282326</v>
      </c>
      <c r="AI319" s="28">
        <v>135912</v>
      </c>
      <c r="AJ319" s="28">
        <v>45122</v>
      </c>
      <c r="AK319" s="28">
        <v>365607</v>
      </c>
      <c r="AL319" s="28">
        <v>75612</v>
      </c>
      <c r="AM319" s="28">
        <v>2145</v>
      </c>
      <c r="AN319" s="28">
        <v>12718</v>
      </c>
      <c r="AO319" s="28">
        <v>26</v>
      </c>
      <c r="AP319" s="28">
        <v>37</v>
      </c>
      <c r="AQ319" s="28" t="s">
        <v>1818</v>
      </c>
      <c r="AR319" s="28" t="s">
        <v>1819</v>
      </c>
      <c r="AS319" s="28">
        <v>53164</v>
      </c>
      <c r="AT319" s="28">
        <v>16982</v>
      </c>
      <c r="AU319" s="28">
        <v>60013</v>
      </c>
      <c r="AV319" s="28">
        <v>57501</v>
      </c>
      <c r="AW319" s="843">
        <v>45293</v>
      </c>
      <c r="AX319" s="843">
        <v>45657</v>
      </c>
      <c r="AY319" s="28" t="s">
        <v>1820</v>
      </c>
      <c r="AZ319" s="15"/>
      <c r="BA319" s="15"/>
      <c r="BB319" s="15"/>
      <c r="BC319" s="15"/>
      <c r="BD319" s="15"/>
      <c r="BE319" s="15"/>
      <c r="BF319" s="15"/>
      <c r="BG319" s="15"/>
      <c r="BH319" s="15"/>
      <c r="BI319" s="15"/>
      <c r="BJ319" s="15"/>
      <c r="BK319" s="15"/>
      <c r="BL319" s="15"/>
      <c r="BM319" s="15"/>
      <c r="BN319" s="15"/>
    </row>
    <row r="320" spans="1:66" s="47" customFormat="1" ht="76.5" x14ac:dyDescent="0.2">
      <c r="A320" s="28">
        <v>1</v>
      </c>
      <c r="B320" s="34" t="s">
        <v>315</v>
      </c>
      <c r="C320" s="28">
        <v>19</v>
      </c>
      <c r="D320" s="34" t="s">
        <v>517</v>
      </c>
      <c r="E320" s="28">
        <v>1906</v>
      </c>
      <c r="F320" s="34" t="s">
        <v>2236</v>
      </c>
      <c r="G320" s="28" t="s">
        <v>70</v>
      </c>
      <c r="H320" s="34" t="s">
        <v>2374</v>
      </c>
      <c r="I320" s="28">
        <v>1906025</v>
      </c>
      <c r="J320" s="34" t="s">
        <v>2375</v>
      </c>
      <c r="K320" s="280" t="s">
        <v>70</v>
      </c>
      <c r="L320" s="34" t="s">
        <v>2376</v>
      </c>
      <c r="M320" s="280">
        <v>190602500</v>
      </c>
      <c r="N320" s="34" t="s">
        <v>2377</v>
      </c>
      <c r="O320" s="205">
        <v>100</v>
      </c>
      <c r="P320" s="205"/>
      <c r="Q320" s="205">
        <v>100</v>
      </c>
      <c r="R320" s="79">
        <v>2020003630137</v>
      </c>
      <c r="S320" s="34" t="s">
        <v>2366</v>
      </c>
      <c r="T320" s="500">
        <f t="shared" si="31"/>
        <v>0.74232407061092121</v>
      </c>
      <c r="U320" s="34" t="s">
        <v>2367</v>
      </c>
      <c r="V320" s="34" t="s">
        <v>2368</v>
      </c>
      <c r="W320" s="34" t="s">
        <v>2378</v>
      </c>
      <c r="X320" s="870">
        <v>2000000</v>
      </c>
      <c r="Y320" s="870"/>
      <c r="Z320" s="870"/>
      <c r="AA320" s="870"/>
      <c r="AB320" s="709">
        <f t="shared" si="30"/>
        <v>2000000</v>
      </c>
      <c r="AC320" s="850" t="s">
        <v>2389</v>
      </c>
      <c r="AD320" s="205"/>
      <c r="AE320" s="205">
        <v>58</v>
      </c>
      <c r="AF320" s="28" t="s">
        <v>2390</v>
      </c>
      <c r="AG320" s="28">
        <v>292684</v>
      </c>
      <c r="AH320" s="28">
        <v>282326</v>
      </c>
      <c r="AI320" s="28">
        <v>135912</v>
      </c>
      <c r="AJ320" s="28">
        <v>45122</v>
      </c>
      <c r="AK320" s="28">
        <v>365607</v>
      </c>
      <c r="AL320" s="28">
        <v>75612</v>
      </c>
      <c r="AM320" s="28">
        <v>2145</v>
      </c>
      <c r="AN320" s="28">
        <v>12718</v>
      </c>
      <c r="AO320" s="28">
        <v>26</v>
      </c>
      <c r="AP320" s="28">
        <v>37</v>
      </c>
      <c r="AQ320" s="28" t="s">
        <v>1818</v>
      </c>
      <c r="AR320" s="28" t="s">
        <v>1819</v>
      </c>
      <c r="AS320" s="28">
        <v>53164</v>
      </c>
      <c r="AT320" s="28">
        <v>16982</v>
      </c>
      <c r="AU320" s="28">
        <v>60013</v>
      </c>
      <c r="AV320" s="28">
        <v>57501</v>
      </c>
      <c r="AW320" s="843">
        <v>45293</v>
      </c>
      <c r="AX320" s="843">
        <v>45657</v>
      </c>
      <c r="AY320" s="28" t="s">
        <v>1820</v>
      </c>
      <c r="AZ320" s="15"/>
      <c r="BA320" s="15"/>
      <c r="BB320" s="15"/>
      <c r="BC320" s="15"/>
      <c r="BD320" s="15"/>
      <c r="BE320" s="15"/>
      <c r="BF320" s="15"/>
      <c r="BG320" s="15"/>
      <c r="BH320" s="15"/>
      <c r="BI320" s="15"/>
      <c r="BJ320" s="15"/>
      <c r="BK320" s="15"/>
      <c r="BL320" s="15"/>
      <c r="BM320" s="15"/>
      <c r="BN320" s="15"/>
    </row>
    <row r="321" spans="1:66" s="47" customFormat="1" ht="63.75" x14ac:dyDescent="0.2">
      <c r="A321" s="28">
        <v>1</v>
      </c>
      <c r="B321" s="34" t="s">
        <v>315</v>
      </c>
      <c r="C321" s="28">
        <v>19</v>
      </c>
      <c r="D321" s="34" t="s">
        <v>517</v>
      </c>
      <c r="E321" s="28">
        <v>1906</v>
      </c>
      <c r="F321" s="34" t="s">
        <v>2236</v>
      </c>
      <c r="G321" s="28">
        <v>1906029</v>
      </c>
      <c r="H321" s="34" t="s">
        <v>2391</v>
      </c>
      <c r="I321" s="28">
        <v>1906029</v>
      </c>
      <c r="J321" s="34" t="s">
        <v>2391</v>
      </c>
      <c r="K321" s="215">
        <v>190602900</v>
      </c>
      <c r="L321" s="34" t="s">
        <v>2392</v>
      </c>
      <c r="M321" s="215">
        <v>190602900</v>
      </c>
      <c r="N321" s="34" t="s">
        <v>2392</v>
      </c>
      <c r="O321" s="205">
        <v>40</v>
      </c>
      <c r="P321" s="205"/>
      <c r="Q321" s="205">
        <v>40</v>
      </c>
      <c r="R321" s="79">
        <v>2020003630138</v>
      </c>
      <c r="S321" s="34" t="s">
        <v>2393</v>
      </c>
      <c r="T321" s="500">
        <f>SUM($X$321:$X$326)/SUM($X$321:$X$327)</f>
        <v>7.4873949705670503E-2</v>
      </c>
      <c r="U321" s="34" t="s">
        <v>2394</v>
      </c>
      <c r="V321" s="34" t="s">
        <v>2395</v>
      </c>
      <c r="W321" s="34" t="s">
        <v>2396</v>
      </c>
      <c r="X321" s="775">
        <v>8000000</v>
      </c>
      <c r="Y321" s="775"/>
      <c r="Z321" s="775"/>
      <c r="AA321" s="775"/>
      <c r="AB321" s="709">
        <f t="shared" si="30"/>
        <v>8000000</v>
      </c>
      <c r="AC321" s="135" t="s">
        <v>2397</v>
      </c>
      <c r="AD321" s="205"/>
      <c r="AE321" s="205">
        <v>20</v>
      </c>
      <c r="AF321" s="65" t="s">
        <v>327</v>
      </c>
      <c r="AG321" s="28">
        <v>292684</v>
      </c>
      <c r="AH321" s="28">
        <v>282326</v>
      </c>
      <c r="AI321" s="28">
        <v>135912</v>
      </c>
      <c r="AJ321" s="28">
        <v>45122</v>
      </c>
      <c r="AK321" s="28">
        <v>365607</v>
      </c>
      <c r="AL321" s="28">
        <v>86875</v>
      </c>
      <c r="AM321" s="28">
        <v>2145</v>
      </c>
      <c r="AN321" s="28">
        <v>12718</v>
      </c>
      <c r="AO321" s="28">
        <v>26</v>
      </c>
      <c r="AP321" s="28">
        <v>37</v>
      </c>
      <c r="AQ321" s="28" t="s">
        <v>1818</v>
      </c>
      <c r="AR321" s="28" t="s">
        <v>1819</v>
      </c>
      <c r="AS321" s="28">
        <v>53164</v>
      </c>
      <c r="AT321" s="28">
        <v>16982</v>
      </c>
      <c r="AU321" s="28">
        <v>60013</v>
      </c>
      <c r="AV321" s="28">
        <v>57501</v>
      </c>
      <c r="AW321" s="843">
        <v>45293</v>
      </c>
      <c r="AX321" s="843">
        <v>45657</v>
      </c>
      <c r="AY321" s="28" t="s">
        <v>1820</v>
      </c>
      <c r="AZ321" s="15"/>
      <c r="BA321" s="15"/>
      <c r="BB321" s="15"/>
      <c r="BC321" s="15"/>
      <c r="BD321" s="15"/>
      <c r="BE321" s="15"/>
      <c r="BF321" s="15"/>
      <c r="BG321" s="15"/>
      <c r="BH321" s="15"/>
      <c r="BI321" s="15"/>
      <c r="BJ321" s="15"/>
      <c r="BK321" s="15"/>
      <c r="BL321" s="15"/>
      <c r="BM321" s="15"/>
      <c r="BN321" s="15"/>
    </row>
    <row r="322" spans="1:66" s="47" customFormat="1" ht="63.75" x14ac:dyDescent="0.2">
      <c r="A322" s="28">
        <v>1</v>
      </c>
      <c r="B322" s="34" t="s">
        <v>315</v>
      </c>
      <c r="C322" s="28">
        <v>19</v>
      </c>
      <c r="D322" s="34" t="s">
        <v>517</v>
      </c>
      <c r="E322" s="28">
        <v>1906</v>
      </c>
      <c r="F322" s="34" t="s">
        <v>2236</v>
      </c>
      <c r="G322" s="28">
        <v>1906029</v>
      </c>
      <c r="H322" s="34" t="s">
        <v>2391</v>
      </c>
      <c r="I322" s="28">
        <v>1906029</v>
      </c>
      <c r="J322" s="34" t="s">
        <v>2391</v>
      </c>
      <c r="K322" s="215">
        <v>190602900</v>
      </c>
      <c r="L322" s="34" t="s">
        <v>2392</v>
      </c>
      <c r="M322" s="215">
        <v>190602900</v>
      </c>
      <c r="N322" s="34" t="s">
        <v>2392</v>
      </c>
      <c r="O322" s="205">
        <v>40</v>
      </c>
      <c r="P322" s="205"/>
      <c r="Q322" s="205">
        <v>40</v>
      </c>
      <c r="R322" s="79">
        <v>2020003630138</v>
      </c>
      <c r="S322" s="34" t="s">
        <v>2393</v>
      </c>
      <c r="T322" s="500">
        <f t="shared" ref="T322:T326" si="32">SUM($X$321:$X$326)/SUM($X$321:$X$327)</f>
        <v>7.4873949705670503E-2</v>
      </c>
      <c r="U322" s="34" t="s">
        <v>2394</v>
      </c>
      <c r="V322" s="34" t="s">
        <v>2395</v>
      </c>
      <c r="W322" s="34" t="s">
        <v>2398</v>
      </c>
      <c r="X322" s="775">
        <v>10000000</v>
      </c>
      <c r="Y322" s="775"/>
      <c r="Z322" s="775"/>
      <c r="AA322" s="775"/>
      <c r="AB322" s="709">
        <f t="shared" si="30"/>
        <v>10000000</v>
      </c>
      <c r="AC322" s="135" t="s">
        <v>2397</v>
      </c>
      <c r="AD322" s="205"/>
      <c r="AE322" s="65">
        <v>20</v>
      </c>
      <c r="AF322" s="65" t="s">
        <v>327</v>
      </c>
      <c r="AG322" s="28">
        <v>292684</v>
      </c>
      <c r="AH322" s="28">
        <v>282326</v>
      </c>
      <c r="AI322" s="28">
        <v>135912</v>
      </c>
      <c r="AJ322" s="28">
        <v>45122</v>
      </c>
      <c r="AK322" s="28">
        <v>365607</v>
      </c>
      <c r="AL322" s="28">
        <v>86875</v>
      </c>
      <c r="AM322" s="28">
        <v>2145</v>
      </c>
      <c r="AN322" s="28">
        <v>12718</v>
      </c>
      <c r="AO322" s="28">
        <v>26</v>
      </c>
      <c r="AP322" s="28">
        <v>37</v>
      </c>
      <c r="AQ322" s="28" t="s">
        <v>1818</v>
      </c>
      <c r="AR322" s="28" t="s">
        <v>1819</v>
      </c>
      <c r="AS322" s="28">
        <v>53164</v>
      </c>
      <c r="AT322" s="28">
        <v>16982</v>
      </c>
      <c r="AU322" s="28">
        <v>60013</v>
      </c>
      <c r="AV322" s="28">
        <v>57501</v>
      </c>
      <c r="AW322" s="843">
        <v>45293</v>
      </c>
      <c r="AX322" s="843">
        <v>45657</v>
      </c>
      <c r="AY322" s="28" t="s">
        <v>1820</v>
      </c>
      <c r="AZ322" s="15"/>
      <c r="BA322" s="15"/>
      <c r="BB322" s="15"/>
      <c r="BC322" s="15"/>
      <c r="BD322" s="15"/>
      <c r="BE322" s="15"/>
      <c r="BF322" s="15"/>
      <c r="BG322" s="15"/>
      <c r="BH322" s="15"/>
      <c r="BI322" s="15"/>
      <c r="BJ322" s="15"/>
      <c r="BK322" s="15"/>
      <c r="BL322" s="15"/>
      <c r="BM322" s="15"/>
      <c r="BN322" s="15"/>
    </row>
    <row r="323" spans="1:66" s="47" customFormat="1" ht="63.75" x14ac:dyDescent="0.2">
      <c r="A323" s="28">
        <v>1</v>
      </c>
      <c r="B323" s="34" t="s">
        <v>315</v>
      </c>
      <c r="C323" s="28">
        <v>19</v>
      </c>
      <c r="D323" s="34" t="s">
        <v>517</v>
      </c>
      <c r="E323" s="28">
        <v>1906</v>
      </c>
      <c r="F323" s="34" t="s">
        <v>2236</v>
      </c>
      <c r="G323" s="28">
        <v>1906029</v>
      </c>
      <c r="H323" s="34" t="s">
        <v>2391</v>
      </c>
      <c r="I323" s="28">
        <v>1906029</v>
      </c>
      <c r="J323" s="34" t="s">
        <v>2391</v>
      </c>
      <c r="K323" s="215">
        <v>190602900</v>
      </c>
      <c r="L323" s="34" t="s">
        <v>2392</v>
      </c>
      <c r="M323" s="215">
        <v>190602900</v>
      </c>
      <c r="N323" s="34" t="s">
        <v>2392</v>
      </c>
      <c r="O323" s="205">
        <v>40</v>
      </c>
      <c r="P323" s="205"/>
      <c r="Q323" s="205">
        <v>40</v>
      </c>
      <c r="R323" s="79">
        <v>2020003630138</v>
      </c>
      <c r="S323" s="34" t="s">
        <v>2393</v>
      </c>
      <c r="T323" s="500">
        <f t="shared" si="32"/>
        <v>7.4873949705670503E-2</v>
      </c>
      <c r="U323" s="34" t="s">
        <v>2394</v>
      </c>
      <c r="V323" s="34" t="s">
        <v>2395</v>
      </c>
      <c r="W323" s="34" t="s">
        <v>2399</v>
      </c>
      <c r="X323" s="775">
        <v>8000000</v>
      </c>
      <c r="Y323" s="775"/>
      <c r="Z323" s="775"/>
      <c r="AA323" s="775"/>
      <c r="AB323" s="709">
        <f t="shared" si="30"/>
        <v>8000000</v>
      </c>
      <c r="AC323" s="135" t="s">
        <v>2397</v>
      </c>
      <c r="AD323" s="205"/>
      <c r="AE323" s="65">
        <v>20</v>
      </c>
      <c r="AF323" s="65" t="s">
        <v>327</v>
      </c>
      <c r="AG323" s="28">
        <v>292684</v>
      </c>
      <c r="AH323" s="28">
        <v>282326</v>
      </c>
      <c r="AI323" s="28">
        <v>135912</v>
      </c>
      <c r="AJ323" s="28">
        <v>45122</v>
      </c>
      <c r="AK323" s="28">
        <v>365607</v>
      </c>
      <c r="AL323" s="28">
        <v>86875</v>
      </c>
      <c r="AM323" s="28">
        <v>2145</v>
      </c>
      <c r="AN323" s="28">
        <v>12718</v>
      </c>
      <c r="AO323" s="28">
        <v>26</v>
      </c>
      <c r="AP323" s="28">
        <v>37</v>
      </c>
      <c r="AQ323" s="28" t="s">
        <v>1818</v>
      </c>
      <c r="AR323" s="28" t="s">
        <v>1819</v>
      </c>
      <c r="AS323" s="28">
        <v>53164</v>
      </c>
      <c r="AT323" s="28">
        <v>16982</v>
      </c>
      <c r="AU323" s="28">
        <v>60013</v>
      </c>
      <c r="AV323" s="28">
        <v>57501</v>
      </c>
      <c r="AW323" s="843">
        <v>45293</v>
      </c>
      <c r="AX323" s="843">
        <v>45657</v>
      </c>
      <c r="AY323" s="28" t="s">
        <v>1820</v>
      </c>
      <c r="AZ323" s="15"/>
      <c r="BA323" s="15"/>
      <c r="BB323" s="15"/>
      <c r="BC323" s="15"/>
      <c r="BD323" s="15"/>
      <c r="BE323" s="15"/>
      <c r="BF323" s="15"/>
      <c r="BG323" s="15"/>
      <c r="BH323" s="15"/>
      <c r="BI323" s="15"/>
      <c r="BJ323" s="15"/>
      <c r="BK323" s="15"/>
      <c r="BL323" s="15"/>
      <c r="BM323" s="15"/>
      <c r="BN323" s="15"/>
    </row>
    <row r="324" spans="1:66" s="47" customFormat="1" ht="63.75" x14ac:dyDescent="0.2">
      <c r="A324" s="28">
        <v>1</v>
      </c>
      <c r="B324" s="34" t="s">
        <v>315</v>
      </c>
      <c r="C324" s="28">
        <v>19</v>
      </c>
      <c r="D324" s="34" t="s">
        <v>517</v>
      </c>
      <c r="E324" s="28">
        <v>1906</v>
      </c>
      <c r="F324" s="34" t="s">
        <v>2236</v>
      </c>
      <c r="G324" s="28">
        <v>1906029</v>
      </c>
      <c r="H324" s="34" t="s">
        <v>2391</v>
      </c>
      <c r="I324" s="28">
        <v>1906029</v>
      </c>
      <c r="J324" s="34" t="s">
        <v>2391</v>
      </c>
      <c r="K324" s="215">
        <v>190602900</v>
      </c>
      <c r="L324" s="34" t="s">
        <v>2392</v>
      </c>
      <c r="M324" s="215">
        <v>190602900</v>
      </c>
      <c r="N324" s="34" t="s">
        <v>2392</v>
      </c>
      <c r="O324" s="205">
        <v>40</v>
      </c>
      <c r="P324" s="205"/>
      <c r="Q324" s="205">
        <v>40</v>
      </c>
      <c r="R324" s="79">
        <v>2020003630138</v>
      </c>
      <c r="S324" s="34" t="s">
        <v>2393</v>
      </c>
      <c r="T324" s="500">
        <f t="shared" si="32"/>
        <v>7.4873949705670503E-2</v>
      </c>
      <c r="U324" s="34" t="s">
        <v>2394</v>
      </c>
      <c r="V324" s="34" t="s">
        <v>2395</v>
      </c>
      <c r="W324" s="34" t="s">
        <v>2400</v>
      </c>
      <c r="X324" s="775">
        <v>8000000</v>
      </c>
      <c r="Y324" s="775"/>
      <c r="Z324" s="775"/>
      <c r="AA324" s="775"/>
      <c r="AB324" s="709">
        <f t="shared" si="30"/>
        <v>8000000</v>
      </c>
      <c r="AC324" s="135" t="s">
        <v>2401</v>
      </c>
      <c r="AD324" s="205"/>
      <c r="AE324" s="65">
        <v>20</v>
      </c>
      <c r="AF324" s="65" t="s">
        <v>327</v>
      </c>
      <c r="AG324" s="28">
        <v>292684</v>
      </c>
      <c r="AH324" s="28">
        <v>282326</v>
      </c>
      <c r="AI324" s="28">
        <v>135912</v>
      </c>
      <c r="AJ324" s="28">
        <v>45122</v>
      </c>
      <c r="AK324" s="28">
        <v>365607</v>
      </c>
      <c r="AL324" s="28">
        <v>86875</v>
      </c>
      <c r="AM324" s="28">
        <v>2145</v>
      </c>
      <c r="AN324" s="28">
        <v>12718</v>
      </c>
      <c r="AO324" s="28">
        <v>26</v>
      </c>
      <c r="AP324" s="28">
        <v>37</v>
      </c>
      <c r="AQ324" s="28" t="s">
        <v>1818</v>
      </c>
      <c r="AR324" s="28" t="s">
        <v>1819</v>
      </c>
      <c r="AS324" s="28">
        <v>53164</v>
      </c>
      <c r="AT324" s="28">
        <v>16982</v>
      </c>
      <c r="AU324" s="28">
        <v>60013</v>
      </c>
      <c r="AV324" s="28">
        <v>57501</v>
      </c>
      <c r="AW324" s="843">
        <v>45293</v>
      </c>
      <c r="AX324" s="843">
        <v>45657</v>
      </c>
      <c r="AY324" s="28" t="s">
        <v>1820</v>
      </c>
      <c r="AZ324" s="15"/>
      <c r="BA324" s="15"/>
      <c r="BB324" s="15"/>
      <c r="BC324" s="15"/>
      <c r="BD324" s="15"/>
      <c r="BE324" s="15"/>
      <c r="BF324" s="15"/>
      <c r="BG324" s="15"/>
      <c r="BH324" s="15"/>
      <c r="BI324" s="15"/>
      <c r="BJ324" s="15"/>
      <c r="BK324" s="15"/>
      <c r="BL324" s="15"/>
      <c r="BM324" s="15"/>
      <c r="BN324" s="15"/>
    </row>
    <row r="325" spans="1:66" s="47" customFormat="1" ht="63.75" x14ac:dyDescent="0.2">
      <c r="A325" s="28">
        <v>1</v>
      </c>
      <c r="B325" s="34" t="s">
        <v>315</v>
      </c>
      <c r="C325" s="28">
        <v>19</v>
      </c>
      <c r="D325" s="34" t="s">
        <v>517</v>
      </c>
      <c r="E325" s="28">
        <v>1906</v>
      </c>
      <c r="F325" s="34" t="s">
        <v>2236</v>
      </c>
      <c r="G325" s="28">
        <v>1906029</v>
      </c>
      <c r="H325" s="34" t="s">
        <v>2391</v>
      </c>
      <c r="I325" s="28">
        <v>1906029</v>
      </c>
      <c r="J325" s="34" t="s">
        <v>2391</v>
      </c>
      <c r="K325" s="215">
        <v>190602900</v>
      </c>
      <c r="L325" s="34" t="s">
        <v>2392</v>
      </c>
      <c r="M325" s="215">
        <v>190602900</v>
      </c>
      <c r="N325" s="34" t="s">
        <v>2392</v>
      </c>
      <c r="O325" s="205">
        <v>40</v>
      </c>
      <c r="P325" s="205"/>
      <c r="Q325" s="205">
        <v>40</v>
      </c>
      <c r="R325" s="79">
        <v>2020003630138</v>
      </c>
      <c r="S325" s="34" t="s">
        <v>2393</v>
      </c>
      <c r="T325" s="500">
        <f t="shared" si="32"/>
        <v>7.4873949705670503E-2</v>
      </c>
      <c r="U325" s="34" t="s">
        <v>2394</v>
      </c>
      <c r="V325" s="34" t="s">
        <v>2395</v>
      </c>
      <c r="W325" s="34" t="s">
        <v>2402</v>
      </c>
      <c r="X325" s="775">
        <v>8000000</v>
      </c>
      <c r="Y325" s="775"/>
      <c r="Z325" s="775"/>
      <c r="AA325" s="775"/>
      <c r="AB325" s="709">
        <f t="shared" si="30"/>
        <v>8000000</v>
      </c>
      <c r="AC325" s="135" t="s">
        <v>2397</v>
      </c>
      <c r="AD325" s="205"/>
      <c r="AE325" s="65">
        <v>20</v>
      </c>
      <c r="AF325" s="65" t="s">
        <v>327</v>
      </c>
      <c r="AG325" s="28">
        <v>292684</v>
      </c>
      <c r="AH325" s="28">
        <v>282326</v>
      </c>
      <c r="AI325" s="28">
        <v>135912</v>
      </c>
      <c r="AJ325" s="28">
        <v>45122</v>
      </c>
      <c r="AK325" s="28">
        <v>365607</v>
      </c>
      <c r="AL325" s="28">
        <v>86875</v>
      </c>
      <c r="AM325" s="28">
        <v>2145</v>
      </c>
      <c r="AN325" s="28">
        <v>12718</v>
      </c>
      <c r="AO325" s="28">
        <v>26</v>
      </c>
      <c r="AP325" s="28">
        <v>37</v>
      </c>
      <c r="AQ325" s="28" t="s">
        <v>1818</v>
      </c>
      <c r="AR325" s="28" t="s">
        <v>1819</v>
      </c>
      <c r="AS325" s="28">
        <v>53164</v>
      </c>
      <c r="AT325" s="28">
        <v>16982</v>
      </c>
      <c r="AU325" s="28">
        <v>60013</v>
      </c>
      <c r="AV325" s="28">
        <v>57501</v>
      </c>
      <c r="AW325" s="843">
        <v>45293</v>
      </c>
      <c r="AX325" s="843">
        <v>45657</v>
      </c>
      <c r="AY325" s="28" t="s">
        <v>1820</v>
      </c>
      <c r="AZ325" s="15"/>
      <c r="BA325" s="15"/>
      <c r="BB325" s="15"/>
      <c r="BC325" s="15"/>
      <c r="BD325" s="15"/>
      <c r="BE325" s="15"/>
      <c r="BF325" s="15"/>
      <c r="BG325" s="15"/>
      <c r="BH325" s="15"/>
      <c r="BI325" s="15"/>
      <c r="BJ325" s="15"/>
      <c r="BK325" s="15"/>
      <c r="BL325" s="15"/>
      <c r="BM325" s="15"/>
      <c r="BN325" s="15"/>
    </row>
    <row r="326" spans="1:66" s="47" customFormat="1" ht="63.75" x14ac:dyDescent="0.2">
      <c r="A326" s="28">
        <v>1</v>
      </c>
      <c r="B326" s="34" t="s">
        <v>315</v>
      </c>
      <c r="C326" s="28">
        <v>19</v>
      </c>
      <c r="D326" s="34" t="s">
        <v>517</v>
      </c>
      <c r="E326" s="28">
        <v>1906</v>
      </c>
      <c r="F326" s="34" t="s">
        <v>2236</v>
      </c>
      <c r="G326" s="28">
        <v>1906029</v>
      </c>
      <c r="H326" s="34" t="s">
        <v>2391</v>
      </c>
      <c r="I326" s="28">
        <v>1906029</v>
      </c>
      <c r="J326" s="34" t="s">
        <v>2391</v>
      </c>
      <c r="K326" s="215">
        <v>190602900</v>
      </c>
      <c r="L326" s="34" t="s">
        <v>2392</v>
      </c>
      <c r="M326" s="215">
        <v>190602900</v>
      </c>
      <c r="N326" s="34" t="s">
        <v>2392</v>
      </c>
      <c r="O326" s="205">
        <v>40</v>
      </c>
      <c r="P326" s="205"/>
      <c r="Q326" s="205">
        <v>40</v>
      </c>
      <c r="R326" s="79">
        <v>2020003630138</v>
      </c>
      <c r="S326" s="34" t="s">
        <v>2393</v>
      </c>
      <c r="T326" s="500">
        <f t="shared" si="32"/>
        <v>7.4873949705670503E-2</v>
      </c>
      <c r="U326" s="34" t="s">
        <v>2394</v>
      </c>
      <c r="V326" s="34" t="s">
        <v>2395</v>
      </c>
      <c r="W326" s="34" t="s">
        <v>2403</v>
      </c>
      <c r="X326" s="775">
        <v>8000000</v>
      </c>
      <c r="Y326" s="775"/>
      <c r="Z326" s="775"/>
      <c r="AA326" s="775"/>
      <c r="AB326" s="709">
        <f t="shared" si="30"/>
        <v>8000000</v>
      </c>
      <c r="AC326" s="135" t="s">
        <v>2401</v>
      </c>
      <c r="AD326" s="205"/>
      <c r="AE326" s="65">
        <v>20</v>
      </c>
      <c r="AF326" s="65" t="s">
        <v>327</v>
      </c>
      <c r="AG326" s="28">
        <v>292684</v>
      </c>
      <c r="AH326" s="28">
        <v>282326</v>
      </c>
      <c r="AI326" s="28">
        <v>135912</v>
      </c>
      <c r="AJ326" s="28">
        <v>45122</v>
      </c>
      <c r="AK326" s="28">
        <v>365607</v>
      </c>
      <c r="AL326" s="28">
        <v>86875</v>
      </c>
      <c r="AM326" s="28">
        <v>2145</v>
      </c>
      <c r="AN326" s="28">
        <v>12718</v>
      </c>
      <c r="AO326" s="28">
        <v>26</v>
      </c>
      <c r="AP326" s="28">
        <v>37</v>
      </c>
      <c r="AQ326" s="28" t="s">
        <v>1818</v>
      </c>
      <c r="AR326" s="28" t="s">
        <v>1819</v>
      </c>
      <c r="AS326" s="28">
        <v>53164</v>
      </c>
      <c r="AT326" s="28">
        <v>16982</v>
      </c>
      <c r="AU326" s="28">
        <v>60013</v>
      </c>
      <c r="AV326" s="28">
        <v>57501</v>
      </c>
      <c r="AW326" s="843">
        <v>45293</v>
      </c>
      <c r="AX326" s="843">
        <v>45657</v>
      </c>
      <c r="AY326" s="28" t="s">
        <v>1820</v>
      </c>
      <c r="AZ326" s="15"/>
      <c r="BA326" s="15"/>
      <c r="BB326" s="15"/>
      <c r="BC326" s="15"/>
      <c r="BD326" s="15"/>
      <c r="BE326" s="15"/>
      <c r="BF326" s="15"/>
      <c r="BG326" s="15"/>
      <c r="BH326" s="15"/>
      <c r="BI326" s="15"/>
      <c r="BJ326" s="15"/>
      <c r="BK326" s="15"/>
      <c r="BL326" s="15"/>
      <c r="BM326" s="15"/>
      <c r="BN326" s="15"/>
    </row>
    <row r="327" spans="1:66" s="47" customFormat="1" ht="63.75" x14ac:dyDescent="0.2">
      <c r="A327" s="28">
        <v>1</v>
      </c>
      <c r="B327" s="34" t="s">
        <v>315</v>
      </c>
      <c r="C327" s="28">
        <v>19</v>
      </c>
      <c r="D327" s="34" t="s">
        <v>517</v>
      </c>
      <c r="E327" s="28">
        <v>1906</v>
      </c>
      <c r="F327" s="34" t="s">
        <v>2236</v>
      </c>
      <c r="G327" s="28" t="s">
        <v>70</v>
      </c>
      <c r="H327" s="34" t="s">
        <v>2363</v>
      </c>
      <c r="I327" s="28">
        <v>1906023</v>
      </c>
      <c r="J327" s="34" t="s">
        <v>2404</v>
      </c>
      <c r="K327" s="280" t="s">
        <v>70</v>
      </c>
      <c r="L327" s="34" t="s">
        <v>2405</v>
      </c>
      <c r="M327" s="215">
        <v>190602301</v>
      </c>
      <c r="N327" s="34" t="s">
        <v>2365</v>
      </c>
      <c r="O327" s="205">
        <v>40</v>
      </c>
      <c r="P327" s="205"/>
      <c r="Q327" s="205">
        <v>40</v>
      </c>
      <c r="R327" s="79">
        <v>2020003630138</v>
      </c>
      <c r="S327" s="34" t="s">
        <v>2393</v>
      </c>
      <c r="T327" s="500">
        <f>SUM(X327)/SUM(X321:X327)</f>
        <v>0.92512605029432948</v>
      </c>
      <c r="U327" s="34" t="s">
        <v>2394</v>
      </c>
      <c r="V327" s="34" t="s">
        <v>2406</v>
      </c>
      <c r="W327" s="34" t="s">
        <v>2407</v>
      </c>
      <c r="X327" s="871">
        <v>617789000</v>
      </c>
      <c r="Y327" s="871"/>
      <c r="Z327" s="871"/>
      <c r="AA327" s="871"/>
      <c r="AB327" s="709">
        <f t="shared" si="30"/>
        <v>617789000</v>
      </c>
      <c r="AC327" s="135" t="s">
        <v>2408</v>
      </c>
      <c r="AD327" s="205"/>
      <c r="AE327" s="205">
        <v>180</v>
      </c>
      <c r="AF327" s="28" t="s">
        <v>2409</v>
      </c>
      <c r="AG327" s="28">
        <v>292684</v>
      </c>
      <c r="AH327" s="28">
        <v>282326</v>
      </c>
      <c r="AI327" s="28">
        <v>135912</v>
      </c>
      <c r="AJ327" s="28">
        <v>45122</v>
      </c>
      <c r="AK327" s="28">
        <v>365607</v>
      </c>
      <c r="AL327" s="28">
        <v>86875</v>
      </c>
      <c r="AM327" s="28">
        <v>2145</v>
      </c>
      <c r="AN327" s="28">
        <v>12718</v>
      </c>
      <c r="AO327" s="28">
        <v>26</v>
      </c>
      <c r="AP327" s="28">
        <v>37</v>
      </c>
      <c r="AQ327" s="28" t="s">
        <v>1818</v>
      </c>
      <c r="AR327" s="28" t="s">
        <v>1819</v>
      </c>
      <c r="AS327" s="28">
        <v>53164</v>
      </c>
      <c r="AT327" s="28">
        <v>16982</v>
      </c>
      <c r="AU327" s="28">
        <v>60013</v>
      </c>
      <c r="AV327" s="28">
        <v>57501</v>
      </c>
      <c r="AW327" s="843">
        <v>45293</v>
      </c>
      <c r="AX327" s="843">
        <v>45657</v>
      </c>
      <c r="AY327" s="28" t="s">
        <v>1820</v>
      </c>
      <c r="AZ327" s="15"/>
      <c r="BA327" s="15"/>
      <c r="BB327" s="15"/>
      <c r="BC327" s="15"/>
      <c r="BD327" s="15"/>
      <c r="BE327" s="15"/>
      <c r="BF327" s="15"/>
      <c r="BG327" s="15"/>
      <c r="BH327" s="15"/>
      <c r="BI327" s="15"/>
      <c r="BJ327" s="15"/>
      <c r="BK327" s="15"/>
      <c r="BL327" s="15"/>
      <c r="BM327" s="15"/>
      <c r="BN327" s="15"/>
    </row>
    <row r="328" spans="1:66" s="316" customFormat="1" ht="34.5" customHeight="1" x14ac:dyDescent="0.2">
      <c r="A328" s="336"/>
      <c r="B328" s="932"/>
      <c r="C328" s="336"/>
      <c r="D328" s="932"/>
      <c r="E328" s="336"/>
      <c r="F328" s="932"/>
      <c r="G328" s="336" t="s">
        <v>2410</v>
      </c>
      <c r="H328" s="932"/>
      <c r="I328" s="336"/>
      <c r="J328" s="932"/>
      <c r="K328" s="336"/>
      <c r="L328" s="932"/>
      <c r="M328" s="336"/>
      <c r="N328" s="932"/>
      <c r="O328" s="336"/>
      <c r="P328" s="336"/>
      <c r="Q328" s="336"/>
      <c r="R328" s="336"/>
      <c r="S328" s="932"/>
      <c r="T328" s="336"/>
      <c r="U328" s="932"/>
      <c r="V328" s="932"/>
      <c r="W328" s="932" t="s">
        <v>526</v>
      </c>
      <c r="X328" s="337">
        <f>SUBTOTAL(9,X11:X327)</f>
        <v>65916870760.45002</v>
      </c>
      <c r="Y328" s="337">
        <f>SUBTOTAL(9,Y11:Y327)</f>
        <v>3267816443.3899999</v>
      </c>
      <c r="Z328" s="337">
        <f>SUBTOTAL(9,Z11:Z327)</f>
        <v>0</v>
      </c>
      <c r="AA328" s="337">
        <f>SUBTOTAL(9,AA11:AA327)</f>
        <v>0</v>
      </c>
      <c r="AB328" s="337">
        <f>SUBTOTAL(9,AB11:AB327)</f>
        <v>62649054317.060013</v>
      </c>
      <c r="AC328" s="336"/>
      <c r="AD328" s="336"/>
      <c r="AE328" s="336"/>
      <c r="AF328" s="336"/>
      <c r="AG328" s="336"/>
      <c r="AH328" s="336"/>
      <c r="AI328" s="336"/>
      <c r="AJ328" s="336"/>
      <c r="AK328" s="336"/>
      <c r="AL328" s="336"/>
      <c r="AM328" s="336"/>
      <c r="AN328" s="336"/>
      <c r="AO328" s="336"/>
      <c r="AP328" s="336"/>
      <c r="AQ328" s="336"/>
      <c r="AR328" s="336"/>
      <c r="AS328" s="336"/>
      <c r="AT328" s="336"/>
      <c r="AU328" s="336"/>
      <c r="AV328" s="336"/>
      <c r="AW328" s="336"/>
      <c r="AX328" s="336"/>
      <c r="AY328" s="336"/>
      <c r="AZ328" s="14"/>
      <c r="BA328" s="14"/>
      <c r="BB328" s="14"/>
      <c r="BC328" s="14"/>
      <c r="BD328" s="14"/>
      <c r="BE328" s="14"/>
      <c r="BF328" s="14"/>
      <c r="BG328" s="14"/>
      <c r="BH328" s="14"/>
      <c r="BI328" s="14"/>
      <c r="BJ328" s="14"/>
      <c r="BK328" s="14"/>
      <c r="BL328" s="14"/>
      <c r="BM328" s="14"/>
      <c r="BN328" s="14"/>
    </row>
    <row r="329" spans="1:66" s="316" customFormat="1" ht="74.25" customHeight="1" x14ac:dyDescent="0.2">
      <c r="A329" s="338"/>
      <c r="B329" s="933"/>
      <c r="C329" s="338"/>
      <c r="D329" s="933"/>
      <c r="E329" s="338"/>
      <c r="F329" s="933"/>
      <c r="G329" s="339"/>
      <c r="H329" s="934"/>
      <c r="I329" s="338"/>
      <c r="J329" s="933"/>
      <c r="K329" s="340"/>
      <c r="L329" s="937"/>
      <c r="M329" s="341"/>
      <c r="N329" s="933"/>
      <c r="O329" s="339"/>
      <c r="P329" s="339"/>
      <c r="Q329" s="339"/>
      <c r="R329" s="342"/>
      <c r="S329" s="933"/>
      <c r="T329" s="343"/>
      <c r="U329" s="933"/>
      <c r="V329" s="933"/>
      <c r="W329" s="933"/>
      <c r="X329" s="345"/>
      <c r="Y329" s="345"/>
      <c r="Z329" s="345"/>
      <c r="AA329" s="345"/>
      <c r="AB329" s="345"/>
      <c r="AC329" s="346"/>
      <c r="AD329" s="344"/>
      <c r="AE329" s="347"/>
      <c r="AF329" s="338"/>
      <c r="AG329" s="338"/>
      <c r="AH329" s="338"/>
      <c r="AI329" s="338"/>
      <c r="AJ329" s="338"/>
      <c r="AK329" s="338"/>
      <c r="AL329" s="338"/>
      <c r="AM329" s="338"/>
      <c r="AN329" s="338"/>
      <c r="AO329" s="338"/>
      <c r="AP329" s="338"/>
      <c r="AQ329" s="338"/>
      <c r="AR329" s="338"/>
      <c r="AS329" s="338"/>
      <c r="AT329" s="338"/>
      <c r="AU329" s="338"/>
      <c r="AV329" s="338"/>
      <c r="AW329" s="348"/>
      <c r="AX329" s="348"/>
      <c r="AY329" s="338"/>
      <c r="AZ329" s="14"/>
      <c r="BA329" s="14"/>
      <c r="BB329" s="14"/>
      <c r="BC329" s="14"/>
      <c r="BD329" s="14"/>
      <c r="BE329" s="14"/>
      <c r="BF329" s="14"/>
      <c r="BG329" s="14"/>
      <c r="BH329" s="14"/>
      <c r="BI329" s="14"/>
      <c r="BJ329" s="14"/>
      <c r="BK329" s="14"/>
      <c r="BL329" s="14"/>
      <c r="BM329" s="14"/>
      <c r="BN329" s="14"/>
    </row>
    <row r="330" spans="1:66" s="316" customFormat="1" ht="12.75" customHeight="1" x14ac:dyDescent="0.2">
      <c r="A330" s="338"/>
      <c r="B330" s="933"/>
      <c r="C330" s="338"/>
      <c r="D330" s="933"/>
      <c r="E330" s="338"/>
      <c r="F330" s="933"/>
      <c r="G330" s="339"/>
      <c r="H330" s="934"/>
      <c r="I330" s="338"/>
      <c r="J330" s="933"/>
      <c r="K330" s="340"/>
      <c r="L330" s="937"/>
      <c r="M330" s="341"/>
      <c r="N330" s="933"/>
      <c r="O330" s="339"/>
      <c r="P330" s="339"/>
      <c r="Q330" s="339"/>
      <c r="R330" s="342"/>
      <c r="S330" s="933"/>
      <c r="T330" s="343"/>
      <c r="U330" s="933"/>
      <c r="V330" s="933"/>
      <c r="W330" s="933"/>
      <c r="X330" s="345"/>
      <c r="Y330" s="345"/>
      <c r="Z330" s="345"/>
      <c r="AA330" s="345"/>
      <c r="AB330" s="345"/>
      <c r="AC330" s="346"/>
      <c r="AD330" s="344"/>
      <c r="AE330" s="347"/>
      <c r="AF330" s="338"/>
      <c r="AG330" s="338"/>
      <c r="AH330" s="338"/>
      <c r="AI330" s="338"/>
      <c r="AJ330" s="338"/>
      <c r="AK330" s="338"/>
      <c r="AL330" s="338"/>
      <c r="AM330" s="338"/>
      <c r="AN330" s="338"/>
      <c r="AO330" s="338"/>
      <c r="AP330" s="338"/>
      <c r="AQ330" s="338"/>
      <c r="AR330" s="338"/>
      <c r="AS330" s="338"/>
      <c r="AT330" s="338"/>
      <c r="AU330" s="338"/>
      <c r="AV330" s="338"/>
      <c r="AW330" s="348"/>
      <c r="AX330" s="348"/>
      <c r="AY330" s="338"/>
      <c r="AZ330" s="14"/>
      <c r="BA330" s="14"/>
      <c r="BB330" s="14"/>
      <c r="BC330" s="14"/>
      <c r="BD330" s="14"/>
      <c r="BE330" s="14"/>
      <c r="BF330" s="14"/>
      <c r="BG330" s="14"/>
      <c r="BH330" s="14"/>
      <c r="BI330" s="14"/>
      <c r="BJ330" s="14"/>
      <c r="BK330" s="14"/>
      <c r="BL330" s="14"/>
      <c r="BM330" s="14"/>
      <c r="BN330" s="14"/>
    </row>
    <row r="331" spans="1:66" s="316" customFormat="1" ht="25.5" customHeight="1" x14ac:dyDescent="0.2">
      <c r="A331" s="338"/>
      <c r="B331" s="933"/>
      <c r="C331" s="338"/>
      <c r="D331" s="933"/>
      <c r="E331" s="338"/>
      <c r="F331" s="933"/>
      <c r="G331" s="339"/>
      <c r="H331" s="934"/>
      <c r="I331" s="338"/>
      <c r="J331" s="933"/>
      <c r="K331" s="340"/>
      <c r="L331" s="937"/>
      <c r="M331" s="341"/>
      <c r="N331" s="933"/>
      <c r="O331" s="1218" t="s">
        <v>2411</v>
      </c>
      <c r="P331" s="1218"/>
      <c r="Q331" s="1218"/>
      <c r="R331" s="1218"/>
      <c r="S331" s="1218"/>
      <c r="T331" s="343"/>
      <c r="U331" s="933"/>
      <c r="V331" s="933"/>
      <c r="W331" s="933"/>
      <c r="X331" s="345"/>
      <c r="Y331" s="345"/>
      <c r="Z331" s="345"/>
      <c r="AA331" s="345"/>
      <c r="AB331" s="345"/>
      <c r="AC331" s="346"/>
      <c r="AD331" s="344"/>
      <c r="AE331" s="347"/>
      <c r="AF331" s="338"/>
      <c r="AG331" s="338"/>
      <c r="AH331" s="338"/>
      <c r="AI331" s="338"/>
      <c r="AJ331" s="338"/>
      <c r="AK331" s="338"/>
      <c r="AL331" s="338"/>
      <c r="AM331" s="338"/>
      <c r="AN331" s="338"/>
      <c r="AO331" s="338"/>
      <c r="AP331" s="338"/>
      <c r="AQ331" s="338"/>
      <c r="AR331" s="338"/>
      <c r="AS331" s="338"/>
      <c r="AT331" s="338"/>
      <c r="AU331" s="338"/>
      <c r="AV331" s="338"/>
      <c r="AW331" s="348"/>
      <c r="AX331" s="348"/>
      <c r="AY331" s="338"/>
      <c r="AZ331" s="14"/>
      <c r="BA331" s="14"/>
      <c r="BB331" s="14"/>
      <c r="BC331" s="14"/>
      <c r="BD331" s="14"/>
      <c r="BE331" s="14"/>
      <c r="BF331" s="14"/>
      <c r="BG331" s="14"/>
      <c r="BH331" s="14"/>
      <c r="BI331" s="14"/>
      <c r="BJ331" s="14"/>
      <c r="BK331" s="14"/>
      <c r="BL331" s="14"/>
      <c r="BM331" s="14"/>
      <c r="BN331" s="14"/>
    </row>
    <row r="332" spans="1:66" ht="45" customHeight="1" x14ac:dyDescent="0.2">
      <c r="K332" s="81"/>
      <c r="L332" s="890"/>
      <c r="M332" s="81"/>
      <c r="O332" s="1080" t="s">
        <v>2412</v>
      </c>
      <c r="P332" s="1080"/>
      <c r="Q332" s="1080"/>
      <c r="R332" s="1080"/>
      <c r="S332" s="1080"/>
      <c r="AD332" s="350"/>
      <c r="AE332" s="85"/>
      <c r="AF332" s="85"/>
    </row>
    <row r="333" spans="1:66" ht="29.25" customHeight="1" x14ac:dyDescent="0.2">
      <c r="K333" s="81"/>
      <c r="L333" s="890"/>
      <c r="M333" s="81"/>
      <c r="X333" s="351">
        <f>SUM(X205:X312)</f>
        <v>46213945543.390007</v>
      </c>
      <c r="Y333" s="351"/>
      <c r="Z333" s="351"/>
      <c r="AA333" s="351"/>
      <c r="AB333" s="351"/>
      <c r="AD333" s="350"/>
      <c r="AE333" s="85"/>
      <c r="AF333" s="85"/>
    </row>
    <row r="334" spans="1:66" ht="41.25" customHeight="1" x14ac:dyDescent="0.2">
      <c r="K334" s="81"/>
      <c r="L334" s="890"/>
      <c r="M334" s="81"/>
      <c r="X334" s="352"/>
      <c r="Y334" s="352"/>
      <c r="Z334" s="352"/>
      <c r="AA334" s="352"/>
      <c r="AB334" s="352"/>
      <c r="AD334" s="350"/>
      <c r="AE334" s="85"/>
      <c r="AF334" s="85"/>
    </row>
    <row r="335" spans="1:66" x14ac:dyDescent="0.2">
      <c r="K335" s="81"/>
      <c r="L335" s="890"/>
      <c r="M335" s="81"/>
      <c r="X335" s="353"/>
      <c r="Y335" s="353"/>
      <c r="Z335" s="353"/>
      <c r="AA335" s="353"/>
      <c r="AB335" s="353"/>
      <c r="AD335" s="350"/>
      <c r="AE335" s="85"/>
      <c r="AF335" s="85"/>
    </row>
    <row r="336" spans="1:66" x14ac:dyDescent="0.2">
      <c r="I336" s="1076" t="s">
        <v>113</v>
      </c>
      <c r="J336" s="1076"/>
      <c r="K336" s="1077" t="s">
        <v>114</v>
      </c>
      <c r="L336" s="1078"/>
      <c r="M336" s="1077" t="s">
        <v>115</v>
      </c>
      <c r="N336" s="1078"/>
      <c r="X336" s="353"/>
      <c r="Y336" s="353"/>
      <c r="Z336" s="353"/>
      <c r="AA336" s="353"/>
      <c r="AB336" s="353"/>
      <c r="AD336" s="350"/>
      <c r="AE336" s="85"/>
      <c r="AF336" s="85"/>
    </row>
    <row r="337" spans="1:66" x14ac:dyDescent="0.2">
      <c r="I337" s="1076" t="s">
        <v>116</v>
      </c>
      <c r="J337" s="1076"/>
      <c r="K337" s="1077" t="s">
        <v>117</v>
      </c>
      <c r="L337" s="1078"/>
      <c r="M337" s="1076" t="s">
        <v>118</v>
      </c>
      <c r="N337" s="1076"/>
      <c r="AD337" s="350"/>
      <c r="AE337" s="85"/>
      <c r="AF337" s="85"/>
    </row>
    <row r="338" spans="1:66" x14ac:dyDescent="0.2">
      <c r="I338" s="1076" t="s">
        <v>119</v>
      </c>
      <c r="J338" s="1076"/>
      <c r="K338" s="1077" t="s">
        <v>120</v>
      </c>
      <c r="L338" s="1078"/>
      <c r="M338" s="1076" t="s">
        <v>121</v>
      </c>
      <c r="N338" s="1076"/>
      <c r="X338" s="354"/>
      <c r="Y338" s="354"/>
      <c r="Z338" s="354"/>
      <c r="AA338" s="354"/>
      <c r="AB338" s="354"/>
      <c r="AD338" s="350"/>
      <c r="AE338" s="85"/>
      <c r="AF338" s="85"/>
    </row>
    <row r="339" spans="1:66" x14ac:dyDescent="0.2">
      <c r="K339" s="81"/>
      <c r="L339" s="890"/>
      <c r="M339" s="81"/>
    </row>
    <row r="340" spans="1:66" s="316" customFormat="1" x14ac:dyDescent="0.2">
      <c r="A340" s="338"/>
      <c r="B340" s="933"/>
      <c r="C340" s="338"/>
      <c r="D340" s="933"/>
      <c r="E340" s="338"/>
      <c r="F340" s="933"/>
      <c r="G340" s="339"/>
      <c r="H340" s="934"/>
      <c r="I340" s="338"/>
      <c r="J340" s="933"/>
      <c r="K340" s="340"/>
      <c r="L340" s="937"/>
      <c r="M340" s="341"/>
      <c r="N340" s="933"/>
      <c r="O340" s="339"/>
      <c r="P340" s="339"/>
      <c r="Q340" s="339"/>
      <c r="R340" s="342"/>
      <c r="S340" s="933"/>
      <c r="T340" s="343"/>
      <c r="U340" s="933"/>
      <c r="V340" s="933"/>
      <c r="W340" s="933"/>
      <c r="X340" s="345"/>
      <c r="Y340" s="345"/>
      <c r="Z340" s="345"/>
      <c r="AA340" s="345"/>
      <c r="AB340" s="345"/>
      <c r="AC340" s="346"/>
      <c r="AD340" s="344"/>
      <c r="AE340" s="347"/>
      <c r="AF340" s="338"/>
      <c r="AG340" s="338"/>
      <c r="AH340" s="338"/>
      <c r="AI340" s="338"/>
      <c r="AJ340" s="338"/>
      <c r="AK340" s="338"/>
      <c r="AL340" s="338"/>
      <c r="AM340" s="338"/>
      <c r="AN340" s="338"/>
      <c r="AO340" s="338"/>
      <c r="AP340" s="338"/>
      <c r="AQ340" s="338"/>
      <c r="AR340" s="338"/>
      <c r="AS340" s="338"/>
      <c r="AT340" s="338"/>
      <c r="AU340" s="338"/>
      <c r="AV340" s="338"/>
      <c r="AW340" s="348"/>
      <c r="AX340" s="348"/>
      <c r="AY340" s="338"/>
      <c r="AZ340" s="14"/>
      <c r="BA340" s="14"/>
      <c r="BB340" s="14"/>
      <c r="BC340" s="14"/>
      <c r="BD340" s="14"/>
      <c r="BE340" s="14"/>
      <c r="BF340" s="14"/>
      <c r="BG340" s="14"/>
      <c r="BH340" s="14"/>
      <c r="BI340" s="14"/>
      <c r="BJ340" s="14"/>
      <c r="BK340" s="14"/>
      <c r="BL340" s="14"/>
      <c r="BM340" s="14"/>
      <c r="BN340" s="14"/>
    </row>
    <row r="341" spans="1:66" s="316" customFormat="1" x14ac:dyDescent="0.2">
      <c r="A341" s="338"/>
      <c r="B341" s="933"/>
      <c r="C341" s="338"/>
      <c r="D341" s="933"/>
      <c r="E341" s="338"/>
      <c r="F341" s="933"/>
      <c r="G341" s="339"/>
      <c r="H341" s="934"/>
      <c r="I341" s="338"/>
      <c r="J341" s="933"/>
      <c r="K341" s="340"/>
      <c r="L341" s="937"/>
      <c r="M341" s="341"/>
      <c r="N341" s="933"/>
      <c r="O341" s="339"/>
      <c r="P341" s="339"/>
      <c r="Q341" s="339"/>
      <c r="R341" s="342"/>
      <c r="S341" s="933"/>
      <c r="T341" s="343"/>
      <c r="U341" s="933"/>
      <c r="V341" s="933"/>
      <c r="W341" s="933"/>
      <c r="X341" s="345"/>
      <c r="Y341" s="345"/>
      <c r="Z341" s="345"/>
      <c r="AA341" s="345"/>
      <c r="AB341" s="345"/>
      <c r="AC341" s="346"/>
      <c r="AD341" s="344"/>
      <c r="AE341" s="347"/>
      <c r="AF341" s="338"/>
      <c r="AG341" s="338"/>
      <c r="AH341" s="338"/>
      <c r="AI341" s="338"/>
      <c r="AJ341" s="338"/>
      <c r="AK341" s="338"/>
      <c r="AL341" s="338"/>
      <c r="AM341" s="338"/>
      <c r="AN341" s="338"/>
      <c r="AO341" s="338"/>
      <c r="AP341" s="338"/>
      <c r="AQ341" s="338"/>
      <c r="AR341" s="338"/>
      <c r="AS341" s="338"/>
      <c r="AT341" s="338"/>
      <c r="AU341" s="338"/>
      <c r="AV341" s="338"/>
      <c r="AW341" s="348"/>
      <c r="AX341" s="348"/>
      <c r="AY341" s="338"/>
      <c r="AZ341" s="14"/>
      <c r="BA341" s="14"/>
      <c r="BB341" s="14"/>
      <c r="BC341" s="14"/>
      <c r="BD341" s="14"/>
      <c r="BE341" s="14"/>
      <c r="BF341" s="14"/>
      <c r="BG341" s="14"/>
      <c r="BH341" s="14"/>
      <c r="BI341" s="14"/>
      <c r="BJ341" s="14"/>
      <c r="BK341" s="14"/>
      <c r="BL341" s="14"/>
      <c r="BM341" s="14"/>
      <c r="BN341" s="14"/>
    </row>
    <row r="342" spans="1:66" s="316" customFormat="1" x14ac:dyDescent="0.2">
      <c r="A342" s="338"/>
      <c r="B342" s="933"/>
      <c r="C342" s="338"/>
      <c r="D342" s="933"/>
      <c r="E342" s="338"/>
      <c r="F342" s="933"/>
      <c r="G342" s="339"/>
      <c r="H342" s="934"/>
      <c r="I342" s="338"/>
      <c r="J342" s="933"/>
      <c r="K342" s="340"/>
      <c r="L342" s="937"/>
      <c r="M342" s="341"/>
      <c r="N342" s="933"/>
      <c r="O342" s="339"/>
      <c r="P342" s="339"/>
      <c r="Q342" s="339"/>
      <c r="R342" s="342"/>
      <c r="S342" s="933"/>
      <c r="T342" s="343"/>
      <c r="U342" s="933"/>
      <c r="V342" s="933"/>
      <c r="W342" s="933"/>
      <c r="X342" s="345"/>
      <c r="Y342" s="345"/>
      <c r="Z342" s="345"/>
      <c r="AA342" s="345"/>
      <c r="AB342" s="345"/>
      <c r="AC342" s="346"/>
      <c r="AD342" s="344"/>
      <c r="AE342" s="347"/>
      <c r="AF342" s="338"/>
      <c r="AG342" s="338"/>
      <c r="AH342" s="338"/>
      <c r="AI342" s="338"/>
      <c r="AJ342" s="338"/>
      <c r="AK342" s="338"/>
      <c r="AL342" s="338"/>
      <c r="AM342" s="338"/>
      <c r="AN342" s="338"/>
      <c r="AO342" s="338"/>
      <c r="AP342" s="338"/>
      <c r="AQ342" s="338"/>
      <c r="AR342" s="338"/>
      <c r="AS342" s="338"/>
      <c r="AT342" s="338"/>
      <c r="AU342" s="338"/>
      <c r="AV342" s="338"/>
      <c r="AW342" s="348"/>
      <c r="AX342" s="348"/>
      <c r="AY342" s="338"/>
      <c r="AZ342" s="14"/>
      <c r="BA342" s="14"/>
      <c r="BB342" s="14"/>
      <c r="BC342" s="14"/>
      <c r="BD342" s="14"/>
      <c r="BE342" s="14"/>
      <c r="BF342" s="14"/>
      <c r="BG342" s="14"/>
      <c r="BH342" s="14"/>
      <c r="BI342" s="14"/>
      <c r="BJ342" s="14"/>
      <c r="BK342" s="14"/>
      <c r="BL342" s="14"/>
      <c r="BM342" s="14"/>
      <c r="BN342" s="14"/>
    </row>
    <row r="343" spans="1:66" s="316" customFormat="1" x14ac:dyDescent="0.2">
      <c r="A343" s="338"/>
      <c r="B343" s="933"/>
      <c r="C343" s="338"/>
      <c r="D343" s="933"/>
      <c r="E343" s="338"/>
      <c r="F343" s="933"/>
      <c r="G343" s="339"/>
      <c r="H343" s="934"/>
      <c r="I343" s="338"/>
      <c r="J343" s="933"/>
      <c r="K343" s="340"/>
      <c r="L343" s="937"/>
      <c r="M343" s="341"/>
      <c r="N343" s="933"/>
      <c r="O343" s="339"/>
      <c r="P343" s="339"/>
      <c r="Q343" s="339"/>
      <c r="R343" s="342"/>
      <c r="S343" s="933"/>
      <c r="T343" s="343"/>
      <c r="U343" s="933"/>
      <c r="V343" s="933"/>
      <c r="W343" s="933"/>
      <c r="X343" s="345"/>
      <c r="Y343" s="345"/>
      <c r="Z343" s="345"/>
      <c r="AA343" s="345"/>
      <c r="AB343" s="345"/>
      <c r="AC343" s="346"/>
      <c r="AD343" s="344"/>
      <c r="AE343" s="347"/>
      <c r="AF343" s="338"/>
      <c r="AG343" s="338"/>
      <c r="AH343" s="338"/>
      <c r="AI343" s="338"/>
      <c r="AJ343" s="338"/>
      <c r="AK343" s="338"/>
      <c r="AL343" s="338"/>
      <c r="AM343" s="338"/>
      <c r="AN343" s="338"/>
      <c r="AO343" s="338"/>
      <c r="AP343" s="338"/>
      <c r="AQ343" s="338"/>
      <c r="AR343" s="338"/>
      <c r="AS343" s="338"/>
      <c r="AT343" s="338"/>
      <c r="AU343" s="338"/>
      <c r="AV343" s="338"/>
      <c r="AW343" s="348"/>
      <c r="AX343" s="348"/>
      <c r="AY343" s="338"/>
      <c r="AZ343" s="14"/>
      <c r="BA343" s="14"/>
      <c r="BB343" s="14"/>
      <c r="BC343" s="14"/>
      <c r="BD343" s="14"/>
      <c r="BE343" s="14"/>
      <c r="BF343" s="14"/>
      <c r="BG343" s="14"/>
      <c r="BH343" s="14"/>
      <c r="BI343" s="14"/>
      <c r="BJ343" s="14"/>
      <c r="BK343" s="14"/>
      <c r="BL343" s="14"/>
      <c r="BM343" s="14"/>
      <c r="BN343" s="14"/>
    </row>
    <row r="344" spans="1:66" s="316" customFormat="1" x14ac:dyDescent="0.2">
      <c r="A344" s="338"/>
      <c r="B344" s="933"/>
      <c r="C344" s="338"/>
      <c r="D344" s="933"/>
      <c r="E344" s="338"/>
      <c r="F344" s="933"/>
      <c r="G344" s="339"/>
      <c r="H344" s="934"/>
      <c r="I344" s="338"/>
      <c r="J344" s="933"/>
      <c r="K344" s="340"/>
      <c r="L344" s="937"/>
      <c r="M344" s="341"/>
      <c r="N344" s="933"/>
      <c r="O344" s="339"/>
      <c r="P344" s="339"/>
      <c r="Q344" s="339"/>
      <c r="R344" s="342"/>
      <c r="S344" s="933"/>
      <c r="T344" s="343"/>
      <c r="U344" s="933"/>
      <c r="V344" s="933"/>
      <c r="W344" s="933"/>
      <c r="X344" s="345"/>
      <c r="Y344" s="345"/>
      <c r="Z344" s="345"/>
      <c r="AA344" s="345"/>
      <c r="AB344" s="345"/>
      <c r="AC344" s="346"/>
      <c r="AD344" s="344"/>
      <c r="AE344" s="347"/>
      <c r="AF344" s="338"/>
      <c r="AG344" s="338"/>
      <c r="AH344" s="338"/>
      <c r="AI344" s="338"/>
      <c r="AJ344" s="338"/>
      <c r="AK344" s="338"/>
      <c r="AL344" s="338"/>
      <c r="AM344" s="338"/>
      <c r="AN344" s="338"/>
      <c r="AO344" s="338"/>
      <c r="AP344" s="338"/>
      <c r="AQ344" s="338"/>
      <c r="AR344" s="338"/>
      <c r="AS344" s="338"/>
      <c r="AT344" s="338"/>
      <c r="AU344" s="338"/>
      <c r="AV344" s="338"/>
      <c r="AW344" s="348"/>
      <c r="AX344" s="348"/>
      <c r="AY344" s="338"/>
      <c r="AZ344" s="14"/>
      <c r="BA344" s="14"/>
      <c r="BB344" s="14"/>
      <c r="BC344" s="14"/>
      <c r="BD344" s="14"/>
      <c r="BE344" s="14"/>
      <c r="BF344" s="14"/>
      <c r="BG344" s="14"/>
      <c r="BH344" s="14"/>
      <c r="BI344" s="14"/>
      <c r="BJ344" s="14"/>
      <c r="BK344" s="14"/>
      <c r="BL344" s="14"/>
      <c r="BM344" s="14"/>
      <c r="BN344" s="14"/>
    </row>
    <row r="345" spans="1:66" s="316" customFormat="1" x14ac:dyDescent="0.2">
      <c r="A345" s="338"/>
      <c r="B345" s="933"/>
      <c r="C345" s="338"/>
      <c r="D345" s="933"/>
      <c r="E345" s="338"/>
      <c r="F345" s="933"/>
      <c r="G345" s="339"/>
      <c r="H345" s="934"/>
      <c r="I345" s="338"/>
      <c r="J345" s="933"/>
      <c r="K345" s="340"/>
      <c r="L345" s="937"/>
      <c r="M345" s="341"/>
      <c r="N345" s="933"/>
      <c r="O345" s="339"/>
      <c r="P345" s="339"/>
      <c r="Q345" s="339"/>
      <c r="R345" s="342"/>
      <c r="S345" s="933"/>
      <c r="T345" s="343"/>
      <c r="U345" s="933"/>
      <c r="V345" s="933"/>
      <c r="W345" s="933"/>
      <c r="X345" s="345"/>
      <c r="Y345" s="345"/>
      <c r="Z345" s="345"/>
      <c r="AA345" s="345"/>
      <c r="AB345" s="345"/>
      <c r="AC345" s="346"/>
      <c r="AD345" s="344"/>
      <c r="AE345" s="347"/>
      <c r="AF345" s="338"/>
      <c r="AG345" s="338"/>
      <c r="AH345" s="338"/>
      <c r="AI345" s="338"/>
      <c r="AJ345" s="338"/>
      <c r="AK345" s="338"/>
      <c r="AL345" s="338"/>
      <c r="AM345" s="338"/>
      <c r="AN345" s="338"/>
      <c r="AO345" s="338"/>
      <c r="AP345" s="338"/>
      <c r="AQ345" s="338"/>
      <c r="AR345" s="338"/>
      <c r="AS345" s="338"/>
      <c r="AT345" s="338"/>
      <c r="AU345" s="338"/>
      <c r="AV345" s="338"/>
      <c r="AW345" s="348"/>
      <c r="AX345" s="348"/>
      <c r="AY345" s="338"/>
      <c r="AZ345" s="14"/>
      <c r="BA345" s="14"/>
      <c r="BB345" s="14"/>
      <c r="BC345" s="14"/>
      <c r="BD345" s="14"/>
      <c r="BE345" s="14"/>
      <c r="BF345" s="14"/>
      <c r="BG345" s="14"/>
      <c r="BH345" s="14"/>
      <c r="BI345" s="14"/>
      <c r="BJ345" s="14"/>
      <c r="BK345" s="14"/>
      <c r="BL345" s="14"/>
      <c r="BM345" s="14"/>
      <c r="BN345" s="14"/>
    </row>
    <row r="346" spans="1:66" s="316" customFormat="1" x14ac:dyDescent="0.2">
      <c r="A346" s="338"/>
      <c r="B346" s="933"/>
      <c r="C346" s="338"/>
      <c r="D346" s="933"/>
      <c r="E346" s="338"/>
      <c r="F346" s="933"/>
      <c r="G346" s="339"/>
      <c r="H346" s="934"/>
      <c r="I346" s="338"/>
      <c r="J346" s="933"/>
      <c r="K346" s="340"/>
      <c r="L346" s="937"/>
      <c r="M346" s="341"/>
      <c r="N346" s="933"/>
      <c r="O346" s="339"/>
      <c r="P346" s="339"/>
      <c r="Q346" s="339"/>
      <c r="R346" s="342"/>
      <c r="S346" s="933"/>
      <c r="T346" s="343"/>
      <c r="U346" s="933"/>
      <c r="V346" s="933"/>
      <c r="W346" s="933"/>
      <c r="X346" s="345"/>
      <c r="Y346" s="345"/>
      <c r="Z346" s="345"/>
      <c r="AA346" s="345"/>
      <c r="AB346" s="345"/>
      <c r="AC346" s="346"/>
      <c r="AD346" s="344"/>
      <c r="AE346" s="347"/>
      <c r="AF346" s="338"/>
      <c r="AG346" s="338"/>
      <c r="AH346" s="338"/>
      <c r="AI346" s="338"/>
      <c r="AJ346" s="338"/>
      <c r="AK346" s="338"/>
      <c r="AL346" s="338"/>
      <c r="AM346" s="338"/>
      <c r="AN346" s="338"/>
      <c r="AO346" s="338"/>
      <c r="AP346" s="338"/>
      <c r="AQ346" s="338"/>
      <c r="AR346" s="338"/>
      <c r="AS346" s="338"/>
      <c r="AT346" s="338"/>
      <c r="AU346" s="338"/>
      <c r="AV346" s="338"/>
      <c r="AW346" s="348"/>
      <c r="AX346" s="348"/>
      <c r="AY346" s="338"/>
      <c r="AZ346" s="14"/>
      <c r="BA346" s="14"/>
      <c r="BB346" s="14"/>
      <c r="BC346" s="14"/>
      <c r="BD346" s="14"/>
      <c r="BE346" s="14"/>
      <c r="BF346" s="14"/>
      <c r="BG346" s="14"/>
      <c r="BH346" s="14"/>
      <c r="BI346" s="14"/>
      <c r="BJ346" s="14"/>
      <c r="BK346" s="14"/>
      <c r="BL346" s="14"/>
      <c r="BM346" s="14"/>
      <c r="BN346" s="14"/>
    </row>
    <row r="347" spans="1:66" s="316" customFormat="1" x14ac:dyDescent="0.2">
      <c r="A347" s="338"/>
      <c r="B347" s="933"/>
      <c r="C347" s="338"/>
      <c r="D347" s="933"/>
      <c r="E347" s="338"/>
      <c r="F347" s="933"/>
      <c r="G347" s="339"/>
      <c r="H347" s="934"/>
      <c r="I347" s="338"/>
      <c r="J347" s="933"/>
      <c r="K347" s="340"/>
      <c r="L347" s="937"/>
      <c r="M347" s="341"/>
      <c r="N347" s="933"/>
      <c r="O347" s="339"/>
      <c r="P347" s="339"/>
      <c r="Q347" s="339"/>
      <c r="R347" s="342"/>
      <c r="S347" s="933"/>
      <c r="T347" s="343"/>
      <c r="U347" s="933"/>
      <c r="V347" s="933"/>
      <c r="W347" s="933"/>
      <c r="X347" s="345"/>
      <c r="Y347" s="345"/>
      <c r="Z347" s="345"/>
      <c r="AA347" s="345"/>
      <c r="AB347" s="345"/>
      <c r="AC347" s="346"/>
      <c r="AD347" s="344"/>
      <c r="AE347" s="347"/>
      <c r="AF347" s="338"/>
      <c r="AG347" s="338"/>
      <c r="AH347" s="338"/>
      <c r="AI347" s="338"/>
      <c r="AJ347" s="338"/>
      <c r="AK347" s="338"/>
      <c r="AL347" s="338"/>
      <c r="AM347" s="338"/>
      <c r="AN347" s="338"/>
      <c r="AO347" s="338"/>
      <c r="AP347" s="338"/>
      <c r="AQ347" s="338"/>
      <c r="AR347" s="338"/>
      <c r="AS347" s="338"/>
      <c r="AT347" s="338"/>
      <c r="AU347" s="338"/>
      <c r="AV347" s="338"/>
      <c r="AW347" s="348"/>
      <c r="AX347" s="348"/>
      <c r="AY347" s="338"/>
      <c r="AZ347" s="14"/>
      <c r="BA347" s="14"/>
      <c r="BB347" s="14"/>
      <c r="BC347" s="14"/>
      <c r="BD347" s="14"/>
      <c r="BE347" s="14"/>
      <c r="BF347" s="14"/>
      <c r="BG347" s="14"/>
      <c r="BH347" s="14"/>
      <c r="BI347" s="14"/>
      <c r="BJ347" s="14"/>
      <c r="BK347" s="14"/>
      <c r="BL347" s="14"/>
      <c r="BM347" s="14"/>
      <c r="BN347" s="14"/>
    </row>
    <row r="348" spans="1:66" s="316" customFormat="1" x14ac:dyDescent="0.2">
      <c r="A348" s="338"/>
      <c r="B348" s="933"/>
      <c r="C348" s="338"/>
      <c r="D348" s="933"/>
      <c r="E348" s="338"/>
      <c r="F348" s="933"/>
      <c r="G348" s="339"/>
      <c r="H348" s="934"/>
      <c r="I348" s="338"/>
      <c r="J348" s="933"/>
      <c r="K348" s="340"/>
      <c r="L348" s="937"/>
      <c r="M348" s="341"/>
      <c r="N348" s="933"/>
      <c r="O348" s="339"/>
      <c r="P348" s="339"/>
      <c r="Q348" s="339"/>
      <c r="R348" s="342"/>
      <c r="S348" s="933"/>
      <c r="T348" s="343"/>
      <c r="U348" s="933"/>
      <c r="V348" s="933"/>
      <c r="W348" s="933"/>
      <c r="X348" s="345"/>
      <c r="Y348" s="345"/>
      <c r="Z348" s="345"/>
      <c r="AA348" s="345"/>
      <c r="AB348" s="345"/>
      <c r="AC348" s="346"/>
      <c r="AD348" s="344"/>
      <c r="AE348" s="347"/>
      <c r="AF348" s="338"/>
      <c r="AG348" s="338"/>
      <c r="AH348" s="338"/>
      <c r="AI348" s="338"/>
      <c r="AJ348" s="338"/>
      <c r="AK348" s="338"/>
      <c r="AL348" s="338"/>
      <c r="AM348" s="338"/>
      <c r="AN348" s="338"/>
      <c r="AO348" s="338"/>
      <c r="AP348" s="338"/>
      <c r="AQ348" s="338"/>
      <c r="AR348" s="338"/>
      <c r="AS348" s="338"/>
      <c r="AT348" s="338"/>
      <c r="AU348" s="338"/>
      <c r="AV348" s="338"/>
      <c r="AW348" s="348"/>
      <c r="AX348" s="348"/>
      <c r="AY348" s="338"/>
      <c r="AZ348" s="14"/>
      <c r="BA348" s="14"/>
      <c r="BB348" s="14"/>
      <c r="BC348" s="14"/>
      <c r="BD348" s="14"/>
      <c r="BE348" s="14"/>
      <c r="BF348" s="14"/>
      <c r="BG348" s="14"/>
      <c r="BH348" s="14"/>
      <c r="BI348" s="14"/>
      <c r="BJ348" s="14"/>
      <c r="BK348" s="14"/>
      <c r="BL348" s="14"/>
      <c r="BM348" s="14"/>
      <c r="BN348" s="14"/>
    </row>
    <row r="349" spans="1:66" s="316" customFormat="1" x14ac:dyDescent="0.2">
      <c r="A349" s="338"/>
      <c r="B349" s="933"/>
      <c r="C349" s="338"/>
      <c r="D349" s="933"/>
      <c r="E349" s="338"/>
      <c r="F349" s="933"/>
      <c r="G349" s="339"/>
      <c r="H349" s="934"/>
      <c r="I349" s="338"/>
      <c r="J349" s="933"/>
      <c r="K349" s="340"/>
      <c r="L349" s="937"/>
      <c r="M349" s="341"/>
      <c r="N349" s="933"/>
      <c r="O349" s="339"/>
      <c r="P349" s="339"/>
      <c r="Q349" s="339"/>
      <c r="R349" s="342"/>
      <c r="S349" s="933"/>
      <c r="T349" s="343"/>
      <c r="U349" s="933"/>
      <c r="V349" s="933"/>
      <c r="W349" s="933"/>
      <c r="X349" s="345"/>
      <c r="Y349" s="345"/>
      <c r="Z349" s="345"/>
      <c r="AA349" s="345"/>
      <c r="AB349" s="345"/>
      <c r="AC349" s="346"/>
      <c r="AD349" s="344"/>
      <c r="AE349" s="347"/>
      <c r="AF349" s="338"/>
      <c r="AG349" s="338"/>
      <c r="AH349" s="338"/>
      <c r="AI349" s="338"/>
      <c r="AJ349" s="338"/>
      <c r="AK349" s="338"/>
      <c r="AL349" s="338"/>
      <c r="AM349" s="338"/>
      <c r="AN349" s="338"/>
      <c r="AO349" s="338"/>
      <c r="AP349" s="338"/>
      <c r="AQ349" s="338"/>
      <c r="AR349" s="338"/>
      <c r="AS349" s="338"/>
      <c r="AT349" s="338"/>
      <c r="AU349" s="338"/>
      <c r="AV349" s="338"/>
      <c r="AW349" s="348"/>
      <c r="AX349" s="348"/>
      <c r="AY349" s="338"/>
      <c r="AZ349" s="14"/>
      <c r="BA349" s="14"/>
      <c r="BB349" s="14"/>
      <c r="BC349" s="14"/>
      <c r="BD349" s="14"/>
      <c r="BE349" s="14"/>
      <c r="BF349" s="14"/>
      <c r="BG349" s="14"/>
      <c r="BH349" s="14"/>
      <c r="BI349" s="14"/>
      <c r="BJ349" s="14"/>
      <c r="BK349" s="14"/>
      <c r="BL349" s="14"/>
      <c r="BM349" s="14"/>
      <c r="BN349" s="14"/>
    </row>
    <row r="350" spans="1:66" s="316" customFormat="1" x14ac:dyDescent="0.2">
      <c r="A350" s="338"/>
      <c r="B350" s="933"/>
      <c r="C350" s="338"/>
      <c r="D350" s="933"/>
      <c r="E350" s="338"/>
      <c r="F350" s="933"/>
      <c r="G350" s="339"/>
      <c r="H350" s="934"/>
      <c r="I350" s="338"/>
      <c r="J350" s="933"/>
      <c r="K350" s="340"/>
      <c r="L350" s="937"/>
      <c r="M350" s="341"/>
      <c r="N350" s="933"/>
      <c r="O350" s="339"/>
      <c r="P350" s="339"/>
      <c r="Q350" s="339"/>
      <c r="R350" s="342"/>
      <c r="S350" s="933"/>
      <c r="T350" s="343"/>
      <c r="U350" s="933"/>
      <c r="V350" s="933"/>
      <c r="W350" s="933"/>
      <c r="X350" s="345"/>
      <c r="Y350" s="345"/>
      <c r="Z350" s="345"/>
      <c r="AA350" s="345"/>
      <c r="AB350" s="345"/>
      <c r="AC350" s="346"/>
      <c r="AD350" s="344"/>
      <c r="AE350" s="347"/>
      <c r="AF350" s="338"/>
      <c r="AG350" s="338"/>
      <c r="AH350" s="338"/>
      <c r="AI350" s="338"/>
      <c r="AJ350" s="338"/>
      <c r="AK350" s="338"/>
      <c r="AL350" s="338"/>
      <c r="AM350" s="338"/>
      <c r="AN350" s="338"/>
      <c r="AO350" s="338"/>
      <c r="AP350" s="338"/>
      <c r="AQ350" s="338"/>
      <c r="AR350" s="338"/>
      <c r="AS350" s="338"/>
      <c r="AT350" s="338"/>
      <c r="AU350" s="338"/>
      <c r="AV350" s="338"/>
      <c r="AW350" s="348"/>
      <c r="AX350" s="348"/>
      <c r="AY350" s="338"/>
      <c r="AZ350" s="14"/>
      <c r="BA350" s="14"/>
      <c r="BB350" s="14"/>
      <c r="BC350" s="14"/>
      <c r="BD350" s="14"/>
      <c r="BE350" s="14"/>
      <c r="BF350" s="14"/>
      <c r="BG350" s="14"/>
      <c r="BH350" s="14"/>
      <c r="BI350" s="14"/>
      <c r="BJ350" s="14"/>
      <c r="BK350" s="14"/>
      <c r="BL350" s="14"/>
      <c r="BM350" s="14"/>
      <c r="BN350" s="14"/>
    </row>
    <row r="351" spans="1:66" s="316" customFormat="1" x14ac:dyDescent="0.2">
      <c r="A351" s="338"/>
      <c r="B351" s="933"/>
      <c r="C351" s="338"/>
      <c r="D351" s="933"/>
      <c r="E351" s="338"/>
      <c r="F351" s="933"/>
      <c r="G351" s="339"/>
      <c r="H351" s="934"/>
      <c r="I351" s="338"/>
      <c r="J351" s="933"/>
      <c r="K351" s="340"/>
      <c r="L351" s="937"/>
      <c r="M351" s="341"/>
      <c r="N351" s="933"/>
      <c r="O351" s="339"/>
      <c r="P351" s="339"/>
      <c r="Q351" s="339"/>
      <c r="R351" s="342"/>
      <c r="S351" s="933"/>
      <c r="T351" s="343"/>
      <c r="U351" s="933"/>
      <c r="V351" s="933"/>
      <c r="W351" s="933"/>
      <c r="X351" s="345"/>
      <c r="Y351" s="345"/>
      <c r="Z351" s="345"/>
      <c r="AA351" s="345"/>
      <c r="AB351" s="345"/>
      <c r="AC351" s="346"/>
      <c r="AD351" s="344"/>
      <c r="AE351" s="347"/>
      <c r="AF351" s="338"/>
      <c r="AG351" s="338"/>
      <c r="AH351" s="338"/>
      <c r="AI351" s="338"/>
      <c r="AJ351" s="338"/>
      <c r="AK351" s="338"/>
      <c r="AL351" s="338"/>
      <c r="AM351" s="338"/>
      <c r="AN351" s="338"/>
      <c r="AO351" s="338"/>
      <c r="AP351" s="338"/>
      <c r="AQ351" s="338"/>
      <c r="AR351" s="338"/>
      <c r="AS351" s="338"/>
      <c r="AT351" s="338"/>
      <c r="AU351" s="338"/>
      <c r="AV351" s="338"/>
      <c r="AW351" s="348"/>
      <c r="AX351" s="348"/>
      <c r="AY351" s="338"/>
      <c r="AZ351" s="14"/>
      <c r="BA351" s="14"/>
      <c r="BB351" s="14"/>
      <c r="BC351" s="14"/>
      <c r="BD351" s="14"/>
      <c r="BE351" s="14"/>
      <c r="BF351" s="14"/>
      <c r="BG351" s="14"/>
      <c r="BH351" s="14"/>
      <c r="BI351" s="14"/>
      <c r="BJ351" s="14"/>
      <c r="BK351" s="14"/>
      <c r="BL351" s="14"/>
      <c r="BM351" s="14"/>
      <c r="BN351" s="14"/>
    </row>
    <row r="352" spans="1:66" s="316" customFormat="1" x14ac:dyDescent="0.2">
      <c r="A352" s="338"/>
      <c r="B352" s="933"/>
      <c r="C352" s="338"/>
      <c r="D352" s="933"/>
      <c r="E352" s="338"/>
      <c r="F352" s="933"/>
      <c r="G352" s="339"/>
      <c r="H352" s="934"/>
      <c r="I352" s="338"/>
      <c r="J352" s="933"/>
      <c r="K352" s="340"/>
      <c r="L352" s="937"/>
      <c r="M352" s="341"/>
      <c r="N352" s="933"/>
      <c r="O352" s="339"/>
      <c r="P352" s="339"/>
      <c r="Q352" s="339"/>
      <c r="R352" s="342"/>
      <c r="S352" s="933"/>
      <c r="T352" s="343"/>
      <c r="U352" s="933"/>
      <c r="V352" s="933"/>
      <c r="W352" s="933"/>
      <c r="X352" s="345"/>
      <c r="Y352" s="345"/>
      <c r="Z352" s="345"/>
      <c r="AA352" s="345"/>
      <c r="AB352" s="345"/>
      <c r="AC352" s="346"/>
      <c r="AD352" s="344"/>
      <c r="AE352" s="347"/>
      <c r="AF352" s="338"/>
      <c r="AG352" s="338"/>
      <c r="AH352" s="338"/>
      <c r="AI352" s="338"/>
      <c r="AJ352" s="338"/>
      <c r="AK352" s="338"/>
      <c r="AL352" s="338"/>
      <c r="AM352" s="338"/>
      <c r="AN352" s="338"/>
      <c r="AO352" s="338"/>
      <c r="AP352" s="338"/>
      <c r="AQ352" s="338"/>
      <c r="AR352" s="338"/>
      <c r="AS352" s="338"/>
      <c r="AT352" s="338"/>
      <c r="AU352" s="338"/>
      <c r="AV352" s="338"/>
      <c r="AW352" s="348"/>
      <c r="AX352" s="348"/>
      <c r="AY352" s="338"/>
      <c r="AZ352" s="14"/>
      <c r="BA352" s="14"/>
      <c r="BB352" s="14"/>
      <c r="BC352" s="14"/>
      <c r="BD352" s="14"/>
      <c r="BE352" s="14"/>
      <c r="BF352" s="14"/>
      <c r="BG352" s="14"/>
      <c r="BH352" s="14"/>
      <c r="BI352" s="14"/>
      <c r="BJ352" s="14"/>
      <c r="BK352" s="14"/>
      <c r="BL352" s="14"/>
      <c r="BM352" s="14"/>
      <c r="BN352" s="14"/>
    </row>
    <row r="353" spans="1:66" s="316" customFormat="1" x14ac:dyDescent="0.2">
      <c r="A353" s="338"/>
      <c r="B353" s="933"/>
      <c r="C353" s="338"/>
      <c r="D353" s="933"/>
      <c r="E353" s="338"/>
      <c r="F353" s="933"/>
      <c r="G353" s="339"/>
      <c r="H353" s="934"/>
      <c r="I353" s="338"/>
      <c r="J353" s="933"/>
      <c r="K353" s="340"/>
      <c r="L353" s="937"/>
      <c r="M353" s="341"/>
      <c r="N353" s="933"/>
      <c r="O353" s="339"/>
      <c r="P353" s="339"/>
      <c r="Q353" s="339"/>
      <c r="R353" s="342"/>
      <c r="S353" s="933"/>
      <c r="T353" s="343"/>
      <c r="U353" s="933"/>
      <c r="V353" s="933"/>
      <c r="W353" s="933"/>
      <c r="X353" s="345"/>
      <c r="Y353" s="345"/>
      <c r="Z353" s="345"/>
      <c r="AA353" s="345"/>
      <c r="AB353" s="345"/>
      <c r="AC353" s="346"/>
      <c r="AD353" s="344"/>
      <c r="AE353" s="347"/>
      <c r="AF353" s="338"/>
      <c r="AG353" s="338"/>
      <c r="AH353" s="338"/>
      <c r="AI353" s="338"/>
      <c r="AJ353" s="338"/>
      <c r="AK353" s="338"/>
      <c r="AL353" s="338"/>
      <c r="AM353" s="338"/>
      <c r="AN353" s="338"/>
      <c r="AO353" s="338"/>
      <c r="AP353" s="338"/>
      <c r="AQ353" s="338"/>
      <c r="AR353" s="338"/>
      <c r="AS353" s="338"/>
      <c r="AT353" s="338"/>
      <c r="AU353" s="338"/>
      <c r="AV353" s="338"/>
      <c r="AW353" s="348"/>
      <c r="AX353" s="348"/>
      <c r="AY353" s="338"/>
      <c r="AZ353" s="14"/>
      <c r="BA353" s="14"/>
      <c r="BB353" s="14"/>
      <c r="BC353" s="14"/>
      <c r="BD353" s="14"/>
      <c r="BE353" s="14"/>
      <c r="BF353" s="14"/>
      <c r="BG353" s="14"/>
      <c r="BH353" s="14"/>
      <c r="BI353" s="14"/>
      <c r="BJ353" s="14"/>
      <c r="BK353" s="14"/>
      <c r="BL353" s="14"/>
      <c r="BM353" s="14"/>
      <c r="BN353" s="14"/>
    </row>
    <row r="354" spans="1:66" s="316" customFormat="1" x14ac:dyDescent="0.2">
      <c r="A354" s="338"/>
      <c r="B354" s="933"/>
      <c r="C354" s="338"/>
      <c r="D354" s="933"/>
      <c r="E354" s="338"/>
      <c r="F354" s="933"/>
      <c r="G354" s="339"/>
      <c r="H354" s="934"/>
      <c r="I354" s="338"/>
      <c r="J354" s="933"/>
      <c r="K354" s="340"/>
      <c r="L354" s="937"/>
      <c r="M354" s="341"/>
      <c r="N354" s="933"/>
      <c r="O354" s="339"/>
      <c r="P354" s="339"/>
      <c r="Q354" s="339"/>
      <c r="R354" s="342"/>
      <c r="S354" s="933"/>
      <c r="T354" s="343"/>
      <c r="U354" s="933"/>
      <c r="V354" s="933"/>
      <c r="W354" s="933"/>
      <c r="X354" s="345"/>
      <c r="Y354" s="345"/>
      <c r="Z354" s="345"/>
      <c r="AA354" s="345"/>
      <c r="AB354" s="345"/>
      <c r="AC354" s="346"/>
      <c r="AD354" s="344"/>
      <c r="AE354" s="347"/>
      <c r="AF354" s="338"/>
      <c r="AG354" s="338"/>
      <c r="AH354" s="338"/>
      <c r="AI354" s="338"/>
      <c r="AJ354" s="338"/>
      <c r="AK354" s="338"/>
      <c r="AL354" s="338"/>
      <c r="AM354" s="338"/>
      <c r="AN354" s="338"/>
      <c r="AO354" s="338"/>
      <c r="AP354" s="338"/>
      <c r="AQ354" s="338"/>
      <c r="AR354" s="338"/>
      <c r="AS354" s="338"/>
      <c r="AT354" s="338"/>
      <c r="AU354" s="338"/>
      <c r="AV354" s="338"/>
      <c r="AW354" s="348"/>
      <c r="AX354" s="348"/>
      <c r="AY354" s="338"/>
      <c r="AZ354" s="14"/>
      <c r="BA354" s="14"/>
      <c r="BB354" s="14"/>
      <c r="BC354" s="14"/>
      <c r="BD354" s="14"/>
      <c r="BE354" s="14"/>
      <c r="BF354" s="14"/>
      <c r="BG354" s="14"/>
      <c r="BH354" s="14"/>
      <c r="BI354" s="14"/>
      <c r="BJ354" s="14"/>
      <c r="BK354" s="14"/>
      <c r="BL354" s="14"/>
      <c r="BM354" s="14"/>
      <c r="BN354" s="14"/>
    </row>
    <row r="355" spans="1:66" s="316" customFormat="1" x14ac:dyDescent="0.2">
      <c r="A355" s="338"/>
      <c r="B355" s="933"/>
      <c r="C355" s="338"/>
      <c r="D355" s="933"/>
      <c r="E355" s="338"/>
      <c r="F355" s="933"/>
      <c r="G355" s="339"/>
      <c r="H355" s="934"/>
      <c r="I355" s="338"/>
      <c r="J355" s="933"/>
      <c r="K355" s="340"/>
      <c r="L355" s="937"/>
      <c r="M355" s="341"/>
      <c r="N355" s="933"/>
      <c r="O355" s="339"/>
      <c r="P355" s="339"/>
      <c r="Q355" s="339"/>
      <c r="R355" s="342"/>
      <c r="S355" s="933"/>
      <c r="T355" s="343"/>
      <c r="U355" s="933"/>
      <c r="V355" s="933"/>
      <c r="W355" s="933"/>
      <c r="X355" s="345"/>
      <c r="Y355" s="345"/>
      <c r="Z355" s="345"/>
      <c r="AA355" s="345"/>
      <c r="AB355" s="345"/>
      <c r="AC355" s="346"/>
      <c r="AD355" s="344"/>
      <c r="AE355" s="347"/>
      <c r="AF355" s="338"/>
      <c r="AG355" s="338"/>
      <c r="AH355" s="338"/>
      <c r="AI355" s="338"/>
      <c r="AJ355" s="338"/>
      <c r="AK355" s="338"/>
      <c r="AL355" s="338"/>
      <c r="AM355" s="338"/>
      <c r="AN355" s="338"/>
      <c r="AO355" s="338"/>
      <c r="AP355" s="338"/>
      <c r="AQ355" s="338"/>
      <c r="AR355" s="338"/>
      <c r="AS355" s="338"/>
      <c r="AT355" s="338"/>
      <c r="AU355" s="338"/>
      <c r="AV355" s="338"/>
      <c r="AW355" s="348"/>
      <c r="AX355" s="348"/>
      <c r="AY355" s="338"/>
      <c r="AZ355" s="14"/>
      <c r="BA355" s="14"/>
      <c r="BB355" s="14"/>
      <c r="BC355" s="14"/>
      <c r="BD355" s="14"/>
      <c r="BE355" s="14"/>
      <c r="BF355" s="14"/>
      <c r="BG355" s="14"/>
      <c r="BH355" s="14"/>
      <c r="BI355" s="14"/>
      <c r="BJ355" s="14"/>
      <c r="BK355" s="14"/>
      <c r="BL355" s="14"/>
      <c r="BM355" s="14"/>
      <c r="BN355" s="14"/>
    </row>
    <row r="356" spans="1:66" s="316" customFormat="1" x14ac:dyDescent="0.2">
      <c r="A356" s="338"/>
      <c r="B356" s="933"/>
      <c r="C356" s="338"/>
      <c r="D356" s="933"/>
      <c r="E356" s="338"/>
      <c r="F356" s="933"/>
      <c r="G356" s="339"/>
      <c r="H356" s="934"/>
      <c r="I356" s="338"/>
      <c r="J356" s="933"/>
      <c r="K356" s="340"/>
      <c r="L356" s="937"/>
      <c r="M356" s="341"/>
      <c r="N356" s="933"/>
      <c r="O356" s="339"/>
      <c r="P356" s="339"/>
      <c r="Q356" s="339"/>
      <c r="R356" s="342"/>
      <c r="S356" s="933"/>
      <c r="T356" s="343"/>
      <c r="U356" s="933"/>
      <c r="V356" s="933"/>
      <c r="W356" s="933"/>
      <c r="X356" s="345"/>
      <c r="Y356" s="345"/>
      <c r="Z356" s="345"/>
      <c r="AA356" s="345"/>
      <c r="AB356" s="345"/>
      <c r="AC356" s="346"/>
      <c r="AD356" s="344"/>
      <c r="AE356" s="347"/>
      <c r="AF356" s="338"/>
      <c r="AG356" s="338"/>
      <c r="AH356" s="338"/>
      <c r="AI356" s="338"/>
      <c r="AJ356" s="338"/>
      <c r="AK356" s="338"/>
      <c r="AL356" s="338"/>
      <c r="AM356" s="338"/>
      <c r="AN356" s="338"/>
      <c r="AO356" s="338"/>
      <c r="AP356" s="338"/>
      <c r="AQ356" s="338"/>
      <c r="AR356" s="338"/>
      <c r="AS356" s="338"/>
      <c r="AT356" s="338"/>
      <c r="AU356" s="338"/>
      <c r="AV356" s="338"/>
      <c r="AW356" s="348"/>
      <c r="AX356" s="348"/>
      <c r="AY356" s="338"/>
      <c r="AZ356" s="14"/>
      <c r="BA356" s="14"/>
      <c r="BB356" s="14"/>
      <c r="BC356" s="14"/>
      <c r="BD356" s="14"/>
      <c r="BE356" s="14"/>
      <c r="BF356" s="14"/>
      <c r="BG356" s="14"/>
      <c r="BH356" s="14"/>
      <c r="BI356" s="14"/>
      <c r="BJ356" s="14"/>
      <c r="BK356" s="14"/>
      <c r="BL356" s="14"/>
      <c r="BM356" s="14"/>
      <c r="BN356" s="14"/>
    </row>
    <row r="357" spans="1:66" s="316" customFormat="1" x14ac:dyDescent="0.2">
      <c r="A357" s="338"/>
      <c r="B357" s="933"/>
      <c r="C357" s="338"/>
      <c r="D357" s="933"/>
      <c r="E357" s="338"/>
      <c r="F357" s="933"/>
      <c r="G357" s="339"/>
      <c r="H357" s="934"/>
      <c r="I357" s="338"/>
      <c r="J357" s="933"/>
      <c r="K357" s="340"/>
      <c r="L357" s="937"/>
      <c r="M357" s="341"/>
      <c r="N357" s="933"/>
      <c r="O357" s="339"/>
      <c r="P357" s="339"/>
      <c r="Q357" s="339"/>
      <c r="R357" s="342"/>
      <c r="S357" s="933"/>
      <c r="T357" s="343"/>
      <c r="U357" s="933"/>
      <c r="V357" s="933"/>
      <c r="W357" s="933"/>
      <c r="X357" s="345"/>
      <c r="Y357" s="345"/>
      <c r="Z357" s="345"/>
      <c r="AA357" s="345"/>
      <c r="AB357" s="345"/>
      <c r="AC357" s="346"/>
      <c r="AD357" s="344"/>
      <c r="AE357" s="347"/>
      <c r="AF357" s="338"/>
      <c r="AG357" s="338"/>
      <c r="AH357" s="338"/>
      <c r="AI357" s="338"/>
      <c r="AJ357" s="338"/>
      <c r="AK357" s="338"/>
      <c r="AL357" s="338"/>
      <c r="AM357" s="338"/>
      <c r="AN357" s="338"/>
      <c r="AO357" s="338"/>
      <c r="AP357" s="338"/>
      <c r="AQ357" s="338"/>
      <c r="AR357" s="338"/>
      <c r="AS357" s="338"/>
      <c r="AT357" s="338"/>
      <c r="AU357" s="338"/>
      <c r="AV357" s="338"/>
      <c r="AW357" s="348"/>
      <c r="AX357" s="348"/>
      <c r="AY357" s="338"/>
      <c r="AZ357" s="14"/>
      <c r="BA357" s="14"/>
      <c r="BB357" s="14"/>
      <c r="BC357" s="14"/>
      <c r="BD357" s="14"/>
      <c r="BE357" s="14"/>
      <c r="BF357" s="14"/>
      <c r="BG357" s="14"/>
      <c r="BH357" s="14"/>
      <c r="BI357" s="14"/>
      <c r="BJ357" s="14"/>
      <c r="BK357" s="14"/>
      <c r="BL357" s="14"/>
      <c r="BM357" s="14"/>
      <c r="BN357" s="14"/>
    </row>
    <row r="358" spans="1:66" s="316" customFormat="1" x14ac:dyDescent="0.2">
      <c r="A358" s="338"/>
      <c r="B358" s="933"/>
      <c r="C358" s="338"/>
      <c r="D358" s="933"/>
      <c r="E358" s="338"/>
      <c r="F358" s="933"/>
      <c r="G358" s="339"/>
      <c r="H358" s="934"/>
      <c r="I358" s="338"/>
      <c r="J358" s="933"/>
      <c r="K358" s="340"/>
      <c r="L358" s="937"/>
      <c r="M358" s="341"/>
      <c r="N358" s="933"/>
      <c r="O358" s="339"/>
      <c r="P358" s="339"/>
      <c r="Q358" s="339"/>
      <c r="R358" s="342"/>
      <c r="S358" s="933"/>
      <c r="T358" s="343"/>
      <c r="U358" s="933"/>
      <c r="V358" s="933"/>
      <c r="W358" s="933"/>
      <c r="X358" s="345"/>
      <c r="Y358" s="345"/>
      <c r="Z358" s="345"/>
      <c r="AA358" s="345"/>
      <c r="AB358" s="345"/>
      <c r="AC358" s="346"/>
      <c r="AD358" s="344"/>
      <c r="AE358" s="347"/>
      <c r="AF358" s="338"/>
      <c r="AG358" s="338"/>
      <c r="AH358" s="338"/>
      <c r="AI358" s="338"/>
      <c r="AJ358" s="338"/>
      <c r="AK358" s="338"/>
      <c r="AL358" s="338"/>
      <c r="AM358" s="338"/>
      <c r="AN358" s="338"/>
      <c r="AO358" s="338"/>
      <c r="AP358" s="338"/>
      <c r="AQ358" s="338"/>
      <c r="AR358" s="338"/>
      <c r="AS358" s="338"/>
      <c r="AT358" s="338"/>
      <c r="AU358" s="338"/>
      <c r="AV358" s="338"/>
      <c r="AW358" s="348"/>
      <c r="AX358" s="348"/>
      <c r="AY358" s="338"/>
      <c r="AZ358" s="14"/>
      <c r="BA358" s="14"/>
      <c r="BB358" s="14"/>
      <c r="BC358" s="14"/>
      <c r="BD358" s="14"/>
      <c r="BE358" s="14"/>
      <c r="BF358" s="14"/>
      <c r="BG358" s="14"/>
      <c r="BH358" s="14"/>
      <c r="BI358" s="14"/>
      <c r="BJ358" s="14"/>
      <c r="BK358" s="14"/>
      <c r="BL358" s="14"/>
      <c r="BM358" s="14"/>
      <c r="BN358" s="14"/>
    </row>
    <row r="359" spans="1:66" s="316" customFormat="1" x14ac:dyDescent="0.2">
      <c r="A359" s="338"/>
      <c r="B359" s="933"/>
      <c r="C359" s="338"/>
      <c r="D359" s="933"/>
      <c r="E359" s="338"/>
      <c r="F359" s="933"/>
      <c r="G359" s="339"/>
      <c r="H359" s="934"/>
      <c r="I359" s="338"/>
      <c r="J359" s="933"/>
      <c r="K359" s="340"/>
      <c r="L359" s="937"/>
      <c r="M359" s="341"/>
      <c r="N359" s="933"/>
      <c r="O359" s="339"/>
      <c r="P359" s="339"/>
      <c r="Q359" s="339"/>
      <c r="R359" s="342"/>
      <c r="S359" s="933"/>
      <c r="T359" s="343"/>
      <c r="U359" s="933"/>
      <c r="V359" s="933"/>
      <c r="W359" s="933"/>
      <c r="X359" s="345"/>
      <c r="Y359" s="345"/>
      <c r="Z359" s="345"/>
      <c r="AA359" s="345"/>
      <c r="AB359" s="345"/>
      <c r="AC359" s="346"/>
      <c r="AD359" s="344"/>
      <c r="AE359" s="347"/>
      <c r="AF359" s="338"/>
      <c r="AG359" s="338"/>
      <c r="AH359" s="338"/>
      <c r="AI359" s="338"/>
      <c r="AJ359" s="338"/>
      <c r="AK359" s="338"/>
      <c r="AL359" s="338"/>
      <c r="AM359" s="338"/>
      <c r="AN359" s="338"/>
      <c r="AO359" s="338"/>
      <c r="AP359" s="338"/>
      <c r="AQ359" s="338"/>
      <c r="AR359" s="338"/>
      <c r="AS359" s="338"/>
      <c r="AT359" s="338"/>
      <c r="AU359" s="338"/>
      <c r="AV359" s="338"/>
      <c r="AW359" s="348"/>
      <c r="AX359" s="348"/>
      <c r="AY359" s="338"/>
      <c r="AZ359" s="14"/>
      <c r="BA359" s="14"/>
      <c r="BB359" s="14"/>
      <c r="BC359" s="14"/>
      <c r="BD359" s="14"/>
      <c r="BE359" s="14"/>
      <c r="BF359" s="14"/>
      <c r="BG359" s="14"/>
      <c r="BH359" s="14"/>
      <c r="BI359" s="14"/>
      <c r="BJ359" s="14"/>
      <c r="BK359" s="14"/>
      <c r="BL359" s="14"/>
      <c r="BM359" s="14"/>
      <c r="BN359" s="14"/>
    </row>
    <row r="360" spans="1:66" s="316" customFormat="1" x14ac:dyDescent="0.2">
      <c r="A360" s="338"/>
      <c r="B360" s="933"/>
      <c r="C360" s="338"/>
      <c r="D360" s="933"/>
      <c r="E360" s="338"/>
      <c r="F360" s="933"/>
      <c r="G360" s="339"/>
      <c r="H360" s="934"/>
      <c r="I360" s="338"/>
      <c r="J360" s="933"/>
      <c r="K360" s="340"/>
      <c r="L360" s="937"/>
      <c r="M360" s="341"/>
      <c r="N360" s="933"/>
      <c r="O360" s="339"/>
      <c r="P360" s="339"/>
      <c r="Q360" s="339"/>
      <c r="R360" s="342"/>
      <c r="S360" s="933"/>
      <c r="T360" s="343"/>
      <c r="U360" s="933"/>
      <c r="V360" s="933"/>
      <c r="W360" s="933"/>
      <c r="X360" s="345"/>
      <c r="Y360" s="345"/>
      <c r="Z360" s="345"/>
      <c r="AA360" s="345"/>
      <c r="AB360" s="345"/>
      <c r="AC360" s="346"/>
      <c r="AD360" s="344"/>
      <c r="AE360" s="347"/>
      <c r="AF360" s="338"/>
      <c r="AG360" s="338"/>
      <c r="AH360" s="338"/>
      <c r="AI360" s="338"/>
      <c r="AJ360" s="338"/>
      <c r="AK360" s="338"/>
      <c r="AL360" s="338"/>
      <c r="AM360" s="338"/>
      <c r="AN360" s="338"/>
      <c r="AO360" s="338"/>
      <c r="AP360" s="338"/>
      <c r="AQ360" s="338"/>
      <c r="AR360" s="338"/>
      <c r="AS360" s="338"/>
      <c r="AT360" s="338"/>
      <c r="AU360" s="338"/>
      <c r="AV360" s="338"/>
      <c r="AW360" s="348"/>
      <c r="AX360" s="348"/>
      <c r="AY360" s="338"/>
      <c r="AZ360" s="14"/>
      <c r="BA360" s="14"/>
      <c r="BB360" s="14"/>
      <c r="BC360" s="14"/>
      <c r="BD360" s="14"/>
      <c r="BE360" s="14"/>
      <c r="BF360" s="14"/>
      <c r="BG360" s="14"/>
      <c r="BH360" s="14"/>
      <c r="BI360" s="14"/>
      <c r="BJ360" s="14"/>
      <c r="BK360" s="14"/>
      <c r="BL360" s="14"/>
      <c r="BM360" s="14"/>
      <c r="BN360" s="14"/>
    </row>
    <row r="361" spans="1:66" s="316" customFormat="1" x14ac:dyDescent="0.2">
      <c r="A361" s="338"/>
      <c r="B361" s="933"/>
      <c r="C361" s="338"/>
      <c r="D361" s="933"/>
      <c r="E361" s="338"/>
      <c r="F361" s="933"/>
      <c r="G361" s="339"/>
      <c r="H361" s="934"/>
      <c r="I361" s="338"/>
      <c r="J361" s="933"/>
      <c r="K361" s="340"/>
      <c r="L361" s="937"/>
      <c r="M361" s="341"/>
      <c r="N361" s="933"/>
      <c r="O361" s="339"/>
      <c r="P361" s="339"/>
      <c r="Q361" s="339"/>
      <c r="R361" s="342"/>
      <c r="S361" s="933"/>
      <c r="T361" s="343"/>
      <c r="U361" s="933"/>
      <c r="V361" s="933"/>
      <c r="W361" s="933"/>
      <c r="X361" s="345"/>
      <c r="Y361" s="345"/>
      <c r="Z361" s="345"/>
      <c r="AA361" s="345"/>
      <c r="AB361" s="345"/>
      <c r="AC361" s="346"/>
      <c r="AD361" s="344"/>
      <c r="AE361" s="347"/>
      <c r="AF361" s="338"/>
      <c r="AG361" s="338"/>
      <c r="AH361" s="338"/>
      <c r="AI361" s="338"/>
      <c r="AJ361" s="338"/>
      <c r="AK361" s="338"/>
      <c r="AL361" s="338"/>
      <c r="AM361" s="338"/>
      <c r="AN361" s="338"/>
      <c r="AO361" s="338"/>
      <c r="AP361" s="338"/>
      <c r="AQ361" s="338"/>
      <c r="AR361" s="338"/>
      <c r="AS361" s="338"/>
      <c r="AT361" s="338"/>
      <c r="AU361" s="338"/>
      <c r="AV361" s="338"/>
      <c r="AW361" s="348"/>
      <c r="AX361" s="348"/>
      <c r="AY361" s="338"/>
      <c r="AZ361" s="14"/>
      <c r="BA361" s="14"/>
      <c r="BB361" s="14"/>
      <c r="BC361" s="14"/>
      <c r="BD361" s="14"/>
      <c r="BE361" s="14"/>
      <c r="BF361" s="14"/>
      <c r="BG361" s="14"/>
      <c r="BH361" s="14"/>
      <c r="BI361" s="14"/>
      <c r="BJ361" s="14"/>
      <c r="BK361" s="14"/>
      <c r="BL361" s="14"/>
      <c r="BM361" s="14"/>
      <c r="BN361" s="14"/>
    </row>
    <row r="362" spans="1:66" s="316" customFormat="1" x14ac:dyDescent="0.2">
      <c r="A362" s="338"/>
      <c r="B362" s="933"/>
      <c r="C362" s="338"/>
      <c r="D362" s="933"/>
      <c r="E362" s="338"/>
      <c r="F362" s="933"/>
      <c r="G362" s="339"/>
      <c r="H362" s="934"/>
      <c r="I362" s="338"/>
      <c r="J362" s="933"/>
      <c r="K362" s="340"/>
      <c r="L362" s="937"/>
      <c r="M362" s="341"/>
      <c r="N362" s="933"/>
      <c r="O362" s="339"/>
      <c r="P362" s="339"/>
      <c r="Q362" s="339"/>
      <c r="R362" s="342"/>
      <c r="S362" s="933"/>
      <c r="T362" s="343"/>
      <c r="U362" s="933"/>
      <c r="V362" s="933"/>
      <c r="W362" s="933"/>
      <c r="X362" s="345"/>
      <c r="Y362" s="345"/>
      <c r="Z362" s="345"/>
      <c r="AA362" s="345"/>
      <c r="AB362" s="345"/>
      <c r="AC362" s="346"/>
      <c r="AD362" s="344"/>
      <c r="AE362" s="347"/>
      <c r="AF362" s="338"/>
      <c r="AG362" s="338"/>
      <c r="AH362" s="338"/>
      <c r="AI362" s="338"/>
      <c r="AJ362" s="338"/>
      <c r="AK362" s="338"/>
      <c r="AL362" s="338"/>
      <c r="AM362" s="338"/>
      <c r="AN362" s="338"/>
      <c r="AO362" s="338"/>
      <c r="AP362" s="338"/>
      <c r="AQ362" s="338"/>
      <c r="AR362" s="338"/>
      <c r="AS362" s="338"/>
      <c r="AT362" s="338"/>
      <c r="AU362" s="338"/>
      <c r="AV362" s="338"/>
      <c r="AW362" s="348"/>
      <c r="AX362" s="348"/>
      <c r="AY362" s="338"/>
      <c r="AZ362" s="14"/>
      <c r="BA362" s="14"/>
      <c r="BB362" s="14"/>
      <c r="BC362" s="14"/>
      <c r="BD362" s="14"/>
      <c r="BE362" s="14"/>
      <c r="BF362" s="14"/>
      <c r="BG362" s="14"/>
      <c r="BH362" s="14"/>
      <c r="BI362" s="14"/>
      <c r="BJ362" s="14"/>
      <c r="BK362" s="14"/>
      <c r="BL362" s="14"/>
      <c r="BM362" s="14"/>
      <c r="BN362" s="14"/>
    </row>
    <row r="363" spans="1:66" s="316" customFormat="1" x14ac:dyDescent="0.2">
      <c r="A363" s="338"/>
      <c r="B363" s="933"/>
      <c r="C363" s="338"/>
      <c r="D363" s="933"/>
      <c r="E363" s="338"/>
      <c r="F363" s="933"/>
      <c r="G363" s="339"/>
      <c r="H363" s="934"/>
      <c r="I363" s="338"/>
      <c r="J363" s="933"/>
      <c r="K363" s="340"/>
      <c r="L363" s="937"/>
      <c r="M363" s="341"/>
      <c r="N363" s="933"/>
      <c r="O363" s="339"/>
      <c r="P363" s="339"/>
      <c r="Q363" s="339"/>
      <c r="R363" s="342"/>
      <c r="S363" s="933"/>
      <c r="T363" s="343"/>
      <c r="U363" s="933"/>
      <c r="V363" s="933"/>
      <c r="W363" s="933"/>
      <c r="X363" s="345"/>
      <c r="Y363" s="345"/>
      <c r="Z363" s="345"/>
      <c r="AA363" s="345"/>
      <c r="AB363" s="345"/>
      <c r="AC363" s="346"/>
      <c r="AD363" s="344"/>
      <c r="AE363" s="347"/>
      <c r="AF363" s="338"/>
      <c r="AG363" s="338"/>
      <c r="AH363" s="338"/>
      <c r="AI363" s="338"/>
      <c r="AJ363" s="338"/>
      <c r="AK363" s="338"/>
      <c r="AL363" s="338"/>
      <c r="AM363" s="338"/>
      <c r="AN363" s="338"/>
      <c r="AO363" s="338"/>
      <c r="AP363" s="338"/>
      <c r="AQ363" s="338"/>
      <c r="AR363" s="338"/>
      <c r="AS363" s="338"/>
      <c r="AT363" s="338"/>
      <c r="AU363" s="338"/>
      <c r="AV363" s="338"/>
      <c r="AW363" s="348"/>
      <c r="AX363" s="348"/>
      <c r="AY363" s="338"/>
      <c r="AZ363" s="14"/>
      <c r="BA363" s="14"/>
      <c r="BB363" s="14"/>
      <c r="BC363" s="14"/>
      <c r="BD363" s="14"/>
      <c r="BE363" s="14"/>
      <c r="BF363" s="14"/>
      <c r="BG363" s="14"/>
      <c r="BH363" s="14"/>
      <c r="BI363" s="14"/>
      <c r="BJ363" s="14"/>
      <c r="BK363" s="14"/>
      <c r="BL363" s="14"/>
      <c r="BM363" s="14"/>
      <c r="BN363" s="14"/>
    </row>
    <row r="364" spans="1:66" s="316" customFormat="1" x14ac:dyDescent="0.2">
      <c r="A364" s="338"/>
      <c r="B364" s="933"/>
      <c r="C364" s="338"/>
      <c r="D364" s="933"/>
      <c r="E364" s="338"/>
      <c r="F364" s="933"/>
      <c r="G364" s="339"/>
      <c r="H364" s="934"/>
      <c r="I364" s="338"/>
      <c r="J364" s="933"/>
      <c r="K364" s="340"/>
      <c r="L364" s="937"/>
      <c r="M364" s="341"/>
      <c r="N364" s="933"/>
      <c r="O364" s="339"/>
      <c r="P364" s="339"/>
      <c r="Q364" s="339"/>
      <c r="R364" s="342"/>
      <c r="S364" s="933"/>
      <c r="T364" s="343"/>
      <c r="U364" s="933"/>
      <c r="V364" s="933"/>
      <c r="W364" s="933"/>
      <c r="X364" s="345"/>
      <c r="Y364" s="345"/>
      <c r="Z364" s="345"/>
      <c r="AA364" s="345"/>
      <c r="AB364" s="345"/>
      <c r="AC364" s="346"/>
      <c r="AD364" s="344"/>
      <c r="AE364" s="347"/>
      <c r="AF364" s="338"/>
      <c r="AG364" s="338"/>
      <c r="AH364" s="338"/>
      <c r="AI364" s="338"/>
      <c r="AJ364" s="338"/>
      <c r="AK364" s="338"/>
      <c r="AL364" s="338"/>
      <c r="AM364" s="338"/>
      <c r="AN364" s="338"/>
      <c r="AO364" s="338"/>
      <c r="AP364" s="338"/>
      <c r="AQ364" s="338"/>
      <c r="AR364" s="338"/>
      <c r="AS364" s="338"/>
      <c r="AT364" s="338"/>
      <c r="AU364" s="338"/>
      <c r="AV364" s="338"/>
      <c r="AW364" s="348"/>
      <c r="AX364" s="348"/>
      <c r="AY364" s="338"/>
      <c r="AZ364" s="14"/>
      <c r="BA364" s="14"/>
      <c r="BB364" s="14"/>
      <c r="BC364" s="14"/>
      <c r="BD364" s="14"/>
      <c r="BE364" s="14"/>
      <c r="BF364" s="14"/>
      <c r="BG364" s="14"/>
      <c r="BH364" s="14"/>
      <c r="BI364" s="14"/>
      <c r="BJ364" s="14"/>
      <c r="BK364" s="14"/>
      <c r="BL364" s="14"/>
      <c r="BM364" s="14"/>
      <c r="BN364" s="14"/>
    </row>
    <row r="365" spans="1:66" s="316" customFormat="1" x14ac:dyDescent="0.2">
      <c r="A365" s="338"/>
      <c r="B365" s="933"/>
      <c r="C365" s="338"/>
      <c r="D365" s="933"/>
      <c r="E365" s="338"/>
      <c r="F365" s="933"/>
      <c r="G365" s="339"/>
      <c r="H365" s="934"/>
      <c r="I365" s="338"/>
      <c r="J365" s="933"/>
      <c r="K365" s="340"/>
      <c r="L365" s="937"/>
      <c r="M365" s="341"/>
      <c r="N365" s="933"/>
      <c r="O365" s="339"/>
      <c r="P365" s="339"/>
      <c r="Q365" s="339"/>
      <c r="R365" s="342"/>
      <c r="S365" s="933"/>
      <c r="T365" s="343"/>
      <c r="U365" s="933"/>
      <c r="V365" s="933"/>
      <c r="W365" s="933"/>
      <c r="X365" s="345"/>
      <c r="Y365" s="345"/>
      <c r="Z365" s="345"/>
      <c r="AA365" s="345"/>
      <c r="AB365" s="345"/>
      <c r="AC365" s="346"/>
      <c r="AD365" s="344"/>
      <c r="AE365" s="347"/>
      <c r="AF365" s="338"/>
      <c r="AG365" s="338"/>
      <c r="AH365" s="338"/>
      <c r="AI365" s="338"/>
      <c r="AJ365" s="338"/>
      <c r="AK365" s="338"/>
      <c r="AL365" s="338"/>
      <c r="AM365" s="338"/>
      <c r="AN365" s="338"/>
      <c r="AO365" s="338"/>
      <c r="AP365" s="338"/>
      <c r="AQ365" s="338"/>
      <c r="AR365" s="338"/>
      <c r="AS365" s="338"/>
      <c r="AT365" s="338"/>
      <c r="AU365" s="338"/>
      <c r="AV365" s="338"/>
      <c r="AW365" s="348"/>
      <c r="AX365" s="348"/>
      <c r="AY365" s="338"/>
      <c r="AZ365" s="14"/>
      <c r="BA365" s="14"/>
      <c r="BB365" s="14"/>
      <c r="BC365" s="14"/>
      <c r="BD365" s="14"/>
      <c r="BE365" s="14"/>
      <c r="BF365" s="14"/>
      <c r="BG365" s="14"/>
      <c r="BH365" s="14"/>
      <c r="BI365" s="14"/>
      <c r="BJ365" s="14"/>
      <c r="BK365" s="14"/>
      <c r="BL365" s="14"/>
      <c r="BM365" s="14"/>
      <c r="BN365" s="14"/>
    </row>
    <row r="366" spans="1:66" s="316" customFormat="1" x14ac:dyDescent="0.2">
      <c r="A366" s="338"/>
      <c r="B366" s="933"/>
      <c r="C366" s="338"/>
      <c r="D366" s="933"/>
      <c r="E366" s="338"/>
      <c r="F366" s="933"/>
      <c r="G366" s="339"/>
      <c r="H366" s="934"/>
      <c r="I366" s="338"/>
      <c r="J366" s="933"/>
      <c r="K366" s="340"/>
      <c r="L366" s="937"/>
      <c r="M366" s="341"/>
      <c r="N366" s="933"/>
      <c r="O366" s="339"/>
      <c r="P366" s="339"/>
      <c r="Q366" s="339"/>
      <c r="R366" s="342"/>
      <c r="S366" s="933"/>
      <c r="T366" s="343"/>
      <c r="U366" s="933"/>
      <c r="V366" s="933"/>
      <c r="W366" s="933"/>
      <c r="X366" s="345"/>
      <c r="Y366" s="345"/>
      <c r="Z366" s="345"/>
      <c r="AA366" s="345"/>
      <c r="AB366" s="345"/>
      <c r="AC366" s="346"/>
      <c r="AD366" s="344"/>
      <c r="AE366" s="347"/>
      <c r="AF366" s="338"/>
      <c r="AG366" s="338"/>
      <c r="AH366" s="338"/>
      <c r="AI366" s="338"/>
      <c r="AJ366" s="338"/>
      <c r="AK366" s="338"/>
      <c r="AL366" s="338"/>
      <c r="AM366" s="338"/>
      <c r="AN366" s="338"/>
      <c r="AO366" s="338"/>
      <c r="AP366" s="338"/>
      <c r="AQ366" s="338"/>
      <c r="AR366" s="338"/>
      <c r="AS366" s="338"/>
      <c r="AT366" s="338"/>
      <c r="AU366" s="338"/>
      <c r="AV366" s="338"/>
      <c r="AW366" s="348"/>
      <c r="AX366" s="348"/>
      <c r="AY366" s="338"/>
      <c r="AZ366" s="14"/>
      <c r="BA366" s="14"/>
      <c r="BB366" s="14"/>
      <c r="BC366" s="14"/>
      <c r="BD366" s="14"/>
      <c r="BE366" s="14"/>
      <c r="BF366" s="14"/>
      <c r="BG366" s="14"/>
      <c r="BH366" s="14"/>
      <c r="BI366" s="14"/>
      <c r="BJ366" s="14"/>
      <c r="BK366" s="14"/>
      <c r="BL366" s="14"/>
      <c r="BM366" s="14"/>
      <c r="BN366" s="14"/>
    </row>
    <row r="367" spans="1:66" s="316" customFormat="1" x14ac:dyDescent="0.2">
      <c r="A367" s="338"/>
      <c r="B367" s="933"/>
      <c r="C367" s="338"/>
      <c r="D367" s="933"/>
      <c r="E367" s="338"/>
      <c r="F367" s="933"/>
      <c r="G367" s="339"/>
      <c r="H367" s="934"/>
      <c r="I367" s="338"/>
      <c r="J367" s="933"/>
      <c r="K367" s="340"/>
      <c r="L367" s="937"/>
      <c r="M367" s="341"/>
      <c r="N367" s="933"/>
      <c r="O367" s="339"/>
      <c r="P367" s="339"/>
      <c r="Q367" s="339"/>
      <c r="R367" s="342"/>
      <c r="S367" s="933"/>
      <c r="T367" s="343"/>
      <c r="U367" s="933"/>
      <c r="V367" s="933"/>
      <c r="W367" s="933"/>
      <c r="X367" s="345"/>
      <c r="Y367" s="345"/>
      <c r="Z367" s="345"/>
      <c r="AA367" s="345"/>
      <c r="AB367" s="345"/>
      <c r="AC367" s="346"/>
      <c r="AD367" s="344"/>
      <c r="AE367" s="347"/>
      <c r="AF367" s="338"/>
      <c r="AG367" s="338"/>
      <c r="AH367" s="338"/>
      <c r="AI367" s="338"/>
      <c r="AJ367" s="338"/>
      <c r="AK367" s="338"/>
      <c r="AL367" s="338"/>
      <c r="AM367" s="338"/>
      <c r="AN367" s="338"/>
      <c r="AO367" s="338"/>
      <c r="AP367" s="338"/>
      <c r="AQ367" s="338"/>
      <c r="AR367" s="338"/>
      <c r="AS367" s="338"/>
      <c r="AT367" s="338"/>
      <c r="AU367" s="338"/>
      <c r="AV367" s="338"/>
      <c r="AW367" s="348"/>
      <c r="AX367" s="348"/>
      <c r="AY367" s="338"/>
      <c r="AZ367" s="14"/>
      <c r="BA367" s="14"/>
      <c r="BB367" s="14"/>
      <c r="BC367" s="14"/>
      <c r="BD367" s="14"/>
      <c r="BE367" s="14"/>
      <c r="BF367" s="14"/>
      <c r="BG367" s="14"/>
      <c r="BH367" s="14"/>
      <c r="BI367" s="14"/>
      <c r="BJ367" s="14"/>
      <c r="BK367" s="14"/>
      <c r="BL367" s="14"/>
      <c r="BM367" s="14"/>
      <c r="BN367" s="14"/>
    </row>
    <row r="368" spans="1:66" s="316" customFormat="1" x14ac:dyDescent="0.2">
      <c r="A368" s="338"/>
      <c r="B368" s="933"/>
      <c r="C368" s="338"/>
      <c r="D368" s="933"/>
      <c r="E368" s="338"/>
      <c r="F368" s="933"/>
      <c r="G368" s="339"/>
      <c r="H368" s="934"/>
      <c r="I368" s="338"/>
      <c r="J368" s="933"/>
      <c r="K368" s="340"/>
      <c r="L368" s="937"/>
      <c r="M368" s="341"/>
      <c r="N368" s="933"/>
      <c r="O368" s="339"/>
      <c r="P368" s="339"/>
      <c r="Q368" s="339"/>
      <c r="R368" s="342"/>
      <c r="S368" s="933"/>
      <c r="T368" s="343"/>
      <c r="U368" s="933"/>
      <c r="V368" s="933"/>
      <c r="W368" s="933"/>
      <c r="X368" s="345"/>
      <c r="Y368" s="345"/>
      <c r="Z368" s="345"/>
      <c r="AA368" s="345"/>
      <c r="AB368" s="345"/>
      <c r="AC368" s="346"/>
      <c r="AD368" s="344"/>
      <c r="AE368" s="347"/>
      <c r="AF368" s="338"/>
      <c r="AG368" s="338"/>
      <c r="AH368" s="338"/>
      <c r="AI368" s="338"/>
      <c r="AJ368" s="338"/>
      <c r="AK368" s="338"/>
      <c r="AL368" s="338"/>
      <c r="AM368" s="338"/>
      <c r="AN368" s="338"/>
      <c r="AO368" s="338"/>
      <c r="AP368" s="338"/>
      <c r="AQ368" s="338"/>
      <c r="AR368" s="338"/>
      <c r="AS368" s="338"/>
      <c r="AT368" s="338"/>
      <c r="AU368" s="338"/>
      <c r="AV368" s="338"/>
      <c r="AW368" s="348"/>
      <c r="AX368" s="348"/>
      <c r="AY368" s="338"/>
      <c r="AZ368" s="14"/>
      <c r="BA368" s="14"/>
      <c r="BB368" s="14"/>
      <c r="BC368" s="14"/>
      <c r="BD368" s="14"/>
      <c r="BE368" s="14"/>
      <c r="BF368" s="14"/>
      <c r="BG368" s="14"/>
      <c r="BH368" s="14"/>
      <c r="BI368" s="14"/>
      <c r="BJ368" s="14"/>
      <c r="BK368" s="14"/>
      <c r="BL368" s="14"/>
      <c r="BM368" s="14"/>
      <c r="BN368" s="14"/>
    </row>
    <row r="369" spans="1:66" s="316" customFormat="1" x14ac:dyDescent="0.2">
      <c r="A369" s="338"/>
      <c r="B369" s="933"/>
      <c r="C369" s="338"/>
      <c r="D369" s="933"/>
      <c r="E369" s="338"/>
      <c r="F369" s="933"/>
      <c r="G369" s="339"/>
      <c r="H369" s="934"/>
      <c r="I369" s="338"/>
      <c r="J369" s="933"/>
      <c r="K369" s="340"/>
      <c r="L369" s="937"/>
      <c r="M369" s="341"/>
      <c r="N369" s="933"/>
      <c r="O369" s="339"/>
      <c r="P369" s="339"/>
      <c r="Q369" s="339"/>
      <c r="R369" s="342"/>
      <c r="S369" s="933"/>
      <c r="T369" s="343"/>
      <c r="U369" s="933"/>
      <c r="V369" s="933"/>
      <c r="W369" s="933"/>
      <c r="X369" s="345"/>
      <c r="Y369" s="345"/>
      <c r="Z369" s="345"/>
      <c r="AA369" s="345"/>
      <c r="AB369" s="345"/>
      <c r="AC369" s="346"/>
      <c r="AD369" s="344"/>
      <c r="AE369" s="347"/>
      <c r="AF369" s="338"/>
      <c r="AG369" s="338"/>
      <c r="AH369" s="338"/>
      <c r="AI369" s="338"/>
      <c r="AJ369" s="338"/>
      <c r="AK369" s="338"/>
      <c r="AL369" s="338"/>
      <c r="AM369" s="338"/>
      <c r="AN369" s="338"/>
      <c r="AO369" s="338"/>
      <c r="AP369" s="338"/>
      <c r="AQ369" s="338"/>
      <c r="AR369" s="338"/>
      <c r="AS369" s="338"/>
      <c r="AT369" s="338"/>
      <c r="AU369" s="338"/>
      <c r="AV369" s="338"/>
      <c r="AW369" s="348"/>
      <c r="AX369" s="348"/>
      <c r="AY369" s="338"/>
      <c r="AZ369" s="14"/>
      <c r="BA369" s="14"/>
      <c r="BB369" s="14"/>
      <c r="BC369" s="14"/>
      <c r="BD369" s="14"/>
      <c r="BE369" s="14"/>
      <c r="BF369" s="14"/>
      <c r="BG369" s="14"/>
      <c r="BH369" s="14"/>
      <c r="BI369" s="14"/>
      <c r="BJ369" s="14"/>
      <c r="BK369" s="14"/>
      <c r="BL369" s="14"/>
      <c r="BM369" s="14"/>
      <c r="BN369" s="14"/>
    </row>
    <row r="370" spans="1:66" s="316" customFormat="1" x14ac:dyDescent="0.2">
      <c r="A370" s="338"/>
      <c r="B370" s="933"/>
      <c r="C370" s="338"/>
      <c r="D370" s="933"/>
      <c r="E370" s="338"/>
      <c r="F370" s="933"/>
      <c r="G370" s="339"/>
      <c r="H370" s="934"/>
      <c r="I370" s="338"/>
      <c r="J370" s="933"/>
      <c r="K370" s="340"/>
      <c r="L370" s="937"/>
      <c r="M370" s="341"/>
      <c r="N370" s="933"/>
      <c r="O370" s="339"/>
      <c r="P370" s="339"/>
      <c r="Q370" s="339"/>
      <c r="R370" s="342"/>
      <c r="S370" s="933"/>
      <c r="T370" s="343"/>
      <c r="U370" s="933"/>
      <c r="V370" s="933"/>
      <c r="W370" s="933"/>
      <c r="X370" s="345"/>
      <c r="Y370" s="345"/>
      <c r="Z370" s="345"/>
      <c r="AA370" s="345"/>
      <c r="AB370" s="345"/>
      <c r="AC370" s="346"/>
      <c r="AD370" s="344"/>
      <c r="AE370" s="347"/>
      <c r="AF370" s="338"/>
      <c r="AG370" s="338"/>
      <c r="AH370" s="338"/>
      <c r="AI370" s="338"/>
      <c r="AJ370" s="338"/>
      <c r="AK370" s="338"/>
      <c r="AL370" s="338"/>
      <c r="AM370" s="338"/>
      <c r="AN370" s="338"/>
      <c r="AO370" s="338"/>
      <c r="AP370" s="338"/>
      <c r="AQ370" s="338"/>
      <c r="AR370" s="338"/>
      <c r="AS370" s="338"/>
      <c r="AT370" s="338"/>
      <c r="AU370" s="338"/>
      <c r="AV370" s="338"/>
      <c r="AW370" s="348"/>
      <c r="AX370" s="348"/>
      <c r="AY370" s="338"/>
      <c r="AZ370" s="14"/>
      <c r="BA370" s="14"/>
      <c r="BB370" s="14"/>
      <c r="BC370" s="14"/>
      <c r="BD370" s="14"/>
      <c r="BE370" s="14"/>
      <c r="BF370" s="14"/>
      <c r="BG370" s="14"/>
      <c r="BH370" s="14"/>
      <c r="BI370" s="14"/>
      <c r="BJ370" s="14"/>
      <c r="BK370" s="14"/>
      <c r="BL370" s="14"/>
      <c r="BM370" s="14"/>
      <c r="BN370" s="14"/>
    </row>
    <row r="371" spans="1:66" s="316" customFormat="1" x14ac:dyDescent="0.2">
      <c r="A371" s="338"/>
      <c r="B371" s="933"/>
      <c r="C371" s="338"/>
      <c r="D371" s="933"/>
      <c r="E371" s="338"/>
      <c r="F371" s="933"/>
      <c r="G371" s="339"/>
      <c r="H371" s="934"/>
      <c r="I371" s="338"/>
      <c r="J371" s="933"/>
      <c r="K371" s="340"/>
      <c r="L371" s="937"/>
      <c r="M371" s="341"/>
      <c r="N371" s="933"/>
      <c r="O371" s="339"/>
      <c r="P371" s="339"/>
      <c r="Q371" s="339"/>
      <c r="R371" s="342"/>
      <c r="S371" s="933"/>
      <c r="T371" s="343"/>
      <c r="U371" s="933"/>
      <c r="V371" s="933"/>
      <c r="W371" s="933"/>
      <c r="X371" s="345"/>
      <c r="Y371" s="345"/>
      <c r="Z371" s="345"/>
      <c r="AA371" s="345"/>
      <c r="AB371" s="345"/>
      <c r="AC371" s="346"/>
      <c r="AD371" s="344"/>
      <c r="AE371" s="347"/>
      <c r="AF371" s="338"/>
      <c r="AG371" s="338"/>
      <c r="AH371" s="338"/>
      <c r="AI371" s="338"/>
      <c r="AJ371" s="338"/>
      <c r="AK371" s="338"/>
      <c r="AL371" s="338"/>
      <c r="AM371" s="338"/>
      <c r="AN371" s="338"/>
      <c r="AO371" s="338"/>
      <c r="AP371" s="338"/>
      <c r="AQ371" s="338"/>
      <c r="AR371" s="338"/>
      <c r="AS371" s="338"/>
      <c r="AT371" s="338"/>
      <c r="AU371" s="338"/>
      <c r="AV371" s="338"/>
      <c r="AW371" s="348"/>
      <c r="AX371" s="348"/>
      <c r="AY371" s="338"/>
      <c r="AZ371" s="14"/>
      <c r="BA371" s="14"/>
      <c r="BB371" s="14"/>
      <c r="BC371" s="14"/>
      <c r="BD371" s="14"/>
      <c r="BE371" s="14"/>
      <c r="BF371" s="14"/>
      <c r="BG371" s="14"/>
      <c r="BH371" s="14"/>
      <c r="BI371" s="14"/>
      <c r="BJ371" s="14"/>
      <c r="BK371" s="14"/>
      <c r="BL371" s="14"/>
      <c r="BM371" s="14"/>
      <c r="BN371" s="14"/>
    </row>
    <row r="372" spans="1:66" s="316" customFormat="1" x14ac:dyDescent="0.2">
      <c r="A372" s="338"/>
      <c r="B372" s="933"/>
      <c r="C372" s="338"/>
      <c r="D372" s="933"/>
      <c r="E372" s="338"/>
      <c r="F372" s="933"/>
      <c r="G372" s="339"/>
      <c r="H372" s="934"/>
      <c r="I372" s="338"/>
      <c r="J372" s="933"/>
      <c r="K372" s="340"/>
      <c r="L372" s="937"/>
      <c r="M372" s="341"/>
      <c r="N372" s="933"/>
      <c r="O372" s="339"/>
      <c r="P372" s="339"/>
      <c r="Q372" s="339"/>
      <c r="R372" s="342"/>
      <c r="S372" s="933"/>
      <c r="T372" s="343"/>
      <c r="U372" s="933"/>
      <c r="V372" s="933"/>
      <c r="W372" s="933"/>
      <c r="X372" s="345"/>
      <c r="Y372" s="345"/>
      <c r="Z372" s="345"/>
      <c r="AA372" s="345"/>
      <c r="AB372" s="345"/>
      <c r="AC372" s="346"/>
      <c r="AD372" s="344"/>
      <c r="AE372" s="347"/>
      <c r="AF372" s="338"/>
      <c r="AG372" s="338"/>
      <c r="AH372" s="338"/>
      <c r="AI372" s="338"/>
      <c r="AJ372" s="338"/>
      <c r="AK372" s="338"/>
      <c r="AL372" s="338"/>
      <c r="AM372" s="338"/>
      <c r="AN372" s="338"/>
      <c r="AO372" s="338"/>
      <c r="AP372" s="338"/>
      <c r="AQ372" s="338"/>
      <c r="AR372" s="338"/>
      <c r="AS372" s="338"/>
      <c r="AT372" s="338"/>
      <c r="AU372" s="338"/>
      <c r="AV372" s="338"/>
      <c r="AW372" s="348"/>
      <c r="AX372" s="348"/>
      <c r="AY372" s="338"/>
      <c r="AZ372" s="14"/>
      <c r="BA372" s="14"/>
      <c r="BB372" s="14"/>
      <c r="BC372" s="14"/>
      <c r="BD372" s="14"/>
      <c r="BE372" s="14"/>
      <c r="BF372" s="14"/>
      <c r="BG372" s="14"/>
      <c r="BH372" s="14"/>
      <c r="BI372" s="14"/>
      <c r="BJ372" s="14"/>
      <c r="BK372" s="14"/>
      <c r="BL372" s="14"/>
      <c r="BM372" s="14"/>
      <c r="BN372" s="14"/>
    </row>
    <row r="373" spans="1:66" s="316" customFormat="1" x14ac:dyDescent="0.2">
      <c r="A373" s="338"/>
      <c r="B373" s="933"/>
      <c r="C373" s="338"/>
      <c r="D373" s="933"/>
      <c r="E373" s="338"/>
      <c r="F373" s="933"/>
      <c r="G373" s="339"/>
      <c r="H373" s="934"/>
      <c r="I373" s="338"/>
      <c r="J373" s="933"/>
      <c r="K373" s="340"/>
      <c r="L373" s="937"/>
      <c r="M373" s="341"/>
      <c r="N373" s="933"/>
      <c r="O373" s="339"/>
      <c r="P373" s="339"/>
      <c r="Q373" s="339"/>
      <c r="R373" s="342"/>
      <c r="S373" s="933"/>
      <c r="T373" s="343"/>
      <c r="U373" s="933"/>
      <c r="V373" s="933"/>
      <c r="W373" s="933"/>
      <c r="X373" s="345"/>
      <c r="Y373" s="345"/>
      <c r="Z373" s="345"/>
      <c r="AA373" s="345"/>
      <c r="AB373" s="345"/>
      <c r="AC373" s="346"/>
      <c r="AD373" s="344"/>
      <c r="AE373" s="347"/>
      <c r="AF373" s="338"/>
      <c r="AG373" s="338"/>
      <c r="AH373" s="338"/>
      <c r="AI373" s="338"/>
      <c r="AJ373" s="338"/>
      <c r="AK373" s="338"/>
      <c r="AL373" s="338"/>
      <c r="AM373" s="338"/>
      <c r="AN373" s="338"/>
      <c r="AO373" s="338"/>
      <c r="AP373" s="338"/>
      <c r="AQ373" s="338"/>
      <c r="AR373" s="338"/>
      <c r="AS373" s="338"/>
      <c r="AT373" s="338"/>
      <c r="AU373" s="338"/>
      <c r="AV373" s="338"/>
      <c r="AW373" s="348"/>
      <c r="AX373" s="348"/>
      <c r="AY373" s="338"/>
      <c r="AZ373" s="14"/>
      <c r="BA373" s="14"/>
      <c r="BB373" s="14"/>
      <c r="BC373" s="14"/>
      <c r="BD373" s="14"/>
      <c r="BE373" s="14"/>
      <c r="BF373" s="14"/>
      <c r="BG373" s="14"/>
      <c r="BH373" s="14"/>
      <c r="BI373" s="14"/>
      <c r="BJ373" s="14"/>
      <c r="BK373" s="14"/>
      <c r="BL373" s="14"/>
      <c r="BM373" s="14"/>
      <c r="BN373" s="14"/>
    </row>
    <row r="374" spans="1:66" s="316" customFormat="1" x14ac:dyDescent="0.2">
      <c r="A374" s="338"/>
      <c r="B374" s="933"/>
      <c r="C374" s="338"/>
      <c r="D374" s="933"/>
      <c r="E374" s="338"/>
      <c r="F374" s="933"/>
      <c r="G374" s="339"/>
      <c r="H374" s="934"/>
      <c r="I374" s="338"/>
      <c r="J374" s="933"/>
      <c r="K374" s="340"/>
      <c r="L374" s="937"/>
      <c r="M374" s="341"/>
      <c r="N374" s="933"/>
      <c r="O374" s="339"/>
      <c r="P374" s="339"/>
      <c r="Q374" s="339"/>
      <c r="R374" s="342"/>
      <c r="S374" s="933"/>
      <c r="T374" s="343"/>
      <c r="U374" s="933"/>
      <c r="V374" s="933"/>
      <c r="W374" s="933"/>
      <c r="X374" s="345"/>
      <c r="Y374" s="345"/>
      <c r="Z374" s="345"/>
      <c r="AA374" s="345"/>
      <c r="AB374" s="345"/>
      <c r="AC374" s="346"/>
      <c r="AD374" s="344"/>
      <c r="AE374" s="347"/>
      <c r="AF374" s="338"/>
      <c r="AG374" s="338"/>
      <c r="AH374" s="338"/>
      <c r="AI374" s="338"/>
      <c r="AJ374" s="338"/>
      <c r="AK374" s="338"/>
      <c r="AL374" s="338"/>
      <c r="AM374" s="338"/>
      <c r="AN374" s="338"/>
      <c r="AO374" s="338"/>
      <c r="AP374" s="338"/>
      <c r="AQ374" s="338"/>
      <c r="AR374" s="338"/>
      <c r="AS374" s="338"/>
      <c r="AT374" s="338"/>
      <c r="AU374" s="338"/>
      <c r="AV374" s="338"/>
      <c r="AW374" s="348"/>
      <c r="AX374" s="348"/>
      <c r="AY374" s="338"/>
      <c r="AZ374" s="14"/>
      <c r="BA374" s="14"/>
      <c r="BB374" s="14"/>
      <c r="BC374" s="14"/>
      <c r="BD374" s="14"/>
      <c r="BE374" s="14"/>
      <c r="BF374" s="14"/>
      <c r="BG374" s="14"/>
      <c r="BH374" s="14"/>
      <c r="BI374" s="14"/>
      <c r="BJ374" s="14"/>
      <c r="BK374" s="14"/>
      <c r="BL374" s="14"/>
      <c r="BM374" s="14"/>
      <c r="BN374" s="14"/>
    </row>
    <row r="375" spans="1:66" s="316" customFormat="1" x14ac:dyDescent="0.2">
      <c r="A375" s="338"/>
      <c r="B375" s="933"/>
      <c r="C375" s="338"/>
      <c r="D375" s="933"/>
      <c r="E375" s="338"/>
      <c r="F375" s="933"/>
      <c r="G375" s="339"/>
      <c r="H375" s="934"/>
      <c r="I375" s="338"/>
      <c r="J375" s="933"/>
      <c r="K375" s="340"/>
      <c r="L375" s="937"/>
      <c r="M375" s="341"/>
      <c r="N375" s="933"/>
      <c r="O375" s="339"/>
      <c r="P375" s="339"/>
      <c r="Q375" s="339"/>
      <c r="R375" s="342"/>
      <c r="S375" s="933"/>
      <c r="T375" s="343"/>
      <c r="U375" s="933"/>
      <c r="V375" s="933"/>
      <c r="W375" s="933"/>
      <c r="X375" s="345"/>
      <c r="Y375" s="345"/>
      <c r="Z375" s="345"/>
      <c r="AA375" s="345"/>
      <c r="AB375" s="345"/>
      <c r="AC375" s="346"/>
      <c r="AD375" s="344"/>
      <c r="AE375" s="347"/>
      <c r="AF375" s="338"/>
      <c r="AG375" s="338"/>
      <c r="AH375" s="338"/>
      <c r="AI375" s="338"/>
      <c r="AJ375" s="338"/>
      <c r="AK375" s="338"/>
      <c r="AL375" s="338"/>
      <c r="AM375" s="338"/>
      <c r="AN375" s="338"/>
      <c r="AO375" s="338"/>
      <c r="AP375" s="338"/>
      <c r="AQ375" s="338"/>
      <c r="AR375" s="338"/>
      <c r="AS375" s="338"/>
      <c r="AT375" s="338"/>
      <c r="AU375" s="338"/>
      <c r="AV375" s="338"/>
      <c r="AW375" s="348"/>
      <c r="AX375" s="348"/>
      <c r="AY375" s="338"/>
      <c r="AZ375" s="14"/>
      <c r="BA375" s="14"/>
      <c r="BB375" s="14"/>
      <c r="BC375" s="14"/>
      <c r="BD375" s="14"/>
      <c r="BE375" s="14"/>
      <c r="BF375" s="14"/>
      <c r="BG375" s="14"/>
      <c r="BH375" s="14"/>
      <c r="BI375" s="14"/>
      <c r="BJ375" s="14"/>
      <c r="BK375" s="14"/>
      <c r="BL375" s="14"/>
      <c r="BM375" s="14"/>
      <c r="BN375" s="14"/>
    </row>
    <row r="376" spans="1:66" s="316" customFormat="1" x14ac:dyDescent="0.2">
      <c r="A376" s="338"/>
      <c r="B376" s="933"/>
      <c r="C376" s="338"/>
      <c r="D376" s="933"/>
      <c r="E376" s="338"/>
      <c r="F376" s="933"/>
      <c r="G376" s="339"/>
      <c r="H376" s="934"/>
      <c r="I376" s="338"/>
      <c r="J376" s="933"/>
      <c r="K376" s="340"/>
      <c r="L376" s="937"/>
      <c r="M376" s="341"/>
      <c r="N376" s="933"/>
      <c r="O376" s="339"/>
      <c r="P376" s="339"/>
      <c r="Q376" s="339"/>
      <c r="R376" s="342"/>
      <c r="S376" s="933"/>
      <c r="T376" s="343"/>
      <c r="U376" s="933"/>
      <c r="V376" s="933"/>
      <c r="W376" s="933"/>
      <c r="X376" s="345"/>
      <c r="Y376" s="345"/>
      <c r="Z376" s="345"/>
      <c r="AA376" s="345"/>
      <c r="AB376" s="345"/>
      <c r="AC376" s="346"/>
      <c r="AD376" s="344"/>
      <c r="AE376" s="347"/>
      <c r="AF376" s="338"/>
      <c r="AG376" s="338"/>
      <c r="AH376" s="338"/>
      <c r="AI376" s="338"/>
      <c r="AJ376" s="338"/>
      <c r="AK376" s="338"/>
      <c r="AL376" s="338"/>
      <c r="AM376" s="338"/>
      <c r="AN376" s="338"/>
      <c r="AO376" s="338"/>
      <c r="AP376" s="338"/>
      <c r="AQ376" s="338"/>
      <c r="AR376" s="338"/>
      <c r="AS376" s="338"/>
      <c r="AT376" s="338"/>
      <c r="AU376" s="338"/>
      <c r="AV376" s="338"/>
      <c r="AW376" s="348"/>
      <c r="AX376" s="348"/>
      <c r="AY376" s="338"/>
      <c r="AZ376" s="14"/>
      <c r="BA376" s="14"/>
      <c r="BB376" s="14"/>
      <c r="BC376" s="14"/>
      <c r="BD376" s="14"/>
      <c r="BE376" s="14"/>
      <c r="BF376" s="14"/>
      <c r="BG376" s="14"/>
      <c r="BH376" s="14"/>
      <c r="BI376" s="14"/>
      <c r="BJ376" s="14"/>
      <c r="BK376" s="14"/>
      <c r="BL376" s="14"/>
      <c r="BM376" s="14"/>
      <c r="BN376" s="14"/>
    </row>
    <row r="377" spans="1:66" s="316" customFormat="1" x14ac:dyDescent="0.2">
      <c r="A377" s="338"/>
      <c r="B377" s="933"/>
      <c r="C377" s="338"/>
      <c r="D377" s="933"/>
      <c r="E377" s="338"/>
      <c r="F377" s="933"/>
      <c r="G377" s="339"/>
      <c r="H377" s="934"/>
      <c r="I377" s="338"/>
      <c r="J377" s="933"/>
      <c r="K377" s="340"/>
      <c r="L377" s="937"/>
      <c r="M377" s="341"/>
      <c r="N377" s="933"/>
      <c r="O377" s="339"/>
      <c r="P377" s="339"/>
      <c r="Q377" s="339"/>
      <c r="R377" s="342"/>
      <c r="S377" s="933"/>
      <c r="T377" s="343"/>
      <c r="U377" s="933"/>
      <c r="V377" s="933"/>
      <c r="W377" s="933"/>
      <c r="X377" s="345"/>
      <c r="Y377" s="345"/>
      <c r="Z377" s="345"/>
      <c r="AA377" s="345"/>
      <c r="AB377" s="345"/>
      <c r="AC377" s="346"/>
      <c r="AD377" s="344"/>
      <c r="AE377" s="347"/>
      <c r="AF377" s="338"/>
      <c r="AG377" s="338"/>
      <c r="AH377" s="338"/>
      <c r="AI377" s="338"/>
      <c r="AJ377" s="338"/>
      <c r="AK377" s="338"/>
      <c r="AL377" s="338"/>
      <c r="AM377" s="338"/>
      <c r="AN377" s="338"/>
      <c r="AO377" s="338"/>
      <c r="AP377" s="338"/>
      <c r="AQ377" s="338"/>
      <c r="AR377" s="338"/>
      <c r="AS377" s="338"/>
      <c r="AT377" s="338"/>
      <c r="AU377" s="338"/>
      <c r="AV377" s="338"/>
      <c r="AW377" s="348"/>
      <c r="AX377" s="348"/>
      <c r="AY377" s="338"/>
      <c r="AZ377" s="14"/>
      <c r="BA377" s="14"/>
      <c r="BB377" s="14"/>
      <c r="BC377" s="14"/>
      <c r="BD377" s="14"/>
      <c r="BE377" s="14"/>
      <c r="BF377" s="14"/>
      <c r="BG377" s="14"/>
      <c r="BH377" s="14"/>
      <c r="BI377" s="14"/>
      <c r="BJ377" s="14"/>
      <c r="BK377" s="14"/>
      <c r="BL377" s="14"/>
      <c r="BM377" s="14"/>
      <c r="BN377" s="14"/>
    </row>
    <row r="378" spans="1:66" s="316" customFormat="1" x14ac:dyDescent="0.2">
      <c r="A378" s="338"/>
      <c r="B378" s="933"/>
      <c r="C378" s="338"/>
      <c r="D378" s="933"/>
      <c r="E378" s="338"/>
      <c r="F378" s="933"/>
      <c r="G378" s="339"/>
      <c r="H378" s="934"/>
      <c r="I378" s="338"/>
      <c r="J378" s="933"/>
      <c r="K378" s="340"/>
      <c r="L378" s="937"/>
      <c r="M378" s="341"/>
      <c r="N378" s="933"/>
      <c r="O378" s="339"/>
      <c r="P378" s="339"/>
      <c r="Q378" s="339"/>
      <c r="R378" s="342"/>
      <c r="S378" s="933"/>
      <c r="T378" s="343"/>
      <c r="U378" s="933"/>
      <c r="V378" s="933"/>
      <c r="W378" s="933"/>
      <c r="X378" s="345"/>
      <c r="Y378" s="345"/>
      <c r="Z378" s="345"/>
      <c r="AA378" s="345"/>
      <c r="AB378" s="345"/>
      <c r="AC378" s="346"/>
      <c r="AD378" s="344"/>
      <c r="AE378" s="347"/>
      <c r="AF378" s="338"/>
      <c r="AG378" s="338"/>
      <c r="AH378" s="338"/>
      <c r="AI378" s="338"/>
      <c r="AJ378" s="338"/>
      <c r="AK378" s="338"/>
      <c r="AL378" s="338"/>
      <c r="AM378" s="338"/>
      <c r="AN378" s="338"/>
      <c r="AO378" s="338"/>
      <c r="AP378" s="338"/>
      <c r="AQ378" s="338"/>
      <c r="AR378" s="338"/>
      <c r="AS378" s="338"/>
      <c r="AT378" s="338"/>
      <c r="AU378" s="338"/>
      <c r="AV378" s="338"/>
      <c r="AW378" s="348"/>
      <c r="AX378" s="348"/>
      <c r="AY378" s="338"/>
      <c r="AZ378" s="14"/>
      <c r="BA378" s="14"/>
      <c r="BB378" s="14"/>
      <c r="BC378" s="14"/>
      <c r="BD378" s="14"/>
      <c r="BE378" s="14"/>
      <c r="BF378" s="14"/>
      <c r="BG378" s="14"/>
      <c r="BH378" s="14"/>
      <c r="BI378" s="14"/>
      <c r="BJ378" s="14"/>
      <c r="BK378" s="14"/>
      <c r="BL378" s="14"/>
      <c r="BM378" s="14"/>
      <c r="BN378" s="14"/>
    </row>
    <row r="379" spans="1:66" s="316" customFormat="1" x14ac:dyDescent="0.2">
      <c r="A379" s="338"/>
      <c r="B379" s="933"/>
      <c r="C379" s="338"/>
      <c r="D379" s="933"/>
      <c r="E379" s="338"/>
      <c r="F379" s="933"/>
      <c r="G379" s="339"/>
      <c r="H379" s="934"/>
      <c r="I379" s="338"/>
      <c r="J379" s="933"/>
      <c r="K379" s="340"/>
      <c r="L379" s="937"/>
      <c r="M379" s="341"/>
      <c r="N379" s="933"/>
      <c r="O379" s="339"/>
      <c r="P379" s="339"/>
      <c r="Q379" s="339"/>
      <c r="R379" s="342"/>
      <c r="S379" s="933"/>
      <c r="T379" s="343"/>
      <c r="U379" s="933"/>
      <c r="V379" s="933"/>
      <c r="W379" s="933"/>
      <c r="X379" s="345"/>
      <c r="Y379" s="345"/>
      <c r="Z379" s="345"/>
      <c r="AA379" s="345"/>
      <c r="AB379" s="345"/>
      <c r="AC379" s="346"/>
      <c r="AD379" s="344"/>
      <c r="AE379" s="347"/>
      <c r="AF379" s="338"/>
      <c r="AG379" s="338"/>
      <c r="AH379" s="338"/>
      <c r="AI379" s="338"/>
      <c r="AJ379" s="338"/>
      <c r="AK379" s="338"/>
      <c r="AL379" s="338"/>
      <c r="AM379" s="338"/>
      <c r="AN379" s="338"/>
      <c r="AO379" s="338"/>
      <c r="AP379" s="338"/>
      <c r="AQ379" s="338"/>
      <c r="AR379" s="338"/>
      <c r="AS379" s="338"/>
      <c r="AT379" s="338"/>
      <c r="AU379" s="338"/>
      <c r="AV379" s="338"/>
      <c r="AW379" s="348"/>
      <c r="AX379" s="348"/>
      <c r="AY379" s="338"/>
      <c r="AZ379" s="14"/>
      <c r="BA379" s="14"/>
      <c r="BB379" s="14"/>
      <c r="BC379" s="14"/>
      <c r="BD379" s="14"/>
      <c r="BE379" s="14"/>
      <c r="BF379" s="14"/>
      <c r="BG379" s="14"/>
      <c r="BH379" s="14"/>
      <c r="BI379" s="14"/>
      <c r="BJ379" s="14"/>
      <c r="BK379" s="14"/>
      <c r="BL379" s="14"/>
      <c r="BM379" s="14"/>
      <c r="BN379" s="14"/>
    </row>
    <row r="380" spans="1:66" s="316" customFormat="1" x14ac:dyDescent="0.2">
      <c r="A380" s="338"/>
      <c r="B380" s="933"/>
      <c r="C380" s="338"/>
      <c r="D380" s="933"/>
      <c r="E380" s="338"/>
      <c r="F380" s="933"/>
      <c r="G380" s="339"/>
      <c r="H380" s="934"/>
      <c r="I380" s="338"/>
      <c r="J380" s="933"/>
      <c r="K380" s="340"/>
      <c r="L380" s="937"/>
      <c r="M380" s="341"/>
      <c r="N380" s="933"/>
      <c r="O380" s="339"/>
      <c r="P380" s="339"/>
      <c r="Q380" s="339"/>
      <c r="R380" s="342"/>
      <c r="S380" s="933"/>
      <c r="T380" s="343"/>
      <c r="U380" s="933"/>
      <c r="V380" s="933"/>
      <c r="W380" s="933"/>
      <c r="X380" s="345"/>
      <c r="Y380" s="345"/>
      <c r="Z380" s="345"/>
      <c r="AA380" s="345"/>
      <c r="AB380" s="345"/>
      <c r="AC380" s="346"/>
      <c r="AD380" s="344"/>
      <c r="AE380" s="347"/>
      <c r="AF380" s="338"/>
      <c r="AG380" s="338"/>
      <c r="AH380" s="338"/>
      <c r="AI380" s="338"/>
      <c r="AJ380" s="338"/>
      <c r="AK380" s="338"/>
      <c r="AL380" s="338"/>
      <c r="AM380" s="338"/>
      <c r="AN380" s="338"/>
      <c r="AO380" s="338"/>
      <c r="AP380" s="338"/>
      <c r="AQ380" s="338"/>
      <c r="AR380" s="338"/>
      <c r="AS380" s="338"/>
      <c r="AT380" s="338"/>
      <c r="AU380" s="338"/>
      <c r="AV380" s="338"/>
      <c r="AW380" s="348"/>
      <c r="AX380" s="348"/>
      <c r="AY380" s="338"/>
      <c r="AZ380" s="14"/>
      <c r="BA380" s="14"/>
      <c r="BB380" s="14"/>
      <c r="BC380" s="14"/>
      <c r="BD380" s="14"/>
      <c r="BE380" s="14"/>
      <c r="BF380" s="14"/>
      <c r="BG380" s="14"/>
      <c r="BH380" s="14"/>
      <c r="BI380" s="14"/>
      <c r="BJ380" s="14"/>
      <c r="BK380" s="14"/>
      <c r="BL380" s="14"/>
      <c r="BM380" s="14"/>
      <c r="BN380" s="14"/>
    </row>
    <row r="381" spans="1:66" s="316" customFormat="1" x14ac:dyDescent="0.2">
      <c r="A381" s="338"/>
      <c r="B381" s="933"/>
      <c r="C381" s="338"/>
      <c r="D381" s="933"/>
      <c r="E381" s="338"/>
      <c r="F381" s="933"/>
      <c r="G381" s="339"/>
      <c r="H381" s="934"/>
      <c r="I381" s="338"/>
      <c r="J381" s="933"/>
      <c r="K381" s="340"/>
      <c r="L381" s="937"/>
      <c r="M381" s="341"/>
      <c r="N381" s="933"/>
      <c r="O381" s="339"/>
      <c r="P381" s="339"/>
      <c r="Q381" s="339"/>
      <c r="R381" s="342"/>
      <c r="S381" s="933"/>
      <c r="T381" s="343"/>
      <c r="U381" s="933"/>
      <c r="V381" s="933"/>
      <c r="W381" s="933"/>
      <c r="X381" s="345"/>
      <c r="Y381" s="345"/>
      <c r="Z381" s="345"/>
      <c r="AA381" s="345"/>
      <c r="AB381" s="345"/>
      <c r="AC381" s="346"/>
      <c r="AD381" s="344"/>
      <c r="AE381" s="347"/>
      <c r="AF381" s="338"/>
      <c r="AG381" s="338"/>
      <c r="AH381" s="338"/>
      <c r="AI381" s="338"/>
      <c r="AJ381" s="338"/>
      <c r="AK381" s="338"/>
      <c r="AL381" s="338"/>
      <c r="AM381" s="338"/>
      <c r="AN381" s="338"/>
      <c r="AO381" s="338"/>
      <c r="AP381" s="338"/>
      <c r="AQ381" s="338"/>
      <c r="AR381" s="338"/>
      <c r="AS381" s="338"/>
      <c r="AT381" s="338"/>
      <c r="AU381" s="338"/>
      <c r="AV381" s="338"/>
      <c r="AW381" s="348"/>
      <c r="AX381" s="348"/>
      <c r="AY381" s="338"/>
      <c r="AZ381" s="14"/>
      <c r="BA381" s="14"/>
      <c r="BB381" s="14"/>
      <c r="BC381" s="14"/>
      <c r="BD381" s="14"/>
      <c r="BE381" s="14"/>
      <c r="BF381" s="14"/>
      <c r="BG381" s="14"/>
      <c r="BH381" s="14"/>
      <c r="BI381" s="14"/>
      <c r="BJ381" s="14"/>
      <c r="BK381" s="14"/>
      <c r="BL381" s="14"/>
      <c r="BM381" s="14"/>
      <c r="BN381" s="14"/>
    </row>
    <row r="382" spans="1:66" s="316" customFormat="1" x14ac:dyDescent="0.2">
      <c r="A382" s="338"/>
      <c r="B382" s="933"/>
      <c r="C382" s="338"/>
      <c r="D382" s="933"/>
      <c r="E382" s="338"/>
      <c r="F382" s="933"/>
      <c r="G382" s="339"/>
      <c r="H382" s="934"/>
      <c r="I382" s="338"/>
      <c r="J382" s="933"/>
      <c r="K382" s="340"/>
      <c r="L382" s="937"/>
      <c r="M382" s="341"/>
      <c r="N382" s="933"/>
      <c r="O382" s="339"/>
      <c r="P382" s="339"/>
      <c r="Q382" s="339"/>
      <c r="R382" s="342"/>
      <c r="S382" s="933"/>
      <c r="T382" s="343"/>
      <c r="U382" s="933"/>
      <c r="V382" s="933"/>
      <c r="W382" s="933"/>
      <c r="X382" s="345"/>
      <c r="Y382" s="345"/>
      <c r="Z382" s="345"/>
      <c r="AA382" s="345"/>
      <c r="AB382" s="345"/>
      <c r="AC382" s="346"/>
      <c r="AD382" s="344"/>
      <c r="AE382" s="347"/>
      <c r="AF382" s="338"/>
      <c r="AG382" s="338"/>
      <c r="AH382" s="338"/>
      <c r="AI382" s="338"/>
      <c r="AJ382" s="338"/>
      <c r="AK382" s="338"/>
      <c r="AL382" s="338"/>
      <c r="AM382" s="338"/>
      <c r="AN382" s="338"/>
      <c r="AO382" s="338"/>
      <c r="AP382" s="338"/>
      <c r="AQ382" s="338"/>
      <c r="AR382" s="338"/>
      <c r="AS382" s="338"/>
      <c r="AT382" s="338"/>
      <c r="AU382" s="338"/>
      <c r="AV382" s="338"/>
      <c r="AW382" s="348"/>
      <c r="AX382" s="348"/>
      <c r="AY382" s="338"/>
      <c r="AZ382" s="14"/>
      <c r="BA382" s="14"/>
      <c r="BB382" s="14"/>
      <c r="BC382" s="14"/>
      <c r="BD382" s="14"/>
      <c r="BE382" s="14"/>
      <c r="BF382" s="14"/>
      <c r="BG382" s="14"/>
      <c r="BH382" s="14"/>
      <c r="BI382" s="14"/>
      <c r="BJ382" s="14"/>
      <c r="BK382" s="14"/>
      <c r="BL382" s="14"/>
      <c r="BM382" s="14"/>
      <c r="BN382" s="14"/>
    </row>
    <row r="383" spans="1:66" s="316" customFormat="1" x14ac:dyDescent="0.2">
      <c r="A383" s="338"/>
      <c r="B383" s="933"/>
      <c r="C383" s="338"/>
      <c r="D383" s="933"/>
      <c r="E383" s="338"/>
      <c r="F383" s="933"/>
      <c r="G383" s="339"/>
      <c r="H383" s="934"/>
      <c r="I383" s="338"/>
      <c r="J383" s="933"/>
      <c r="K383" s="340"/>
      <c r="L383" s="937"/>
      <c r="M383" s="341"/>
      <c r="N383" s="933"/>
      <c r="O383" s="339"/>
      <c r="P383" s="339"/>
      <c r="Q383" s="339"/>
      <c r="R383" s="342"/>
      <c r="S383" s="933"/>
      <c r="T383" s="343"/>
      <c r="U383" s="933"/>
      <c r="V383" s="933"/>
      <c r="W383" s="933"/>
      <c r="X383" s="345"/>
      <c r="Y383" s="345"/>
      <c r="Z383" s="345"/>
      <c r="AA383" s="345"/>
      <c r="AB383" s="345"/>
      <c r="AC383" s="346"/>
      <c r="AD383" s="344"/>
      <c r="AE383" s="347"/>
      <c r="AF383" s="338"/>
      <c r="AG383" s="338"/>
      <c r="AH383" s="338"/>
      <c r="AI383" s="338"/>
      <c r="AJ383" s="338"/>
      <c r="AK383" s="338"/>
      <c r="AL383" s="338"/>
      <c r="AM383" s="338"/>
      <c r="AN383" s="338"/>
      <c r="AO383" s="338"/>
      <c r="AP383" s="338"/>
      <c r="AQ383" s="338"/>
      <c r="AR383" s="338"/>
      <c r="AS383" s="338"/>
      <c r="AT383" s="338"/>
      <c r="AU383" s="338"/>
      <c r="AV383" s="338"/>
      <c r="AW383" s="348"/>
      <c r="AX383" s="348"/>
      <c r="AY383" s="338"/>
      <c r="AZ383" s="14"/>
      <c r="BA383" s="14"/>
      <c r="BB383" s="14"/>
      <c r="BC383" s="14"/>
      <c r="BD383" s="14"/>
      <c r="BE383" s="14"/>
      <c r="BF383" s="14"/>
      <c r="BG383" s="14"/>
      <c r="BH383" s="14"/>
      <c r="BI383" s="14"/>
      <c r="BJ383" s="14"/>
      <c r="BK383" s="14"/>
      <c r="BL383" s="14"/>
      <c r="BM383" s="14"/>
      <c r="BN383" s="14"/>
    </row>
    <row r="384" spans="1:66" s="316" customFormat="1" x14ac:dyDescent="0.2">
      <c r="A384" s="338"/>
      <c r="B384" s="933"/>
      <c r="C384" s="338"/>
      <c r="D384" s="933"/>
      <c r="E384" s="338"/>
      <c r="F384" s="933"/>
      <c r="G384" s="339"/>
      <c r="H384" s="934"/>
      <c r="I384" s="338"/>
      <c r="J384" s="933"/>
      <c r="K384" s="340"/>
      <c r="L384" s="937"/>
      <c r="M384" s="341"/>
      <c r="N384" s="933"/>
      <c r="O384" s="339"/>
      <c r="P384" s="339"/>
      <c r="Q384" s="339"/>
      <c r="R384" s="342"/>
      <c r="S384" s="933"/>
      <c r="T384" s="343"/>
      <c r="U384" s="933"/>
      <c r="V384" s="933"/>
      <c r="W384" s="933"/>
      <c r="X384" s="345"/>
      <c r="Y384" s="345"/>
      <c r="Z384" s="345"/>
      <c r="AA384" s="345"/>
      <c r="AB384" s="345"/>
      <c r="AC384" s="346"/>
      <c r="AD384" s="344"/>
      <c r="AE384" s="347"/>
      <c r="AF384" s="338"/>
      <c r="AG384" s="338"/>
      <c r="AH384" s="338"/>
      <c r="AI384" s="338"/>
      <c r="AJ384" s="338"/>
      <c r="AK384" s="338"/>
      <c r="AL384" s="338"/>
      <c r="AM384" s="338"/>
      <c r="AN384" s="338"/>
      <c r="AO384" s="338"/>
      <c r="AP384" s="338"/>
      <c r="AQ384" s="338"/>
      <c r="AR384" s="338"/>
      <c r="AS384" s="338"/>
      <c r="AT384" s="338"/>
      <c r="AU384" s="338"/>
      <c r="AV384" s="338"/>
      <c r="AW384" s="348"/>
      <c r="AX384" s="348"/>
      <c r="AY384" s="338"/>
      <c r="AZ384" s="14"/>
      <c r="BA384" s="14"/>
      <c r="BB384" s="14"/>
      <c r="BC384" s="14"/>
      <c r="BD384" s="14"/>
      <c r="BE384" s="14"/>
      <c r="BF384" s="14"/>
      <c r="BG384" s="14"/>
      <c r="BH384" s="14"/>
      <c r="BI384" s="14"/>
      <c r="BJ384" s="14"/>
      <c r="BK384" s="14"/>
      <c r="BL384" s="14"/>
      <c r="BM384" s="14"/>
      <c r="BN384" s="14"/>
    </row>
    <row r="385" spans="1:66" s="316" customFormat="1" x14ac:dyDescent="0.2">
      <c r="A385" s="338"/>
      <c r="B385" s="933"/>
      <c r="C385" s="338"/>
      <c r="D385" s="933"/>
      <c r="E385" s="338"/>
      <c r="F385" s="933"/>
      <c r="G385" s="339"/>
      <c r="H385" s="934"/>
      <c r="I385" s="338"/>
      <c r="J385" s="933"/>
      <c r="K385" s="340"/>
      <c r="L385" s="937"/>
      <c r="M385" s="341"/>
      <c r="N385" s="933"/>
      <c r="O385" s="339"/>
      <c r="P385" s="339"/>
      <c r="Q385" s="339"/>
      <c r="R385" s="342"/>
      <c r="S385" s="933"/>
      <c r="T385" s="343"/>
      <c r="U385" s="933"/>
      <c r="V385" s="933"/>
      <c r="W385" s="933"/>
      <c r="X385" s="345"/>
      <c r="Y385" s="345"/>
      <c r="Z385" s="345"/>
      <c r="AA385" s="345"/>
      <c r="AB385" s="345"/>
      <c r="AC385" s="346"/>
      <c r="AD385" s="344"/>
      <c r="AE385" s="347"/>
      <c r="AF385" s="338"/>
      <c r="AG385" s="338"/>
      <c r="AH385" s="338"/>
      <c r="AI385" s="338"/>
      <c r="AJ385" s="338"/>
      <c r="AK385" s="338"/>
      <c r="AL385" s="338"/>
      <c r="AM385" s="338"/>
      <c r="AN385" s="338"/>
      <c r="AO385" s="338"/>
      <c r="AP385" s="338"/>
      <c r="AQ385" s="338"/>
      <c r="AR385" s="338"/>
      <c r="AS385" s="338"/>
      <c r="AT385" s="338"/>
      <c r="AU385" s="338"/>
      <c r="AV385" s="338"/>
      <c r="AW385" s="348"/>
      <c r="AX385" s="348"/>
      <c r="AY385" s="338"/>
      <c r="AZ385" s="14"/>
      <c r="BA385" s="14"/>
      <c r="BB385" s="14"/>
      <c r="BC385" s="14"/>
      <c r="BD385" s="14"/>
      <c r="BE385" s="14"/>
      <c r="BF385" s="14"/>
      <c r="BG385" s="14"/>
      <c r="BH385" s="14"/>
      <c r="BI385" s="14"/>
      <c r="BJ385" s="14"/>
      <c r="BK385" s="14"/>
      <c r="BL385" s="14"/>
      <c r="BM385" s="14"/>
      <c r="BN385" s="14"/>
    </row>
    <row r="386" spans="1:66" s="316" customFormat="1" x14ac:dyDescent="0.2">
      <c r="A386" s="338"/>
      <c r="B386" s="933"/>
      <c r="C386" s="338"/>
      <c r="D386" s="933"/>
      <c r="E386" s="338"/>
      <c r="F386" s="933"/>
      <c r="G386" s="339"/>
      <c r="H386" s="934"/>
      <c r="I386" s="338"/>
      <c r="J386" s="933"/>
      <c r="K386" s="340"/>
      <c r="L386" s="937"/>
      <c r="M386" s="341"/>
      <c r="N386" s="933"/>
      <c r="O386" s="339"/>
      <c r="P386" s="339"/>
      <c r="Q386" s="339"/>
      <c r="R386" s="342"/>
      <c r="S386" s="933"/>
      <c r="T386" s="343"/>
      <c r="U386" s="933"/>
      <c r="V386" s="933"/>
      <c r="W386" s="933"/>
      <c r="X386" s="345"/>
      <c r="Y386" s="345"/>
      <c r="Z386" s="345"/>
      <c r="AA386" s="345"/>
      <c r="AB386" s="345"/>
      <c r="AC386" s="346"/>
      <c r="AD386" s="344"/>
      <c r="AE386" s="347"/>
      <c r="AF386" s="338"/>
      <c r="AG386" s="338"/>
      <c r="AH386" s="338"/>
      <c r="AI386" s="338"/>
      <c r="AJ386" s="338"/>
      <c r="AK386" s="338"/>
      <c r="AL386" s="338"/>
      <c r="AM386" s="338"/>
      <c r="AN386" s="338"/>
      <c r="AO386" s="338"/>
      <c r="AP386" s="338"/>
      <c r="AQ386" s="338"/>
      <c r="AR386" s="338"/>
      <c r="AS386" s="338"/>
      <c r="AT386" s="338"/>
      <c r="AU386" s="338"/>
      <c r="AV386" s="338"/>
      <c r="AW386" s="348"/>
      <c r="AX386" s="348"/>
      <c r="AY386" s="338"/>
      <c r="AZ386" s="14"/>
      <c r="BA386" s="14"/>
      <c r="BB386" s="14"/>
      <c r="BC386" s="14"/>
      <c r="BD386" s="14"/>
      <c r="BE386" s="14"/>
      <c r="BF386" s="14"/>
      <c r="BG386" s="14"/>
      <c r="BH386" s="14"/>
      <c r="BI386" s="14"/>
      <c r="BJ386" s="14"/>
      <c r="BK386" s="14"/>
      <c r="BL386" s="14"/>
      <c r="BM386" s="14"/>
      <c r="BN386" s="14"/>
    </row>
    <row r="387" spans="1:66" s="316" customFormat="1" x14ac:dyDescent="0.2">
      <c r="A387" s="338"/>
      <c r="B387" s="933"/>
      <c r="C387" s="338"/>
      <c r="D387" s="933"/>
      <c r="E387" s="338"/>
      <c r="F387" s="933"/>
      <c r="G387" s="339"/>
      <c r="H387" s="934"/>
      <c r="I387" s="338"/>
      <c r="J387" s="933"/>
      <c r="K387" s="340"/>
      <c r="L387" s="937"/>
      <c r="M387" s="341"/>
      <c r="N387" s="933"/>
      <c r="O387" s="339"/>
      <c r="P387" s="339"/>
      <c r="Q387" s="339"/>
      <c r="R387" s="342"/>
      <c r="S387" s="933"/>
      <c r="T387" s="343"/>
      <c r="U387" s="933"/>
      <c r="V387" s="933"/>
      <c r="W387" s="933"/>
      <c r="X387" s="345"/>
      <c r="Y387" s="345"/>
      <c r="Z387" s="345"/>
      <c r="AA387" s="345"/>
      <c r="AB387" s="345"/>
      <c r="AC387" s="346"/>
      <c r="AD387" s="344"/>
      <c r="AE387" s="347"/>
      <c r="AF387" s="338"/>
      <c r="AG387" s="338"/>
      <c r="AH387" s="338"/>
      <c r="AI387" s="338"/>
      <c r="AJ387" s="338"/>
      <c r="AK387" s="338"/>
      <c r="AL387" s="338"/>
      <c r="AM387" s="338"/>
      <c r="AN387" s="338"/>
      <c r="AO387" s="338"/>
      <c r="AP387" s="338"/>
      <c r="AQ387" s="338"/>
      <c r="AR387" s="338"/>
      <c r="AS387" s="338"/>
      <c r="AT387" s="338"/>
      <c r="AU387" s="338"/>
      <c r="AV387" s="338"/>
      <c r="AW387" s="348"/>
      <c r="AX387" s="348"/>
      <c r="AY387" s="338"/>
      <c r="AZ387" s="14"/>
      <c r="BA387" s="14"/>
      <c r="BB387" s="14"/>
      <c r="BC387" s="14"/>
      <c r="BD387" s="14"/>
      <c r="BE387" s="14"/>
      <c r="BF387" s="14"/>
      <c r="BG387" s="14"/>
      <c r="BH387" s="14"/>
      <c r="BI387" s="14"/>
      <c r="BJ387" s="14"/>
      <c r="BK387" s="14"/>
      <c r="BL387" s="14"/>
      <c r="BM387" s="14"/>
      <c r="BN387" s="14"/>
    </row>
    <row r="388" spans="1:66" s="316" customFormat="1" x14ac:dyDescent="0.2">
      <c r="A388" s="338"/>
      <c r="B388" s="933"/>
      <c r="C388" s="338"/>
      <c r="D388" s="933"/>
      <c r="E388" s="338"/>
      <c r="F388" s="933"/>
      <c r="G388" s="339"/>
      <c r="H388" s="934"/>
      <c r="I388" s="338"/>
      <c r="J388" s="933"/>
      <c r="K388" s="340"/>
      <c r="L388" s="937"/>
      <c r="M388" s="341"/>
      <c r="N388" s="933"/>
      <c r="O388" s="339"/>
      <c r="P388" s="339"/>
      <c r="Q388" s="339"/>
      <c r="R388" s="342"/>
      <c r="S388" s="933"/>
      <c r="T388" s="343"/>
      <c r="U388" s="933"/>
      <c r="V388" s="933"/>
      <c r="W388" s="933"/>
      <c r="X388" s="345"/>
      <c r="Y388" s="345"/>
      <c r="Z388" s="345"/>
      <c r="AA388" s="345"/>
      <c r="AB388" s="345"/>
      <c r="AC388" s="346"/>
      <c r="AD388" s="344"/>
      <c r="AE388" s="347"/>
      <c r="AF388" s="338"/>
      <c r="AG388" s="338"/>
      <c r="AH388" s="338"/>
      <c r="AI388" s="338"/>
      <c r="AJ388" s="338"/>
      <c r="AK388" s="338"/>
      <c r="AL388" s="338"/>
      <c r="AM388" s="338"/>
      <c r="AN388" s="338"/>
      <c r="AO388" s="338"/>
      <c r="AP388" s="338"/>
      <c r="AQ388" s="338"/>
      <c r="AR388" s="338"/>
      <c r="AS388" s="338"/>
      <c r="AT388" s="338"/>
      <c r="AU388" s="338"/>
      <c r="AV388" s="338"/>
      <c r="AW388" s="348"/>
      <c r="AX388" s="348"/>
      <c r="AY388" s="338"/>
      <c r="AZ388" s="14"/>
      <c r="BA388" s="14"/>
      <c r="BB388" s="14"/>
      <c r="BC388" s="14"/>
      <c r="BD388" s="14"/>
      <c r="BE388" s="14"/>
      <c r="BF388" s="14"/>
      <c r="BG388" s="14"/>
      <c r="BH388" s="14"/>
      <c r="BI388" s="14"/>
      <c r="BJ388" s="14"/>
      <c r="BK388" s="14"/>
      <c r="BL388" s="14"/>
      <c r="BM388" s="14"/>
      <c r="BN388" s="14"/>
    </row>
    <row r="389" spans="1:66" s="316" customFormat="1" x14ac:dyDescent="0.2">
      <c r="A389" s="338"/>
      <c r="B389" s="933"/>
      <c r="C389" s="338"/>
      <c r="D389" s="933"/>
      <c r="E389" s="338"/>
      <c r="F389" s="933"/>
      <c r="G389" s="339"/>
      <c r="H389" s="934"/>
      <c r="I389" s="338"/>
      <c r="J389" s="933"/>
      <c r="K389" s="340"/>
      <c r="L389" s="937"/>
      <c r="M389" s="341"/>
      <c r="N389" s="933"/>
      <c r="O389" s="339"/>
      <c r="P389" s="339"/>
      <c r="Q389" s="339"/>
      <c r="R389" s="342"/>
      <c r="S389" s="933"/>
      <c r="T389" s="343"/>
      <c r="U389" s="933"/>
      <c r="V389" s="933"/>
      <c r="W389" s="933"/>
      <c r="X389" s="345"/>
      <c r="Y389" s="345"/>
      <c r="Z389" s="345"/>
      <c r="AA389" s="345"/>
      <c r="AB389" s="345"/>
      <c r="AC389" s="346"/>
      <c r="AD389" s="344"/>
      <c r="AE389" s="347"/>
      <c r="AF389" s="338"/>
      <c r="AG389" s="338"/>
      <c r="AH389" s="338"/>
      <c r="AI389" s="338"/>
      <c r="AJ389" s="338"/>
      <c r="AK389" s="338"/>
      <c r="AL389" s="338"/>
      <c r="AM389" s="338"/>
      <c r="AN389" s="338"/>
      <c r="AO389" s="338"/>
      <c r="AP389" s="338"/>
      <c r="AQ389" s="338"/>
      <c r="AR389" s="338"/>
      <c r="AS389" s="338"/>
      <c r="AT389" s="338"/>
      <c r="AU389" s="338"/>
      <c r="AV389" s="338"/>
      <c r="AW389" s="348"/>
      <c r="AX389" s="348"/>
      <c r="AY389" s="338"/>
      <c r="AZ389" s="14"/>
      <c r="BA389" s="14"/>
      <c r="BB389" s="14"/>
      <c r="BC389" s="14"/>
      <c r="BD389" s="14"/>
      <c r="BE389" s="14"/>
      <c r="BF389" s="14"/>
      <c r="BG389" s="14"/>
      <c r="BH389" s="14"/>
      <c r="BI389" s="14"/>
      <c r="BJ389" s="14"/>
      <c r="BK389" s="14"/>
      <c r="BL389" s="14"/>
      <c r="BM389" s="14"/>
      <c r="BN389" s="14"/>
    </row>
    <row r="390" spans="1:66" s="316" customFormat="1" x14ac:dyDescent="0.2">
      <c r="A390" s="338"/>
      <c r="B390" s="933"/>
      <c r="C390" s="338"/>
      <c r="D390" s="933"/>
      <c r="E390" s="338"/>
      <c r="F390" s="933"/>
      <c r="G390" s="339"/>
      <c r="H390" s="934"/>
      <c r="I390" s="338"/>
      <c r="J390" s="933"/>
      <c r="K390" s="340"/>
      <c r="L390" s="937"/>
      <c r="M390" s="341"/>
      <c r="N390" s="933"/>
      <c r="O390" s="339"/>
      <c r="P390" s="339"/>
      <c r="Q390" s="339"/>
      <c r="R390" s="342"/>
      <c r="S390" s="933"/>
      <c r="T390" s="343"/>
      <c r="U390" s="933"/>
      <c r="V390" s="933"/>
      <c r="W390" s="933"/>
      <c r="X390" s="345"/>
      <c r="Y390" s="345"/>
      <c r="Z390" s="345"/>
      <c r="AA390" s="345"/>
      <c r="AB390" s="345"/>
      <c r="AC390" s="346"/>
      <c r="AD390" s="344"/>
      <c r="AE390" s="347"/>
      <c r="AF390" s="338"/>
      <c r="AG390" s="338"/>
      <c r="AH390" s="338"/>
      <c r="AI390" s="338"/>
      <c r="AJ390" s="338"/>
      <c r="AK390" s="338"/>
      <c r="AL390" s="338"/>
      <c r="AM390" s="338"/>
      <c r="AN390" s="338"/>
      <c r="AO390" s="338"/>
      <c r="AP390" s="338"/>
      <c r="AQ390" s="338"/>
      <c r="AR390" s="338"/>
      <c r="AS390" s="338"/>
      <c r="AT390" s="338"/>
      <c r="AU390" s="338"/>
      <c r="AV390" s="338"/>
      <c r="AW390" s="348"/>
      <c r="AX390" s="348"/>
      <c r="AY390" s="338"/>
      <c r="AZ390" s="14"/>
      <c r="BA390" s="14"/>
      <c r="BB390" s="14"/>
      <c r="BC390" s="14"/>
      <c r="BD390" s="14"/>
      <c r="BE390" s="14"/>
      <c r="BF390" s="14"/>
      <c r="BG390" s="14"/>
      <c r="BH390" s="14"/>
      <c r="BI390" s="14"/>
      <c r="BJ390" s="14"/>
      <c r="BK390" s="14"/>
      <c r="BL390" s="14"/>
      <c r="BM390" s="14"/>
      <c r="BN390" s="14"/>
    </row>
    <row r="391" spans="1:66" s="316" customFormat="1" x14ac:dyDescent="0.2">
      <c r="A391" s="338"/>
      <c r="B391" s="933"/>
      <c r="C391" s="338"/>
      <c r="D391" s="933"/>
      <c r="E391" s="338"/>
      <c r="F391" s="933"/>
      <c r="G391" s="339"/>
      <c r="H391" s="934"/>
      <c r="I391" s="338"/>
      <c r="J391" s="933"/>
      <c r="K391" s="340"/>
      <c r="L391" s="937"/>
      <c r="M391" s="341"/>
      <c r="N391" s="933"/>
      <c r="O391" s="339"/>
      <c r="P391" s="339"/>
      <c r="Q391" s="339"/>
      <c r="R391" s="342"/>
      <c r="S391" s="933"/>
      <c r="T391" s="343"/>
      <c r="U391" s="933"/>
      <c r="V391" s="933"/>
      <c r="W391" s="933"/>
      <c r="X391" s="345"/>
      <c r="Y391" s="345"/>
      <c r="Z391" s="345"/>
      <c r="AA391" s="345"/>
      <c r="AB391" s="345"/>
      <c r="AC391" s="346"/>
      <c r="AD391" s="344"/>
      <c r="AE391" s="347"/>
      <c r="AF391" s="338"/>
      <c r="AG391" s="338"/>
      <c r="AH391" s="338"/>
      <c r="AI391" s="338"/>
      <c r="AJ391" s="338"/>
      <c r="AK391" s="338"/>
      <c r="AL391" s="338"/>
      <c r="AM391" s="338"/>
      <c r="AN391" s="338"/>
      <c r="AO391" s="338"/>
      <c r="AP391" s="338"/>
      <c r="AQ391" s="338"/>
      <c r="AR391" s="338"/>
      <c r="AS391" s="338"/>
      <c r="AT391" s="338"/>
      <c r="AU391" s="338"/>
      <c r="AV391" s="338"/>
      <c r="AW391" s="348"/>
      <c r="AX391" s="348"/>
      <c r="AY391" s="338"/>
      <c r="AZ391" s="14"/>
      <c r="BA391" s="14"/>
      <c r="BB391" s="14"/>
      <c r="BC391" s="14"/>
      <c r="BD391" s="14"/>
      <c r="BE391" s="14"/>
      <c r="BF391" s="14"/>
      <c r="BG391" s="14"/>
      <c r="BH391" s="14"/>
      <c r="BI391" s="14"/>
      <c r="BJ391" s="14"/>
      <c r="BK391" s="14"/>
      <c r="BL391" s="14"/>
      <c r="BM391" s="14"/>
      <c r="BN391" s="14"/>
    </row>
    <row r="392" spans="1:66" s="316" customFormat="1" x14ac:dyDescent="0.2">
      <c r="A392" s="338"/>
      <c r="B392" s="933"/>
      <c r="C392" s="338"/>
      <c r="D392" s="933"/>
      <c r="E392" s="338"/>
      <c r="F392" s="933"/>
      <c r="G392" s="339"/>
      <c r="H392" s="934"/>
      <c r="I392" s="338"/>
      <c r="J392" s="933"/>
      <c r="K392" s="340"/>
      <c r="L392" s="937"/>
      <c r="M392" s="341"/>
      <c r="N392" s="933"/>
      <c r="O392" s="339"/>
      <c r="P392" s="339"/>
      <c r="Q392" s="339"/>
      <c r="R392" s="342"/>
      <c r="S392" s="933"/>
      <c r="T392" s="343"/>
      <c r="U392" s="933"/>
      <c r="V392" s="933"/>
      <c r="W392" s="933"/>
      <c r="X392" s="345"/>
      <c r="Y392" s="345"/>
      <c r="Z392" s="345"/>
      <c r="AA392" s="345"/>
      <c r="AB392" s="345"/>
      <c r="AC392" s="346"/>
      <c r="AD392" s="344"/>
      <c r="AE392" s="347"/>
      <c r="AF392" s="338"/>
      <c r="AG392" s="338"/>
      <c r="AH392" s="338"/>
      <c r="AI392" s="338"/>
      <c r="AJ392" s="338"/>
      <c r="AK392" s="338"/>
      <c r="AL392" s="338"/>
      <c r="AM392" s="338"/>
      <c r="AN392" s="338"/>
      <c r="AO392" s="338"/>
      <c r="AP392" s="338"/>
      <c r="AQ392" s="338"/>
      <c r="AR392" s="338"/>
      <c r="AS392" s="338"/>
      <c r="AT392" s="338"/>
      <c r="AU392" s="338"/>
      <c r="AV392" s="338"/>
      <c r="AW392" s="348"/>
      <c r="AX392" s="348"/>
      <c r="AY392" s="338"/>
      <c r="AZ392" s="14"/>
      <c r="BA392" s="14"/>
      <c r="BB392" s="14"/>
      <c r="BC392" s="14"/>
      <c r="BD392" s="14"/>
      <c r="BE392" s="14"/>
      <c r="BF392" s="14"/>
      <c r="BG392" s="14"/>
      <c r="BH392" s="14"/>
      <c r="BI392" s="14"/>
      <c r="BJ392" s="14"/>
      <c r="BK392" s="14"/>
      <c r="BL392" s="14"/>
      <c r="BM392" s="14"/>
      <c r="BN392" s="14"/>
    </row>
    <row r="393" spans="1:66" s="316" customFormat="1" x14ac:dyDescent="0.2">
      <c r="A393" s="338"/>
      <c r="B393" s="933"/>
      <c r="C393" s="338"/>
      <c r="D393" s="933"/>
      <c r="E393" s="338"/>
      <c r="F393" s="933"/>
      <c r="G393" s="339"/>
      <c r="H393" s="934"/>
      <c r="I393" s="338"/>
      <c r="J393" s="933"/>
      <c r="K393" s="340"/>
      <c r="L393" s="937"/>
      <c r="M393" s="341"/>
      <c r="N393" s="933"/>
      <c r="O393" s="339"/>
      <c r="P393" s="339"/>
      <c r="Q393" s="339"/>
      <c r="R393" s="342"/>
      <c r="S393" s="933"/>
      <c r="T393" s="343"/>
      <c r="U393" s="933"/>
      <c r="V393" s="933"/>
      <c r="W393" s="933"/>
      <c r="X393" s="345"/>
      <c r="Y393" s="345"/>
      <c r="Z393" s="345"/>
      <c r="AA393" s="345"/>
      <c r="AB393" s="345"/>
      <c r="AC393" s="346"/>
      <c r="AD393" s="344"/>
      <c r="AE393" s="347"/>
      <c r="AF393" s="338"/>
      <c r="AG393" s="338"/>
      <c r="AH393" s="338"/>
      <c r="AI393" s="338"/>
      <c r="AJ393" s="338"/>
      <c r="AK393" s="338"/>
      <c r="AL393" s="338"/>
      <c r="AM393" s="338"/>
      <c r="AN393" s="338"/>
      <c r="AO393" s="338"/>
      <c r="AP393" s="338"/>
      <c r="AQ393" s="338"/>
      <c r="AR393" s="338"/>
      <c r="AS393" s="338"/>
      <c r="AT393" s="338"/>
      <c r="AU393" s="338"/>
      <c r="AV393" s="338"/>
      <c r="AW393" s="348"/>
      <c r="AX393" s="348"/>
      <c r="AY393" s="338"/>
      <c r="AZ393" s="14"/>
      <c r="BA393" s="14"/>
      <c r="BB393" s="14"/>
      <c r="BC393" s="14"/>
      <c r="BD393" s="14"/>
      <c r="BE393" s="14"/>
      <c r="BF393" s="14"/>
      <c r="BG393" s="14"/>
      <c r="BH393" s="14"/>
      <c r="BI393" s="14"/>
      <c r="BJ393" s="14"/>
      <c r="BK393" s="14"/>
      <c r="BL393" s="14"/>
      <c r="BM393" s="14"/>
      <c r="BN393" s="14"/>
    </row>
    <row r="394" spans="1:66" s="316" customFormat="1" x14ac:dyDescent="0.2">
      <c r="A394" s="338"/>
      <c r="B394" s="933"/>
      <c r="C394" s="338"/>
      <c r="D394" s="933"/>
      <c r="E394" s="338"/>
      <c r="F394" s="933"/>
      <c r="G394" s="339"/>
      <c r="H394" s="934"/>
      <c r="I394" s="338"/>
      <c r="J394" s="933"/>
      <c r="K394" s="340"/>
      <c r="L394" s="937"/>
      <c r="M394" s="341"/>
      <c r="N394" s="933"/>
      <c r="O394" s="339"/>
      <c r="P394" s="339"/>
      <c r="Q394" s="339"/>
      <c r="R394" s="342"/>
      <c r="S394" s="933"/>
      <c r="T394" s="343"/>
      <c r="U394" s="933"/>
      <c r="V394" s="933"/>
      <c r="W394" s="933"/>
      <c r="X394" s="345"/>
      <c r="Y394" s="345"/>
      <c r="Z394" s="345"/>
      <c r="AA394" s="345"/>
      <c r="AB394" s="345"/>
      <c r="AC394" s="346"/>
      <c r="AD394" s="344"/>
      <c r="AE394" s="347"/>
      <c r="AF394" s="338"/>
      <c r="AG394" s="338"/>
      <c r="AH394" s="338"/>
      <c r="AI394" s="338"/>
      <c r="AJ394" s="338"/>
      <c r="AK394" s="338"/>
      <c r="AL394" s="338"/>
      <c r="AM394" s="338"/>
      <c r="AN394" s="338"/>
      <c r="AO394" s="338"/>
      <c r="AP394" s="338"/>
      <c r="AQ394" s="338"/>
      <c r="AR394" s="338"/>
      <c r="AS394" s="338"/>
      <c r="AT394" s="338"/>
      <c r="AU394" s="338"/>
      <c r="AV394" s="338"/>
      <c r="AW394" s="348"/>
      <c r="AX394" s="348"/>
      <c r="AY394" s="338"/>
      <c r="AZ394" s="14"/>
      <c r="BA394" s="14"/>
      <c r="BB394" s="14"/>
      <c r="BC394" s="14"/>
      <c r="BD394" s="14"/>
      <c r="BE394" s="14"/>
      <c r="BF394" s="14"/>
      <c r="BG394" s="14"/>
      <c r="BH394" s="14"/>
      <c r="BI394" s="14"/>
      <c r="BJ394" s="14"/>
      <c r="BK394" s="14"/>
      <c r="BL394" s="14"/>
      <c r="BM394" s="14"/>
      <c r="BN394" s="14"/>
    </row>
    <row r="395" spans="1:66" s="316" customFormat="1" x14ac:dyDescent="0.2">
      <c r="A395" s="338"/>
      <c r="B395" s="933"/>
      <c r="C395" s="338"/>
      <c r="D395" s="933"/>
      <c r="E395" s="338"/>
      <c r="F395" s="933"/>
      <c r="G395" s="339"/>
      <c r="H395" s="934"/>
      <c r="I395" s="338"/>
      <c r="J395" s="933"/>
      <c r="K395" s="340"/>
      <c r="L395" s="937"/>
      <c r="M395" s="341"/>
      <c r="N395" s="933"/>
      <c r="O395" s="339"/>
      <c r="P395" s="339"/>
      <c r="Q395" s="339"/>
      <c r="R395" s="342"/>
      <c r="S395" s="933"/>
      <c r="T395" s="343"/>
      <c r="U395" s="933"/>
      <c r="V395" s="933"/>
      <c r="W395" s="933"/>
      <c r="X395" s="345"/>
      <c r="Y395" s="345"/>
      <c r="Z395" s="345"/>
      <c r="AA395" s="345"/>
      <c r="AB395" s="345"/>
      <c r="AC395" s="346"/>
      <c r="AD395" s="344"/>
      <c r="AE395" s="347"/>
      <c r="AF395" s="338"/>
      <c r="AG395" s="338"/>
      <c r="AH395" s="338"/>
      <c r="AI395" s="338"/>
      <c r="AJ395" s="338"/>
      <c r="AK395" s="338"/>
      <c r="AL395" s="338"/>
      <c r="AM395" s="338"/>
      <c r="AN395" s="338"/>
      <c r="AO395" s="338"/>
      <c r="AP395" s="338"/>
      <c r="AQ395" s="338"/>
      <c r="AR395" s="338"/>
      <c r="AS395" s="338"/>
      <c r="AT395" s="338"/>
      <c r="AU395" s="338"/>
      <c r="AV395" s="338"/>
      <c r="AW395" s="348"/>
      <c r="AX395" s="348"/>
      <c r="AY395" s="338"/>
      <c r="AZ395" s="14"/>
      <c r="BA395" s="14"/>
      <c r="BB395" s="14"/>
      <c r="BC395" s="14"/>
      <c r="BD395" s="14"/>
      <c r="BE395" s="14"/>
      <c r="BF395" s="14"/>
      <c r="BG395" s="14"/>
      <c r="BH395" s="14"/>
      <c r="BI395" s="14"/>
      <c r="BJ395" s="14"/>
      <c r="BK395" s="14"/>
      <c r="BL395" s="14"/>
      <c r="BM395" s="14"/>
      <c r="BN395" s="14"/>
    </row>
    <row r="396" spans="1:66" s="316" customFormat="1" x14ac:dyDescent="0.2">
      <c r="A396" s="338"/>
      <c r="B396" s="933"/>
      <c r="C396" s="338"/>
      <c r="D396" s="933"/>
      <c r="E396" s="338"/>
      <c r="F396" s="933"/>
      <c r="G396" s="339"/>
      <c r="H396" s="934"/>
      <c r="I396" s="338"/>
      <c r="J396" s="933"/>
      <c r="K396" s="340"/>
      <c r="L396" s="937"/>
      <c r="M396" s="341"/>
      <c r="N396" s="933"/>
      <c r="O396" s="339"/>
      <c r="P396" s="339"/>
      <c r="Q396" s="339"/>
      <c r="R396" s="342"/>
      <c r="S396" s="933"/>
      <c r="T396" s="343"/>
      <c r="U396" s="933"/>
      <c r="V396" s="933"/>
      <c r="W396" s="933"/>
      <c r="X396" s="345"/>
      <c r="Y396" s="345"/>
      <c r="Z396" s="345"/>
      <c r="AA396" s="345"/>
      <c r="AB396" s="345"/>
      <c r="AC396" s="346"/>
      <c r="AD396" s="344"/>
      <c r="AE396" s="347"/>
      <c r="AF396" s="338"/>
      <c r="AG396" s="338"/>
      <c r="AH396" s="338"/>
      <c r="AI396" s="338"/>
      <c r="AJ396" s="338"/>
      <c r="AK396" s="338"/>
      <c r="AL396" s="338"/>
      <c r="AM396" s="338"/>
      <c r="AN396" s="338"/>
      <c r="AO396" s="338"/>
      <c r="AP396" s="338"/>
      <c r="AQ396" s="338"/>
      <c r="AR396" s="338"/>
      <c r="AS396" s="338"/>
      <c r="AT396" s="338"/>
      <c r="AU396" s="338"/>
      <c r="AV396" s="338"/>
      <c r="AW396" s="348"/>
      <c r="AX396" s="348"/>
      <c r="AY396" s="338"/>
      <c r="AZ396" s="14"/>
      <c r="BA396" s="14"/>
      <c r="BB396" s="14"/>
      <c r="BC396" s="14"/>
      <c r="BD396" s="14"/>
      <c r="BE396" s="14"/>
      <c r="BF396" s="14"/>
      <c r="BG396" s="14"/>
      <c r="BH396" s="14"/>
      <c r="BI396" s="14"/>
      <c r="BJ396" s="14"/>
      <c r="BK396" s="14"/>
      <c r="BL396" s="14"/>
      <c r="BM396" s="14"/>
      <c r="BN396" s="14"/>
    </row>
    <row r="397" spans="1:66" s="316" customFormat="1" x14ac:dyDescent="0.2">
      <c r="A397" s="338"/>
      <c r="B397" s="933"/>
      <c r="C397" s="338"/>
      <c r="D397" s="933"/>
      <c r="E397" s="338"/>
      <c r="F397" s="933"/>
      <c r="G397" s="339"/>
      <c r="H397" s="934"/>
      <c r="I397" s="338"/>
      <c r="J397" s="933"/>
      <c r="K397" s="340"/>
      <c r="L397" s="937"/>
      <c r="M397" s="341"/>
      <c r="N397" s="933"/>
      <c r="O397" s="339"/>
      <c r="P397" s="339"/>
      <c r="Q397" s="339"/>
      <c r="R397" s="342"/>
      <c r="S397" s="933"/>
      <c r="T397" s="343"/>
      <c r="U397" s="933"/>
      <c r="V397" s="933"/>
      <c r="W397" s="933"/>
      <c r="X397" s="345"/>
      <c r="Y397" s="345"/>
      <c r="Z397" s="345"/>
      <c r="AA397" s="345"/>
      <c r="AB397" s="345"/>
      <c r="AC397" s="346"/>
      <c r="AD397" s="344"/>
      <c r="AE397" s="347"/>
      <c r="AF397" s="338"/>
      <c r="AG397" s="338"/>
      <c r="AH397" s="338"/>
      <c r="AI397" s="338"/>
      <c r="AJ397" s="338"/>
      <c r="AK397" s="338"/>
      <c r="AL397" s="338"/>
      <c r="AM397" s="338"/>
      <c r="AN397" s="338"/>
      <c r="AO397" s="338"/>
      <c r="AP397" s="338"/>
      <c r="AQ397" s="338"/>
      <c r="AR397" s="338"/>
      <c r="AS397" s="338"/>
      <c r="AT397" s="338"/>
      <c r="AU397" s="338"/>
      <c r="AV397" s="338"/>
      <c r="AW397" s="348"/>
      <c r="AX397" s="348"/>
      <c r="AY397" s="338"/>
      <c r="AZ397" s="14"/>
      <c r="BA397" s="14"/>
      <c r="BB397" s="14"/>
      <c r="BC397" s="14"/>
      <c r="BD397" s="14"/>
      <c r="BE397" s="14"/>
      <c r="BF397" s="14"/>
      <c r="BG397" s="14"/>
      <c r="BH397" s="14"/>
      <c r="BI397" s="14"/>
      <c r="BJ397" s="14"/>
      <c r="BK397" s="14"/>
      <c r="BL397" s="14"/>
      <c r="BM397" s="14"/>
      <c r="BN397" s="14"/>
    </row>
    <row r="398" spans="1:66" s="316" customFormat="1" x14ac:dyDescent="0.2">
      <c r="A398" s="338"/>
      <c r="B398" s="933"/>
      <c r="C398" s="338"/>
      <c r="D398" s="933"/>
      <c r="E398" s="338"/>
      <c r="F398" s="933"/>
      <c r="G398" s="339"/>
      <c r="H398" s="934"/>
      <c r="I398" s="338"/>
      <c r="J398" s="933"/>
      <c r="K398" s="340"/>
      <c r="L398" s="937"/>
      <c r="M398" s="341"/>
      <c r="N398" s="933"/>
      <c r="O398" s="339"/>
      <c r="P398" s="339"/>
      <c r="Q398" s="339"/>
      <c r="R398" s="342"/>
      <c r="S398" s="933"/>
      <c r="T398" s="343"/>
      <c r="U398" s="933"/>
      <c r="V398" s="933"/>
      <c r="W398" s="933"/>
      <c r="X398" s="345"/>
      <c r="Y398" s="345"/>
      <c r="Z398" s="345"/>
      <c r="AA398" s="345"/>
      <c r="AB398" s="345"/>
      <c r="AC398" s="346"/>
      <c r="AD398" s="344"/>
      <c r="AE398" s="347"/>
      <c r="AF398" s="338"/>
      <c r="AG398" s="338"/>
      <c r="AH398" s="338"/>
      <c r="AI398" s="338"/>
      <c r="AJ398" s="338"/>
      <c r="AK398" s="338"/>
      <c r="AL398" s="338"/>
      <c r="AM398" s="338"/>
      <c r="AN398" s="338"/>
      <c r="AO398" s="338"/>
      <c r="AP398" s="338"/>
      <c r="AQ398" s="338"/>
      <c r="AR398" s="338"/>
      <c r="AS398" s="338"/>
      <c r="AT398" s="338"/>
      <c r="AU398" s="338"/>
      <c r="AV398" s="338"/>
      <c r="AW398" s="348"/>
      <c r="AX398" s="348"/>
      <c r="AY398" s="338"/>
      <c r="AZ398" s="14"/>
      <c r="BA398" s="14"/>
      <c r="BB398" s="14"/>
      <c r="BC398" s="14"/>
      <c r="BD398" s="14"/>
      <c r="BE398" s="14"/>
      <c r="BF398" s="14"/>
      <c r="BG398" s="14"/>
      <c r="BH398" s="14"/>
      <c r="BI398" s="14"/>
      <c r="BJ398" s="14"/>
      <c r="BK398" s="14"/>
      <c r="BL398" s="14"/>
      <c r="BM398" s="14"/>
      <c r="BN398" s="14"/>
    </row>
    <row r="399" spans="1:66" s="316" customFormat="1" x14ac:dyDescent="0.2">
      <c r="A399" s="338"/>
      <c r="B399" s="933"/>
      <c r="C399" s="338"/>
      <c r="D399" s="933"/>
      <c r="E399" s="338"/>
      <c r="F399" s="933"/>
      <c r="G399" s="339"/>
      <c r="H399" s="934"/>
      <c r="I399" s="338"/>
      <c r="J399" s="933"/>
      <c r="K399" s="340"/>
      <c r="L399" s="937"/>
      <c r="M399" s="341"/>
      <c r="N399" s="933"/>
      <c r="O399" s="339"/>
      <c r="P399" s="339"/>
      <c r="Q399" s="339"/>
      <c r="R399" s="342"/>
      <c r="S399" s="933"/>
      <c r="T399" s="343"/>
      <c r="U399" s="933"/>
      <c r="V399" s="933"/>
      <c r="W399" s="933"/>
      <c r="X399" s="345"/>
      <c r="Y399" s="345"/>
      <c r="Z399" s="345"/>
      <c r="AA399" s="345"/>
      <c r="AB399" s="345"/>
      <c r="AC399" s="346"/>
      <c r="AD399" s="344"/>
      <c r="AE399" s="347"/>
      <c r="AF399" s="338"/>
      <c r="AG399" s="338"/>
      <c r="AH399" s="338"/>
      <c r="AI399" s="338"/>
      <c r="AJ399" s="338"/>
      <c r="AK399" s="338"/>
      <c r="AL399" s="338"/>
      <c r="AM399" s="338"/>
      <c r="AN399" s="338"/>
      <c r="AO399" s="338"/>
      <c r="AP399" s="338"/>
      <c r="AQ399" s="338"/>
      <c r="AR399" s="338"/>
      <c r="AS399" s="338"/>
      <c r="AT399" s="338"/>
      <c r="AU399" s="338"/>
      <c r="AV399" s="338"/>
      <c r="AW399" s="348"/>
      <c r="AX399" s="348"/>
      <c r="AY399" s="338"/>
      <c r="AZ399" s="14"/>
      <c r="BA399" s="14"/>
      <c r="BB399" s="14"/>
      <c r="BC399" s="14"/>
      <c r="BD399" s="14"/>
      <c r="BE399" s="14"/>
      <c r="BF399" s="14"/>
      <c r="BG399" s="14"/>
      <c r="BH399" s="14"/>
      <c r="BI399" s="14"/>
      <c r="BJ399" s="14"/>
      <c r="BK399" s="14"/>
      <c r="BL399" s="14"/>
      <c r="BM399" s="14"/>
      <c r="BN399" s="14"/>
    </row>
    <row r="400" spans="1:66" s="316" customFormat="1" x14ac:dyDescent="0.2">
      <c r="A400" s="338"/>
      <c r="B400" s="933"/>
      <c r="C400" s="338"/>
      <c r="D400" s="933"/>
      <c r="E400" s="338"/>
      <c r="F400" s="933"/>
      <c r="G400" s="339"/>
      <c r="H400" s="934"/>
      <c r="I400" s="338"/>
      <c r="J400" s="933"/>
      <c r="K400" s="340"/>
      <c r="L400" s="937"/>
      <c r="M400" s="341"/>
      <c r="N400" s="933"/>
      <c r="O400" s="339"/>
      <c r="P400" s="339"/>
      <c r="Q400" s="339"/>
      <c r="R400" s="342"/>
      <c r="S400" s="933"/>
      <c r="T400" s="343"/>
      <c r="U400" s="933"/>
      <c r="V400" s="933"/>
      <c r="W400" s="933"/>
      <c r="X400" s="345"/>
      <c r="Y400" s="345"/>
      <c r="Z400" s="345"/>
      <c r="AA400" s="345"/>
      <c r="AB400" s="345"/>
      <c r="AC400" s="346"/>
      <c r="AD400" s="344"/>
      <c r="AE400" s="347"/>
      <c r="AF400" s="338"/>
      <c r="AG400" s="338"/>
      <c r="AH400" s="338"/>
      <c r="AI400" s="338"/>
      <c r="AJ400" s="338"/>
      <c r="AK400" s="338"/>
      <c r="AL400" s="338"/>
      <c r="AM400" s="338"/>
      <c r="AN400" s="338"/>
      <c r="AO400" s="338"/>
      <c r="AP400" s="338"/>
      <c r="AQ400" s="338"/>
      <c r="AR400" s="338"/>
      <c r="AS400" s="338"/>
      <c r="AT400" s="338"/>
      <c r="AU400" s="338"/>
      <c r="AV400" s="338"/>
      <c r="AW400" s="348"/>
      <c r="AX400" s="348"/>
      <c r="AY400" s="338"/>
      <c r="AZ400" s="14"/>
      <c r="BA400" s="14"/>
      <c r="BB400" s="14"/>
      <c r="BC400" s="14"/>
      <c r="BD400" s="14"/>
      <c r="BE400" s="14"/>
      <c r="BF400" s="14"/>
      <c r="BG400" s="14"/>
      <c r="BH400" s="14"/>
      <c r="BI400" s="14"/>
      <c r="BJ400" s="14"/>
      <c r="BK400" s="14"/>
      <c r="BL400" s="14"/>
      <c r="BM400" s="14"/>
      <c r="BN400" s="14"/>
    </row>
    <row r="401" spans="1:66" s="316" customFormat="1" x14ac:dyDescent="0.2">
      <c r="A401" s="338"/>
      <c r="B401" s="933"/>
      <c r="C401" s="338"/>
      <c r="D401" s="933"/>
      <c r="E401" s="338"/>
      <c r="F401" s="933"/>
      <c r="G401" s="339"/>
      <c r="H401" s="934"/>
      <c r="I401" s="338"/>
      <c r="J401" s="933"/>
      <c r="K401" s="340"/>
      <c r="L401" s="937"/>
      <c r="M401" s="341"/>
      <c r="N401" s="933"/>
      <c r="O401" s="339"/>
      <c r="P401" s="339"/>
      <c r="Q401" s="339"/>
      <c r="R401" s="342"/>
      <c r="S401" s="933"/>
      <c r="T401" s="343"/>
      <c r="U401" s="933"/>
      <c r="V401" s="933"/>
      <c r="W401" s="933"/>
      <c r="X401" s="345"/>
      <c r="Y401" s="345"/>
      <c r="Z401" s="345"/>
      <c r="AA401" s="345"/>
      <c r="AB401" s="345"/>
      <c r="AC401" s="346"/>
      <c r="AD401" s="344"/>
      <c r="AE401" s="347"/>
      <c r="AF401" s="338"/>
      <c r="AG401" s="338"/>
      <c r="AH401" s="338"/>
      <c r="AI401" s="338"/>
      <c r="AJ401" s="338"/>
      <c r="AK401" s="338"/>
      <c r="AL401" s="338"/>
      <c r="AM401" s="338"/>
      <c r="AN401" s="338"/>
      <c r="AO401" s="338"/>
      <c r="AP401" s="338"/>
      <c r="AQ401" s="338"/>
      <c r="AR401" s="338"/>
      <c r="AS401" s="338"/>
      <c r="AT401" s="338"/>
      <c r="AU401" s="338"/>
      <c r="AV401" s="338"/>
      <c r="AW401" s="348"/>
      <c r="AX401" s="348"/>
      <c r="AY401" s="338"/>
      <c r="AZ401" s="14"/>
      <c r="BA401" s="14"/>
      <c r="BB401" s="14"/>
      <c r="BC401" s="14"/>
      <c r="BD401" s="14"/>
      <c r="BE401" s="14"/>
      <c r="BF401" s="14"/>
      <c r="BG401" s="14"/>
      <c r="BH401" s="14"/>
      <c r="BI401" s="14"/>
      <c r="BJ401" s="14"/>
      <c r="BK401" s="14"/>
      <c r="BL401" s="14"/>
      <c r="BM401" s="14"/>
      <c r="BN401" s="14"/>
    </row>
    <row r="402" spans="1:66" s="316" customFormat="1" x14ac:dyDescent="0.2">
      <c r="A402" s="338"/>
      <c r="B402" s="933"/>
      <c r="C402" s="338"/>
      <c r="D402" s="933"/>
      <c r="E402" s="338"/>
      <c r="F402" s="933"/>
      <c r="G402" s="339"/>
      <c r="H402" s="934"/>
      <c r="I402" s="338"/>
      <c r="J402" s="933"/>
      <c r="K402" s="340"/>
      <c r="L402" s="937"/>
      <c r="M402" s="341"/>
      <c r="N402" s="933"/>
      <c r="O402" s="339"/>
      <c r="P402" s="339"/>
      <c r="Q402" s="339"/>
      <c r="R402" s="342"/>
      <c r="S402" s="933"/>
      <c r="T402" s="343"/>
      <c r="U402" s="933"/>
      <c r="V402" s="933"/>
      <c r="W402" s="933"/>
      <c r="X402" s="345"/>
      <c r="Y402" s="345"/>
      <c r="Z402" s="345"/>
      <c r="AA402" s="345"/>
      <c r="AB402" s="345"/>
      <c r="AC402" s="346"/>
      <c r="AD402" s="344"/>
      <c r="AE402" s="347"/>
      <c r="AF402" s="338"/>
      <c r="AG402" s="338"/>
      <c r="AH402" s="338"/>
      <c r="AI402" s="338"/>
      <c r="AJ402" s="338"/>
      <c r="AK402" s="338"/>
      <c r="AL402" s="338"/>
      <c r="AM402" s="338"/>
      <c r="AN402" s="338"/>
      <c r="AO402" s="338"/>
      <c r="AP402" s="338"/>
      <c r="AQ402" s="338"/>
      <c r="AR402" s="338"/>
      <c r="AS402" s="338"/>
      <c r="AT402" s="338"/>
      <c r="AU402" s="338"/>
      <c r="AV402" s="338"/>
      <c r="AW402" s="348"/>
      <c r="AX402" s="348"/>
      <c r="AY402" s="338"/>
      <c r="AZ402" s="14"/>
      <c r="BA402" s="14"/>
      <c r="BB402" s="14"/>
      <c r="BC402" s="14"/>
      <c r="BD402" s="14"/>
      <c r="BE402" s="14"/>
      <c r="BF402" s="14"/>
      <c r="BG402" s="14"/>
      <c r="BH402" s="14"/>
      <c r="BI402" s="14"/>
      <c r="BJ402" s="14"/>
      <c r="BK402" s="14"/>
      <c r="BL402" s="14"/>
      <c r="BM402" s="14"/>
      <c r="BN402" s="14"/>
    </row>
    <row r="403" spans="1:66" s="316" customFormat="1" x14ac:dyDescent="0.2">
      <c r="A403" s="338"/>
      <c r="B403" s="933"/>
      <c r="C403" s="338"/>
      <c r="D403" s="933"/>
      <c r="E403" s="338"/>
      <c r="F403" s="933"/>
      <c r="G403" s="339"/>
      <c r="H403" s="934"/>
      <c r="I403" s="338"/>
      <c r="J403" s="933"/>
      <c r="K403" s="340"/>
      <c r="L403" s="937"/>
      <c r="M403" s="341"/>
      <c r="N403" s="933"/>
      <c r="O403" s="339"/>
      <c r="P403" s="339"/>
      <c r="Q403" s="339"/>
      <c r="R403" s="342"/>
      <c r="S403" s="933"/>
      <c r="T403" s="343"/>
      <c r="U403" s="933"/>
      <c r="V403" s="933"/>
      <c r="W403" s="933"/>
      <c r="X403" s="345"/>
      <c r="Y403" s="345"/>
      <c r="Z403" s="345"/>
      <c r="AA403" s="345"/>
      <c r="AB403" s="345"/>
      <c r="AC403" s="346"/>
      <c r="AD403" s="344"/>
      <c r="AE403" s="347"/>
      <c r="AF403" s="338"/>
      <c r="AG403" s="338"/>
      <c r="AH403" s="338"/>
      <c r="AI403" s="338"/>
      <c r="AJ403" s="338"/>
      <c r="AK403" s="338"/>
      <c r="AL403" s="338"/>
      <c r="AM403" s="338"/>
      <c r="AN403" s="338"/>
      <c r="AO403" s="338"/>
      <c r="AP403" s="338"/>
      <c r="AQ403" s="338"/>
      <c r="AR403" s="338"/>
      <c r="AS403" s="338"/>
      <c r="AT403" s="338"/>
      <c r="AU403" s="338"/>
      <c r="AV403" s="338"/>
      <c r="AW403" s="348"/>
      <c r="AX403" s="348"/>
      <c r="AY403" s="338"/>
      <c r="AZ403" s="14"/>
      <c r="BA403" s="14"/>
      <c r="BB403" s="14"/>
      <c r="BC403" s="14"/>
      <c r="BD403" s="14"/>
      <c r="BE403" s="14"/>
      <c r="BF403" s="14"/>
      <c r="BG403" s="14"/>
      <c r="BH403" s="14"/>
      <c r="BI403" s="14"/>
      <c r="BJ403" s="14"/>
      <c r="BK403" s="14"/>
      <c r="BL403" s="14"/>
      <c r="BM403" s="14"/>
      <c r="BN403" s="14"/>
    </row>
    <row r="404" spans="1:66" s="316" customFormat="1" x14ac:dyDescent="0.2">
      <c r="A404" s="338"/>
      <c r="B404" s="933"/>
      <c r="C404" s="338"/>
      <c r="D404" s="933"/>
      <c r="E404" s="338"/>
      <c r="F404" s="933"/>
      <c r="G404" s="339"/>
      <c r="H404" s="934"/>
      <c r="I404" s="338"/>
      <c r="J404" s="933"/>
      <c r="K404" s="340"/>
      <c r="L404" s="937"/>
      <c r="M404" s="341"/>
      <c r="N404" s="933"/>
      <c r="O404" s="339"/>
      <c r="P404" s="339"/>
      <c r="Q404" s="339"/>
      <c r="R404" s="342"/>
      <c r="S404" s="933"/>
      <c r="T404" s="343"/>
      <c r="U404" s="933"/>
      <c r="V404" s="933"/>
      <c r="W404" s="933"/>
      <c r="X404" s="345"/>
      <c r="Y404" s="345"/>
      <c r="Z404" s="345"/>
      <c r="AA404" s="345"/>
      <c r="AB404" s="345"/>
      <c r="AC404" s="346"/>
      <c r="AD404" s="344"/>
      <c r="AE404" s="347"/>
      <c r="AF404" s="338"/>
      <c r="AG404" s="338"/>
      <c r="AH404" s="338"/>
      <c r="AI404" s="338"/>
      <c r="AJ404" s="338"/>
      <c r="AK404" s="338"/>
      <c r="AL404" s="338"/>
      <c r="AM404" s="338"/>
      <c r="AN404" s="338"/>
      <c r="AO404" s="338"/>
      <c r="AP404" s="338"/>
      <c r="AQ404" s="338"/>
      <c r="AR404" s="338"/>
      <c r="AS404" s="338"/>
      <c r="AT404" s="338"/>
      <c r="AU404" s="338"/>
      <c r="AV404" s="338"/>
      <c r="AW404" s="348"/>
      <c r="AX404" s="348"/>
      <c r="AY404" s="338"/>
      <c r="AZ404" s="14"/>
      <c r="BA404" s="14"/>
      <c r="BB404" s="14"/>
      <c r="BC404" s="14"/>
      <c r="BD404" s="14"/>
      <c r="BE404" s="14"/>
      <c r="BF404" s="14"/>
      <c r="BG404" s="14"/>
      <c r="BH404" s="14"/>
      <c r="BI404" s="14"/>
      <c r="BJ404" s="14"/>
      <c r="BK404" s="14"/>
      <c r="BL404" s="14"/>
      <c r="BM404" s="14"/>
      <c r="BN404" s="14"/>
    </row>
    <row r="405" spans="1:66" s="316" customFormat="1" x14ac:dyDescent="0.2">
      <c r="A405" s="338"/>
      <c r="B405" s="933"/>
      <c r="C405" s="338"/>
      <c r="D405" s="933"/>
      <c r="E405" s="338"/>
      <c r="F405" s="933"/>
      <c r="G405" s="339"/>
      <c r="H405" s="934"/>
      <c r="I405" s="338"/>
      <c r="J405" s="933"/>
      <c r="K405" s="340"/>
      <c r="L405" s="937"/>
      <c r="M405" s="341"/>
      <c r="N405" s="933"/>
      <c r="O405" s="339"/>
      <c r="P405" s="339"/>
      <c r="Q405" s="339"/>
      <c r="R405" s="342"/>
      <c r="S405" s="933"/>
      <c r="T405" s="343"/>
      <c r="U405" s="933"/>
      <c r="V405" s="933"/>
      <c r="W405" s="933"/>
      <c r="X405" s="345"/>
      <c r="Y405" s="345"/>
      <c r="Z405" s="345"/>
      <c r="AA405" s="345"/>
      <c r="AB405" s="345"/>
      <c r="AC405" s="346"/>
      <c r="AD405" s="344"/>
      <c r="AE405" s="347"/>
      <c r="AF405" s="338"/>
      <c r="AG405" s="338"/>
      <c r="AH405" s="338"/>
      <c r="AI405" s="338"/>
      <c r="AJ405" s="338"/>
      <c r="AK405" s="338"/>
      <c r="AL405" s="338"/>
      <c r="AM405" s="338"/>
      <c r="AN405" s="338"/>
      <c r="AO405" s="338"/>
      <c r="AP405" s="338"/>
      <c r="AQ405" s="338"/>
      <c r="AR405" s="338"/>
      <c r="AS405" s="338"/>
      <c r="AT405" s="338"/>
      <c r="AU405" s="338"/>
      <c r="AV405" s="338"/>
      <c r="AW405" s="348"/>
      <c r="AX405" s="348"/>
      <c r="AY405" s="338"/>
      <c r="AZ405" s="14"/>
      <c r="BA405" s="14"/>
      <c r="BB405" s="14"/>
      <c r="BC405" s="14"/>
      <c r="BD405" s="14"/>
      <c r="BE405" s="14"/>
      <c r="BF405" s="14"/>
      <c r="BG405" s="14"/>
      <c r="BH405" s="14"/>
      <c r="BI405" s="14"/>
      <c r="BJ405" s="14"/>
      <c r="BK405" s="14"/>
      <c r="BL405" s="14"/>
      <c r="BM405" s="14"/>
      <c r="BN405" s="14"/>
    </row>
    <row r="406" spans="1:66" s="316" customFormat="1" x14ac:dyDescent="0.2">
      <c r="A406" s="338"/>
      <c r="B406" s="933"/>
      <c r="C406" s="338"/>
      <c r="D406" s="933"/>
      <c r="E406" s="338"/>
      <c r="F406" s="933"/>
      <c r="G406" s="339"/>
      <c r="H406" s="934"/>
      <c r="I406" s="338"/>
      <c r="J406" s="933"/>
      <c r="K406" s="340"/>
      <c r="L406" s="937"/>
      <c r="M406" s="341"/>
      <c r="N406" s="933"/>
      <c r="O406" s="339"/>
      <c r="P406" s="339"/>
      <c r="Q406" s="339"/>
      <c r="R406" s="342"/>
      <c r="S406" s="933"/>
      <c r="T406" s="343"/>
      <c r="U406" s="933"/>
      <c r="V406" s="933"/>
      <c r="W406" s="933"/>
      <c r="X406" s="345"/>
      <c r="Y406" s="345"/>
      <c r="Z406" s="345"/>
      <c r="AA406" s="345"/>
      <c r="AB406" s="345"/>
      <c r="AC406" s="346"/>
      <c r="AD406" s="344"/>
      <c r="AE406" s="347"/>
      <c r="AF406" s="338"/>
      <c r="AG406" s="338"/>
      <c r="AH406" s="338"/>
      <c r="AI406" s="338"/>
      <c r="AJ406" s="338"/>
      <c r="AK406" s="338"/>
      <c r="AL406" s="338"/>
      <c r="AM406" s="338"/>
      <c r="AN406" s="338"/>
      <c r="AO406" s="338"/>
      <c r="AP406" s="338"/>
      <c r="AQ406" s="338"/>
      <c r="AR406" s="338"/>
      <c r="AS406" s="338"/>
      <c r="AT406" s="338"/>
      <c r="AU406" s="338"/>
      <c r="AV406" s="338"/>
      <c r="AW406" s="348"/>
      <c r="AX406" s="348"/>
      <c r="AY406" s="338"/>
      <c r="AZ406" s="14"/>
      <c r="BA406" s="14"/>
      <c r="BB406" s="14"/>
      <c r="BC406" s="14"/>
      <c r="BD406" s="14"/>
      <c r="BE406" s="14"/>
      <c r="BF406" s="14"/>
      <c r="BG406" s="14"/>
      <c r="BH406" s="14"/>
      <c r="BI406" s="14"/>
      <c r="BJ406" s="14"/>
      <c r="BK406" s="14"/>
      <c r="BL406" s="14"/>
      <c r="BM406" s="14"/>
      <c r="BN406" s="14"/>
    </row>
    <row r="407" spans="1:66" s="316" customFormat="1" x14ac:dyDescent="0.2">
      <c r="A407" s="338"/>
      <c r="B407" s="933"/>
      <c r="C407" s="338"/>
      <c r="D407" s="933"/>
      <c r="E407" s="338"/>
      <c r="F407" s="933"/>
      <c r="G407" s="339"/>
      <c r="H407" s="934"/>
      <c r="I407" s="338"/>
      <c r="J407" s="933"/>
      <c r="K407" s="340"/>
      <c r="L407" s="937"/>
      <c r="M407" s="341"/>
      <c r="N407" s="933"/>
      <c r="O407" s="339"/>
      <c r="P407" s="339"/>
      <c r="Q407" s="339"/>
      <c r="R407" s="342"/>
      <c r="S407" s="933"/>
      <c r="T407" s="343"/>
      <c r="U407" s="933"/>
      <c r="V407" s="933"/>
      <c r="W407" s="933"/>
      <c r="X407" s="345"/>
      <c r="Y407" s="345"/>
      <c r="Z407" s="345"/>
      <c r="AA407" s="345"/>
      <c r="AB407" s="345"/>
      <c r="AC407" s="346"/>
      <c r="AD407" s="344"/>
      <c r="AE407" s="347"/>
      <c r="AF407" s="338"/>
      <c r="AG407" s="338"/>
      <c r="AH407" s="338"/>
      <c r="AI407" s="338"/>
      <c r="AJ407" s="338"/>
      <c r="AK407" s="338"/>
      <c r="AL407" s="338"/>
      <c r="AM407" s="338"/>
      <c r="AN407" s="338"/>
      <c r="AO407" s="338"/>
      <c r="AP407" s="338"/>
      <c r="AQ407" s="338"/>
      <c r="AR407" s="338"/>
      <c r="AS407" s="338"/>
      <c r="AT407" s="338"/>
      <c r="AU407" s="338"/>
      <c r="AV407" s="338"/>
      <c r="AW407" s="348"/>
      <c r="AX407" s="348"/>
      <c r="AY407" s="338"/>
      <c r="AZ407" s="14"/>
      <c r="BA407" s="14"/>
      <c r="BB407" s="14"/>
      <c r="BC407" s="14"/>
      <c r="BD407" s="14"/>
      <c r="BE407" s="14"/>
      <c r="BF407" s="14"/>
      <c r="BG407" s="14"/>
      <c r="BH407" s="14"/>
      <c r="BI407" s="14"/>
      <c r="BJ407" s="14"/>
      <c r="BK407" s="14"/>
      <c r="BL407" s="14"/>
      <c r="BM407" s="14"/>
      <c r="BN407" s="14"/>
    </row>
    <row r="408" spans="1:66" x14ac:dyDescent="0.2">
      <c r="A408" s="356"/>
      <c r="B408" s="911"/>
      <c r="C408" s="357"/>
      <c r="D408" s="911"/>
      <c r="E408" s="357"/>
      <c r="F408" s="911"/>
      <c r="G408" s="357"/>
      <c r="H408" s="911"/>
      <c r="I408" s="357"/>
      <c r="J408" s="911"/>
      <c r="K408" s="358"/>
      <c r="L408" s="938"/>
      <c r="M408" s="358"/>
      <c r="N408" s="911"/>
      <c r="O408" s="357"/>
      <c r="P408" s="357"/>
      <c r="Q408" s="357"/>
      <c r="R408" s="357"/>
      <c r="S408" s="911"/>
      <c r="T408" s="357"/>
      <c r="U408" s="911"/>
      <c r="V408" s="911"/>
      <c r="W408" s="940" t="s">
        <v>25</v>
      </c>
      <c r="X408" s="359"/>
      <c r="Y408" s="712"/>
      <c r="Z408" s="712"/>
      <c r="AA408" s="712"/>
      <c r="AB408" s="712"/>
      <c r="AC408" s="360"/>
      <c r="AD408" s="361"/>
      <c r="AE408" s="357"/>
      <c r="AF408" s="357"/>
      <c r="AG408" s="357"/>
      <c r="AH408" s="357"/>
      <c r="AI408" s="357"/>
      <c r="AJ408" s="357"/>
      <c r="AK408" s="357"/>
      <c r="AL408" s="357"/>
      <c r="AM408" s="357"/>
      <c r="AN408" s="357"/>
      <c r="AO408" s="357"/>
      <c r="AP408" s="357"/>
      <c r="AQ408" s="357"/>
      <c r="AR408" s="357"/>
      <c r="AS408" s="357"/>
      <c r="AT408" s="357"/>
      <c r="AU408" s="357"/>
      <c r="AV408" s="357"/>
      <c r="AW408" s="357"/>
      <c r="AX408" s="357"/>
      <c r="AY408" s="362"/>
    </row>
    <row r="410" spans="1:66" x14ac:dyDescent="0.2">
      <c r="AD410" s="350"/>
      <c r="AE410" s="85"/>
      <c r="AF410" s="85"/>
    </row>
    <row r="411" spans="1:66" ht="45" customHeight="1" x14ac:dyDescent="0.2">
      <c r="O411" s="1080" t="s">
        <v>308</v>
      </c>
      <c r="P411" s="1080"/>
      <c r="Q411" s="1080"/>
      <c r="R411" s="1080"/>
      <c r="S411" s="1080"/>
      <c r="AD411" s="350"/>
      <c r="AE411" s="85"/>
      <c r="AF411" s="85"/>
    </row>
    <row r="412" spans="1:66" x14ac:dyDescent="0.2">
      <c r="AD412" s="350"/>
      <c r="AE412" s="85"/>
      <c r="AF412" s="85"/>
    </row>
    <row r="413" spans="1:66" ht="41.25" customHeight="1" x14ac:dyDescent="0.2">
      <c r="AD413" s="350"/>
      <c r="AE413" s="85"/>
      <c r="AF413" s="85"/>
    </row>
    <row r="414" spans="1:66" x14ac:dyDescent="0.2">
      <c r="AD414" s="350"/>
      <c r="AE414" s="85"/>
      <c r="AF414" s="85"/>
    </row>
    <row r="415" spans="1:66" x14ac:dyDescent="0.2">
      <c r="I415" s="1076" t="s">
        <v>113</v>
      </c>
      <c r="J415" s="1076"/>
      <c r="K415" s="1219" t="s">
        <v>114</v>
      </c>
      <c r="L415" s="1220"/>
      <c r="M415" s="1077" t="s">
        <v>115</v>
      </c>
      <c r="N415" s="1078"/>
      <c r="AD415" s="350"/>
      <c r="AE415" s="85"/>
      <c r="AF415" s="85"/>
    </row>
    <row r="416" spans="1:66" x14ac:dyDescent="0.2">
      <c r="I416" s="1076" t="s">
        <v>116</v>
      </c>
      <c r="J416" s="1076"/>
      <c r="K416" s="1219" t="s">
        <v>117</v>
      </c>
      <c r="L416" s="1220"/>
      <c r="M416" s="1076" t="s">
        <v>118</v>
      </c>
      <c r="N416" s="1076"/>
      <c r="AD416" s="350"/>
      <c r="AE416" s="85"/>
      <c r="AF416" s="85"/>
    </row>
    <row r="417" spans="9:32" x14ac:dyDescent="0.2">
      <c r="I417" s="1076" t="s">
        <v>119</v>
      </c>
      <c r="J417" s="1076"/>
      <c r="K417" s="1219" t="s">
        <v>120</v>
      </c>
      <c r="L417" s="1220"/>
      <c r="M417" s="1076" t="s">
        <v>121</v>
      </c>
      <c r="N417" s="1076"/>
      <c r="AD417" s="350"/>
      <c r="AE417" s="85"/>
      <c r="AF417" s="85"/>
    </row>
  </sheetData>
  <autoFilter ref="A10:BQ327" xr:uid="{F990297B-2BD7-4ED0-8766-86E59B9CB38C}"/>
  <mergeCells count="44">
    <mergeCell ref="I417:J417"/>
    <mergeCell ref="K417:L417"/>
    <mergeCell ref="M417:N417"/>
    <mergeCell ref="O411:S411"/>
    <mergeCell ref="I415:J415"/>
    <mergeCell ref="K415:L415"/>
    <mergeCell ref="M415:N415"/>
    <mergeCell ref="I416:J416"/>
    <mergeCell ref="K416:L416"/>
    <mergeCell ref="M416:N416"/>
    <mergeCell ref="I337:J337"/>
    <mergeCell ref="K337:L337"/>
    <mergeCell ref="M337:N337"/>
    <mergeCell ref="I338:J338"/>
    <mergeCell ref="K338:L338"/>
    <mergeCell ref="M338:N338"/>
    <mergeCell ref="O221:O222"/>
    <mergeCell ref="O331:S331"/>
    <mergeCell ref="O332:S332"/>
    <mergeCell ref="I336:J336"/>
    <mergeCell ref="K336:L336"/>
    <mergeCell ref="M336:N336"/>
    <mergeCell ref="O8:Q9"/>
    <mergeCell ref="R8:X9"/>
    <mergeCell ref="AG8:AV8"/>
    <mergeCell ref="AW8:AW10"/>
    <mergeCell ref="AS9:AU9"/>
    <mergeCell ref="AV9:AV10"/>
    <mergeCell ref="AX8:AX10"/>
    <mergeCell ref="AY8:AY10"/>
    <mergeCell ref="AC9:AF9"/>
    <mergeCell ref="AG9:AH9"/>
    <mergeCell ref="AI9:AL9"/>
    <mergeCell ref="AM9:AR9"/>
    <mergeCell ref="A1:B7"/>
    <mergeCell ref="C1:AW1"/>
    <mergeCell ref="C2:AW4"/>
    <mergeCell ref="C5:AW5"/>
    <mergeCell ref="C6:AW6"/>
    <mergeCell ref="A8:B9"/>
    <mergeCell ref="C8:D9"/>
    <mergeCell ref="E8:F9"/>
    <mergeCell ref="G8:J9"/>
    <mergeCell ref="K8:N9"/>
  </mergeCells>
  <pageMargins left="0.7" right="0.7" top="0.75" bottom="0.75" header="0.3" footer="0.3"/>
  <ignoredErrors>
    <ignoredError sqref="T56:T58" formula="1"/>
  </ignoredErrors>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7167C-9B4F-4C02-BC72-AC739D278420}">
  <sheetPr>
    <tabColor theme="9" tint="0.79998168889431442"/>
  </sheetPr>
  <dimension ref="A1:BS982"/>
  <sheetViews>
    <sheetView topLeftCell="B1" zoomScale="50" zoomScaleNormal="50" workbookViewId="0">
      <pane ySplit="8" topLeftCell="A9" activePane="bottomLeft" state="frozen"/>
      <selection pane="bottomLeft" activeCell="T9" sqref="T9"/>
    </sheetView>
  </sheetViews>
  <sheetFormatPr baseColWidth="10" defaultColWidth="14.42578125" defaultRowHeight="12.75" x14ac:dyDescent="0.2"/>
  <cols>
    <col min="1" max="1" width="8.85546875" style="90" customWidth="1"/>
    <col min="2" max="2" width="13.42578125" style="90" customWidth="1"/>
    <col min="3" max="3" width="9.85546875" style="90" customWidth="1"/>
    <col min="4" max="4" width="15.28515625" style="90" customWidth="1"/>
    <col min="5" max="5" width="9.5703125" style="90" customWidth="1"/>
    <col min="6" max="6" width="27.7109375" style="90" customWidth="1"/>
    <col min="7" max="7" width="11.140625" style="90" customWidth="1"/>
    <col min="8" max="8" width="23.28515625" style="90" customWidth="1"/>
    <col min="9" max="9" width="16.42578125" style="90" customWidth="1"/>
    <col min="10" max="10" width="23" style="90" customWidth="1"/>
    <col min="11" max="11" width="12.5703125" style="90" customWidth="1"/>
    <col min="12" max="12" width="23.5703125" style="90" customWidth="1"/>
    <col min="13" max="13" width="17.7109375" style="90" customWidth="1"/>
    <col min="14" max="14" width="24.140625" style="90" customWidth="1"/>
    <col min="15" max="15" width="10.28515625" style="90" customWidth="1"/>
    <col min="16" max="16" width="11" style="90" customWidth="1"/>
    <col min="17" max="17" width="14.42578125" style="90" customWidth="1"/>
    <col min="18" max="18" width="17.7109375" style="103" customWidth="1"/>
    <col min="19" max="19" width="28.5703125" style="90" customWidth="1"/>
    <col min="20" max="20" width="13.5703125" style="90" customWidth="1"/>
    <col min="21" max="21" width="37.42578125" style="90" customWidth="1"/>
    <col min="22" max="22" width="29.42578125" style="90" customWidth="1"/>
    <col min="23" max="23" width="35.28515625" style="90" customWidth="1"/>
    <col min="24" max="28" width="21" style="104" customWidth="1"/>
    <col min="29" max="29" width="54.42578125" style="629" customWidth="1"/>
    <col min="30" max="30" width="15.5703125" style="102" customWidth="1"/>
    <col min="31" max="31" width="11.5703125" style="90" customWidth="1"/>
    <col min="32" max="32" width="11.5703125" style="105" customWidth="1"/>
    <col min="33" max="48" width="10.28515625" style="90" customWidth="1"/>
    <col min="49" max="50" width="17.7109375" style="90" customWidth="1"/>
    <col min="51" max="51" width="23.7109375" style="90" customWidth="1"/>
    <col min="52" max="71" width="11.42578125" style="90" customWidth="1"/>
    <col min="72" max="16384" width="14.42578125" style="90"/>
  </cols>
  <sheetData>
    <row r="1" spans="1:71" s="562" customFormat="1" ht="13.5" customHeight="1" x14ac:dyDescent="0.2">
      <c r="A1" s="1221"/>
      <c r="B1" s="1224" t="s">
        <v>2413</v>
      </c>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c r="AM1" s="1225"/>
      <c r="AN1" s="1225"/>
      <c r="AO1" s="1225"/>
      <c r="AP1" s="1225"/>
      <c r="AQ1" s="1225"/>
      <c r="AR1" s="1225"/>
      <c r="AS1" s="1225"/>
      <c r="AT1" s="1225"/>
      <c r="AU1" s="1225"/>
      <c r="AV1" s="1225"/>
      <c r="AW1" s="1226"/>
      <c r="AX1" s="561" t="s">
        <v>2</v>
      </c>
      <c r="AY1" s="561" t="s">
        <v>3</v>
      </c>
    </row>
    <row r="2" spans="1:71" s="562" customFormat="1" ht="12.75" customHeight="1" x14ac:dyDescent="0.2">
      <c r="A2" s="1222"/>
      <c r="B2" s="1224"/>
      <c r="C2" s="1225"/>
      <c r="D2" s="1225"/>
      <c r="E2" s="1225"/>
      <c r="F2" s="1225"/>
      <c r="G2" s="1225"/>
      <c r="H2" s="1225"/>
      <c r="I2" s="1225"/>
      <c r="J2" s="1225"/>
      <c r="K2" s="1225"/>
      <c r="L2" s="1225"/>
      <c r="M2" s="1225"/>
      <c r="N2" s="1225"/>
      <c r="O2" s="1225"/>
      <c r="P2" s="1225"/>
      <c r="Q2" s="1225"/>
      <c r="R2" s="1225"/>
      <c r="S2" s="1225"/>
      <c r="T2" s="1225"/>
      <c r="U2" s="1225"/>
      <c r="V2" s="1225"/>
      <c r="W2" s="1225"/>
      <c r="X2" s="1225"/>
      <c r="Y2" s="1225"/>
      <c r="Z2" s="1225"/>
      <c r="AA2" s="1225"/>
      <c r="AB2" s="1225"/>
      <c r="AC2" s="1225"/>
      <c r="AD2" s="1225"/>
      <c r="AE2" s="1225"/>
      <c r="AF2" s="1225"/>
      <c r="AG2" s="1225"/>
      <c r="AH2" s="1225"/>
      <c r="AI2" s="1225"/>
      <c r="AJ2" s="1225"/>
      <c r="AK2" s="1225"/>
      <c r="AL2" s="1225"/>
      <c r="AM2" s="1225"/>
      <c r="AN2" s="1225"/>
      <c r="AO2" s="1225"/>
      <c r="AP2" s="1225"/>
      <c r="AQ2" s="1225"/>
      <c r="AR2" s="1225"/>
      <c r="AS2" s="1225"/>
      <c r="AT2" s="1225"/>
      <c r="AU2" s="1225"/>
      <c r="AV2" s="1225"/>
      <c r="AW2" s="1226"/>
      <c r="AX2" s="561" t="s">
        <v>4</v>
      </c>
      <c r="AY2" s="561">
        <v>11</v>
      </c>
    </row>
    <row r="3" spans="1:71" s="562" customFormat="1" ht="9.75" customHeight="1" x14ac:dyDescent="0.2">
      <c r="A3" s="1222"/>
      <c r="B3" s="1224"/>
      <c r="C3" s="1225"/>
      <c r="D3" s="1225"/>
      <c r="E3" s="1225"/>
      <c r="F3" s="1225"/>
      <c r="G3" s="1225"/>
      <c r="H3" s="1225"/>
      <c r="I3" s="1225"/>
      <c r="J3" s="1225"/>
      <c r="K3" s="1225"/>
      <c r="L3" s="1225"/>
      <c r="M3" s="1225"/>
      <c r="N3" s="1225"/>
      <c r="O3" s="1225"/>
      <c r="P3" s="1225"/>
      <c r="Q3" s="1225"/>
      <c r="R3" s="1225"/>
      <c r="S3" s="1225"/>
      <c r="T3" s="1225"/>
      <c r="U3" s="1225"/>
      <c r="V3" s="1225"/>
      <c r="W3" s="1225"/>
      <c r="X3" s="1225"/>
      <c r="Y3" s="1225"/>
      <c r="Z3" s="1225"/>
      <c r="AA3" s="1225"/>
      <c r="AB3" s="1225"/>
      <c r="AC3" s="1225"/>
      <c r="AD3" s="1225"/>
      <c r="AE3" s="1225"/>
      <c r="AF3" s="1225"/>
      <c r="AG3" s="1225"/>
      <c r="AH3" s="1225"/>
      <c r="AI3" s="1225"/>
      <c r="AJ3" s="1225"/>
      <c r="AK3" s="1225"/>
      <c r="AL3" s="1225"/>
      <c r="AM3" s="1225"/>
      <c r="AN3" s="1225"/>
      <c r="AO3" s="1225"/>
      <c r="AP3" s="1225"/>
      <c r="AQ3" s="1225"/>
      <c r="AR3" s="1225"/>
      <c r="AS3" s="1225"/>
      <c r="AT3" s="1225"/>
      <c r="AU3" s="1225"/>
      <c r="AV3" s="1225"/>
      <c r="AW3" s="1226"/>
      <c r="AX3" s="561" t="s">
        <v>5</v>
      </c>
      <c r="AY3" s="563">
        <v>44714</v>
      </c>
    </row>
    <row r="4" spans="1:71" s="565" customFormat="1" ht="12" customHeight="1" x14ac:dyDescent="0.2">
      <c r="A4" s="1223"/>
      <c r="B4" s="1227"/>
      <c r="C4" s="1228"/>
      <c r="D4" s="1228"/>
      <c r="E4" s="1228"/>
      <c r="F4" s="1228"/>
      <c r="G4" s="1228"/>
      <c r="H4" s="1228"/>
      <c r="I4" s="1228"/>
      <c r="J4" s="1228"/>
      <c r="K4" s="1228"/>
      <c r="L4" s="1228"/>
      <c r="M4" s="1228"/>
      <c r="N4" s="1228"/>
      <c r="O4" s="1228"/>
      <c r="P4" s="1228"/>
      <c r="Q4" s="1228"/>
      <c r="R4" s="1228"/>
      <c r="S4" s="1228"/>
      <c r="T4" s="1228"/>
      <c r="U4" s="1228"/>
      <c r="V4" s="1228"/>
      <c r="W4" s="1228"/>
      <c r="X4" s="1228"/>
      <c r="Y4" s="1228"/>
      <c r="Z4" s="1228"/>
      <c r="AA4" s="1228"/>
      <c r="AB4" s="1228"/>
      <c r="AC4" s="1228"/>
      <c r="AD4" s="1228"/>
      <c r="AE4" s="1228"/>
      <c r="AF4" s="1228"/>
      <c r="AG4" s="1228"/>
      <c r="AH4" s="1228"/>
      <c r="AI4" s="1228"/>
      <c r="AJ4" s="1228"/>
      <c r="AK4" s="1228"/>
      <c r="AL4" s="1228"/>
      <c r="AM4" s="1228"/>
      <c r="AN4" s="1228"/>
      <c r="AO4" s="1228"/>
      <c r="AP4" s="1228"/>
      <c r="AQ4" s="1228"/>
      <c r="AR4" s="1228"/>
      <c r="AS4" s="1228"/>
      <c r="AT4" s="1228"/>
      <c r="AU4" s="1228"/>
      <c r="AV4" s="1228"/>
      <c r="AW4" s="1229"/>
      <c r="AX4" s="561" t="s">
        <v>6</v>
      </c>
      <c r="AY4" s="564" t="s">
        <v>7</v>
      </c>
    </row>
    <row r="5" spans="1:71" s="562" customFormat="1" ht="12.75" customHeight="1" x14ac:dyDescent="0.2">
      <c r="A5" s="1230" t="s">
        <v>2414</v>
      </c>
      <c r="B5" s="1231"/>
      <c r="C5" s="1231"/>
      <c r="D5" s="1231"/>
      <c r="E5" s="1231"/>
      <c r="F5" s="1231"/>
      <c r="G5" s="1231"/>
      <c r="H5" s="1231"/>
      <c r="I5" s="1231"/>
      <c r="J5" s="1231"/>
      <c r="K5" s="1231"/>
      <c r="L5" s="1231"/>
      <c r="M5" s="1231"/>
      <c r="N5" s="1231"/>
      <c r="O5" s="1231"/>
      <c r="P5" s="1231"/>
      <c r="Q5" s="1231"/>
      <c r="R5" s="1234"/>
      <c r="S5" s="1235"/>
      <c r="T5" s="1235"/>
      <c r="U5" s="1235"/>
      <c r="V5" s="1235"/>
      <c r="W5" s="1235"/>
      <c r="X5" s="1235"/>
      <c r="Y5" s="1235"/>
      <c r="Z5" s="1235"/>
      <c r="AA5" s="1235"/>
      <c r="AB5" s="1235"/>
      <c r="AC5" s="1235"/>
      <c r="AD5" s="1235"/>
      <c r="AE5" s="1235"/>
      <c r="AF5" s="1235"/>
      <c r="AG5" s="1235"/>
      <c r="AH5" s="1235"/>
      <c r="AI5" s="1235"/>
      <c r="AJ5" s="1235"/>
      <c r="AK5" s="1235"/>
      <c r="AL5" s="1235"/>
      <c r="AM5" s="1235"/>
      <c r="AN5" s="1235"/>
      <c r="AO5" s="1235"/>
      <c r="AP5" s="1235"/>
      <c r="AQ5" s="1235"/>
      <c r="AR5" s="1235"/>
      <c r="AS5" s="1235"/>
      <c r="AT5" s="1235"/>
      <c r="AU5" s="1235"/>
      <c r="AV5" s="1235"/>
      <c r="AW5" s="1235"/>
      <c r="AX5" s="1235"/>
      <c r="AY5" s="1236"/>
    </row>
    <row r="6" spans="1:71" s="562" customFormat="1" ht="14.25" customHeight="1" x14ac:dyDescent="0.2">
      <c r="A6" s="1232"/>
      <c r="B6" s="1233"/>
      <c r="C6" s="1231"/>
      <c r="D6" s="1231"/>
      <c r="E6" s="1231"/>
      <c r="F6" s="1231"/>
      <c r="G6" s="1231"/>
      <c r="H6" s="1231"/>
      <c r="I6" s="1231"/>
      <c r="J6" s="1231"/>
      <c r="K6" s="1231"/>
      <c r="L6" s="1231"/>
      <c r="M6" s="1231"/>
      <c r="N6" s="1231"/>
      <c r="O6" s="1231"/>
      <c r="P6" s="1231"/>
      <c r="Q6" s="1231"/>
      <c r="R6" s="1234"/>
      <c r="S6" s="1235"/>
      <c r="T6" s="1235"/>
      <c r="U6" s="1235"/>
      <c r="V6" s="1235"/>
      <c r="W6" s="1235"/>
      <c r="X6" s="1235"/>
      <c r="Y6" s="1235"/>
      <c r="Z6" s="1235"/>
      <c r="AA6" s="1235"/>
      <c r="AB6" s="1235"/>
      <c r="AC6" s="1235"/>
      <c r="AD6" s="1235"/>
      <c r="AE6" s="1235"/>
      <c r="AF6" s="1237"/>
      <c r="AG6" s="566"/>
      <c r="AH6" s="566"/>
      <c r="AI6" s="566"/>
      <c r="AJ6" s="566"/>
      <c r="AK6" s="566"/>
      <c r="AL6" s="566"/>
      <c r="AM6" s="566"/>
      <c r="AN6" s="566"/>
      <c r="AO6" s="566"/>
      <c r="AP6" s="566"/>
      <c r="AQ6" s="566"/>
      <c r="AR6" s="566"/>
      <c r="AS6" s="566"/>
      <c r="AT6" s="566"/>
      <c r="AU6" s="566"/>
      <c r="AV6" s="566"/>
      <c r="AW6" s="1238"/>
      <c r="AX6" s="1239"/>
      <c r="AY6" s="1240"/>
    </row>
    <row r="7" spans="1:71" s="562" customFormat="1" ht="44.25" customHeight="1" x14ac:dyDescent="0.2">
      <c r="A7" s="1243" t="s">
        <v>2415</v>
      </c>
      <c r="B7" s="1244"/>
      <c r="C7" s="1241" t="s">
        <v>10</v>
      </c>
      <c r="D7" s="1244"/>
      <c r="E7" s="1241" t="s">
        <v>11</v>
      </c>
      <c r="F7" s="1244"/>
      <c r="G7" s="1241" t="s">
        <v>12</v>
      </c>
      <c r="H7" s="1242"/>
      <c r="I7" s="1242"/>
      <c r="J7" s="1244"/>
      <c r="K7" s="1241" t="s">
        <v>13</v>
      </c>
      <c r="L7" s="1242"/>
      <c r="M7" s="1242"/>
      <c r="N7" s="1244"/>
      <c r="O7" s="1241" t="s">
        <v>1233</v>
      </c>
      <c r="P7" s="1242"/>
      <c r="Q7" s="1242"/>
      <c r="R7" s="1241" t="s">
        <v>15</v>
      </c>
      <c r="S7" s="1242"/>
      <c r="T7" s="1242"/>
      <c r="U7" s="1242"/>
      <c r="V7" s="941"/>
      <c r="W7" s="941"/>
      <c r="X7" s="941"/>
      <c r="Y7" s="673"/>
      <c r="Z7" s="673"/>
      <c r="AA7" s="673"/>
      <c r="AB7" s="673"/>
      <c r="AC7" s="1249" t="s">
        <v>2416</v>
      </c>
      <c r="AD7" s="1250"/>
      <c r="AE7" s="1250"/>
      <c r="AF7" s="1251"/>
      <c r="AG7" s="1249" t="s">
        <v>21</v>
      </c>
      <c r="AH7" s="1250"/>
      <c r="AI7" s="1252" t="s">
        <v>22</v>
      </c>
      <c r="AJ7" s="1253"/>
      <c r="AK7" s="1253"/>
      <c r="AL7" s="1253"/>
      <c r="AM7" s="1254" t="s">
        <v>23</v>
      </c>
      <c r="AN7" s="1255"/>
      <c r="AO7" s="1255"/>
      <c r="AP7" s="1255"/>
      <c r="AQ7" s="1255"/>
      <c r="AR7" s="1255"/>
      <c r="AS7" s="1252" t="s">
        <v>24</v>
      </c>
      <c r="AT7" s="1253"/>
      <c r="AU7" s="1253"/>
      <c r="AV7" s="1256" t="s">
        <v>25</v>
      </c>
      <c r="AW7" s="1245" t="s">
        <v>2417</v>
      </c>
      <c r="AX7" s="1245" t="s">
        <v>2418</v>
      </c>
      <c r="AY7" s="1247" t="s">
        <v>19</v>
      </c>
    </row>
    <row r="8" spans="1:71" s="562" customFormat="1" ht="55.9" customHeight="1" x14ac:dyDescent="0.2">
      <c r="A8" s="567" t="s">
        <v>2419</v>
      </c>
      <c r="B8" s="568" t="s">
        <v>2420</v>
      </c>
      <c r="C8" s="567" t="s">
        <v>2419</v>
      </c>
      <c r="D8" s="568" t="s">
        <v>27</v>
      </c>
      <c r="E8" s="567" t="s">
        <v>2419</v>
      </c>
      <c r="F8" s="568" t="s">
        <v>2420</v>
      </c>
      <c r="G8" s="568" t="s">
        <v>28</v>
      </c>
      <c r="H8" s="568" t="s">
        <v>29</v>
      </c>
      <c r="I8" s="568" t="s">
        <v>30</v>
      </c>
      <c r="J8" s="568" t="s">
        <v>31</v>
      </c>
      <c r="K8" s="568" t="s">
        <v>28</v>
      </c>
      <c r="L8" s="568" t="s">
        <v>32</v>
      </c>
      <c r="M8" s="568" t="s">
        <v>33</v>
      </c>
      <c r="N8" s="568" t="s">
        <v>34</v>
      </c>
      <c r="O8" s="943" t="s">
        <v>35</v>
      </c>
      <c r="P8" s="943" t="s">
        <v>36</v>
      </c>
      <c r="Q8" s="943" t="s">
        <v>37</v>
      </c>
      <c r="R8" s="568" t="s">
        <v>2421</v>
      </c>
      <c r="S8" s="569" t="s">
        <v>39</v>
      </c>
      <c r="T8" s="569" t="s">
        <v>2422</v>
      </c>
      <c r="U8" s="569" t="s">
        <v>41</v>
      </c>
      <c r="V8" s="569" t="s">
        <v>42</v>
      </c>
      <c r="W8" s="568" t="s">
        <v>43</v>
      </c>
      <c r="X8" s="570" t="s">
        <v>2423</v>
      </c>
      <c r="Y8" s="660" t="s">
        <v>45</v>
      </c>
      <c r="Z8" s="659" t="s">
        <v>46</v>
      </c>
      <c r="AA8" s="659" t="s">
        <v>47</v>
      </c>
      <c r="AB8" s="660" t="s">
        <v>48</v>
      </c>
      <c r="AC8" s="568" t="s">
        <v>2424</v>
      </c>
      <c r="AD8" s="568" t="s">
        <v>1237</v>
      </c>
      <c r="AE8" s="568" t="s">
        <v>2419</v>
      </c>
      <c r="AF8" s="568" t="s">
        <v>27</v>
      </c>
      <c r="AG8" s="571" t="s">
        <v>53</v>
      </c>
      <c r="AH8" s="572" t="s">
        <v>54</v>
      </c>
      <c r="AI8" s="571" t="s">
        <v>55</v>
      </c>
      <c r="AJ8" s="571" t="s">
        <v>56</v>
      </c>
      <c r="AK8" s="571" t="s">
        <v>57</v>
      </c>
      <c r="AL8" s="571" t="s">
        <v>58</v>
      </c>
      <c r="AM8" s="571" t="s">
        <v>59</v>
      </c>
      <c r="AN8" s="571" t="s">
        <v>60</v>
      </c>
      <c r="AO8" s="571" t="s">
        <v>61</v>
      </c>
      <c r="AP8" s="571" t="s">
        <v>62</v>
      </c>
      <c r="AQ8" s="571" t="s">
        <v>63</v>
      </c>
      <c r="AR8" s="571" t="s">
        <v>64</v>
      </c>
      <c r="AS8" s="571" t="s">
        <v>65</v>
      </c>
      <c r="AT8" s="571" t="s">
        <v>66</v>
      </c>
      <c r="AU8" s="571" t="s">
        <v>67</v>
      </c>
      <c r="AV8" s="1257"/>
      <c r="AW8" s="1246"/>
      <c r="AX8" s="1246"/>
      <c r="AY8" s="1248"/>
    </row>
    <row r="9" spans="1:71" ht="88.5" customHeight="1" x14ac:dyDescent="0.2">
      <c r="A9" s="573">
        <v>1</v>
      </c>
      <c r="B9" s="574" t="s">
        <v>315</v>
      </c>
      <c r="C9" s="573">
        <v>23</v>
      </c>
      <c r="D9" s="574" t="s">
        <v>2425</v>
      </c>
      <c r="E9" s="573">
        <v>2301</v>
      </c>
      <c r="F9" s="574" t="s">
        <v>2426</v>
      </c>
      <c r="G9" s="573">
        <v>2301024</v>
      </c>
      <c r="H9" s="574" t="s">
        <v>2427</v>
      </c>
      <c r="I9" s="573">
        <v>2301024</v>
      </c>
      <c r="J9" s="574" t="s">
        <v>2427</v>
      </c>
      <c r="K9" s="573">
        <v>230102401</v>
      </c>
      <c r="L9" s="574" t="s">
        <v>2428</v>
      </c>
      <c r="M9" s="573">
        <v>230102401</v>
      </c>
      <c r="N9" s="574" t="s">
        <v>2428</v>
      </c>
      <c r="O9" s="942">
        <v>15</v>
      </c>
      <c r="P9" s="942"/>
      <c r="Q9" s="942">
        <v>15</v>
      </c>
      <c r="R9" s="575">
        <v>2020003630038</v>
      </c>
      <c r="S9" s="574" t="s">
        <v>2429</v>
      </c>
      <c r="T9" s="576">
        <f>SUM($X$9:$X$10)/SUM($X$9:$X$12)</f>
        <v>0.60869565217391308</v>
      </c>
      <c r="U9" s="577" t="s">
        <v>2430</v>
      </c>
      <c r="V9" s="577" t="s">
        <v>2431</v>
      </c>
      <c r="W9" s="578" t="s">
        <v>2432</v>
      </c>
      <c r="X9" s="579">
        <v>50000000</v>
      </c>
      <c r="Y9" s="579">
        <f>9600000+12000000+12000000+10800000</f>
        <v>44400000</v>
      </c>
      <c r="Z9" s="579"/>
      <c r="AA9" s="579"/>
      <c r="AB9" s="579">
        <f>X9-Y9+Z9-AA9</f>
        <v>5600000</v>
      </c>
      <c r="AC9" s="324" t="s">
        <v>2433</v>
      </c>
      <c r="AD9" s="580"/>
      <c r="AE9" s="581">
        <v>20</v>
      </c>
      <c r="AF9" s="582" t="s">
        <v>97</v>
      </c>
      <c r="AG9" s="583">
        <v>295972</v>
      </c>
      <c r="AH9" s="583">
        <v>294321</v>
      </c>
      <c r="AI9" s="583">
        <v>132302</v>
      </c>
      <c r="AJ9" s="583">
        <v>43426</v>
      </c>
      <c r="AK9" s="583">
        <v>313940</v>
      </c>
      <c r="AL9" s="583">
        <v>100625</v>
      </c>
      <c r="AM9" s="583">
        <v>2145</v>
      </c>
      <c r="AN9" s="583">
        <v>12718</v>
      </c>
      <c r="AO9" s="583">
        <v>36</v>
      </c>
      <c r="AP9" s="583">
        <v>0</v>
      </c>
      <c r="AQ9" s="583">
        <v>0</v>
      </c>
      <c r="AR9" s="583">
        <v>0</v>
      </c>
      <c r="AS9" s="583">
        <v>70</v>
      </c>
      <c r="AT9" s="583">
        <v>21944</v>
      </c>
      <c r="AU9" s="583">
        <v>285</v>
      </c>
      <c r="AV9" s="584">
        <f t="shared" ref="AV9:AV32" si="0">AG9+AH9</f>
        <v>590293</v>
      </c>
      <c r="AW9" s="585">
        <v>44928</v>
      </c>
      <c r="AX9" s="585">
        <v>45657</v>
      </c>
      <c r="AY9" s="586" t="s">
        <v>2434</v>
      </c>
      <c r="AZ9" s="89"/>
      <c r="BA9" s="89"/>
      <c r="BB9" s="89"/>
      <c r="BC9" s="89"/>
      <c r="BD9" s="89"/>
      <c r="BE9" s="89"/>
      <c r="BF9" s="89"/>
      <c r="BG9" s="89"/>
      <c r="BH9" s="89"/>
      <c r="BI9" s="89"/>
      <c r="BJ9" s="89"/>
      <c r="BK9" s="89"/>
      <c r="BL9" s="89"/>
      <c r="BM9" s="89"/>
      <c r="BN9" s="89"/>
      <c r="BO9" s="89"/>
      <c r="BP9" s="89"/>
      <c r="BQ9" s="89"/>
      <c r="BR9" s="89"/>
      <c r="BS9" s="89"/>
    </row>
    <row r="10" spans="1:71" ht="85.5" customHeight="1" x14ac:dyDescent="0.2">
      <c r="A10" s="587">
        <v>1</v>
      </c>
      <c r="B10" s="588" t="s">
        <v>315</v>
      </c>
      <c r="C10" s="587">
        <v>23</v>
      </c>
      <c r="D10" s="588" t="s">
        <v>2425</v>
      </c>
      <c r="E10" s="587">
        <v>2301</v>
      </c>
      <c r="F10" s="588" t="s">
        <v>2426</v>
      </c>
      <c r="G10" s="587">
        <v>2301024</v>
      </c>
      <c r="H10" s="588" t="s">
        <v>2427</v>
      </c>
      <c r="I10" s="587">
        <v>2301024</v>
      </c>
      <c r="J10" s="588" t="s">
        <v>2427</v>
      </c>
      <c r="K10" s="587">
        <v>230102404</v>
      </c>
      <c r="L10" s="588" t="s">
        <v>2435</v>
      </c>
      <c r="M10" s="587">
        <v>230102404</v>
      </c>
      <c r="N10" s="588" t="s">
        <v>2435</v>
      </c>
      <c r="O10" s="587">
        <v>4</v>
      </c>
      <c r="P10" s="587"/>
      <c r="Q10" s="587">
        <v>4</v>
      </c>
      <c r="R10" s="589">
        <v>2020003630038</v>
      </c>
      <c r="S10" s="588" t="s">
        <v>2429</v>
      </c>
      <c r="T10" s="576">
        <f>SUM($X$9:$X$10)/SUM($X$9:$X$12)</f>
        <v>0.60869565217391308</v>
      </c>
      <c r="U10" s="591" t="s">
        <v>2430</v>
      </c>
      <c r="V10" s="591" t="s">
        <v>2431</v>
      </c>
      <c r="W10" s="592" t="s">
        <v>2436</v>
      </c>
      <c r="X10" s="579">
        <v>90000000</v>
      </c>
      <c r="Y10" s="579"/>
      <c r="Z10" s="579"/>
      <c r="AA10" s="579"/>
      <c r="AB10" s="579">
        <f t="shared" ref="AB10:AB32" si="1">X10-Y10+Z10-AA10</f>
        <v>90000000</v>
      </c>
      <c r="AC10" s="324" t="s">
        <v>2437</v>
      </c>
      <c r="AD10" s="580"/>
      <c r="AE10" s="581">
        <v>20</v>
      </c>
      <c r="AF10" s="582" t="s">
        <v>97</v>
      </c>
      <c r="AG10" s="583">
        <v>295972</v>
      </c>
      <c r="AH10" s="583">
        <v>294321</v>
      </c>
      <c r="AI10" s="583">
        <v>132302</v>
      </c>
      <c r="AJ10" s="583">
        <v>43426</v>
      </c>
      <c r="AK10" s="583">
        <v>313940</v>
      </c>
      <c r="AL10" s="583">
        <v>100625</v>
      </c>
      <c r="AM10" s="583">
        <v>2145</v>
      </c>
      <c r="AN10" s="583">
        <v>12718</v>
      </c>
      <c r="AO10" s="583">
        <v>36</v>
      </c>
      <c r="AP10" s="583">
        <v>0</v>
      </c>
      <c r="AQ10" s="583">
        <v>0</v>
      </c>
      <c r="AR10" s="583">
        <v>0</v>
      </c>
      <c r="AS10" s="583">
        <v>70</v>
      </c>
      <c r="AT10" s="583">
        <v>21944</v>
      </c>
      <c r="AU10" s="583">
        <v>285</v>
      </c>
      <c r="AV10" s="584">
        <f t="shared" si="0"/>
        <v>590293</v>
      </c>
      <c r="AW10" s="585">
        <v>44928</v>
      </c>
      <c r="AX10" s="585">
        <v>45657</v>
      </c>
      <c r="AY10" s="586" t="s">
        <v>2434</v>
      </c>
      <c r="AZ10" s="89"/>
      <c r="BA10" s="89"/>
      <c r="BB10" s="89"/>
      <c r="BC10" s="89"/>
      <c r="BD10" s="89"/>
      <c r="BE10" s="89"/>
      <c r="BF10" s="89"/>
      <c r="BG10" s="89"/>
      <c r="BH10" s="89"/>
      <c r="BI10" s="89"/>
      <c r="BJ10" s="89"/>
      <c r="BK10" s="89"/>
      <c r="BL10" s="89"/>
      <c r="BM10" s="89"/>
      <c r="BN10" s="89"/>
      <c r="BO10" s="89"/>
      <c r="BP10" s="89"/>
      <c r="BQ10" s="89"/>
      <c r="BR10" s="89"/>
      <c r="BS10" s="89"/>
    </row>
    <row r="11" spans="1:71" ht="84.75" customHeight="1" x14ac:dyDescent="0.2">
      <c r="A11" s="587">
        <v>1</v>
      </c>
      <c r="B11" s="588" t="s">
        <v>315</v>
      </c>
      <c r="C11" s="587">
        <v>23</v>
      </c>
      <c r="D11" s="588" t="s">
        <v>2425</v>
      </c>
      <c r="E11" s="587">
        <v>2301</v>
      </c>
      <c r="F11" s="588" t="s">
        <v>2426</v>
      </c>
      <c r="G11" s="587">
        <v>2301012</v>
      </c>
      <c r="H11" s="588" t="s">
        <v>2438</v>
      </c>
      <c r="I11" s="587">
        <v>2301079</v>
      </c>
      <c r="J11" s="588" t="s">
        <v>2439</v>
      </c>
      <c r="K11" s="587">
        <v>230101204</v>
      </c>
      <c r="L11" s="588" t="s">
        <v>2440</v>
      </c>
      <c r="M11" s="587">
        <v>230107902</v>
      </c>
      <c r="N11" s="588" t="s">
        <v>2441</v>
      </c>
      <c r="O11" s="587">
        <v>15</v>
      </c>
      <c r="P11" s="587"/>
      <c r="Q11" s="587">
        <v>15</v>
      </c>
      <c r="R11" s="589">
        <v>2020003630038</v>
      </c>
      <c r="S11" s="588" t="s">
        <v>2429</v>
      </c>
      <c r="T11" s="590">
        <f>SUM($X$11:$X$11)/SUM($X$9:$X$12)</f>
        <v>0.30434782608695654</v>
      </c>
      <c r="U11" s="591" t="s">
        <v>2430</v>
      </c>
      <c r="V11" s="591" t="s">
        <v>2442</v>
      </c>
      <c r="W11" s="592" t="s">
        <v>2443</v>
      </c>
      <c r="X11" s="579">
        <v>70000000</v>
      </c>
      <c r="Y11" s="579"/>
      <c r="Z11" s="579"/>
      <c r="AA11" s="579"/>
      <c r="AB11" s="579">
        <f t="shared" si="1"/>
        <v>70000000</v>
      </c>
      <c r="AC11" s="324" t="s">
        <v>2444</v>
      </c>
      <c r="AD11" s="580"/>
      <c r="AE11" s="581">
        <v>20</v>
      </c>
      <c r="AF11" s="582" t="s">
        <v>97</v>
      </c>
      <c r="AG11" s="583">
        <v>295972</v>
      </c>
      <c r="AH11" s="583">
        <v>294321</v>
      </c>
      <c r="AI11" s="583">
        <v>132302</v>
      </c>
      <c r="AJ11" s="583">
        <v>43426</v>
      </c>
      <c r="AK11" s="583">
        <v>313940</v>
      </c>
      <c r="AL11" s="583">
        <v>100625</v>
      </c>
      <c r="AM11" s="583">
        <v>2145</v>
      </c>
      <c r="AN11" s="583">
        <v>12718</v>
      </c>
      <c r="AO11" s="583">
        <v>36</v>
      </c>
      <c r="AP11" s="583">
        <v>0</v>
      </c>
      <c r="AQ11" s="583">
        <v>0</v>
      </c>
      <c r="AR11" s="583">
        <v>0</v>
      </c>
      <c r="AS11" s="583">
        <v>70</v>
      </c>
      <c r="AT11" s="583">
        <v>21944</v>
      </c>
      <c r="AU11" s="583">
        <v>285</v>
      </c>
      <c r="AV11" s="584">
        <f t="shared" si="0"/>
        <v>590293</v>
      </c>
      <c r="AW11" s="585">
        <v>44928</v>
      </c>
      <c r="AX11" s="585">
        <v>45657</v>
      </c>
      <c r="AY11" s="586" t="s">
        <v>2434</v>
      </c>
      <c r="AZ11" s="89"/>
      <c r="BA11" s="89"/>
      <c r="BB11" s="89"/>
      <c r="BC11" s="89"/>
      <c r="BD11" s="89"/>
      <c r="BE11" s="89"/>
      <c r="BF11" s="89"/>
      <c r="BG11" s="89"/>
      <c r="BH11" s="89"/>
      <c r="BI11" s="89"/>
      <c r="BJ11" s="89"/>
      <c r="BK11" s="89"/>
      <c r="BL11" s="89"/>
      <c r="BM11" s="89"/>
      <c r="BN11" s="89"/>
      <c r="BO11" s="89"/>
      <c r="BP11" s="89"/>
      <c r="BQ11" s="89"/>
      <c r="BR11" s="89"/>
      <c r="BS11" s="89"/>
    </row>
    <row r="12" spans="1:71" ht="69.75" customHeight="1" x14ac:dyDescent="0.2">
      <c r="A12" s="587">
        <v>1</v>
      </c>
      <c r="B12" s="588" t="s">
        <v>315</v>
      </c>
      <c r="C12" s="587">
        <v>23</v>
      </c>
      <c r="D12" s="588" t="s">
        <v>2425</v>
      </c>
      <c r="E12" s="587">
        <v>2301</v>
      </c>
      <c r="F12" s="588" t="s">
        <v>2426</v>
      </c>
      <c r="G12" s="587">
        <v>2301062</v>
      </c>
      <c r="H12" s="588" t="s">
        <v>2445</v>
      </c>
      <c r="I12" s="587">
        <v>2301062</v>
      </c>
      <c r="J12" s="588" t="s">
        <v>2445</v>
      </c>
      <c r="K12" s="587">
        <v>230106201</v>
      </c>
      <c r="L12" s="588" t="s">
        <v>2446</v>
      </c>
      <c r="M12" s="587">
        <v>230106201</v>
      </c>
      <c r="N12" s="588" t="s">
        <v>2446</v>
      </c>
      <c r="O12" s="587">
        <v>7</v>
      </c>
      <c r="P12" s="587"/>
      <c r="Q12" s="587">
        <v>7</v>
      </c>
      <c r="R12" s="589">
        <v>2020003630038</v>
      </c>
      <c r="S12" s="588" t="s">
        <v>2429</v>
      </c>
      <c r="T12" s="590">
        <f>SUM($X$12:$X$12)/SUM($X$9:$X$12)</f>
        <v>8.6956521739130432E-2</v>
      </c>
      <c r="U12" s="591" t="s">
        <v>2430</v>
      </c>
      <c r="V12" s="591" t="s">
        <v>2447</v>
      </c>
      <c r="W12" s="592" t="s">
        <v>2448</v>
      </c>
      <c r="X12" s="579">
        <v>20000000</v>
      </c>
      <c r="Y12" s="579"/>
      <c r="Z12" s="579"/>
      <c r="AA12" s="579"/>
      <c r="AB12" s="579">
        <f t="shared" si="1"/>
        <v>20000000</v>
      </c>
      <c r="AC12" s="324" t="s">
        <v>2449</v>
      </c>
      <c r="AD12" s="593"/>
      <c r="AE12" s="581">
        <v>20</v>
      </c>
      <c r="AF12" s="582" t="s">
        <v>97</v>
      </c>
      <c r="AG12" s="583">
        <v>295972</v>
      </c>
      <c r="AH12" s="583">
        <v>294321</v>
      </c>
      <c r="AI12" s="583">
        <v>132302</v>
      </c>
      <c r="AJ12" s="583">
        <v>43426</v>
      </c>
      <c r="AK12" s="583">
        <v>313940</v>
      </c>
      <c r="AL12" s="583">
        <v>100625</v>
      </c>
      <c r="AM12" s="583">
        <v>2145</v>
      </c>
      <c r="AN12" s="583">
        <v>12718</v>
      </c>
      <c r="AO12" s="583">
        <v>36</v>
      </c>
      <c r="AP12" s="583">
        <v>0</v>
      </c>
      <c r="AQ12" s="583">
        <v>0</v>
      </c>
      <c r="AR12" s="583">
        <v>0</v>
      </c>
      <c r="AS12" s="583">
        <v>70</v>
      </c>
      <c r="AT12" s="583">
        <v>21944</v>
      </c>
      <c r="AU12" s="583">
        <v>285</v>
      </c>
      <c r="AV12" s="584">
        <f t="shared" si="0"/>
        <v>590293</v>
      </c>
      <c r="AW12" s="585">
        <v>44928</v>
      </c>
      <c r="AX12" s="585">
        <v>45657</v>
      </c>
      <c r="AY12" s="586" t="s">
        <v>2434</v>
      </c>
      <c r="AZ12" s="89"/>
      <c r="BA12" s="89"/>
      <c r="BB12" s="89"/>
      <c r="BC12" s="89"/>
      <c r="BD12" s="89"/>
      <c r="BE12" s="89"/>
      <c r="BF12" s="89"/>
      <c r="BG12" s="89"/>
      <c r="BH12" s="89"/>
      <c r="BI12" s="89"/>
      <c r="BJ12" s="89"/>
      <c r="BK12" s="89"/>
      <c r="BL12" s="89"/>
      <c r="BM12" s="89"/>
      <c r="BN12" s="89"/>
      <c r="BO12" s="89"/>
      <c r="BP12" s="89"/>
      <c r="BQ12" s="89"/>
      <c r="BR12" s="89"/>
      <c r="BS12" s="89"/>
    </row>
    <row r="13" spans="1:71" ht="69.75" customHeight="1" x14ac:dyDescent="0.2">
      <c r="A13" s="587">
        <v>1</v>
      </c>
      <c r="B13" s="588" t="s">
        <v>315</v>
      </c>
      <c r="C13" s="587">
        <v>23</v>
      </c>
      <c r="D13" s="588" t="s">
        <v>2425</v>
      </c>
      <c r="E13" s="587">
        <v>2301</v>
      </c>
      <c r="F13" s="588" t="s">
        <v>2426</v>
      </c>
      <c r="G13" s="587">
        <v>2301035</v>
      </c>
      <c r="H13" s="588" t="s">
        <v>2450</v>
      </c>
      <c r="I13" s="587">
        <v>2301035</v>
      </c>
      <c r="J13" s="588" t="s">
        <v>2450</v>
      </c>
      <c r="K13" s="587">
        <v>230103500</v>
      </c>
      <c r="L13" s="588" t="s">
        <v>2451</v>
      </c>
      <c r="M13" s="587">
        <v>230103500</v>
      </c>
      <c r="N13" s="588" t="s">
        <v>2451</v>
      </c>
      <c r="O13" s="587">
        <v>40</v>
      </c>
      <c r="P13" s="587"/>
      <c r="Q13" s="587">
        <v>40</v>
      </c>
      <c r="R13" s="589">
        <v>2020003630139</v>
      </c>
      <c r="S13" s="588" t="s">
        <v>2452</v>
      </c>
      <c r="T13" s="590">
        <f>SUM($X$13:$X$13)/SUM($X$13:$X$17)</f>
        <v>0.11263459981666245</v>
      </c>
      <c r="U13" s="591" t="s">
        <v>2453</v>
      </c>
      <c r="V13" s="591" t="s">
        <v>2454</v>
      </c>
      <c r="W13" s="592" t="s">
        <v>2455</v>
      </c>
      <c r="X13" s="579">
        <v>45000000</v>
      </c>
      <c r="Y13" s="579"/>
      <c r="Z13" s="579"/>
      <c r="AA13" s="579"/>
      <c r="AB13" s="579">
        <f t="shared" si="1"/>
        <v>45000000</v>
      </c>
      <c r="AC13" s="581" t="s">
        <v>2456</v>
      </c>
      <c r="AD13" s="580"/>
      <c r="AE13" s="581">
        <v>20</v>
      </c>
      <c r="AF13" s="582" t="s">
        <v>97</v>
      </c>
      <c r="AG13" s="594">
        <v>295972</v>
      </c>
      <c r="AH13" s="594">
        <v>294321</v>
      </c>
      <c r="AI13" s="594">
        <v>132302</v>
      </c>
      <c r="AJ13" s="594">
        <v>43426</v>
      </c>
      <c r="AK13" s="594">
        <v>313940</v>
      </c>
      <c r="AL13" s="594">
        <v>100625</v>
      </c>
      <c r="AM13" s="594">
        <v>2145</v>
      </c>
      <c r="AN13" s="594">
        <v>12718</v>
      </c>
      <c r="AO13" s="594">
        <v>36</v>
      </c>
      <c r="AP13" s="594">
        <v>0</v>
      </c>
      <c r="AQ13" s="594">
        <v>0</v>
      </c>
      <c r="AR13" s="594">
        <v>0</v>
      </c>
      <c r="AS13" s="594">
        <v>70</v>
      </c>
      <c r="AT13" s="594">
        <v>21944</v>
      </c>
      <c r="AU13" s="594">
        <v>285</v>
      </c>
      <c r="AV13" s="584">
        <f t="shared" si="0"/>
        <v>590293</v>
      </c>
      <c r="AW13" s="585">
        <v>44928</v>
      </c>
      <c r="AX13" s="585">
        <v>45657</v>
      </c>
      <c r="AY13" s="586" t="s">
        <v>2457</v>
      </c>
      <c r="AZ13" s="89"/>
      <c r="BA13" s="89"/>
      <c r="BB13" s="89"/>
      <c r="BC13" s="89"/>
      <c r="BD13" s="89"/>
      <c r="BE13" s="89"/>
      <c r="BF13" s="89"/>
      <c r="BG13" s="89"/>
      <c r="BH13" s="89"/>
      <c r="BI13" s="89"/>
      <c r="BJ13" s="89"/>
      <c r="BK13" s="89"/>
      <c r="BL13" s="89"/>
      <c r="BM13" s="89"/>
      <c r="BN13" s="89"/>
      <c r="BO13" s="89"/>
      <c r="BP13" s="89"/>
      <c r="BQ13" s="89"/>
      <c r="BR13" s="89"/>
      <c r="BS13" s="89"/>
    </row>
    <row r="14" spans="1:71" ht="108" customHeight="1" x14ac:dyDescent="0.2">
      <c r="A14" s="587">
        <v>1</v>
      </c>
      <c r="B14" s="588" t="s">
        <v>315</v>
      </c>
      <c r="C14" s="587">
        <v>23</v>
      </c>
      <c r="D14" s="588" t="s">
        <v>2425</v>
      </c>
      <c r="E14" s="587">
        <v>2301</v>
      </c>
      <c r="F14" s="588" t="s">
        <v>2426</v>
      </c>
      <c r="G14" s="587">
        <v>2301015</v>
      </c>
      <c r="H14" s="588" t="s">
        <v>2458</v>
      </c>
      <c r="I14" s="587">
        <v>2301015</v>
      </c>
      <c r="J14" s="588" t="s">
        <v>2458</v>
      </c>
      <c r="K14" s="587">
        <v>230101500</v>
      </c>
      <c r="L14" s="588" t="s">
        <v>2459</v>
      </c>
      <c r="M14" s="587">
        <v>230101500</v>
      </c>
      <c r="N14" s="588" t="s">
        <v>2459</v>
      </c>
      <c r="O14" s="587">
        <v>3</v>
      </c>
      <c r="P14" s="587"/>
      <c r="Q14" s="587">
        <v>3</v>
      </c>
      <c r="R14" s="589">
        <v>2020003630139</v>
      </c>
      <c r="S14" s="588" t="s">
        <v>2452</v>
      </c>
      <c r="T14" s="590">
        <f>SUM($X$14:$X$14)/SUM($X$13:$X$17)</f>
        <v>0.11263459981666245</v>
      </c>
      <c r="U14" s="591" t="s">
        <v>2453</v>
      </c>
      <c r="V14" s="591" t="s">
        <v>2460</v>
      </c>
      <c r="W14" s="592" t="s">
        <v>2461</v>
      </c>
      <c r="X14" s="579">
        <v>45000000</v>
      </c>
      <c r="Y14" s="579"/>
      <c r="Z14" s="579"/>
      <c r="AA14" s="579"/>
      <c r="AB14" s="579">
        <f t="shared" si="1"/>
        <v>45000000</v>
      </c>
      <c r="AC14" s="581" t="s">
        <v>2462</v>
      </c>
      <c r="AD14" s="580"/>
      <c r="AE14" s="581">
        <v>20</v>
      </c>
      <c r="AF14" s="582" t="s">
        <v>97</v>
      </c>
      <c r="AG14" s="594">
        <v>295972</v>
      </c>
      <c r="AH14" s="594">
        <v>294321</v>
      </c>
      <c r="AI14" s="594">
        <v>132302</v>
      </c>
      <c r="AJ14" s="594">
        <v>43426</v>
      </c>
      <c r="AK14" s="594">
        <v>313940</v>
      </c>
      <c r="AL14" s="594">
        <v>100625</v>
      </c>
      <c r="AM14" s="594">
        <v>2145</v>
      </c>
      <c r="AN14" s="594">
        <v>12718</v>
      </c>
      <c r="AO14" s="594">
        <v>36</v>
      </c>
      <c r="AP14" s="594">
        <v>0</v>
      </c>
      <c r="AQ14" s="594">
        <v>0</v>
      </c>
      <c r="AR14" s="594">
        <v>0</v>
      </c>
      <c r="AS14" s="594">
        <v>70</v>
      </c>
      <c r="AT14" s="594">
        <v>21944</v>
      </c>
      <c r="AU14" s="594">
        <v>285</v>
      </c>
      <c r="AV14" s="584">
        <f>AG14+AH14</f>
        <v>590293</v>
      </c>
      <c r="AW14" s="585">
        <v>44928</v>
      </c>
      <c r="AX14" s="585">
        <v>45657</v>
      </c>
      <c r="AY14" s="586" t="s">
        <v>2457</v>
      </c>
      <c r="AZ14" s="89"/>
      <c r="BA14" s="89"/>
      <c r="BB14" s="89"/>
      <c r="BC14" s="89"/>
      <c r="BD14" s="89"/>
      <c r="BE14" s="89"/>
      <c r="BF14" s="89"/>
      <c r="BG14" s="89"/>
      <c r="BH14" s="89"/>
      <c r="BI14" s="89"/>
      <c r="BJ14" s="89"/>
      <c r="BK14" s="89"/>
      <c r="BL14" s="89"/>
      <c r="BM14" s="89"/>
      <c r="BN14" s="89"/>
      <c r="BO14" s="89"/>
      <c r="BP14" s="89"/>
      <c r="BQ14" s="89"/>
      <c r="BR14" s="89"/>
      <c r="BS14" s="89"/>
    </row>
    <row r="15" spans="1:71" ht="85.5" customHeight="1" x14ac:dyDescent="0.2">
      <c r="A15" s="587">
        <v>1</v>
      </c>
      <c r="B15" s="588" t="s">
        <v>315</v>
      </c>
      <c r="C15" s="587">
        <v>23</v>
      </c>
      <c r="D15" s="588" t="s">
        <v>2425</v>
      </c>
      <c r="E15" s="587">
        <v>2301</v>
      </c>
      <c r="F15" s="588" t="s">
        <v>2426</v>
      </c>
      <c r="G15" s="587">
        <v>2301030</v>
      </c>
      <c r="H15" s="588" t="s">
        <v>2463</v>
      </c>
      <c r="I15" s="587">
        <v>2301030</v>
      </c>
      <c r="J15" s="588" t="s">
        <v>2463</v>
      </c>
      <c r="K15" s="587">
        <v>230103000</v>
      </c>
      <c r="L15" s="588" t="s">
        <v>2464</v>
      </c>
      <c r="M15" s="587">
        <v>230103000</v>
      </c>
      <c r="N15" s="588" t="s">
        <v>2464</v>
      </c>
      <c r="O15" s="587">
        <v>7000</v>
      </c>
      <c r="P15" s="587"/>
      <c r="Q15" s="587">
        <v>7000</v>
      </c>
      <c r="R15" s="589">
        <v>2020003630139</v>
      </c>
      <c r="S15" s="588" t="s">
        <v>2452</v>
      </c>
      <c r="T15" s="590">
        <f>SUM($X$15:$X$15)/SUM($X$13:$X$17)</f>
        <v>0.63706628947964328</v>
      </c>
      <c r="U15" s="591" t="s">
        <v>2453</v>
      </c>
      <c r="V15" s="591" t="s">
        <v>2465</v>
      </c>
      <c r="W15" s="592" t="s">
        <v>2466</v>
      </c>
      <c r="X15" s="579">
        <v>254521994.78</v>
      </c>
      <c r="Y15" s="579">
        <f>17200000+14800000+10800000+14800000+9600000+7400000+14800000+7400000</f>
        <v>96800000</v>
      </c>
      <c r="Z15" s="579"/>
      <c r="AA15" s="579"/>
      <c r="AB15" s="579">
        <f t="shared" si="1"/>
        <v>157721994.78</v>
      </c>
      <c r="AC15" s="581" t="s">
        <v>2467</v>
      </c>
      <c r="AD15" s="580"/>
      <c r="AE15" s="581">
        <v>20</v>
      </c>
      <c r="AF15" s="582" t="s">
        <v>97</v>
      </c>
      <c r="AG15" s="594">
        <v>295972</v>
      </c>
      <c r="AH15" s="594">
        <v>294321</v>
      </c>
      <c r="AI15" s="594">
        <v>132302</v>
      </c>
      <c r="AJ15" s="594">
        <v>43426</v>
      </c>
      <c r="AK15" s="594">
        <v>313940</v>
      </c>
      <c r="AL15" s="594">
        <v>100625</v>
      </c>
      <c r="AM15" s="594">
        <v>2145</v>
      </c>
      <c r="AN15" s="594">
        <v>12718</v>
      </c>
      <c r="AO15" s="594">
        <v>36</v>
      </c>
      <c r="AP15" s="594">
        <v>0</v>
      </c>
      <c r="AQ15" s="594">
        <v>0</v>
      </c>
      <c r="AR15" s="594">
        <v>0</v>
      </c>
      <c r="AS15" s="594">
        <v>70</v>
      </c>
      <c r="AT15" s="594">
        <v>21944</v>
      </c>
      <c r="AU15" s="594">
        <v>285</v>
      </c>
      <c r="AV15" s="584">
        <f t="shared" si="0"/>
        <v>590293</v>
      </c>
      <c r="AW15" s="585">
        <v>44928</v>
      </c>
      <c r="AX15" s="585">
        <v>45657</v>
      </c>
      <c r="AY15" s="586" t="s">
        <v>2457</v>
      </c>
      <c r="AZ15" s="89"/>
      <c r="BA15" s="89"/>
      <c r="BB15" s="89"/>
      <c r="BC15" s="89"/>
      <c r="BD15" s="89"/>
      <c r="BE15" s="89"/>
      <c r="BF15" s="89"/>
      <c r="BG15" s="89"/>
      <c r="BH15" s="89"/>
      <c r="BI15" s="89"/>
      <c r="BJ15" s="89"/>
      <c r="BK15" s="89"/>
      <c r="BL15" s="89"/>
      <c r="BM15" s="89"/>
      <c r="BN15" s="89"/>
      <c r="BO15" s="89"/>
      <c r="BP15" s="89"/>
      <c r="BQ15" s="89"/>
      <c r="BR15" s="89"/>
      <c r="BS15" s="89"/>
    </row>
    <row r="16" spans="1:71" ht="89.25" customHeight="1" x14ac:dyDescent="0.2">
      <c r="A16" s="587">
        <v>1</v>
      </c>
      <c r="B16" s="588" t="s">
        <v>315</v>
      </c>
      <c r="C16" s="587">
        <v>23</v>
      </c>
      <c r="D16" s="588" t="s">
        <v>2425</v>
      </c>
      <c r="E16" s="587">
        <v>2301</v>
      </c>
      <c r="F16" s="588" t="s">
        <v>2426</v>
      </c>
      <c r="G16" s="587">
        <v>2301004</v>
      </c>
      <c r="H16" s="588" t="s">
        <v>2468</v>
      </c>
      <c r="I16" s="587">
        <v>2301004</v>
      </c>
      <c r="J16" s="588" t="s">
        <v>2468</v>
      </c>
      <c r="K16" s="587">
        <v>230100400</v>
      </c>
      <c r="L16" s="588" t="s">
        <v>492</v>
      </c>
      <c r="M16" s="587">
        <v>230100400</v>
      </c>
      <c r="N16" s="588" t="s">
        <v>492</v>
      </c>
      <c r="O16" s="587">
        <v>1</v>
      </c>
      <c r="P16" s="587"/>
      <c r="Q16" s="587">
        <v>1</v>
      </c>
      <c r="R16" s="589">
        <v>2020003630139</v>
      </c>
      <c r="S16" s="588" t="s">
        <v>2452</v>
      </c>
      <c r="T16" s="590">
        <f>SUM($X$16:$X$16)/SUM($X$13:$X$17)</f>
        <v>7.5089733211108303E-2</v>
      </c>
      <c r="U16" s="591" t="s">
        <v>2453</v>
      </c>
      <c r="V16" s="591" t="s">
        <v>2469</v>
      </c>
      <c r="W16" s="592" t="s">
        <v>2470</v>
      </c>
      <c r="X16" s="579">
        <v>30000000</v>
      </c>
      <c r="Y16" s="579">
        <f>7400000+7400000</f>
        <v>14800000</v>
      </c>
      <c r="Z16" s="579"/>
      <c r="AA16" s="579"/>
      <c r="AB16" s="579">
        <f t="shared" si="1"/>
        <v>15200000</v>
      </c>
      <c r="AC16" s="581" t="s">
        <v>2471</v>
      </c>
      <c r="AD16" s="580"/>
      <c r="AE16" s="581">
        <v>20</v>
      </c>
      <c r="AF16" s="582" t="s">
        <v>97</v>
      </c>
      <c r="AG16" s="594">
        <v>295972</v>
      </c>
      <c r="AH16" s="594">
        <v>294321</v>
      </c>
      <c r="AI16" s="594">
        <v>132302</v>
      </c>
      <c r="AJ16" s="594">
        <v>43426</v>
      </c>
      <c r="AK16" s="594">
        <v>313940</v>
      </c>
      <c r="AL16" s="594">
        <v>100625</v>
      </c>
      <c r="AM16" s="594">
        <v>2145</v>
      </c>
      <c r="AN16" s="594">
        <v>12718</v>
      </c>
      <c r="AO16" s="594">
        <v>36</v>
      </c>
      <c r="AP16" s="594">
        <v>0</v>
      </c>
      <c r="AQ16" s="594">
        <v>0</v>
      </c>
      <c r="AR16" s="594">
        <v>0</v>
      </c>
      <c r="AS16" s="594">
        <v>70</v>
      </c>
      <c r="AT16" s="594">
        <v>21944</v>
      </c>
      <c r="AU16" s="594">
        <v>285</v>
      </c>
      <c r="AV16" s="584">
        <f t="shared" si="0"/>
        <v>590293</v>
      </c>
      <c r="AW16" s="585">
        <v>44928</v>
      </c>
      <c r="AX16" s="585">
        <v>45657</v>
      </c>
      <c r="AY16" s="586" t="s">
        <v>2457</v>
      </c>
      <c r="AZ16" s="89"/>
      <c r="BA16" s="89"/>
      <c r="BB16" s="89"/>
      <c r="BC16" s="89"/>
      <c r="BD16" s="89"/>
      <c r="BE16" s="89"/>
      <c r="BF16" s="89"/>
      <c r="BG16" s="89"/>
      <c r="BH16" s="89"/>
      <c r="BI16" s="89"/>
      <c r="BJ16" s="89"/>
      <c r="BK16" s="89"/>
      <c r="BL16" s="89"/>
      <c r="BM16" s="89"/>
      <c r="BN16" s="89"/>
      <c r="BO16" s="89"/>
      <c r="BP16" s="89"/>
      <c r="BQ16" s="89"/>
      <c r="BR16" s="89"/>
      <c r="BS16" s="89"/>
    </row>
    <row r="17" spans="1:71" ht="76.5" customHeight="1" x14ac:dyDescent="0.2">
      <c r="A17" s="587">
        <v>1</v>
      </c>
      <c r="B17" s="588" t="s">
        <v>315</v>
      </c>
      <c r="C17" s="587">
        <v>23</v>
      </c>
      <c r="D17" s="588" t="s">
        <v>2425</v>
      </c>
      <c r="E17" s="587">
        <v>2301</v>
      </c>
      <c r="F17" s="588" t="s">
        <v>2426</v>
      </c>
      <c r="G17" s="587">
        <v>2301042</v>
      </c>
      <c r="H17" s="588" t="s">
        <v>2472</v>
      </c>
      <c r="I17" s="587">
        <v>2301042</v>
      </c>
      <c r="J17" s="588" t="s">
        <v>2472</v>
      </c>
      <c r="K17" s="587">
        <v>230104201</v>
      </c>
      <c r="L17" s="588" t="s">
        <v>2473</v>
      </c>
      <c r="M17" s="587">
        <v>230104201</v>
      </c>
      <c r="N17" s="588" t="s">
        <v>2473</v>
      </c>
      <c r="O17" s="587">
        <v>1</v>
      </c>
      <c r="P17" s="587"/>
      <c r="Q17" s="587">
        <v>1</v>
      </c>
      <c r="R17" s="589">
        <v>2020003630139</v>
      </c>
      <c r="S17" s="588" t="s">
        <v>2452</v>
      </c>
      <c r="T17" s="590">
        <f>SUM($X$17:$X$17)/SUM($X$13:$X$17)</f>
        <v>6.2574777675923579E-2</v>
      </c>
      <c r="U17" s="591" t="s">
        <v>2453</v>
      </c>
      <c r="V17" s="591" t="s">
        <v>2474</v>
      </c>
      <c r="W17" s="592" t="s">
        <v>2475</v>
      </c>
      <c r="X17" s="579">
        <v>25000000</v>
      </c>
      <c r="Y17" s="579"/>
      <c r="Z17" s="579"/>
      <c r="AA17" s="579"/>
      <c r="AB17" s="579">
        <f t="shared" si="1"/>
        <v>25000000</v>
      </c>
      <c r="AC17" s="581" t="s">
        <v>2476</v>
      </c>
      <c r="AD17" s="580"/>
      <c r="AE17" s="581">
        <v>20</v>
      </c>
      <c r="AF17" s="582" t="s">
        <v>97</v>
      </c>
      <c r="AG17" s="594">
        <v>295972</v>
      </c>
      <c r="AH17" s="594">
        <v>294321</v>
      </c>
      <c r="AI17" s="594">
        <v>132302</v>
      </c>
      <c r="AJ17" s="594">
        <v>43426</v>
      </c>
      <c r="AK17" s="594">
        <v>313940</v>
      </c>
      <c r="AL17" s="594">
        <v>100625</v>
      </c>
      <c r="AM17" s="594">
        <v>2145</v>
      </c>
      <c r="AN17" s="594">
        <v>12718</v>
      </c>
      <c r="AO17" s="594">
        <v>36</v>
      </c>
      <c r="AP17" s="594">
        <v>0</v>
      </c>
      <c r="AQ17" s="594">
        <v>0</v>
      </c>
      <c r="AR17" s="594">
        <v>0</v>
      </c>
      <c r="AS17" s="594">
        <v>70</v>
      </c>
      <c r="AT17" s="594">
        <v>21944</v>
      </c>
      <c r="AU17" s="594">
        <v>285</v>
      </c>
      <c r="AV17" s="584">
        <f t="shared" si="0"/>
        <v>590293</v>
      </c>
      <c r="AW17" s="585">
        <v>44928</v>
      </c>
      <c r="AX17" s="585">
        <v>45657</v>
      </c>
      <c r="AY17" s="586" t="s">
        <v>2457</v>
      </c>
      <c r="AZ17" s="89"/>
      <c r="BA17" s="89"/>
      <c r="BB17" s="89"/>
      <c r="BC17" s="89"/>
      <c r="BD17" s="89"/>
      <c r="BE17" s="89"/>
      <c r="BF17" s="89"/>
      <c r="BG17" s="89"/>
      <c r="BH17" s="89"/>
      <c r="BI17" s="89"/>
      <c r="BJ17" s="89"/>
      <c r="BK17" s="89"/>
      <c r="BL17" s="89"/>
      <c r="BM17" s="89"/>
      <c r="BN17" s="89"/>
      <c r="BO17" s="89"/>
      <c r="BP17" s="89"/>
      <c r="BQ17" s="89"/>
      <c r="BR17" s="89"/>
      <c r="BS17" s="89"/>
    </row>
    <row r="18" spans="1:71" ht="153" customHeight="1" x14ac:dyDescent="0.2">
      <c r="A18" s="587">
        <v>1</v>
      </c>
      <c r="B18" s="588" t="s">
        <v>315</v>
      </c>
      <c r="C18" s="587">
        <v>23</v>
      </c>
      <c r="D18" s="588" t="s">
        <v>2425</v>
      </c>
      <c r="E18" s="595">
        <v>2302</v>
      </c>
      <c r="F18" s="588" t="s">
        <v>2477</v>
      </c>
      <c r="G18" s="587">
        <v>2302022</v>
      </c>
      <c r="H18" s="588" t="s">
        <v>2478</v>
      </c>
      <c r="I18" s="587">
        <v>2302022</v>
      </c>
      <c r="J18" s="588" t="s">
        <v>2478</v>
      </c>
      <c r="K18" s="587">
        <v>230202200</v>
      </c>
      <c r="L18" s="588" t="s">
        <v>2479</v>
      </c>
      <c r="M18" s="587">
        <v>230202200</v>
      </c>
      <c r="N18" s="588" t="s">
        <v>2479</v>
      </c>
      <c r="O18" s="587">
        <v>30</v>
      </c>
      <c r="P18" s="587"/>
      <c r="Q18" s="587">
        <v>30</v>
      </c>
      <c r="R18" s="589">
        <v>2020003630039</v>
      </c>
      <c r="S18" s="588" t="s">
        <v>2480</v>
      </c>
      <c r="T18" s="590">
        <f>SUM($X$18:$X$18)/SUM($X$18:$X$22)</f>
        <v>0.18367346938775511</v>
      </c>
      <c r="U18" s="591" t="s">
        <v>2481</v>
      </c>
      <c r="V18" s="591" t="s">
        <v>2482</v>
      </c>
      <c r="W18" s="592" t="s">
        <v>2483</v>
      </c>
      <c r="X18" s="579">
        <v>45000000</v>
      </c>
      <c r="Y18" s="579"/>
      <c r="Z18" s="579"/>
      <c r="AA18" s="579"/>
      <c r="AB18" s="579">
        <f t="shared" si="1"/>
        <v>45000000</v>
      </c>
      <c r="AC18" s="596" t="s">
        <v>2484</v>
      </c>
      <c r="AD18" s="580"/>
      <c r="AE18" s="581">
        <v>20</v>
      </c>
      <c r="AF18" s="582" t="s">
        <v>97</v>
      </c>
      <c r="AG18" s="583">
        <v>295972</v>
      </c>
      <c r="AH18" s="583">
        <v>294321</v>
      </c>
      <c r="AI18" s="583">
        <v>132302</v>
      </c>
      <c r="AJ18" s="583">
        <v>43426</v>
      </c>
      <c r="AK18" s="583">
        <v>313940</v>
      </c>
      <c r="AL18" s="583">
        <v>100625</v>
      </c>
      <c r="AM18" s="583">
        <v>2145</v>
      </c>
      <c r="AN18" s="583">
        <v>12718</v>
      </c>
      <c r="AO18" s="583">
        <v>36</v>
      </c>
      <c r="AP18" s="583">
        <v>0</v>
      </c>
      <c r="AQ18" s="583">
        <v>0</v>
      </c>
      <c r="AR18" s="583">
        <v>0</v>
      </c>
      <c r="AS18" s="583">
        <v>70</v>
      </c>
      <c r="AT18" s="583">
        <v>21944</v>
      </c>
      <c r="AU18" s="583">
        <v>285</v>
      </c>
      <c r="AV18" s="584">
        <f t="shared" si="0"/>
        <v>590293</v>
      </c>
      <c r="AW18" s="585">
        <v>44928</v>
      </c>
      <c r="AX18" s="585">
        <v>45657</v>
      </c>
      <c r="AY18" s="586" t="s">
        <v>2457</v>
      </c>
      <c r="AZ18" s="91"/>
      <c r="BA18" s="91"/>
      <c r="BB18" s="91"/>
      <c r="BC18" s="91"/>
      <c r="BD18" s="91"/>
      <c r="BE18" s="91"/>
      <c r="BF18" s="91"/>
      <c r="BG18" s="91"/>
      <c r="BH18" s="91"/>
      <c r="BI18" s="91"/>
      <c r="BJ18" s="91"/>
      <c r="BK18" s="91"/>
      <c r="BL18" s="91"/>
      <c r="BM18" s="91"/>
      <c r="BN18" s="91"/>
      <c r="BO18" s="91"/>
      <c r="BP18" s="91"/>
      <c r="BQ18" s="91"/>
      <c r="BR18" s="91"/>
      <c r="BS18" s="91"/>
    </row>
    <row r="19" spans="1:71" ht="102" customHeight="1" x14ac:dyDescent="0.2">
      <c r="A19" s="587">
        <v>1</v>
      </c>
      <c r="B19" s="588" t="s">
        <v>315</v>
      </c>
      <c r="C19" s="587">
        <v>23</v>
      </c>
      <c r="D19" s="588" t="s">
        <v>2425</v>
      </c>
      <c r="E19" s="595">
        <v>2302</v>
      </c>
      <c r="F19" s="588" t="s">
        <v>2477</v>
      </c>
      <c r="G19" s="587">
        <v>2302058</v>
      </c>
      <c r="H19" s="588" t="s">
        <v>2485</v>
      </c>
      <c r="I19" s="587">
        <v>2302058</v>
      </c>
      <c r="J19" s="588" t="s">
        <v>2485</v>
      </c>
      <c r="K19" s="587">
        <v>230205800</v>
      </c>
      <c r="L19" s="588" t="s">
        <v>2486</v>
      </c>
      <c r="M19" s="587">
        <v>230205800</v>
      </c>
      <c r="N19" s="588" t="s">
        <v>2486</v>
      </c>
      <c r="O19" s="597">
        <v>400</v>
      </c>
      <c r="P19" s="597"/>
      <c r="Q19" s="597">
        <v>400</v>
      </c>
      <c r="R19" s="589">
        <v>2020003630039</v>
      </c>
      <c r="S19" s="588" t="s">
        <v>2480</v>
      </c>
      <c r="T19" s="590">
        <f>SUM($X$19:$X$19)/SUM($X$18:$X$22)</f>
        <v>0.14285714285714285</v>
      </c>
      <c r="U19" s="591" t="s">
        <v>2481</v>
      </c>
      <c r="V19" s="591" t="s">
        <v>2487</v>
      </c>
      <c r="W19" s="592" t="s">
        <v>2488</v>
      </c>
      <c r="X19" s="579">
        <v>35000000</v>
      </c>
      <c r="Y19" s="579"/>
      <c r="Z19" s="579"/>
      <c r="AA19" s="579"/>
      <c r="AB19" s="579">
        <f t="shared" si="1"/>
        <v>35000000</v>
      </c>
      <c r="AC19" s="596" t="s">
        <v>2489</v>
      </c>
      <c r="AD19" s="580"/>
      <c r="AE19" s="581">
        <v>20</v>
      </c>
      <c r="AF19" s="582" t="s">
        <v>97</v>
      </c>
      <c r="AG19" s="583">
        <v>295972</v>
      </c>
      <c r="AH19" s="583">
        <v>294321</v>
      </c>
      <c r="AI19" s="583">
        <v>132302</v>
      </c>
      <c r="AJ19" s="583">
        <v>43426</v>
      </c>
      <c r="AK19" s="583">
        <v>313940</v>
      </c>
      <c r="AL19" s="583">
        <v>100625</v>
      </c>
      <c r="AM19" s="583">
        <v>2145</v>
      </c>
      <c r="AN19" s="583">
        <v>12718</v>
      </c>
      <c r="AO19" s="583">
        <v>36</v>
      </c>
      <c r="AP19" s="583">
        <v>0</v>
      </c>
      <c r="AQ19" s="583">
        <v>0</v>
      </c>
      <c r="AR19" s="583">
        <v>0</v>
      </c>
      <c r="AS19" s="583">
        <v>70</v>
      </c>
      <c r="AT19" s="583">
        <v>21944</v>
      </c>
      <c r="AU19" s="583">
        <v>285</v>
      </c>
      <c r="AV19" s="584">
        <f t="shared" si="0"/>
        <v>590293</v>
      </c>
      <c r="AW19" s="585">
        <v>44928</v>
      </c>
      <c r="AX19" s="585">
        <v>45657</v>
      </c>
      <c r="AY19" s="586" t="s">
        <v>2457</v>
      </c>
      <c r="AZ19" s="89"/>
      <c r="BA19" s="89"/>
      <c r="BB19" s="89"/>
      <c r="BC19" s="89"/>
      <c r="BD19" s="89"/>
      <c r="BE19" s="89"/>
      <c r="BF19" s="89"/>
      <c r="BG19" s="89"/>
      <c r="BH19" s="89"/>
      <c r="BI19" s="89"/>
      <c r="BJ19" s="89"/>
      <c r="BK19" s="89"/>
      <c r="BL19" s="89"/>
      <c r="BM19" s="89"/>
      <c r="BN19" s="89"/>
      <c r="BO19" s="89"/>
      <c r="BP19" s="89"/>
      <c r="BQ19" s="89"/>
      <c r="BR19" s="89"/>
      <c r="BS19" s="89"/>
    </row>
    <row r="20" spans="1:71" ht="102" customHeight="1" x14ac:dyDescent="0.2">
      <c r="A20" s="587">
        <v>1</v>
      </c>
      <c r="B20" s="588" t="s">
        <v>315</v>
      </c>
      <c r="C20" s="587">
        <v>23</v>
      </c>
      <c r="D20" s="588" t="s">
        <v>2425</v>
      </c>
      <c r="E20" s="595">
        <v>2302</v>
      </c>
      <c r="F20" s="588" t="s">
        <v>2477</v>
      </c>
      <c r="G20" s="587">
        <v>2302021</v>
      </c>
      <c r="H20" s="588" t="s">
        <v>2490</v>
      </c>
      <c r="I20" s="587">
        <v>2302021</v>
      </c>
      <c r="J20" s="588" t="s">
        <v>2490</v>
      </c>
      <c r="K20" s="587">
        <v>230202100</v>
      </c>
      <c r="L20" s="588" t="s">
        <v>2491</v>
      </c>
      <c r="M20" s="587">
        <v>230202100</v>
      </c>
      <c r="N20" s="588" t="s">
        <v>2491</v>
      </c>
      <c r="O20" s="587">
        <v>10</v>
      </c>
      <c r="P20" s="587"/>
      <c r="Q20" s="587">
        <v>10</v>
      </c>
      <c r="R20" s="589">
        <v>2020003630039</v>
      </c>
      <c r="S20" s="588" t="s">
        <v>2480</v>
      </c>
      <c r="T20" s="590">
        <f>SUM($X$20:$X$20)/SUM($X$18:$X$22)</f>
        <v>0.34693877551020408</v>
      </c>
      <c r="U20" s="591" t="s">
        <v>2481</v>
      </c>
      <c r="V20" s="591" t="s">
        <v>2492</v>
      </c>
      <c r="W20" s="592" t="s">
        <v>2493</v>
      </c>
      <c r="X20" s="579">
        <v>85000000</v>
      </c>
      <c r="Y20" s="579"/>
      <c r="Z20" s="579"/>
      <c r="AA20" s="579"/>
      <c r="AB20" s="579">
        <f t="shared" si="1"/>
        <v>85000000</v>
      </c>
      <c r="AC20" s="596" t="s">
        <v>2494</v>
      </c>
      <c r="AD20" s="580"/>
      <c r="AE20" s="581">
        <v>20</v>
      </c>
      <c r="AF20" s="582" t="s">
        <v>97</v>
      </c>
      <c r="AG20" s="583">
        <v>295972</v>
      </c>
      <c r="AH20" s="583">
        <v>294321</v>
      </c>
      <c r="AI20" s="583">
        <v>132302</v>
      </c>
      <c r="AJ20" s="583">
        <v>43426</v>
      </c>
      <c r="AK20" s="583">
        <v>313940</v>
      </c>
      <c r="AL20" s="583">
        <v>100625</v>
      </c>
      <c r="AM20" s="583">
        <v>2145</v>
      </c>
      <c r="AN20" s="583">
        <v>12718</v>
      </c>
      <c r="AO20" s="583">
        <v>36</v>
      </c>
      <c r="AP20" s="583">
        <v>0</v>
      </c>
      <c r="AQ20" s="583">
        <v>0</v>
      </c>
      <c r="AR20" s="583">
        <v>0</v>
      </c>
      <c r="AS20" s="583">
        <v>70</v>
      </c>
      <c r="AT20" s="583">
        <v>21944</v>
      </c>
      <c r="AU20" s="583">
        <v>285</v>
      </c>
      <c r="AV20" s="584">
        <f t="shared" si="0"/>
        <v>590293</v>
      </c>
      <c r="AW20" s="585">
        <v>44928</v>
      </c>
      <c r="AX20" s="585">
        <v>45657</v>
      </c>
      <c r="AY20" s="586" t="s">
        <v>2457</v>
      </c>
      <c r="AZ20" s="89"/>
      <c r="BA20" s="89"/>
      <c r="BB20" s="89"/>
      <c r="BC20" s="89"/>
      <c r="BD20" s="89"/>
      <c r="BE20" s="89"/>
      <c r="BF20" s="89"/>
      <c r="BG20" s="89"/>
      <c r="BH20" s="89"/>
      <c r="BI20" s="89"/>
      <c r="BJ20" s="89"/>
      <c r="BK20" s="89"/>
      <c r="BL20" s="89"/>
      <c r="BM20" s="89"/>
      <c r="BN20" s="89"/>
      <c r="BO20" s="89"/>
      <c r="BP20" s="89"/>
      <c r="BQ20" s="89"/>
      <c r="BR20" s="89"/>
      <c r="BS20" s="89"/>
    </row>
    <row r="21" spans="1:71" ht="102" customHeight="1" x14ac:dyDescent="0.2">
      <c r="A21" s="587">
        <v>1</v>
      </c>
      <c r="B21" s="588" t="s">
        <v>315</v>
      </c>
      <c r="C21" s="587">
        <v>23</v>
      </c>
      <c r="D21" s="588" t="s">
        <v>2425</v>
      </c>
      <c r="E21" s="595">
        <v>2302</v>
      </c>
      <c r="F21" s="588" t="s">
        <v>2477</v>
      </c>
      <c r="G21" s="280">
        <v>2302039</v>
      </c>
      <c r="H21" s="598" t="s">
        <v>2495</v>
      </c>
      <c r="I21" s="599">
        <v>2302039</v>
      </c>
      <c r="J21" s="598" t="s">
        <v>2495</v>
      </c>
      <c r="K21" s="600">
        <v>230203900</v>
      </c>
      <c r="L21" s="601" t="s">
        <v>2496</v>
      </c>
      <c r="M21" s="600">
        <v>230203900</v>
      </c>
      <c r="N21" s="601" t="s">
        <v>2496</v>
      </c>
      <c r="O21" s="602">
        <v>1</v>
      </c>
      <c r="P21" s="602"/>
      <c r="Q21" s="602">
        <v>1</v>
      </c>
      <c r="R21" s="589">
        <v>2020003630039</v>
      </c>
      <c r="S21" s="588" t="s">
        <v>2480</v>
      </c>
      <c r="T21" s="590">
        <f>SUM($X$21:$X$21)/SUM($X$18:$X$22)</f>
        <v>0.20408163265306123</v>
      </c>
      <c r="U21" s="591" t="s">
        <v>2481</v>
      </c>
      <c r="V21" s="591" t="s">
        <v>2497</v>
      </c>
      <c r="W21" s="592" t="s">
        <v>2498</v>
      </c>
      <c r="X21" s="603">
        <v>50000000</v>
      </c>
      <c r="Y21" s="603"/>
      <c r="Z21" s="603"/>
      <c r="AA21" s="603"/>
      <c r="AB21" s="579">
        <f t="shared" si="1"/>
        <v>50000000</v>
      </c>
      <c r="AC21" s="604" t="s">
        <v>2499</v>
      </c>
      <c r="AD21" s="580"/>
      <c r="AE21" s="581">
        <v>20</v>
      </c>
      <c r="AF21" s="582" t="s">
        <v>97</v>
      </c>
      <c r="AG21" s="583">
        <v>295972</v>
      </c>
      <c r="AH21" s="583">
        <v>294321</v>
      </c>
      <c r="AI21" s="583">
        <v>132302</v>
      </c>
      <c r="AJ21" s="583">
        <v>43426</v>
      </c>
      <c r="AK21" s="583">
        <v>313940</v>
      </c>
      <c r="AL21" s="583">
        <v>100625</v>
      </c>
      <c r="AM21" s="583">
        <v>2145</v>
      </c>
      <c r="AN21" s="583">
        <v>12718</v>
      </c>
      <c r="AO21" s="583">
        <v>36</v>
      </c>
      <c r="AP21" s="583">
        <v>0</v>
      </c>
      <c r="AQ21" s="583">
        <v>0</v>
      </c>
      <c r="AR21" s="583">
        <v>0</v>
      </c>
      <c r="AS21" s="583">
        <v>70</v>
      </c>
      <c r="AT21" s="583">
        <v>21944</v>
      </c>
      <c r="AU21" s="583">
        <v>285</v>
      </c>
      <c r="AV21" s="584">
        <v>590293</v>
      </c>
      <c r="AW21" s="585">
        <v>44928</v>
      </c>
      <c r="AX21" s="585">
        <v>45657</v>
      </c>
      <c r="AY21" s="586" t="s">
        <v>2457</v>
      </c>
      <c r="AZ21" s="89"/>
      <c r="BA21" s="89"/>
      <c r="BB21" s="89"/>
      <c r="BC21" s="89"/>
      <c r="BD21" s="89"/>
      <c r="BE21" s="89"/>
      <c r="BF21" s="89"/>
      <c r="BG21" s="89"/>
      <c r="BH21" s="89"/>
      <c r="BI21" s="89"/>
      <c r="BJ21" s="89"/>
      <c r="BK21" s="89"/>
      <c r="BL21" s="89"/>
      <c r="BM21" s="89"/>
      <c r="BN21" s="89"/>
      <c r="BO21" s="89"/>
      <c r="BP21" s="89"/>
      <c r="BQ21" s="89"/>
      <c r="BR21" s="89"/>
      <c r="BS21" s="89"/>
    </row>
    <row r="22" spans="1:71" ht="81" customHeight="1" x14ac:dyDescent="0.2">
      <c r="A22" s="587">
        <v>1</v>
      </c>
      <c r="B22" s="588" t="s">
        <v>315</v>
      </c>
      <c r="C22" s="587">
        <v>23</v>
      </c>
      <c r="D22" s="588" t="s">
        <v>2425</v>
      </c>
      <c r="E22" s="595">
        <v>2302</v>
      </c>
      <c r="F22" s="588" t="s">
        <v>2477</v>
      </c>
      <c r="G22" s="587">
        <v>2302068</v>
      </c>
      <c r="H22" s="588" t="s">
        <v>2500</v>
      </c>
      <c r="I22" s="587">
        <v>2302068</v>
      </c>
      <c r="J22" s="588" t="s">
        <v>2500</v>
      </c>
      <c r="K22" s="587">
        <v>230206800</v>
      </c>
      <c r="L22" s="588" t="s">
        <v>2501</v>
      </c>
      <c r="M22" s="587">
        <v>230206800</v>
      </c>
      <c r="N22" s="588" t="s">
        <v>2501</v>
      </c>
      <c r="O22" s="587">
        <v>80</v>
      </c>
      <c r="P22" s="587"/>
      <c r="Q22" s="587">
        <v>80</v>
      </c>
      <c r="R22" s="589">
        <v>2020003630039</v>
      </c>
      <c r="S22" s="588" t="s">
        <v>2480</v>
      </c>
      <c r="T22" s="590">
        <f>SUM($X$22:$X$22)/SUM($X$18:$X$22)</f>
        <v>0.12244897959183673</v>
      </c>
      <c r="U22" s="591" t="s">
        <v>2481</v>
      </c>
      <c r="V22" s="591" t="s">
        <v>2502</v>
      </c>
      <c r="W22" s="592" t="s">
        <v>2503</v>
      </c>
      <c r="X22" s="579">
        <v>30000000</v>
      </c>
      <c r="Y22" s="579"/>
      <c r="Z22" s="579"/>
      <c r="AA22" s="579"/>
      <c r="AB22" s="579">
        <f t="shared" si="1"/>
        <v>30000000</v>
      </c>
      <c r="AC22" s="604" t="s">
        <v>2504</v>
      </c>
      <c r="AD22" s="580"/>
      <c r="AE22" s="581">
        <v>20</v>
      </c>
      <c r="AF22" s="582" t="s">
        <v>97</v>
      </c>
      <c r="AG22" s="583">
        <v>295972</v>
      </c>
      <c r="AH22" s="583">
        <v>294321</v>
      </c>
      <c r="AI22" s="583">
        <v>132302</v>
      </c>
      <c r="AJ22" s="583">
        <v>43426</v>
      </c>
      <c r="AK22" s="583">
        <v>313940</v>
      </c>
      <c r="AL22" s="583">
        <v>100625</v>
      </c>
      <c r="AM22" s="583">
        <v>2145</v>
      </c>
      <c r="AN22" s="583">
        <v>12718</v>
      </c>
      <c r="AO22" s="583">
        <v>36</v>
      </c>
      <c r="AP22" s="583">
        <v>0</v>
      </c>
      <c r="AQ22" s="583">
        <v>0</v>
      </c>
      <c r="AR22" s="583">
        <v>0</v>
      </c>
      <c r="AS22" s="583">
        <v>70</v>
      </c>
      <c r="AT22" s="583">
        <v>21944</v>
      </c>
      <c r="AU22" s="583">
        <v>285</v>
      </c>
      <c r="AV22" s="584">
        <f t="shared" si="0"/>
        <v>590293</v>
      </c>
      <c r="AW22" s="585">
        <v>44928</v>
      </c>
      <c r="AX22" s="585">
        <v>45657</v>
      </c>
      <c r="AY22" s="586" t="s">
        <v>2457</v>
      </c>
      <c r="AZ22" s="89"/>
      <c r="BA22" s="89"/>
      <c r="BB22" s="89"/>
      <c r="BC22" s="89"/>
      <c r="BD22" s="89"/>
      <c r="BE22" s="89"/>
      <c r="BF22" s="89"/>
      <c r="BG22" s="89"/>
      <c r="BH22" s="89"/>
      <c r="BI22" s="89"/>
      <c r="BJ22" s="89"/>
      <c r="BK22" s="89"/>
      <c r="BL22" s="89"/>
      <c r="BM22" s="89"/>
      <c r="BN22" s="89"/>
      <c r="BO22" s="89"/>
      <c r="BP22" s="89"/>
      <c r="BQ22" s="89"/>
      <c r="BR22" s="89"/>
      <c r="BS22" s="89"/>
    </row>
    <row r="23" spans="1:71" ht="104.25" customHeight="1" x14ac:dyDescent="0.2">
      <c r="A23" s="587">
        <v>4</v>
      </c>
      <c r="B23" s="588" t="s">
        <v>2505</v>
      </c>
      <c r="C23" s="587">
        <v>23</v>
      </c>
      <c r="D23" s="588" t="s">
        <v>2425</v>
      </c>
      <c r="E23" s="595">
        <v>2302</v>
      </c>
      <c r="F23" s="588" t="s">
        <v>2477</v>
      </c>
      <c r="G23" s="587">
        <v>2302003</v>
      </c>
      <c r="H23" s="588" t="s">
        <v>2506</v>
      </c>
      <c r="I23" s="587">
        <v>2302003</v>
      </c>
      <c r="J23" s="588" t="s">
        <v>2506</v>
      </c>
      <c r="K23" s="587">
        <v>230200300</v>
      </c>
      <c r="L23" s="588" t="s">
        <v>2507</v>
      </c>
      <c r="M23" s="587">
        <v>230200300</v>
      </c>
      <c r="N23" s="588" t="s">
        <v>2507</v>
      </c>
      <c r="O23" s="587">
        <v>3</v>
      </c>
      <c r="P23" s="587"/>
      <c r="Q23" s="587">
        <v>3</v>
      </c>
      <c r="R23" s="589">
        <v>2020003630141</v>
      </c>
      <c r="S23" s="588" t="s">
        <v>2508</v>
      </c>
      <c r="T23" s="590">
        <f>SUM($X$23:$X$23)/SUM($X$23:$X$28)</f>
        <v>0.27586206896551724</v>
      </c>
      <c r="U23" s="591" t="s">
        <v>2509</v>
      </c>
      <c r="V23" s="591" t="s">
        <v>2510</v>
      </c>
      <c r="W23" s="592" t="s">
        <v>2511</v>
      </c>
      <c r="X23" s="579">
        <v>80000000</v>
      </c>
      <c r="Y23" s="579"/>
      <c r="Z23" s="579"/>
      <c r="AA23" s="579"/>
      <c r="AB23" s="579">
        <f t="shared" si="1"/>
        <v>80000000</v>
      </c>
      <c r="AC23" s="581" t="s">
        <v>2512</v>
      </c>
      <c r="AD23" s="580"/>
      <c r="AE23" s="581">
        <v>20</v>
      </c>
      <c r="AF23" s="582" t="s">
        <v>97</v>
      </c>
      <c r="AG23" s="594">
        <v>295972</v>
      </c>
      <c r="AH23" s="594">
        <v>294321</v>
      </c>
      <c r="AI23" s="594">
        <v>132302</v>
      </c>
      <c r="AJ23" s="594">
        <v>43426</v>
      </c>
      <c r="AK23" s="594">
        <v>313940</v>
      </c>
      <c r="AL23" s="594">
        <v>100625</v>
      </c>
      <c r="AM23" s="594">
        <v>2145</v>
      </c>
      <c r="AN23" s="594">
        <v>12718</v>
      </c>
      <c r="AO23" s="594">
        <v>36</v>
      </c>
      <c r="AP23" s="594">
        <v>0</v>
      </c>
      <c r="AQ23" s="594">
        <v>0</v>
      </c>
      <c r="AR23" s="594">
        <v>0</v>
      </c>
      <c r="AS23" s="594">
        <v>70</v>
      </c>
      <c r="AT23" s="594">
        <v>21944</v>
      </c>
      <c r="AU23" s="594">
        <v>285</v>
      </c>
      <c r="AV23" s="584">
        <f t="shared" si="0"/>
        <v>590293</v>
      </c>
      <c r="AW23" s="585">
        <v>44928</v>
      </c>
      <c r="AX23" s="585">
        <v>45657</v>
      </c>
      <c r="AY23" s="605" t="s">
        <v>2434</v>
      </c>
      <c r="AZ23" s="92"/>
      <c r="BA23" s="92"/>
      <c r="BB23" s="92"/>
      <c r="BC23" s="92"/>
      <c r="BD23" s="92"/>
      <c r="BE23" s="92"/>
      <c r="BF23" s="92"/>
      <c r="BG23" s="92"/>
      <c r="BH23" s="92"/>
      <c r="BI23" s="92"/>
      <c r="BJ23" s="92"/>
      <c r="BK23" s="92"/>
      <c r="BL23" s="92"/>
      <c r="BM23" s="92"/>
      <c r="BN23" s="92"/>
      <c r="BO23" s="92"/>
      <c r="BP23" s="92"/>
      <c r="BQ23" s="92"/>
      <c r="BR23" s="92"/>
      <c r="BS23" s="92"/>
    </row>
    <row r="24" spans="1:71" ht="117.75" customHeight="1" x14ac:dyDescent="0.2">
      <c r="A24" s="587">
        <v>4</v>
      </c>
      <c r="B24" s="588" t="s">
        <v>2505</v>
      </c>
      <c r="C24" s="587">
        <v>23</v>
      </c>
      <c r="D24" s="588" t="s">
        <v>2425</v>
      </c>
      <c r="E24" s="595">
        <v>2302</v>
      </c>
      <c r="F24" s="588" t="s">
        <v>2477</v>
      </c>
      <c r="G24" s="587">
        <v>2302033</v>
      </c>
      <c r="H24" s="588" t="s">
        <v>2513</v>
      </c>
      <c r="I24" s="587">
        <v>2302033</v>
      </c>
      <c r="J24" s="588" t="s">
        <v>2513</v>
      </c>
      <c r="K24" s="587">
        <v>230203300</v>
      </c>
      <c r="L24" s="588" t="s">
        <v>2514</v>
      </c>
      <c r="M24" s="587">
        <v>230203300</v>
      </c>
      <c r="N24" s="588" t="s">
        <v>2514</v>
      </c>
      <c r="O24" s="587">
        <v>100</v>
      </c>
      <c r="P24" s="587"/>
      <c r="Q24" s="587">
        <v>100</v>
      </c>
      <c r="R24" s="589">
        <v>2020003630141</v>
      </c>
      <c r="S24" s="588" t="s">
        <v>2508</v>
      </c>
      <c r="T24" s="590">
        <f>SUM($X$24:$X$24)/SUM($X$23:$X$28)</f>
        <v>0.20689655172413793</v>
      </c>
      <c r="U24" s="591" t="s">
        <v>2509</v>
      </c>
      <c r="V24" s="591" t="s">
        <v>2515</v>
      </c>
      <c r="W24" s="592" t="s">
        <v>2516</v>
      </c>
      <c r="X24" s="579">
        <v>60000000</v>
      </c>
      <c r="Y24" s="579"/>
      <c r="Z24" s="579"/>
      <c r="AA24" s="579"/>
      <c r="AB24" s="579">
        <f t="shared" si="1"/>
        <v>60000000</v>
      </c>
      <c r="AC24" s="581" t="s">
        <v>2517</v>
      </c>
      <c r="AD24" s="580"/>
      <c r="AE24" s="581">
        <v>20</v>
      </c>
      <c r="AF24" s="582" t="s">
        <v>97</v>
      </c>
      <c r="AG24" s="594">
        <v>295972</v>
      </c>
      <c r="AH24" s="594">
        <v>294321</v>
      </c>
      <c r="AI24" s="594">
        <v>132302</v>
      </c>
      <c r="AJ24" s="594">
        <v>43426</v>
      </c>
      <c r="AK24" s="594">
        <v>313940</v>
      </c>
      <c r="AL24" s="594">
        <v>100625</v>
      </c>
      <c r="AM24" s="594">
        <v>2145</v>
      </c>
      <c r="AN24" s="594">
        <v>12718</v>
      </c>
      <c r="AO24" s="594">
        <v>36</v>
      </c>
      <c r="AP24" s="594">
        <v>0</v>
      </c>
      <c r="AQ24" s="594">
        <v>0</v>
      </c>
      <c r="AR24" s="594">
        <v>0</v>
      </c>
      <c r="AS24" s="594">
        <v>70</v>
      </c>
      <c r="AT24" s="594">
        <v>21944</v>
      </c>
      <c r="AU24" s="594">
        <v>285</v>
      </c>
      <c r="AV24" s="584">
        <f t="shared" si="0"/>
        <v>590293</v>
      </c>
      <c r="AW24" s="585">
        <v>44928</v>
      </c>
      <c r="AX24" s="585">
        <v>45657</v>
      </c>
      <c r="AY24" s="605" t="s">
        <v>2434</v>
      </c>
      <c r="AZ24" s="92"/>
      <c r="BA24" s="92"/>
      <c r="BB24" s="92"/>
      <c r="BC24" s="92"/>
      <c r="BD24" s="92"/>
      <c r="BE24" s="92"/>
      <c r="BF24" s="92"/>
      <c r="BG24" s="92"/>
      <c r="BH24" s="92"/>
      <c r="BI24" s="92"/>
      <c r="BJ24" s="92"/>
      <c r="BK24" s="92"/>
      <c r="BL24" s="92"/>
      <c r="BM24" s="92"/>
      <c r="BN24" s="92"/>
      <c r="BO24" s="92"/>
      <c r="BP24" s="92"/>
      <c r="BQ24" s="92"/>
      <c r="BR24" s="92"/>
      <c r="BS24" s="92"/>
    </row>
    <row r="25" spans="1:71" ht="80.25" customHeight="1" x14ac:dyDescent="0.2">
      <c r="A25" s="587">
        <v>4</v>
      </c>
      <c r="B25" s="588" t="s">
        <v>2505</v>
      </c>
      <c r="C25" s="587">
        <v>23</v>
      </c>
      <c r="D25" s="588" t="s">
        <v>2425</v>
      </c>
      <c r="E25" s="595">
        <v>2302</v>
      </c>
      <c r="F25" s="588" t="s">
        <v>2477</v>
      </c>
      <c r="G25" s="587">
        <v>2302066</v>
      </c>
      <c r="H25" s="588" t="s">
        <v>2518</v>
      </c>
      <c r="I25" s="587">
        <v>2302066</v>
      </c>
      <c r="J25" s="588" t="s">
        <v>2518</v>
      </c>
      <c r="K25" s="587">
        <v>230206600</v>
      </c>
      <c r="L25" s="588" t="s">
        <v>2519</v>
      </c>
      <c r="M25" s="587">
        <v>230206600</v>
      </c>
      <c r="N25" s="588" t="s">
        <v>2519</v>
      </c>
      <c r="O25" s="587">
        <v>60</v>
      </c>
      <c r="P25" s="587"/>
      <c r="Q25" s="587">
        <v>60</v>
      </c>
      <c r="R25" s="589">
        <v>2020003630141</v>
      </c>
      <c r="S25" s="588" t="s">
        <v>2508</v>
      </c>
      <c r="T25" s="590">
        <f>SUM($X$25:$X$25)/SUM($X$23:$X$28)</f>
        <v>0.20689655172413793</v>
      </c>
      <c r="U25" s="591" t="s">
        <v>2509</v>
      </c>
      <c r="V25" s="591" t="s">
        <v>2520</v>
      </c>
      <c r="W25" s="592" t="s">
        <v>2521</v>
      </c>
      <c r="X25" s="579">
        <v>60000000</v>
      </c>
      <c r="Y25" s="579">
        <f>14800000+17200000</f>
        <v>32000000</v>
      </c>
      <c r="Z25" s="579"/>
      <c r="AA25" s="579"/>
      <c r="AB25" s="579">
        <f t="shared" si="1"/>
        <v>28000000</v>
      </c>
      <c r="AC25" s="581" t="s">
        <v>2522</v>
      </c>
      <c r="AD25" s="580"/>
      <c r="AE25" s="581">
        <v>20</v>
      </c>
      <c r="AF25" s="582" t="s">
        <v>97</v>
      </c>
      <c r="AG25" s="594">
        <v>295972</v>
      </c>
      <c r="AH25" s="594">
        <v>294321</v>
      </c>
      <c r="AI25" s="594">
        <v>132302</v>
      </c>
      <c r="AJ25" s="594">
        <v>43426</v>
      </c>
      <c r="AK25" s="594">
        <v>313940</v>
      </c>
      <c r="AL25" s="594">
        <v>100625</v>
      </c>
      <c r="AM25" s="594">
        <v>2145</v>
      </c>
      <c r="AN25" s="594">
        <v>12718</v>
      </c>
      <c r="AO25" s="594">
        <v>36</v>
      </c>
      <c r="AP25" s="594">
        <v>0</v>
      </c>
      <c r="AQ25" s="594">
        <v>0</v>
      </c>
      <c r="AR25" s="594">
        <v>0</v>
      </c>
      <c r="AS25" s="594">
        <v>70</v>
      </c>
      <c r="AT25" s="594">
        <v>21944</v>
      </c>
      <c r="AU25" s="594">
        <v>285</v>
      </c>
      <c r="AV25" s="584">
        <f t="shared" si="0"/>
        <v>590293</v>
      </c>
      <c r="AW25" s="585">
        <v>44928</v>
      </c>
      <c r="AX25" s="585">
        <v>45657</v>
      </c>
      <c r="AY25" s="605" t="s">
        <v>2434</v>
      </c>
      <c r="AZ25" s="92"/>
      <c r="BA25" s="92"/>
      <c r="BB25" s="92"/>
      <c r="BC25" s="92"/>
      <c r="BD25" s="92"/>
      <c r="BE25" s="92"/>
      <c r="BF25" s="92"/>
      <c r="BG25" s="92"/>
      <c r="BH25" s="92"/>
      <c r="BI25" s="92"/>
      <c r="BJ25" s="92"/>
      <c r="BK25" s="92"/>
      <c r="BL25" s="92"/>
      <c r="BM25" s="92"/>
      <c r="BN25" s="92"/>
      <c r="BO25" s="92"/>
      <c r="BP25" s="92"/>
      <c r="BQ25" s="92"/>
      <c r="BR25" s="92"/>
      <c r="BS25" s="92"/>
    </row>
    <row r="26" spans="1:71" ht="80.25" customHeight="1" x14ac:dyDescent="0.2">
      <c r="A26" s="587">
        <v>4</v>
      </c>
      <c r="B26" s="588" t="s">
        <v>2505</v>
      </c>
      <c r="C26" s="587">
        <v>23</v>
      </c>
      <c r="D26" s="588" t="s">
        <v>2425</v>
      </c>
      <c r="E26" s="595">
        <v>2302</v>
      </c>
      <c r="F26" s="588" t="s">
        <v>2477</v>
      </c>
      <c r="G26" s="587">
        <v>2302004</v>
      </c>
      <c r="H26" s="588" t="s">
        <v>2523</v>
      </c>
      <c r="I26" s="587">
        <v>2302004</v>
      </c>
      <c r="J26" s="588" t="s">
        <v>2523</v>
      </c>
      <c r="K26" s="587">
        <v>230200403</v>
      </c>
      <c r="L26" s="588" t="s">
        <v>2524</v>
      </c>
      <c r="M26" s="587">
        <v>230200403</v>
      </c>
      <c r="N26" s="588" t="s">
        <v>2524</v>
      </c>
      <c r="O26" s="587">
        <v>1</v>
      </c>
      <c r="P26" s="587"/>
      <c r="Q26" s="587">
        <v>1</v>
      </c>
      <c r="R26" s="589">
        <v>2020003630141</v>
      </c>
      <c r="S26" s="588" t="s">
        <v>2508</v>
      </c>
      <c r="T26" s="590">
        <f>SUM($X$26:$X$26)/SUM($X$23:$X$28)</f>
        <v>0.1206896551724138</v>
      </c>
      <c r="U26" s="588" t="s">
        <v>2509</v>
      </c>
      <c r="V26" s="588" t="s">
        <v>2525</v>
      </c>
      <c r="W26" s="606" t="s">
        <v>2526</v>
      </c>
      <c r="X26" s="607">
        <v>35000000</v>
      </c>
      <c r="Y26" s="607">
        <f>12000000+12000000</f>
        <v>24000000</v>
      </c>
      <c r="Z26" s="607"/>
      <c r="AA26" s="607"/>
      <c r="AB26" s="579">
        <f t="shared" si="1"/>
        <v>11000000</v>
      </c>
      <c r="AC26" s="602" t="s">
        <v>2527</v>
      </c>
      <c r="AD26" s="608"/>
      <c r="AE26" s="602">
        <v>20</v>
      </c>
      <c r="AF26" s="609" t="s">
        <v>97</v>
      </c>
      <c r="AG26" s="594">
        <v>295972</v>
      </c>
      <c r="AH26" s="594">
        <v>294321</v>
      </c>
      <c r="AI26" s="594">
        <v>132302</v>
      </c>
      <c r="AJ26" s="594">
        <v>43426</v>
      </c>
      <c r="AK26" s="594">
        <v>313940</v>
      </c>
      <c r="AL26" s="594">
        <v>100625</v>
      </c>
      <c r="AM26" s="594">
        <v>2145</v>
      </c>
      <c r="AN26" s="594">
        <v>12718</v>
      </c>
      <c r="AO26" s="594">
        <v>36</v>
      </c>
      <c r="AP26" s="594">
        <v>0</v>
      </c>
      <c r="AQ26" s="594">
        <v>0</v>
      </c>
      <c r="AR26" s="594">
        <v>0</v>
      </c>
      <c r="AS26" s="594">
        <v>70</v>
      </c>
      <c r="AT26" s="594">
        <v>21944</v>
      </c>
      <c r="AU26" s="594">
        <v>285</v>
      </c>
      <c r="AV26" s="583">
        <f t="shared" si="0"/>
        <v>590293</v>
      </c>
      <c r="AW26" s="585">
        <v>44928</v>
      </c>
      <c r="AX26" s="585">
        <v>45657</v>
      </c>
      <c r="AY26" s="605" t="s">
        <v>2434</v>
      </c>
      <c r="AZ26" s="92"/>
      <c r="BA26" s="92"/>
      <c r="BB26" s="92"/>
      <c r="BC26" s="92"/>
      <c r="BD26" s="92"/>
      <c r="BE26" s="92"/>
      <c r="BF26" s="92"/>
      <c r="BG26" s="92"/>
      <c r="BH26" s="92"/>
      <c r="BI26" s="92"/>
      <c r="BJ26" s="92"/>
      <c r="BK26" s="92"/>
      <c r="BL26" s="92"/>
      <c r="BM26" s="92"/>
      <c r="BN26" s="92"/>
      <c r="BO26" s="92"/>
      <c r="BP26" s="92"/>
      <c r="BQ26" s="92"/>
      <c r="BR26" s="92"/>
      <c r="BS26" s="92"/>
    </row>
    <row r="27" spans="1:71" ht="80.25" customHeight="1" x14ac:dyDescent="0.2">
      <c r="A27" s="587">
        <v>4</v>
      </c>
      <c r="B27" s="588" t="s">
        <v>2505</v>
      </c>
      <c r="C27" s="587">
        <v>23</v>
      </c>
      <c r="D27" s="588" t="s">
        <v>2425</v>
      </c>
      <c r="E27" s="595">
        <v>2302</v>
      </c>
      <c r="F27" s="588" t="s">
        <v>2477</v>
      </c>
      <c r="G27" s="587">
        <v>2302007</v>
      </c>
      <c r="H27" s="588" t="s">
        <v>2528</v>
      </c>
      <c r="I27" s="587">
        <v>2302007</v>
      </c>
      <c r="J27" s="588" t="s">
        <v>2528</v>
      </c>
      <c r="K27" s="587">
        <v>230200701</v>
      </c>
      <c r="L27" s="588" t="s">
        <v>2529</v>
      </c>
      <c r="M27" s="587">
        <v>230200701</v>
      </c>
      <c r="N27" s="588" t="s">
        <v>2529</v>
      </c>
      <c r="O27" s="587">
        <v>1</v>
      </c>
      <c r="P27" s="587"/>
      <c r="Q27" s="587">
        <v>1</v>
      </c>
      <c r="R27" s="589">
        <v>2020003630141</v>
      </c>
      <c r="S27" s="588" t="s">
        <v>2508</v>
      </c>
      <c r="T27" s="590">
        <f>SUM($X$27:$X$27)/SUM($X$23:$X$28)</f>
        <v>0.10344827586206896</v>
      </c>
      <c r="U27" s="588" t="s">
        <v>2509</v>
      </c>
      <c r="V27" s="588" t="s">
        <v>2530</v>
      </c>
      <c r="W27" s="606" t="s">
        <v>2531</v>
      </c>
      <c r="X27" s="607">
        <v>30000000</v>
      </c>
      <c r="Y27" s="607">
        <f>7400000+7400000</f>
        <v>14800000</v>
      </c>
      <c r="Z27" s="607"/>
      <c r="AA27" s="607"/>
      <c r="AB27" s="579">
        <f t="shared" si="1"/>
        <v>15200000</v>
      </c>
      <c r="AC27" s="602" t="s">
        <v>2532</v>
      </c>
      <c r="AD27" s="608"/>
      <c r="AE27" s="602">
        <v>20</v>
      </c>
      <c r="AF27" s="609" t="s">
        <v>97</v>
      </c>
      <c r="AG27" s="594">
        <v>295972</v>
      </c>
      <c r="AH27" s="594">
        <v>294321</v>
      </c>
      <c r="AI27" s="594">
        <v>132302</v>
      </c>
      <c r="AJ27" s="594">
        <v>43426</v>
      </c>
      <c r="AK27" s="594">
        <v>313940</v>
      </c>
      <c r="AL27" s="594">
        <v>100625</v>
      </c>
      <c r="AM27" s="594">
        <v>2145</v>
      </c>
      <c r="AN27" s="594">
        <v>12718</v>
      </c>
      <c r="AO27" s="594">
        <v>36</v>
      </c>
      <c r="AP27" s="594">
        <v>0</v>
      </c>
      <c r="AQ27" s="594">
        <v>0</v>
      </c>
      <c r="AR27" s="594">
        <v>0</v>
      </c>
      <c r="AS27" s="594">
        <v>70</v>
      </c>
      <c r="AT27" s="594">
        <v>21944</v>
      </c>
      <c r="AU27" s="594">
        <v>285</v>
      </c>
      <c r="AV27" s="583">
        <f t="shared" si="0"/>
        <v>590293</v>
      </c>
      <c r="AW27" s="610">
        <v>44928</v>
      </c>
      <c r="AX27" s="585">
        <v>45657</v>
      </c>
      <c r="AY27" s="611" t="s">
        <v>2434</v>
      </c>
      <c r="AZ27" s="92"/>
      <c r="BA27" s="92"/>
      <c r="BB27" s="92"/>
      <c r="BC27" s="92"/>
      <c r="BD27" s="92"/>
      <c r="BE27" s="92"/>
      <c r="BF27" s="92"/>
      <c r="BG27" s="92"/>
      <c r="BH27" s="92"/>
      <c r="BI27" s="92"/>
      <c r="BJ27" s="92"/>
      <c r="BK27" s="92"/>
      <c r="BL27" s="92"/>
      <c r="BM27" s="92"/>
      <c r="BN27" s="92"/>
      <c r="BO27" s="92"/>
      <c r="BP27" s="92"/>
      <c r="BQ27" s="92"/>
      <c r="BR27" s="92"/>
      <c r="BS27" s="92"/>
    </row>
    <row r="28" spans="1:71" ht="111" customHeight="1" x14ac:dyDescent="0.2">
      <c r="A28" s="587">
        <v>4</v>
      </c>
      <c r="B28" s="588" t="s">
        <v>2505</v>
      </c>
      <c r="C28" s="587">
        <v>23</v>
      </c>
      <c r="D28" s="588" t="s">
        <v>2425</v>
      </c>
      <c r="E28" s="595">
        <v>2302</v>
      </c>
      <c r="F28" s="588" t="s">
        <v>2477</v>
      </c>
      <c r="G28" s="587">
        <v>2302083</v>
      </c>
      <c r="H28" s="588" t="s">
        <v>180</v>
      </c>
      <c r="I28" s="587">
        <v>2302083</v>
      </c>
      <c r="J28" s="588" t="s">
        <v>180</v>
      </c>
      <c r="K28" s="587">
        <v>230208300</v>
      </c>
      <c r="L28" s="588" t="s">
        <v>1355</v>
      </c>
      <c r="M28" s="587">
        <v>230208300</v>
      </c>
      <c r="N28" s="588" t="s">
        <v>1355</v>
      </c>
      <c r="O28" s="587">
        <v>1</v>
      </c>
      <c r="P28" s="587"/>
      <c r="Q28" s="587">
        <v>1</v>
      </c>
      <c r="R28" s="589">
        <v>2020003630141</v>
      </c>
      <c r="S28" s="588" t="s">
        <v>2508</v>
      </c>
      <c r="T28" s="590">
        <f>SUM($X$28:$X$28)/SUM($X$23:$X$28)</f>
        <v>8.6206896551724144E-2</v>
      </c>
      <c r="U28" s="591" t="s">
        <v>2509</v>
      </c>
      <c r="V28" s="591" t="s">
        <v>2533</v>
      </c>
      <c r="W28" s="592" t="s">
        <v>2534</v>
      </c>
      <c r="X28" s="579">
        <v>25000000</v>
      </c>
      <c r="Y28" s="579">
        <f>7400000+7400000</f>
        <v>14800000</v>
      </c>
      <c r="Z28" s="579"/>
      <c r="AA28" s="579"/>
      <c r="AB28" s="579">
        <f t="shared" si="1"/>
        <v>10200000</v>
      </c>
      <c r="AC28" s="581" t="s">
        <v>2535</v>
      </c>
      <c r="AD28" s="580"/>
      <c r="AE28" s="581">
        <v>20</v>
      </c>
      <c r="AF28" s="582" t="s">
        <v>97</v>
      </c>
      <c r="AG28" s="594">
        <v>295972</v>
      </c>
      <c r="AH28" s="594">
        <v>294321</v>
      </c>
      <c r="AI28" s="594">
        <v>132302</v>
      </c>
      <c r="AJ28" s="594">
        <v>43426</v>
      </c>
      <c r="AK28" s="594">
        <v>313940</v>
      </c>
      <c r="AL28" s="594">
        <v>100625</v>
      </c>
      <c r="AM28" s="594">
        <v>2145</v>
      </c>
      <c r="AN28" s="594">
        <v>12718</v>
      </c>
      <c r="AO28" s="594">
        <v>36</v>
      </c>
      <c r="AP28" s="594">
        <v>0</v>
      </c>
      <c r="AQ28" s="594">
        <v>0</v>
      </c>
      <c r="AR28" s="594">
        <v>0</v>
      </c>
      <c r="AS28" s="594">
        <v>70</v>
      </c>
      <c r="AT28" s="594">
        <v>21944</v>
      </c>
      <c r="AU28" s="594">
        <v>285</v>
      </c>
      <c r="AV28" s="584">
        <f t="shared" si="0"/>
        <v>590293</v>
      </c>
      <c r="AW28" s="612">
        <v>44928</v>
      </c>
      <c r="AX28" s="585">
        <v>45657</v>
      </c>
      <c r="AY28" s="613" t="s">
        <v>2434</v>
      </c>
      <c r="AZ28" s="92"/>
      <c r="BA28" s="92"/>
      <c r="BB28" s="92"/>
      <c r="BC28" s="92"/>
      <c r="BD28" s="92"/>
      <c r="BE28" s="92"/>
      <c r="BF28" s="92"/>
      <c r="BG28" s="92"/>
      <c r="BH28" s="92"/>
      <c r="BI28" s="92"/>
      <c r="BJ28" s="92"/>
      <c r="BK28" s="92"/>
      <c r="BL28" s="92"/>
      <c r="BM28" s="92"/>
      <c r="BN28" s="92"/>
      <c r="BO28" s="92"/>
      <c r="BP28" s="92"/>
      <c r="BQ28" s="92"/>
      <c r="BR28" s="92"/>
      <c r="BS28" s="92"/>
    </row>
    <row r="29" spans="1:71" ht="85.5" customHeight="1" x14ac:dyDescent="0.2">
      <c r="A29" s="587">
        <v>2</v>
      </c>
      <c r="B29" s="588" t="s">
        <v>2536</v>
      </c>
      <c r="C29" s="587">
        <v>39</v>
      </c>
      <c r="D29" s="588" t="s">
        <v>2537</v>
      </c>
      <c r="E29" s="595">
        <v>3903</v>
      </c>
      <c r="F29" s="588" t="s">
        <v>2538</v>
      </c>
      <c r="G29" s="587">
        <v>3903005</v>
      </c>
      <c r="H29" s="588" t="s">
        <v>2539</v>
      </c>
      <c r="I29" s="587">
        <v>3903005</v>
      </c>
      <c r="J29" s="588" t="s">
        <v>2539</v>
      </c>
      <c r="K29" s="589">
        <v>390300501</v>
      </c>
      <c r="L29" s="588" t="s">
        <v>2540</v>
      </c>
      <c r="M29" s="589">
        <v>390300501</v>
      </c>
      <c r="N29" s="588" t="s">
        <v>2540</v>
      </c>
      <c r="O29" s="595">
        <v>1</v>
      </c>
      <c r="P29" s="595"/>
      <c r="Q29" s="595">
        <v>1</v>
      </c>
      <c r="R29" s="589">
        <v>2020003630140</v>
      </c>
      <c r="S29" s="588" t="s">
        <v>2541</v>
      </c>
      <c r="T29" s="614">
        <f>SUM($X$29:$X$31)/SUM($X$29:$X$31)</f>
        <v>1</v>
      </c>
      <c r="U29" s="588" t="s">
        <v>2542</v>
      </c>
      <c r="V29" s="588" t="s">
        <v>2543</v>
      </c>
      <c r="W29" s="606" t="s">
        <v>2544</v>
      </c>
      <c r="X29" s="579">
        <v>35000000</v>
      </c>
      <c r="Y29" s="579"/>
      <c r="Z29" s="579"/>
      <c r="AA29" s="579"/>
      <c r="AB29" s="579">
        <f t="shared" si="1"/>
        <v>35000000</v>
      </c>
      <c r="AC29" s="602" t="s">
        <v>2545</v>
      </c>
      <c r="AD29" s="608"/>
      <c r="AE29" s="602">
        <v>20</v>
      </c>
      <c r="AF29" s="609" t="s">
        <v>97</v>
      </c>
      <c r="AG29" s="594">
        <v>295972</v>
      </c>
      <c r="AH29" s="594">
        <v>294321</v>
      </c>
      <c r="AI29" s="594">
        <v>132302</v>
      </c>
      <c r="AJ29" s="594">
        <v>43426</v>
      </c>
      <c r="AK29" s="594">
        <v>313940</v>
      </c>
      <c r="AL29" s="594">
        <v>100625</v>
      </c>
      <c r="AM29" s="594">
        <v>2145</v>
      </c>
      <c r="AN29" s="594">
        <v>12718</v>
      </c>
      <c r="AO29" s="594">
        <v>36</v>
      </c>
      <c r="AP29" s="594">
        <v>0</v>
      </c>
      <c r="AQ29" s="594">
        <v>0</v>
      </c>
      <c r="AR29" s="594">
        <v>0</v>
      </c>
      <c r="AS29" s="594">
        <v>70</v>
      </c>
      <c r="AT29" s="594">
        <v>21944</v>
      </c>
      <c r="AU29" s="594">
        <v>285</v>
      </c>
      <c r="AV29" s="584">
        <f t="shared" si="0"/>
        <v>590293</v>
      </c>
      <c r="AW29" s="615">
        <v>44927</v>
      </c>
      <c r="AX29" s="585">
        <v>45657</v>
      </c>
      <c r="AY29" s="605" t="s">
        <v>2457</v>
      </c>
      <c r="AZ29" s="89"/>
      <c r="BA29" s="89"/>
      <c r="BB29" s="89"/>
      <c r="BC29" s="89"/>
      <c r="BD29" s="89"/>
      <c r="BE29" s="89"/>
      <c r="BF29" s="89"/>
      <c r="BG29" s="89"/>
      <c r="BH29" s="89"/>
      <c r="BI29" s="89"/>
      <c r="BJ29" s="89"/>
      <c r="BK29" s="89"/>
      <c r="BL29" s="89"/>
      <c r="BM29" s="89"/>
      <c r="BN29" s="89"/>
      <c r="BO29" s="89"/>
      <c r="BP29" s="89"/>
      <c r="BQ29" s="89"/>
      <c r="BR29" s="89"/>
      <c r="BS29" s="89"/>
    </row>
    <row r="30" spans="1:71" ht="102" customHeight="1" x14ac:dyDescent="0.2">
      <c r="A30" s="587">
        <v>2</v>
      </c>
      <c r="B30" s="588" t="s">
        <v>2536</v>
      </c>
      <c r="C30" s="587">
        <v>39</v>
      </c>
      <c r="D30" s="588" t="s">
        <v>2537</v>
      </c>
      <c r="E30" s="595">
        <v>3903</v>
      </c>
      <c r="F30" s="588" t="s">
        <v>2538</v>
      </c>
      <c r="G30" s="587">
        <v>3903005</v>
      </c>
      <c r="H30" s="588" t="s">
        <v>2539</v>
      </c>
      <c r="I30" s="587">
        <v>3903005</v>
      </c>
      <c r="J30" s="588" t="s">
        <v>2539</v>
      </c>
      <c r="K30" s="589">
        <v>390300507</v>
      </c>
      <c r="L30" s="588" t="s">
        <v>2546</v>
      </c>
      <c r="M30" s="589">
        <v>390300507</v>
      </c>
      <c r="N30" s="588" t="s">
        <v>2546</v>
      </c>
      <c r="O30" s="595">
        <v>80</v>
      </c>
      <c r="P30" s="595"/>
      <c r="Q30" s="595">
        <v>80</v>
      </c>
      <c r="R30" s="589">
        <v>2020003630140</v>
      </c>
      <c r="S30" s="588" t="s">
        <v>2541</v>
      </c>
      <c r="T30" s="614">
        <f>SUM($X$29:$X$31)/SUM($X$29:$X$31)</f>
        <v>1</v>
      </c>
      <c r="U30" s="588" t="s">
        <v>2542</v>
      </c>
      <c r="V30" s="588" t="s">
        <v>2543</v>
      </c>
      <c r="W30" s="606" t="s">
        <v>2547</v>
      </c>
      <c r="X30" s="579">
        <v>30000000</v>
      </c>
      <c r="Y30" s="579"/>
      <c r="Z30" s="579"/>
      <c r="AA30" s="579"/>
      <c r="AB30" s="579">
        <f t="shared" si="1"/>
        <v>30000000</v>
      </c>
      <c r="AC30" s="602" t="s">
        <v>2548</v>
      </c>
      <c r="AD30" s="608"/>
      <c r="AE30" s="602">
        <v>20</v>
      </c>
      <c r="AF30" s="609" t="s">
        <v>97</v>
      </c>
      <c r="AG30" s="594">
        <v>295972</v>
      </c>
      <c r="AH30" s="594">
        <v>294321</v>
      </c>
      <c r="AI30" s="594">
        <v>132302</v>
      </c>
      <c r="AJ30" s="594">
        <v>43426</v>
      </c>
      <c r="AK30" s="594">
        <v>313940</v>
      </c>
      <c r="AL30" s="594">
        <v>100625</v>
      </c>
      <c r="AM30" s="594">
        <v>2145</v>
      </c>
      <c r="AN30" s="594">
        <v>12718</v>
      </c>
      <c r="AO30" s="594">
        <v>36</v>
      </c>
      <c r="AP30" s="594">
        <v>0</v>
      </c>
      <c r="AQ30" s="594">
        <v>0</v>
      </c>
      <c r="AR30" s="594">
        <v>0</v>
      </c>
      <c r="AS30" s="594">
        <v>70</v>
      </c>
      <c r="AT30" s="594">
        <v>21944</v>
      </c>
      <c r="AU30" s="594">
        <v>285</v>
      </c>
      <c r="AV30" s="584">
        <f t="shared" si="0"/>
        <v>590293</v>
      </c>
      <c r="AW30" s="615">
        <v>44927</v>
      </c>
      <c r="AX30" s="585">
        <v>45657</v>
      </c>
      <c r="AY30" s="605" t="s">
        <v>2457</v>
      </c>
      <c r="AZ30" s="89"/>
      <c r="BA30" s="89"/>
      <c r="BB30" s="89"/>
      <c r="BC30" s="89"/>
      <c r="BD30" s="89"/>
      <c r="BE30" s="89"/>
      <c r="BF30" s="89"/>
      <c r="BG30" s="89"/>
      <c r="BH30" s="89"/>
      <c r="BI30" s="89"/>
      <c r="BJ30" s="89"/>
      <c r="BK30" s="89"/>
      <c r="BL30" s="89"/>
      <c r="BM30" s="89"/>
      <c r="BN30" s="89"/>
      <c r="BO30" s="89"/>
      <c r="BP30" s="89"/>
      <c r="BQ30" s="89"/>
      <c r="BR30" s="89"/>
      <c r="BS30" s="89"/>
    </row>
    <row r="31" spans="1:71" ht="84.75" customHeight="1" x14ac:dyDescent="0.2">
      <c r="A31" s="587">
        <v>2</v>
      </c>
      <c r="B31" s="588" t="s">
        <v>2536</v>
      </c>
      <c r="C31" s="587">
        <v>39</v>
      </c>
      <c r="D31" s="588" t="s">
        <v>2537</v>
      </c>
      <c r="E31" s="595">
        <v>3903</v>
      </c>
      <c r="F31" s="588" t="s">
        <v>2538</v>
      </c>
      <c r="G31" s="587">
        <v>3903005</v>
      </c>
      <c r="H31" s="588" t="s">
        <v>2539</v>
      </c>
      <c r="I31" s="587">
        <v>3903005</v>
      </c>
      <c r="J31" s="588" t="s">
        <v>2539</v>
      </c>
      <c r="K31" s="589">
        <v>390300511</v>
      </c>
      <c r="L31" s="588" t="s">
        <v>2549</v>
      </c>
      <c r="M31" s="589">
        <v>390300511</v>
      </c>
      <c r="N31" s="588" t="s">
        <v>2549</v>
      </c>
      <c r="O31" s="595">
        <v>80</v>
      </c>
      <c r="P31" s="595"/>
      <c r="Q31" s="595">
        <v>80</v>
      </c>
      <c r="R31" s="589">
        <v>2020003630140</v>
      </c>
      <c r="S31" s="588" t="s">
        <v>2541</v>
      </c>
      <c r="T31" s="614">
        <f>SUM($X$29:$X$31)/SUM($X$29:$X$31)</f>
        <v>1</v>
      </c>
      <c r="U31" s="588" t="s">
        <v>2542</v>
      </c>
      <c r="V31" s="588" t="s">
        <v>2543</v>
      </c>
      <c r="W31" s="606" t="s">
        <v>2550</v>
      </c>
      <c r="X31" s="579">
        <v>30000000</v>
      </c>
      <c r="Y31" s="579"/>
      <c r="Z31" s="579"/>
      <c r="AA31" s="579"/>
      <c r="AB31" s="579">
        <f t="shared" si="1"/>
        <v>30000000</v>
      </c>
      <c r="AC31" s="602" t="s">
        <v>2548</v>
      </c>
      <c r="AD31" s="608"/>
      <c r="AE31" s="602">
        <v>20</v>
      </c>
      <c r="AF31" s="609" t="s">
        <v>97</v>
      </c>
      <c r="AG31" s="594">
        <v>295972</v>
      </c>
      <c r="AH31" s="594">
        <v>294321</v>
      </c>
      <c r="AI31" s="594">
        <v>132302</v>
      </c>
      <c r="AJ31" s="594">
        <v>43426</v>
      </c>
      <c r="AK31" s="594">
        <v>313940</v>
      </c>
      <c r="AL31" s="594">
        <v>100625</v>
      </c>
      <c r="AM31" s="594">
        <v>2145</v>
      </c>
      <c r="AN31" s="594">
        <v>12718</v>
      </c>
      <c r="AO31" s="594">
        <v>36</v>
      </c>
      <c r="AP31" s="594">
        <v>0</v>
      </c>
      <c r="AQ31" s="594">
        <v>0</v>
      </c>
      <c r="AR31" s="594">
        <v>0</v>
      </c>
      <c r="AS31" s="594">
        <v>70</v>
      </c>
      <c r="AT31" s="594">
        <v>21944</v>
      </c>
      <c r="AU31" s="594">
        <v>285</v>
      </c>
      <c r="AV31" s="584">
        <f t="shared" si="0"/>
        <v>590293</v>
      </c>
      <c r="AW31" s="615">
        <v>44927</v>
      </c>
      <c r="AX31" s="585">
        <v>45657</v>
      </c>
      <c r="AY31" s="605" t="s">
        <v>2457</v>
      </c>
      <c r="AZ31" s="89"/>
      <c r="BA31" s="89"/>
      <c r="BB31" s="89"/>
      <c r="BC31" s="89"/>
      <c r="BD31" s="89"/>
      <c r="BE31" s="89"/>
      <c r="BF31" s="89"/>
      <c r="BG31" s="89"/>
      <c r="BH31" s="89"/>
      <c r="BI31" s="89"/>
      <c r="BJ31" s="89"/>
      <c r="BK31" s="89"/>
      <c r="BL31" s="89"/>
      <c r="BM31" s="89"/>
      <c r="BN31" s="89"/>
      <c r="BO31" s="89"/>
      <c r="BP31" s="89"/>
      <c r="BQ31" s="89"/>
      <c r="BR31" s="89"/>
      <c r="BS31" s="89"/>
    </row>
    <row r="32" spans="1:71" ht="124.5" customHeight="1" x14ac:dyDescent="0.2">
      <c r="A32" s="587">
        <v>2</v>
      </c>
      <c r="B32" s="588" t="s">
        <v>2536</v>
      </c>
      <c r="C32" s="587">
        <v>39</v>
      </c>
      <c r="D32" s="588" t="s">
        <v>2537</v>
      </c>
      <c r="E32" s="595">
        <v>3904</v>
      </c>
      <c r="F32" s="588" t="s">
        <v>2551</v>
      </c>
      <c r="G32" s="587">
        <v>3904018</v>
      </c>
      <c r="H32" s="588" t="s">
        <v>2552</v>
      </c>
      <c r="I32" s="587">
        <v>3904018</v>
      </c>
      <c r="J32" s="588" t="s">
        <v>2552</v>
      </c>
      <c r="K32" s="587">
        <v>390401809</v>
      </c>
      <c r="L32" s="588" t="s">
        <v>2553</v>
      </c>
      <c r="M32" s="587">
        <v>390401809</v>
      </c>
      <c r="N32" s="588" t="s">
        <v>2553</v>
      </c>
      <c r="O32" s="595">
        <v>7</v>
      </c>
      <c r="P32" s="595"/>
      <c r="Q32" s="595">
        <v>7</v>
      </c>
      <c r="R32" s="589">
        <v>2020003630040</v>
      </c>
      <c r="S32" s="588" t="s">
        <v>2554</v>
      </c>
      <c r="T32" s="614">
        <f>SUM($X$32:$X$32)/SUM($X$32:$X$32)</f>
        <v>1</v>
      </c>
      <c r="U32" s="591" t="s">
        <v>2555</v>
      </c>
      <c r="V32" s="591" t="s">
        <v>2556</v>
      </c>
      <c r="W32" s="592" t="s">
        <v>2557</v>
      </c>
      <c r="X32" s="579">
        <v>25000000</v>
      </c>
      <c r="Y32" s="579"/>
      <c r="Z32" s="579"/>
      <c r="AA32" s="579"/>
      <c r="AB32" s="579">
        <f t="shared" si="1"/>
        <v>25000000</v>
      </c>
      <c r="AC32" s="581" t="s">
        <v>2558</v>
      </c>
      <c r="AD32" s="580"/>
      <c r="AE32" s="581">
        <v>20</v>
      </c>
      <c r="AF32" s="582" t="s">
        <v>97</v>
      </c>
      <c r="AG32" s="616">
        <v>295972</v>
      </c>
      <c r="AH32" s="617">
        <v>294321</v>
      </c>
      <c r="AI32" s="594">
        <v>132302</v>
      </c>
      <c r="AJ32" s="594">
        <v>43426</v>
      </c>
      <c r="AK32" s="594">
        <v>313940</v>
      </c>
      <c r="AL32" s="594">
        <v>100625</v>
      </c>
      <c r="AM32" s="594">
        <v>2145</v>
      </c>
      <c r="AN32" s="594">
        <v>12718</v>
      </c>
      <c r="AO32" s="594">
        <v>36</v>
      </c>
      <c r="AP32" s="594">
        <v>0</v>
      </c>
      <c r="AQ32" s="594">
        <v>0</v>
      </c>
      <c r="AR32" s="594">
        <v>0</v>
      </c>
      <c r="AS32" s="594">
        <v>70</v>
      </c>
      <c r="AT32" s="594">
        <v>21944</v>
      </c>
      <c r="AU32" s="594">
        <v>285</v>
      </c>
      <c r="AV32" s="584">
        <f t="shared" si="0"/>
        <v>590293</v>
      </c>
      <c r="AW32" s="585">
        <v>44928</v>
      </c>
      <c r="AX32" s="585">
        <v>45657</v>
      </c>
      <c r="AY32" s="588" t="s">
        <v>2457</v>
      </c>
      <c r="AZ32" s="89"/>
      <c r="BA32" s="89"/>
      <c r="BB32" s="89"/>
      <c r="BC32" s="89"/>
      <c r="BD32" s="89"/>
      <c r="BE32" s="89"/>
      <c r="BF32" s="89"/>
      <c r="BG32" s="89"/>
      <c r="BH32" s="89"/>
      <c r="BI32" s="89"/>
      <c r="BJ32" s="89"/>
      <c r="BK32" s="89"/>
      <c r="BL32" s="89"/>
      <c r="BM32" s="89"/>
      <c r="BN32" s="89"/>
      <c r="BO32" s="89"/>
      <c r="BP32" s="89"/>
      <c r="BQ32" s="89"/>
      <c r="BR32" s="89"/>
      <c r="BS32" s="89"/>
    </row>
    <row r="33" spans="1:71" ht="27" customHeight="1" x14ac:dyDescent="0.2">
      <c r="A33" s="618"/>
      <c r="B33" s="619"/>
      <c r="C33" s="619"/>
      <c r="D33" s="619"/>
      <c r="E33" s="619"/>
      <c r="F33" s="619"/>
      <c r="G33" s="619"/>
      <c r="H33" s="619"/>
      <c r="I33" s="619"/>
      <c r="J33" s="619"/>
      <c r="K33" s="619"/>
      <c r="L33" s="619"/>
      <c r="M33" s="619"/>
      <c r="N33" s="619"/>
      <c r="O33" s="619"/>
      <c r="P33" s="619"/>
      <c r="Q33" s="619"/>
      <c r="R33" s="618"/>
      <c r="S33" s="619"/>
      <c r="T33" s="620"/>
      <c r="U33" s="619"/>
      <c r="V33" s="621"/>
      <c r="W33" s="622" t="s">
        <v>526</v>
      </c>
      <c r="X33" s="623">
        <f>SUM(X9:X32)</f>
        <v>1284521994.78</v>
      </c>
      <c r="Y33" s="623">
        <f>SUM(Y9:Y32)</f>
        <v>241600000</v>
      </c>
      <c r="Z33" s="623">
        <f>SUM(Z9:Z32)</f>
        <v>0</v>
      </c>
      <c r="AA33" s="623">
        <f>SUM(AA9:AA32)</f>
        <v>0</v>
      </c>
      <c r="AB33" s="623">
        <f>SUM(AB9:AB32)</f>
        <v>1042921994.78</v>
      </c>
      <c r="AC33" s="624"/>
      <c r="AD33" s="625"/>
      <c r="AE33" s="626"/>
      <c r="AF33" s="627"/>
      <c r="AG33" s="627"/>
      <c r="AH33" s="627"/>
      <c r="AI33" s="619"/>
      <c r="AJ33" s="619"/>
      <c r="AK33" s="619"/>
      <c r="AL33" s="619"/>
      <c r="AM33" s="619"/>
      <c r="AN33" s="619"/>
      <c r="AO33" s="619"/>
      <c r="AP33" s="619"/>
      <c r="AQ33" s="619"/>
      <c r="AR33" s="619"/>
      <c r="AS33" s="619"/>
      <c r="AT33" s="619"/>
      <c r="AU33" s="619"/>
      <c r="AV33" s="619"/>
      <c r="AW33" s="628"/>
      <c r="AX33" s="628"/>
      <c r="AY33" s="619"/>
      <c r="AZ33" s="89"/>
      <c r="BA33" s="89"/>
      <c r="BB33" s="89"/>
      <c r="BC33" s="89"/>
      <c r="BD33" s="89"/>
      <c r="BE33" s="89"/>
      <c r="BF33" s="89"/>
      <c r="BG33" s="89"/>
      <c r="BH33" s="89"/>
      <c r="BI33" s="89"/>
      <c r="BJ33" s="89"/>
      <c r="BK33" s="89"/>
      <c r="BL33" s="89"/>
      <c r="BM33" s="89"/>
      <c r="BN33" s="89"/>
      <c r="BO33" s="89"/>
      <c r="BP33" s="89"/>
      <c r="BQ33" s="89"/>
      <c r="BR33" s="89"/>
      <c r="BS33" s="89"/>
    </row>
    <row r="34" spans="1:71" ht="27" customHeight="1" x14ac:dyDescent="0.2">
      <c r="A34" s="93"/>
      <c r="B34" s="89"/>
      <c r="C34" s="89"/>
      <c r="D34" s="89"/>
      <c r="E34" s="89"/>
      <c r="F34" s="89"/>
      <c r="G34" s="89"/>
      <c r="H34" s="94"/>
      <c r="I34" s="94"/>
      <c r="J34" s="94"/>
      <c r="K34" s="94"/>
      <c r="L34" s="94"/>
      <c r="M34" s="94"/>
      <c r="N34" s="94"/>
      <c r="O34" s="94"/>
      <c r="P34" s="94"/>
      <c r="Q34" s="94"/>
      <c r="R34" s="95"/>
      <c r="S34" s="94"/>
      <c r="T34" s="96"/>
      <c r="U34" s="94"/>
      <c r="V34" s="97"/>
      <c r="W34" s="94"/>
      <c r="X34" s="98"/>
      <c r="Y34" s="98"/>
      <c r="Z34" s="98"/>
      <c r="AA34" s="98"/>
      <c r="AB34" s="98"/>
      <c r="AC34" s="97"/>
      <c r="AD34" s="99"/>
      <c r="AE34" s="95"/>
      <c r="AF34" s="94"/>
      <c r="AG34" s="89"/>
      <c r="AH34" s="89"/>
      <c r="AI34" s="89"/>
      <c r="AJ34" s="89"/>
      <c r="AK34" s="89"/>
      <c r="AL34" s="89"/>
      <c r="AM34" s="89"/>
      <c r="AN34" s="89"/>
      <c r="AO34" s="89"/>
      <c r="AP34" s="89"/>
      <c r="AQ34" s="89"/>
      <c r="AR34" s="89"/>
      <c r="AS34" s="89"/>
      <c r="AT34" s="89"/>
      <c r="AU34" s="89"/>
      <c r="AV34" s="89"/>
      <c r="AW34" s="100"/>
      <c r="AX34" s="100"/>
      <c r="AY34" s="89"/>
      <c r="AZ34" s="89"/>
      <c r="BA34" s="89"/>
      <c r="BB34" s="89"/>
      <c r="BC34" s="89"/>
      <c r="BD34" s="89"/>
      <c r="BE34" s="89"/>
      <c r="BF34" s="89"/>
      <c r="BG34" s="89"/>
      <c r="BH34" s="89"/>
      <c r="BI34" s="89"/>
      <c r="BJ34" s="89"/>
      <c r="BK34" s="89"/>
      <c r="BL34" s="89"/>
      <c r="BM34" s="89"/>
      <c r="BN34" s="89"/>
      <c r="BO34" s="89"/>
      <c r="BP34" s="89"/>
      <c r="BQ34" s="89"/>
      <c r="BR34" s="89"/>
      <c r="BS34" s="89"/>
    </row>
    <row r="35" spans="1:71" ht="27" customHeight="1" x14ac:dyDescent="0.2">
      <c r="A35" s="93"/>
      <c r="B35" s="89"/>
      <c r="C35" s="89"/>
      <c r="D35" s="89"/>
      <c r="E35" s="89"/>
      <c r="F35" s="89"/>
      <c r="G35" s="89"/>
      <c r="H35" s="94"/>
      <c r="I35" s="94"/>
      <c r="J35" s="94"/>
      <c r="K35" s="94"/>
      <c r="L35" s="94"/>
      <c r="M35" s="94"/>
      <c r="N35" s="94"/>
      <c r="O35" s="94"/>
      <c r="P35" s="94"/>
      <c r="Q35" s="94"/>
      <c r="R35" s="95"/>
      <c r="S35" s="94"/>
      <c r="T35" s="96"/>
      <c r="U35" s="94"/>
      <c r="V35" s="97"/>
      <c r="W35" s="94"/>
      <c r="X35" s="98"/>
      <c r="Y35" s="98"/>
      <c r="Z35" s="98"/>
      <c r="AA35" s="98"/>
      <c r="AB35" s="98"/>
      <c r="AC35" s="97"/>
      <c r="AD35" s="99"/>
      <c r="AE35" s="95"/>
      <c r="AF35" s="94"/>
      <c r="AG35" s="89"/>
      <c r="AH35" s="89"/>
      <c r="AI35" s="89"/>
      <c r="AJ35" s="89"/>
      <c r="AK35" s="89"/>
      <c r="AL35" s="89"/>
      <c r="AM35" s="89"/>
      <c r="AN35" s="89"/>
      <c r="AO35" s="89"/>
      <c r="AP35" s="89"/>
      <c r="AQ35" s="89"/>
      <c r="AR35" s="89"/>
      <c r="AS35" s="89"/>
      <c r="AT35" s="89"/>
      <c r="AU35" s="89"/>
      <c r="AV35" s="89"/>
      <c r="AW35" s="100"/>
      <c r="AX35" s="100"/>
      <c r="AY35" s="89"/>
      <c r="AZ35" s="89"/>
      <c r="BA35" s="89"/>
      <c r="BB35" s="89"/>
      <c r="BC35" s="89"/>
      <c r="BD35" s="89"/>
      <c r="BE35" s="89"/>
      <c r="BF35" s="89"/>
      <c r="BG35" s="89"/>
      <c r="BH35" s="89"/>
      <c r="BI35" s="89"/>
      <c r="BJ35" s="89"/>
      <c r="BK35" s="89"/>
      <c r="BL35" s="89"/>
      <c r="BM35" s="89"/>
      <c r="BN35" s="89"/>
      <c r="BO35" s="89"/>
      <c r="BP35" s="89"/>
      <c r="BQ35" s="89"/>
      <c r="BR35" s="89"/>
      <c r="BS35" s="89"/>
    </row>
    <row r="36" spans="1:71" ht="27" customHeight="1" x14ac:dyDescent="0.2">
      <c r="A36" s="93"/>
      <c r="B36" s="89"/>
      <c r="C36" s="89"/>
      <c r="D36" s="89"/>
      <c r="E36" s="89"/>
      <c r="F36" s="101"/>
      <c r="G36" s="89"/>
      <c r="H36" s="94"/>
      <c r="I36" s="94"/>
      <c r="J36" s="94"/>
      <c r="K36" s="94"/>
      <c r="L36" s="94"/>
      <c r="M36" s="94"/>
      <c r="N36" s="94"/>
      <c r="O36" s="94"/>
      <c r="P36" s="94"/>
      <c r="Q36" s="94"/>
      <c r="R36" s="95"/>
      <c r="S36" s="94"/>
      <c r="T36" s="96"/>
      <c r="U36" s="94"/>
      <c r="V36" s="97"/>
      <c r="W36" s="94"/>
      <c r="X36" s="98"/>
      <c r="Y36" s="98"/>
      <c r="Z36" s="98"/>
      <c r="AA36" s="98"/>
      <c r="AB36" s="98"/>
      <c r="AC36" s="97"/>
      <c r="AD36" s="99"/>
      <c r="AE36" s="95"/>
      <c r="AF36" s="94"/>
      <c r="AG36" s="89"/>
      <c r="AH36" s="89"/>
      <c r="AI36" s="89"/>
      <c r="AJ36" s="89"/>
      <c r="AK36" s="89"/>
      <c r="AL36" s="89"/>
      <c r="AM36" s="89"/>
      <c r="AN36" s="89"/>
      <c r="AO36" s="89"/>
      <c r="AP36" s="89"/>
      <c r="AQ36" s="89"/>
      <c r="AR36" s="89"/>
      <c r="AS36" s="89"/>
      <c r="AT36" s="89"/>
      <c r="AU36" s="89"/>
      <c r="AV36" s="89"/>
      <c r="AW36" s="100"/>
      <c r="AX36" s="100"/>
      <c r="AY36" s="89"/>
      <c r="AZ36" s="89"/>
      <c r="BA36" s="89"/>
      <c r="BB36" s="89"/>
      <c r="BC36" s="89"/>
      <c r="BD36" s="89"/>
      <c r="BE36" s="89"/>
      <c r="BF36" s="89"/>
      <c r="BG36" s="89"/>
      <c r="BH36" s="89"/>
      <c r="BI36" s="89"/>
      <c r="BJ36" s="89"/>
      <c r="BK36" s="89"/>
      <c r="BL36" s="89"/>
      <c r="BM36" s="89"/>
      <c r="BN36" s="89"/>
      <c r="BO36" s="89"/>
      <c r="BP36" s="89"/>
      <c r="BQ36" s="89"/>
      <c r="BR36" s="89"/>
      <c r="BS36" s="89"/>
    </row>
    <row r="37" spans="1:71" ht="27" customHeight="1" x14ac:dyDescent="0.2">
      <c r="A37" s="93"/>
      <c r="B37" s="89"/>
      <c r="C37" s="89"/>
      <c r="D37" s="89"/>
      <c r="E37" s="89"/>
      <c r="F37" s="560" t="s">
        <v>2559</v>
      </c>
      <c r="G37" s="89"/>
      <c r="H37" s="94"/>
      <c r="I37" s="94"/>
      <c r="J37" s="94"/>
      <c r="K37" s="94"/>
      <c r="L37" s="94"/>
      <c r="M37" s="94"/>
      <c r="N37" s="94"/>
      <c r="O37" s="94"/>
      <c r="P37" s="94"/>
      <c r="Q37" s="94"/>
      <c r="R37" s="95"/>
      <c r="S37" s="94"/>
      <c r="T37" s="96"/>
      <c r="U37" s="94"/>
      <c r="V37" s="97"/>
      <c r="W37" s="94"/>
      <c r="X37" s="98"/>
      <c r="Y37" s="98"/>
      <c r="Z37" s="98"/>
      <c r="AA37" s="98"/>
      <c r="AB37" s="98"/>
      <c r="AC37" s="97"/>
      <c r="AD37" s="99"/>
      <c r="AE37" s="95"/>
      <c r="AF37" s="94"/>
      <c r="AG37" s="89"/>
      <c r="AH37" s="89"/>
      <c r="AI37" s="89"/>
      <c r="AJ37" s="89"/>
      <c r="AK37" s="89"/>
      <c r="AL37" s="89"/>
      <c r="AM37" s="89"/>
      <c r="AN37" s="89"/>
      <c r="AO37" s="89"/>
      <c r="AP37" s="89"/>
      <c r="AQ37" s="89"/>
      <c r="AR37" s="89"/>
      <c r="AS37" s="89"/>
      <c r="AT37" s="89"/>
      <c r="AU37" s="89"/>
      <c r="AV37" s="89"/>
      <c r="AW37" s="100"/>
      <c r="AX37" s="100"/>
      <c r="AY37" s="89"/>
      <c r="AZ37" s="89"/>
      <c r="BA37" s="89"/>
      <c r="BB37" s="89"/>
      <c r="BC37" s="89"/>
      <c r="BD37" s="89"/>
      <c r="BE37" s="89"/>
      <c r="BF37" s="89"/>
      <c r="BG37" s="89"/>
      <c r="BH37" s="89"/>
      <c r="BI37" s="89"/>
      <c r="BJ37" s="89"/>
      <c r="BK37" s="89"/>
      <c r="BL37" s="89"/>
      <c r="BM37" s="89"/>
      <c r="BN37" s="89"/>
      <c r="BO37" s="89"/>
      <c r="BP37" s="89"/>
      <c r="BQ37" s="89"/>
      <c r="BR37" s="89"/>
      <c r="BS37" s="89"/>
    </row>
    <row r="38" spans="1:71" ht="27" customHeight="1" x14ac:dyDescent="0.2">
      <c r="A38" s="93"/>
      <c r="B38" s="89"/>
      <c r="C38" s="89"/>
      <c r="D38" s="89"/>
      <c r="E38" s="89"/>
      <c r="F38" s="89" t="s">
        <v>2560</v>
      </c>
      <c r="G38" s="89"/>
      <c r="H38" s="94"/>
      <c r="I38" s="94"/>
      <c r="J38" s="94"/>
      <c r="K38" s="94"/>
      <c r="L38" s="94"/>
      <c r="M38" s="94"/>
      <c r="N38" s="94"/>
      <c r="O38" s="94"/>
      <c r="P38" s="94"/>
      <c r="Q38" s="94"/>
      <c r="R38" s="95"/>
      <c r="S38" s="94"/>
      <c r="T38" s="96"/>
      <c r="U38" s="94"/>
      <c r="V38" s="97"/>
      <c r="W38" s="94"/>
      <c r="X38" s="98"/>
      <c r="Y38" s="98"/>
      <c r="Z38" s="98"/>
      <c r="AA38" s="98"/>
      <c r="AB38" s="98"/>
      <c r="AC38" s="97"/>
      <c r="AD38" s="99"/>
      <c r="AE38" s="95"/>
      <c r="AF38" s="94"/>
      <c r="AG38" s="89"/>
      <c r="AH38" s="89"/>
      <c r="AI38" s="89"/>
      <c r="AJ38" s="89"/>
      <c r="AK38" s="89"/>
      <c r="AL38" s="89"/>
      <c r="AM38" s="89"/>
      <c r="AN38" s="89"/>
      <c r="AO38" s="89"/>
      <c r="AP38" s="89"/>
      <c r="AQ38" s="89"/>
      <c r="AR38" s="89"/>
      <c r="AS38" s="89"/>
      <c r="AT38" s="89"/>
      <c r="AU38" s="89"/>
      <c r="AV38" s="89"/>
      <c r="AW38" s="100"/>
      <c r="AX38" s="100"/>
      <c r="AY38" s="89"/>
      <c r="AZ38" s="89"/>
      <c r="BA38" s="89"/>
      <c r="BB38" s="89"/>
      <c r="BC38" s="89"/>
      <c r="BD38" s="89"/>
      <c r="BE38" s="89"/>
      <c r="BF38" s="89"/>
      <c r="BG38" s="89"/>
      <c r="BH38" s="89"/>
      <c r="BI38" s="89"/>
      <c r="BJ38" s="89"/>
      <c r="BK38" s="89"/>
      <c r="BL38" s="89"/>
      <c r="BM38" s="89"/>
      <c r="BN38" s="89"/>
      <c r="BO38" s="89"/>
      <c r="BP38" s="89"/>
      <c r="BQ38" s="89"/>
      <c r="BR38" s="89"/>
      <c r="BS38" s="89"/>
    </row>
    <row r="39" spans="1:71" ht="27" customHeight="1" x14ac:dyDescent="0.2">
      <c r="A39" s="93"/>
      <c r="B39" s="89"/>
      <c r="C39" s="89"/>
      <c r="D39" s="89"/>
      <c r="E39" s="89"/>
      <c r="F39" s="89"/>
      <c r="G39" s="89"/>
      <c r="H39" s="94"/>
      <c r="I39" s="94"/>
      <c r="J39" s="94"/>
      <c r="K39" s="94"/>
      <c r="L39" s="94"/>
      <c r="M39" s="94"/>
      <c r="N39" s="94"/>
      <c r="O39" s="94"/>
      <c r="P39" s="94"/>
      <c r="Q39" s="94"/>
      <c r="R39" s="95"/>
      <c r="S39" s="94"/>
      <c r="T39" s="96"/>
      <c r="U39" s="94"/>
      <c r="V39" s="97"/>
      <c r="W39" s="94"/>
      <c r="X39" s="98"/>
      <c r="Y39" s="98"/>
      <c r="Z39" s="98"/>
      <c r="AA39" s="98"/>
      <c r="AB39" s="98"/>
      <c r="AC39" s="97"/>
      <c r="AD39" s="99"/>
      <c r="AE39" s="95"/>
      <c r="AF39" s="94"/>
      <c r="AG39" s="89"/>
      <c r="AH39" s="89"/>
      <c r="AI39" s="89"/>
      <c r="AJ39" s="89"/>
      <c r="AK39" s="89"/>
      <c r="AL39" s="89"/>
      <c r="AM39" s="89"/>
      <c r="AN39" s="89"/>
      <c r="AO39" s="89"/>
      <c r="AP39" s="89"/>
      <c r="AQ39" s="89"/>
      <c r="AR39" s="89"/>
      <c r="AS39" s="89"/>
      <c r="AT39" s="89"/>
      <c r="AU39" s="89"/>
      <c r="AV39" s="89"/>
      <c r="AW39" s="100"/>
      <c r="AX39" s="100"/>
      <c r="AY39" s="89"/>
      <c r="AZ39" s="89"/>
      <c r="BA39" s="89"/>
      <c r="BB39" s="89"/>
      <c r="BC39" s="89"/>
      <c r="BD39" s="89"/>
      <c r="BE39" s="89"/>
      <c r="BF39" s="89"/>
      <c r="BG39" s="89"/>
      <c r="BH39" s="89"/>
      <c r="BI39" s="89"/>
      <c r="BJ39" s="89"/>
      <c r="BK39" s="89"/>
      <c r="BL39" s="89"/>
      <c r="BM39" s="89"/>
      <c r="BN39" s="89"/>
      <c r="BO39" s="89"/>
      <c r="BP39" s="89"/>
      <c r="BQ39" s="89"/>
      <c r="BR39" s="89"/>
      <c r="BS39" s="89"/>
    </row>
    <row r="40" spans="1:71" ht="27" customHeight="1" x14ac:dyDescent="0.2">
      <c r="A40" s="93"/>
      <c r="B40" s="89"/>
      <c r="C40" s="89"/>
      <c r="D40" s="89"/>
      <c r="E40" s="89"/>
      <c r="F40" s="89"/>
      <c r="G40" s="89"/>
      <c r="H40" s="94"/>
      <c r="I40" s="94"/>
      <c r="J40" s="94"/>
      <c r="K40" s="94"/>
      <c r="L40" s="94"/>
      <c r="M40" s="94"/>
      <c r="N40" s="94"/>
      <c r="O40" s="94"/>
      <c r="P40" s="94"/>
      <c r="Q40" s="94"/>
      <c r="R40" s="95"/>
      <c r="S40" s="94"/>
      <c r="T40" s="96"/>
      <c r="U40" s="94"/>
      <c r="V40" s="97"/>
      <c r="W40" s="94"/>
      <c r="X40" s="98"/>
      <c r="Y40" s="98"/>
      <c r="Z40" s="98"/>
      <c r="AA40" s="98"/>
      <c r="AB40" s="98"/>
      <c r="AC40" s="97"/>
      <c r="AD40" s="99"/>
      <c r="AE40" s="95"/>
      <c r="AF40" s="94"/>
      <c r="AG40" s="89"/>
      <c r="AH40" s="89"/>
      <c r="AI40" s="89"/>
      <c r="AJ40" s="89"/>
      <c r="AK40" s="89"/>
      <c r="AL40" s="89"/>
      <c r="AM40" s="89"/>
      <c r="AN40" s="89"/>
      <c r="AO40" s="89"/>
      <c r="AP40" s="89"/>
      <c r="AQ40" s="89"/>
      <c r="AR40" s="89"/>
      <c r="AS40" s="89"/>
      <c r="AT40" s="89"/>
      <c r="AU40" s="89"/>
      <c r="AV40" s="89"/>
      <c r="AW40" s="100"/>
      <c r="AX40" s="100"/>
      <c r="AY40" s="89"/>
      <c r="AZ40" s="89"/>
      <c r="BA40" s="89"/>
      <c r="BB40" s="89"/>
      <c r="BC40" s="89"/>
      <c r="BD40" s="89"/>
      <c r="BE40" s="89"/>
      <c r="BF40" s="89"/>
      <c r="BG40" s="89"/>
      <c r="BH40" s="89"/>
      <c r="BI40" s="89"/>
      <c r="BJ40" s="89"/>
      <c r="BK40" s="89"/>
      <c r="BL40" s="89"/>
      <c r="BM40" s="89"/>
      <c r="BN40" s="89"/>
      <c r="BO40" s="89"/>
      <c r="BP40" s="89"/>
      <c r="BQ40" s="89"/>
      <c r="BR40" s="89"/>
      <c r="BS40" s="89"/>
    </row>
    <row r="41" spans="1:71" ht="27" customHeight="1" x14ac:dyDescent="0.2">
      <c r="A41" s="93"/>
      <c r="B41" s="89"/>
      <c r="C41" s="89"/>
      <c r="D41" s="89"/>
      <c r="E41" s="89"/>
      <c r="F41" s="1076" t="s">
        <v>113</v>
      </c>
      <c r="G41" s="1076"/>
      <c r="H41" s="1077" t="s">
        <v>114</v>
      </c>
      <c r="I41" s="1078"/>
      <c r="J41" s="1077" t="s">
        <v>115</v>
      </c>
      <c r="K41" s="1078"/>
      <c r="L41" s="94"/>
      <c r="M41" s="94"/>
      <c r="N41" s="94"/>
      <c r="O41" s="94"/>
      <c r="P41" s="94"/>
      <c r="Q41" s="94"/>
      <c r="R41" s="95"/>
      <c r="S41" s="94"/>
      <c r="T41" s="96"/>
      <c r="U41" s="94"/>
      <c r="V41" s="97"/>
      <c r="W41" s="94"/>
      <c r="X41" s="98"/>
      <c r="Y41" s="98"/>
      <c r="Z41" s="98"/>
      <c r="AA41" s="98"/>
      <c r="AB41" s="98"/>
      <c r="AC41" s="97"/>
      <c r="AD41" s="99"/>
      <c r="AE41" s="95"/>
      <c r="AF41" s="94"/>
      <c r="AG41" s="89"/>
      <c r="AH41" s="89"/>
      <c r="AI41" s="89"/>
      <c r="AJ41" s="89"/>
      <c r="AK41" s="89"/>
      <c r="AL41" s="89"/>
      <c r="AM41" s="89"/>
      <c r="AN41" s="89"/>
      <c r="AO41" s="89"/>
      <c r="AP41" s="89"/>
      <c r="AQ41" s="89"/>
      <c r="AR41" s="89"/>
      <c r="AS41" s="89"/>
      <c r="AT41" s="89"/>
      <c r="AU41" s="89"/>
      <c r="AV41" s="89"/>
      <c r="AW41" s="100"/>
      <c r="AX41" s="100"/>
      <c r="AY41" s="89"/>
      <c r="AZ41" s="89"/>
      <c r="BA41" s="89"/>
      <c r="BB41" s="89"/>
      <c r="BC41" s="89"/>
      <c r="BD41" s="89"/>
      <c r="BE41" s="89"/>
      <c r="BF41" s="89"/>
      <c r="BG41" s="89"/>
      <c r="BH41" s="89"/>
      <c r="BI41" s="89"/>
      <c r="BJ41" s="89"/>
      <c r="BK41" s="89"/>
      <c r="BL41" s="89"/>
      <c r="BM41" s="89"/>
      <c r="BN41" s="89"/>
      <c r="BO41" s="89"/>
      <c r="BP41" s="89"/>
      <c r="BQ41" s="89"/>
      <c r="BR41" s="89"/>
      <c r="BS41" s="89"/>
    </row>
    <row r="42" spans="1:71" ht="27" customHeight="1" x14ac:dyDescent="0.2">
      <c r="A42" s="93"/>
      <c r="B42" s="89"/>
      <c r="C42" s="89"/>
      <c r="D42" s="89"/>
      <c r="E42" s="89"/>
      <c r="F42" s="1076" t="s">
        <v>116</v>
      </c>
      <c r="G42" s="1076"/>
      <c r="H42" s="1077" t="s">
        <v>117</v>
      </c>
      <c r="I42" s="1078"/>
      <c r="J42" s="1076" t="s">
        <v>118</v>
      </c>
      <c r="K42" s="1076"/>
      <c r="L42" s="94"/>
      <c r="M42" s="94"/>
      <c r="N42" s="94"/>
      <c r="O42" s="94"/>
      <c r="P42" s="94"/>
      <c r="Q42" s="94"/>
      <c r="R42" s="95"/>
      <c r="S42" s="94"/>
      <c r="T42" s="96"/>
      <c r="U42" s="94"/>
      <c r="V42" s="97"/>
      <c r="W42" s="94"/>
      <c r="X42" s="98"/>
      <c r="Y42" s="98"/>
      <c r="Z42" s="98"/>
      <c r="AA42" s="98"/>
      <c r="AB42" s="98"/>
      <c r="AC42" s="97"/>
      <c r="AD42" s="99"/>
      <c r="AE42" s="95"/>
      <c r="AF42" s="94"/>
      <c r="AG42" s="89"/>
      <c r="AH42" s="89"/>
      <c r="AI42" s="89"/>
      <c r="AJ42" s="89"/>
      <c r="AK42" s="89"/>
      <c r="AL42" s="89"/>
      <c r="AM42" s="89"/>
      <c r="AN42" s="89"/>
      <c r="AO42" s="89"/>
      <c r="AP42" s="89"/>
      <c r="AQ42" s="89"/>
      <c r="AR42" s="89"/>
      <c r="AS42" s="89"/>
      <c r="AT42" s="89"/>
      <c r="AU42" s="89"/>
      <c r="AV42" s="89"/>
      <c r="AW42" s="100"/>
      <c r="AX42" s="100"/>
      <c r="AY42" s="89"/>
      <c r="AZ42" s="89"/>
      <c r="BA42" s="89"/>
      <c r="BB42" s="89"/>
      <c r="BC42" s="89"/>
      <c r="BD42" s="89"/>
      <c r="BE42" s="89"/>
      <c r="BF42" s="89"/>
      <c r="BG42" s="89"/>
      <c r="BH42" s="89"/>
      <c r="BI42" s="89"/>
      <c r="BJ42" s="89"/>
      <c r="BK42" s="89"/>
      <c r="BL42" s="89"/>
      <c r="BM42" s="89"/>
      <c r="BN42" s="89"/>
      <c r="BO42" s="89"/>
      <c r="BP42" s="89"/>
      <c r="BQ42" s="89"/>
      <c r="BR42" s="89"/>
      <c r="BS42" s="89"/>
    </row>
    <row r="43" spans="1:71" ht="27" customHeight="1" x14ac:dyDescent="0.2">
      <c r="A43" s="93"/>
      <c r="B43" s="89"/>
      <c r="C43" s="89"/>
      <c r="D43" s="89"/>
      <c r="E43" s="89"/>
      <c r="F43" s="1076" t="s">
        <v>119</v>
      </c>
      <c r="G43" s="1076"/>
      <c r="H43" s="1077" t="s">
        <v>120</v>
      </c>
      <c r="I43" s="1078"/>
      <c r="J43" s="1076" t="s">
        <v>121</v>
      </c>
      <c r="K43" s="1076"/>
      <c r="L43" s="94"/>
      <c r="M43" s="94"/>
      <c r="N43" s="94"/>
      <c r="O43" s="94"/>
      <c r="P43" s="94"/>
      <c r="Q43" s="94"/>
      <c r="R43" s="95"/>
      <c r="S43" s="94"/>
      <c r="T43" s="96"/>
      <c r="U43" s="94"/>
      <c r="V43" s="97"/>
      <c r="W43" s="94"/>
      <c r="X43" s="98"/>
      <c r="Y43" s="98"/>
      <c r="Z43" s="98"/>
      <c r="AA43" s="98"/>
      <c r="AB43" s="98"/>
      <c r="AC43" s="97"/>
      <c r="AD43" s="99"/>
      <c r="AE43" s="95"/>
      <c r="AF43" s="94"/>
      <c r="AG43" s="89"/>
      <c r="AH43" s="89"/>
      <c r="AI43" s="89"/>
      <c r="AJ43" s="89"/>
      <c r="AK43" s="89"/>
      <c r="AL43" s="89"/>
      <c r="AM43" s="89"/>
      <c r="AN43" s="89"/>
      <c r="AO43" s="89"/>
      <c r="AP43" s="89"/>
      <c r="AQ43" s="89"/>
      <c r="AR43" s="89"/>
      <c r="AS43" s="89"/>
      <c r="AT43" s="89"/>
      <c r="AU43" s="89"/>
      <c r="AV43" s="89"/>
      <c r="AW43" s="100"/>
      <c r="AX43" s="100"/>
      <c r="AY43" s="89"/>
      <c r="AZ43" s="89"/>
      <c r="BA43" s="89"/>
      <c r="BB43" s="89"/>
      <c r="BC43" s="89"/>
      <c r="BD43" s="89"/>
      <c r="BE43" s="89"/>
      <c r="BF43" s="89"/>
      <c r="BG43" s="89"/>
      <c r="BH43" s="89"/>
      <c r="BI43" s="89"/>
      <c r="BJ43" s="89"/>
      <c r="BK43" s="89"/>
      <c r="BL43" s="89"/>
      <c r="BM43" s="89"/>
      <c r="BN43" s="89"/>
      <c r="BO43" s="89"/>
      <c r="BP43" s="89"/>
      <c r="BQ43" s="89"/>
      <c r="BR43" s="89"/>
      <c r="BS43" s="89"/>
    </row>
    <row r="44" spans="1:71" ht="27" customHeight="1" x14ac:dyDescent="0.2">
      <c r="A44" s="93"/>
      <c r="B44" s="89"/>
      <c r="C44" s="89"/>
      <c r="D44" s="89"/>
      <c r="E44" s="89"/>
      <c r="F44" s="89"/>
      <c r="G44" s="89"/>
      <c r="H44" s="94"/>
      <c r="I44" s="94"/>
      <c r="J44" s="94"/>
      <c r="K44" s="94"/>
      <c r="L44" s="94"/>
      <c r="M44" s="94"/>
      <c r="N44" s="94"/>
      <c r="O44" s="94"/>
      <c r="P44" s="94"/>
      <c r="Q44" s="94"/>
      <c r="R44" s="95"/>
      <c r="S44" s="94"/>
      <c r="T44" s="96"/>
      <c r="U44" s="94"/>
      <c r="V44" s="97"/>
      <c r="W44" s="94"/>
      <c r="X44" s="98"/>
      <c r="Y44" s="98"/>
      <c r="Z44" s="98"/>
      <c r="AA44" s="98"/>
      <c r="AB44" s="98"/>
      <c r="AC44" s="97"/>
      <c r="AD44" s="99"/>
      <c r="AE44" s="95"/>
      <c r="AF44" s="94"/>
      <c r="AG44" s="89"/>
      <c r="AH44" s="89"/>
      <c r="AI44" s="89"/>
      <c r="AJ44" s="89"/>
      <c r="AK44" s="89"/>
      <c r="AL44" s="89"/>
      <c r="AM44" s="89"/>
      <c r="AN44" s="89"/>
      <c r="AO44" s="89"/>
      <c r="AP44" s="89"/>
      <c r="AQ44" s="89"/>
      <c r="AR44" s="89"/>
      <c r="AS44" s="89"/>
      <c r="AT44" s="89"/>
      <c r="AU44" s="89"/>
      <c r="AV44" s="89"/>
      <c r="AW44" s="100"/>
      <c r="AX44" s="100"/>
      <c r="AY44" s="89"/>
      <c r="AZ44" s="89"/>
      <c r="BA44" s="89"/>
      <c r="BB44" s="89"/>
      <c r="BC44" s="89"/>
      <c r="BD44" s="89"/>
      <c r="BE44" s="89"/>
      <c r="BF44" s="89"/>
      <c r="BG44" s="89"/>
      <c r="BH44" s="89"/>
      <c r="BI44" s="89"/>
      <c r="BJ44" s="89"/>
      <c r="BK44" s="89"/>
      <c r="BL44" s="89"/>
      <c r="BM44" s="89"/>
      <c r="BN44" s="89"/>
      <c r="BO44" s="89"/>
      <c r="BP44" s="89"/>
      <c r="BQ44" s="89"/>
      <c r="BR44" s="89"/>
      <c r="BS44" s="89"/>
    </row>
    <row r="45" spans="1:71" ht="27" customHeight="1" x14ac:dyDescent="0.2">
      <c r="A45" s="93"/>
      <c r="B45" s="89"/>
      <c r="C45" s="89"/>
      <c r="D45" s="89"/>
      <c r="E45" s="89"/>
      <c r="F45" s="89"/>
      <c r="G45" s="89"/>
      <c r="H45" s="94"/>
      <c r="I45" s="94"/>
      <c r="J45" s="94"/>
      <c r="K45" s="94"/>
      <c r="L45" s="94"/>
      <c r="M45" s="94"/>
      <c r="N45" s="94"/>
      <c r="O45" s="94"/>
      <c r="P45" s="94"/>
      <c r="Q45" s="94"/>
      <c r="R45" s="95"/>
      <c r="S45" s="94"/>
      <c r="T45" s="96"/>
      <c r="U45" s="94"/>
      <c r="V45" s="97"/>
      <c r="W45" s="94"/>
      <c r="X45" s="98"/>
      <c r="Y45" s="98"/>
      <c r="Z45" s="98"/>
      <c r="AA45" s="98"/>
      <c r="AB45" s="98"/>
      <c r="AC45" s="97"/>
      <c r="AD45" s="99"/>
      <c r="AE45" s="95"/>
      <c r="AF45" s="94"/>
      <c r="AG45" s="89"/>
      <c r="AH45" s="89"/>
      <c r="AI45" s="89"/>
      <c r="AJ45" s="89"/>
      <c r="AK45" s="89"/>
      <c r="AL45" s="89"/>
      <c r="AM45" s="89"/>
      <c r="AN45" s="89"/>
      <c r="AO45" s="89"/>
      <c r="AP45" s="89"/>
      <c r="AQ45" s="89"/>
      <c r="AR45" s="89"/>
      <c r="AS45" s="89"/>
      <c r="AT45" s="89"/>
      <c r="AU45" s="89"/>
      <c r="AV45" s="89"/>
      <c r="AW45" s="100"/>
      <c r="AX45" s="100"/>
      <c r="AY45" s="89"/>
      <c r="AZ45" s="89"/>
      <c r="BA45" s="89"/>
      <c r="BB45" s="89"/>
      <c r="BC45" s="89"/>
      <c r="BD45" s="89"/>
      <c r="BE45" s="89"/>
      <c r="BF45" s="89"/>
      <c r="BG45" s="89"/>
      <c r="BH45" s="89"/>
      <c r="BI45" s="89"/>
      <c r="BJ45" s="89"/>
      <c r="BK45" s="89"/>
      <c r="BL45" s="89"/>
      <c r="BM45" s="89"/>
      <c r="BN45" s="89"/>
      <c r="BO45" s="89"/>
      <c r="BP45" s="89"/>
      <c r="BQ45" s="89"/>
      <c r="BR45" s="89"/>
      <c r="BS45" s="89"/>
    </row>
    <row r="46" spans="1:71" ht="27" customHeight="1" x14ac:dyDescent="0.2">
      <c r="A46" s="93"/>
      <c r="B46" s="89"/>
      <c r="C46" s="89"/>
      <c r="D46" s="89"/>
      <c r="E46" s="89"/>
      <c r="F46" s="89"/>
      <c r="G46" s="89"/>
      <c r="H46" s="94"/>
      <c r="I46" s="94"/>
      <c r="J46" s="94"/>
      <c r="K46" s="94"/>
      <c r="L46" s="94"/>
      <c r="M46" s="94"/>
      <c r="N46" s="94"/>
      <c r="O46" s="94"/>
      <c r="P46" s="94"/>
      <c r="Q46" s="94"/>
      <c r="R46" s="95"/>
      <c r="S46" s="94"/>
      <c r="T46" s="96"/>
      <c r="U46" s="94"/>
      <c r="V46" s="97"/>
      <c r="W46" s="94"/>
      <c r="X46" s="98"/>
      <c r="Y46" s="98"/>
      <c r="Z46" s="98"/>
      <c r="AA46" s="98"/>
      <c r="AB46" s="98"/>
      <c r="AC46" s="97"/>
      <c r="AD46" s="99"/>
      <c r="AE46" s="95"/>
      <c r="AF46" s="94"/>
      <c r="AG46" s="89"/>
      <c r="AH46" s="89"/>
      <c r="AI46" s="89"/>
      <c r="AJ46" s="89"/>
      <c r="AK46" s="89"/>
      <c r="AL46" s="89"/>
      <c r="AM46" s="89"/>
      <c r="AN46" s="89"/>
      <c r="AO46" s="89"/>
      <c r="AP46" s="89"/>
      <c r="AQ46" s="89"/>
      <c r="AR46" s="89"/>
      <c r="AS46" s="89"/>
      <c r="AT46" s="89"/>
      <c r="AU46" s="89"/>
      <c r="AV46" s="89"/>
      <c r="AW46" s="100"/>
      <c r="AX46" s="100"/>
      <c r="AY46" s="89"/>
      <c r="AZ46" s="89"/>
      <c r="BA46" s="89"/>
      <c r="BB46" s="89"/>
      <c r="BC46" s="89"/>
      <c r="BD46" s="89"/>
      <c r="BE46" s="89"/>
      <c r="BF46" s="89"/>
      <c r="BG46" s="89"/>
      <c r="BH46" s="89"/>
      <c r="BI46" s="89"/>
      <c r="BJ46" s="89"/>
      <c r="BK46" s="89"/>
      <c r="BL46" s="89"/>
      <c r="BM46" s="89"/>
      <c r="BN46" s="89"/>
      <c r="BO46" s="89"/>
      <c r="BP46" s="89"/>
      <c r="BQ46" s="89"/>
      <c r="BR46" s="89"/>
      <c r="BS46" s="89"/>
    </row>
    <row r="47" spans="1:71" ht="27" customHeight="1" x14ac:dyDescent="0.2">
      <c r="A47" s="93"/>
      <c r="B47" s="89"/>
      <c r="C47" s="89"/>
      <c r="D47" s="89"/>
      <c r="E47" s="89"/>
      <c r="F47" s="89"/>
      <c r="G47" s="89"/>
      <c r="H47" s="94"/>
      <c r="I47" s="94"/>
      <c r="J47" s="94"/>
      <c r="K47" s="94"/>
      <c r="L47" s="94"/>
      <c r="M47" s="94"/>
      <c r="N47" s="94"/>
      <c r="O47" s="94"/>
      <c r="P47" s="94"/>
      <c r="Q47" s="94"/>
      <c r="R47" s="95"/>
      <c r="S47" s="94"/>
      <c r="T47" s="96"/>
      <c r="U47" s="94"/>
      <c r="V47" s="97"/>
      <c r="W47" s="94"/>
      <c r="X47" s="98"/>
      <c r="Y47" s="98"/>
      <c r="Z47" s="98"/>
      <c r="AA47" s="98"/>
      <c r="AB47" s="98"/>
      <c r="AC47" s="97"/>
      <c r="AD47" s="99"/>
      <c r="AE47" s="95"/>
      <c r="AF47" s="94"/>
      <c r="AG47" s="89"/>
      <c r="AH47" s="89"/>
      <c r="AI47" s="89"/>
      <c r="AJ47" s="89"/>
      <c r="AK47" s="89"/>
      <c r="AL47" s="89"/>
      <c r="AM47" s="89"/>
      <c r="AN47" s="89"/>
      <c r="AO47" s="89"/>
      <c r="AP47" s="89"/>
      <c r="AQ47" s="89"/>
      <c r="AR47" s="89"/>
      <c r="AS47" s="89"/>
      <c r="AT47" s="89"/>
      <c r="AU47" s="89"/>
      <c r="AV47" s="89"/>
      <c r="AW47" s="100"/>
      <c r="AX47" s="100"/>
      <c r="AY47" s="89"/>
      <c r="AZ47" s="89"/>
      <c r="BA47" s="89"/>
      <c r="BB47" s="89"/>
      <c r="BC47" s="89"/>
      <c r="BD47" s="89"/>
      <c r="BE47" s="89"/>
      <c r="BF47" s="89"/>
      <c r="BG47" s="89"/>
      <c r="BH47" s="89"/>
      <c r="BI47" s="89"/>
      <c r="BJ47" s="89"/>
      <c r="BK47" s="89"/>
      <c r="BL47" s="89"/>
      <c r="BM47" s="89"/>
      <c r="BN47" s="89"/>
      <c r="BO47" s="89"/>
      <c r="BP47" s="89"/>
      <c r="BQ47" s="89"/>
      <c r="BR47" s="89"/>
      <c r="BS47" s="89"/>
    </row>
    <row r="48" spans="1:71" ht="27" customHeight="1" x14ac:dyDescent="0.2">
      <c r="A48" s="93"/>
      <c r="B48" s="89"/>
      <c r="C48" s="89"/>
      <c r="D48" s="89"/>
      <c r="E48" s="89"/>
      <c r="F48" s="89"/>
      <c r="G48" s="89"/>
      <c r="H48" s="94"/>
      <c r="I48" s="94"/>
      <c r="J48" s="94"/>
      <c r="K48" s="94"/>
      <c r="L48" s="94"/>
      <c r="M48" s="94"/>
      <c r="N48" s="94"/>
      <c r="O48" s="94"/>
      <c r="P48" s="94"/>
      <c r="Q48" s="94"/>
      <c r="R48" s="95"/>
      <c r="S48" s="94"/>
      <c r="T48" s="96"/>
      <c r="U48" s="94"/>
      <c r="V48" s="97"/>
      <c r="W48" s="94"/>
      <c r="X48" s="98"/>
      <c r="Y48" s="98"/>
      <c r="Z48" s="98"/>
      <c r="AA48" s="98"/>
      <c r="AB48" s="98"/>
      <c r="AC48" s="97"/>
      <c r="AD48" s="99"/>
      <c r="AE48" s="95"/>
      <c r="AF48" s="94"/>
      <c r="AG48" s="89"/>
      <c r="AH48" s="89"/>
      <c r="AI48" s="89"/>
      <c r="AJ48" s="89"/>
      <c r="AK48" s="89"/>
      <c r="AL48" s="89"/>
      <c r="AM48" s="89"/>
      <c r="AN48" s="89"/>
      <c r="AO48" s="89"/>
      <c r="AP48" s="89"/>
      <c r="AQ48" s="89"/>
      <c r="AR48" s="89"/>
      <c r="AS48" s="89"/>
      <c r="AT48" s="89"/>
      <c r="AU48" s="89"/>
      <c r="AV48" s="89"/>
      <c r="AW48" s="100"/>
      <c r="AX48" s="100"/>
      <c r="AY48" s="89"/>
      <c r="AZ48" s="89"/>
      <c r="BA48" s="89"/>
      <c r="BB48" s="89"/>
      <c r="BC48" s="89"/>
      <c r="BD48" s="89"/>
      <c r="BE48" s="89"/>
      <c r="BF48" s="89"/>
      <c r="BG48" s="89"/>
      <c r="BH48" s="89"/>
      <c r="BI48" s="89"/>
      <c r="BJ48" s="89"/>
      <c r="BK48" s="89"/>
      <c r="BL48" s="89"/>
      <c r="BM48" s="89"/>
      <c r="BN48" s="89"/>
      <c r="BO48" s="89"/>
      <c r="BP48" s="89"/>
      <c r="BQ48" s="89"/>
      <c r="BR48" s="89"/>
      <c r="BS48" s="89"/>
    </row>
    <row r="49" spans="1:71" ht="27" customHeight="1" x14ac:dyDescent="0.2">
      <c r="A49" s="93"/>
      <c r="B49" s="89"/>
      <c r="C49" s="89"/>
      <c r="D49" s="89"/>
      <c r="E49" s="89"/>
      <c r="F49" s="89"/>
      <c r="G49" s="89"/>
      <c r="H49" s="94"/>
      <c r="I49" s="94"/>
      <c r="J49" s="94"/>
      <c r="K49" s="94"/>
      <c r="L49" s="94"/>
      <c r="M49" s="94"/>
      <c r="N49" s="94"/>
      <c r="O49" s="94"/>
      <c r="P49" s="94"/>
      <c r="Q49" s="94"/>
      <c r="R49" s="95"/>
      <c r="S49" s="94"/>
      <c r="T49" s="96"/>
      <c r="U49" s="94"/>
      <c r="V49" s="97"/>
      <c r="W49" s="94"/>
      <c r="X49" s="98"/>
      <c r="Y49" s="98"/>
      <c r="Z49" s="98"/>
      <c r="AA49" s="98"/>
      <c r="AB49" s="98"/>
      <c r="AC49" s="97"/>
      <c r="AD49" s="99"/>
      <c r="AE49" s="95"/>
      <c r="AF49" s="94"/>
      <c r="AG49" s="89"/>
      <c r="AH49" s="89"/>
      <c r="AI49" s="89"/>
      <c r="AJ49" s="89"/>
      <c r="AK49" s="89"/>
      <c r="AL49" s="89"/>
      <c r="AM49" s="89"/>
      <c r="AN49" s="89"/>
      <c r="AO49" s="89"/>
      <c r="AP49" s="89"/>
      <c r="AQ49" s="89"/>
      <c r="AR49" s="89"/>
      <c r="AS49" s="89"/>
      <c r="AT49" s="89"/>
      <c r="AU49" s="89"/>
      <c r="AV49" s="89"/>
      <c r="AW49" s="100"/>
      <c r="AX49" s="100"/>
      <c r="AY49" s="89"/>
      <c r="AZ49" s="89"/>
      <c r="BA49" s="89"/>
      <c r="BB49" s="89"/>
      <c r="BC49" s="89"/>
      <c r="BD49" s="89"/>
      <c r="BE49" s="89"/>
      <c r="BF49" s="89"/>
      <c r="BG49" s="89"/>
      <c r="BH49" s="89"/>
      <c r="BI49" s="89"/>
      <c r="BJ49" s="89"/>
      <c r="BK49" s="89"/>
      <c r="BL49" s="89"/>
      <c r="BM49" s="89"/>
      <c r="BN49" s="89"/>
      <c r="BO49" s="89"/>
      <c r="BP49" s="89"/>
      <c r="BQ49" s="89"/>
      <c r="BR49" s="89"/>
      <c r="BS49" s="89"/>
    </row>
    <row r="50" spans="1:71" ht="27" customHeight="1" x14ac:dyDescent="0.2">
      <c r="A50" s="93"/>
      <c r="B50" s="89"/>
      <c r="C50" s="89"/>
      <c r="D50" s="89"/>
      <c r="E50" s="89"/>
      <c r="F50" s="89"/>
      <c r="G50" s="89"/>
      <c r="H50" s="94"/>
      <c r="I50" s="94"/>
      <c r="J50" s="94"/>
      <c r="K50" s="94"/>
      <c r="L50" s="94"/>
      <c r="M50" s="94"/>
      <c r="N50" s="94"/>
      <c r="O50" s="94"/>
      <c r="P50" s="94"/>
      <c r="Q50" s="94"/>
      <c r="R50" s="95"/>
      <c r="S50" s="94"/>
      <c r="T50" s="96"/>
      <c r="U50" s="94"/>
      <c r="V50" s="97"/>
      <c r="W50" s="94"/>
      <c r="X50" s="98"/>
      <c r="Y50" s="98"/>
      <c r="Z50" s="98"/>
      <c r="AA50" s="98"/>
      <c r="AB50" s="98"/>
      <c r="AC50" s="97"/>
      <c r="AD50" s="99"/>
      <c r="AE50" s="95"/>
      <c r="AF50" s="94"/>
      <c r="AG50" s="89"/>
      <c r="AH50" s="89"/>
      <c r="AI50" s="89"/>
      <c r="AJ50" s="89"/>
      <c r="AK50" s="89"/>
      <c r="AL50" s="89"/>
      <c r="AM50" s="89"/>
      <c r="AN50" s="89"/>
      <c r="AO50" s="89"/>
      <c r="AP50" s="89"/>
      <c r="AQ50" s="89"/>
      <c r="AR50" s="89"/>
      <c r="AS50" s="89"/>
      <c r="AT50" s="89"/>
      <c r="AU50" s="89"/>
      <c r="AV50" s="89"/>
      <c r="AW50" s="100"/>
      <c r="AX50" s="100"/>
      <c r="AY50" s="89"/>
      <c r="AZ50" s="89"/>
      <c r="BA50" s="89"/>
      <c r="BB50" s="89"/>
      <c r="BC50" s="89"/>
      <c r="BD50" s="89"/>
      <c r="BE50" s="89"/>
      <c r="BF50" s="89"/>
      <c r="BG50" s="89"/>
      <c r="BH50" s="89"/>
      <c r="BI50" s="89"/>
      <c r="BJ50" s="89"/>
      <c r="BK50" s="89"/>
      <c r="BL50" s="89"/>
      <c r="BM50" s="89"/>
      <c r="BN50" s="89"/>
      <c r="BO50" s="89"/>
      <c r="BP50" s="89"/>
      <c r="BQ50" s="89"/>
      <c r="BR50" s="89"/>
      <c r="BS50" s="89"/>
    </row>
    <row r="51" spans="1:71" ht="27" customHeight="1" x14ac:dyDescent="0.2">
      <c r="A51" s="93"/>
      <c r="B51" s="89"/>
      <c r="C51" s="89"/>
      <c r="D51" s="89"/>
      <c r="E51" s="89"/>
      <c r="F51" s="89"/>
      <c r="G51" s="89"/>
      <c r="H51" s="94"/>
      <c r="I51" s="94"/>
      <c r="J51" s="94"/>
      <c r="K51" s="94"/>
      <c r="L51" s="94"/>
      <c r="M51" s="94"/>
      <c r="N51" s="94"/>
      <c r="O51" s="94"/>
      <c r="P51" s="94"/>
      <c r="Q51" s="94"/>
      <c r="R51" s="95"/>
      <c r="S51" s="94"/>
      <c r="T51" s="96"/>
      <c r="U51" s="94"/>
      <c r="V51" s="97"/>
      <c r="W51" s="94"/>
      <c r="X51" s="98"/>
      <c r="Y51" s="98"/>
      <c r="Z51" s="98"/>
      <c r="AA51" s="98"/>
      <c r="AB51" s="98"/>
      <c r="AC51" s="97"/>
      <c r="AD51" s="99"/>
      <c r="AE51" s="95"/>
      <c r="AF51" s="94"/>
      <c r="AG51" s="89"/>
      <c r="AH51" s="89"/>
      <c r="AI51" s="89"/>
      <c r="AJ51" s="89"/>
      <c r="AK51" s="89"/>
      <c r="AL51" s="89"/>
      <c r="AM51" s="89"/>
      <c r="AN51" s="89"/>
      <c r="AO51" s="89"/>
      <c r="AP51" s="89"/>
      <c r="AQ51" s="89"/>
      <c r="AR51" s="89"/>
      <c r="AS51" s="89"/>
      <c r="AT51" s="89"/>
      <c r="AU51" s="89"/>
      <c r="AV51" s="89"/>
      <c r="AW51" s="100"/>
      <c r="AX51" s="100"/>
      <c r="AY51" s="89"/>
      <c r="AZ51" s="89"/>
      <c r="BA51" s="89"/>
      <c r="BB51" s="89"/>
      <c r="BC51" s="89"/>
      <c r="BD51" s="89"/>
      <c r="BE51" s="89"/>
      <c r="BF51" s="89"/>
      <c r="BG51" s="89"/>
      <c r="BH51" s="89"/>
      <c r="BI51" s="89"/>
      <c r="BJ51" s="89"/>
      <c r="BK51" s="89"/>
      <c r="BL51" s="89"/>
      <c r="BM51" s="89"/>
      <c r="BN51" s="89"/>
      <c r="BO51" s="89"/>
      <c r="BP51" s="89"/>
      <c r="BQ51" s="89"/>
      <c r="BR51" s="89"/>
      <c r="BS51" s="89"/>
    </row>
    <row r="52" spans="1:71" ht="27" customHeight="1" x14ac:dyDescent="0.2">
      <c r="A52" s="93"/>
      <c r="B52" s="89"/>
      <c r="C52" s="89"/>
      <c r="D52" s="89"/>
      <c r="E52" s="89"/>
      <c r="F52" s="89"/>
      <c r="G52" s="89"/>
      <c r="H52" s="94"/>
      <c r="I52" s="94"/>
      <c r="J52" s="94"/>
      <c r="K52" s="94"/>
      <c r="L52" s="94"/>
      <c r="M52" s="94"/>
      <c r="N52" s="94"/>
      <c r="O52" s="94"/>
      <c r="P52" s="94"/>
      <c r="Q52" s="94"/>
      <c r="R52" s="95"/>
      <c r="S52" s="94"/>
      <c r="T52" s="96"/>
      <c r="U52" s="94"/>
      <c r="V52" s="97"/>
      <c r="W52" s="94"/>
      <c r="X52" s="98"/>
      <c r="Y52" s="98"/>
      <c r="Z52" s="98"/>
      <c r="AA52" s="98"/>
      <c r="AB52" s="98"/>
      <c r="AC52" s="97"/>
      <c r="AD52" s="99"/>
      <c r="AE52" s="95"/>
      <c r="AF52" s="94"/>
      <c r="AG52" s="89"/>
      <c r="AH52" s="89"/>
      <c r="AI52" s="89"/>
      <c r="AJ52" s="89"/>
      <c r="AK52" s="89"/>
      <c r="AL52" s="89"/>
      <c r="AM52" s="89"/>
      <c r="AN52" s="89"/>
      <c r="AO52" s="89"/>
      <c r="AP52" s="89"/>
      <c r="AQ52" s="89"/>
      <c r="AR52" s="89"/>
      <c r="AS52" s="89"/>
      <c r="AT52" s="89"/>
      <c r="AU52" s="89"/>
      <c r="AV52" s="89"/>
      <c r="AW52" s="100"/>
      <c r="AX52" s="100"/>
      <c r="AY52" s="89"/>
      <c r="AZ52" s="89"/>
      <c r="BA52" s="89"/>
      <c r="BB52" s="89"/>
      <c r="BC52" s="89"/>
      <c r="BD52" s="89"/>
      <c r="BE52" s="89"/>
      <c r="BF52" s="89"/>
      <c r="BG52" s="89"/>
      <c r="BH52" s="89"/>
      <c r="BI52" s="89"/>
      <c r="BJ52" s="89"/>
      <c r="BK52" s="89"/>
      <c r="BL52" s="89"/>
      <c r="BM52" s="89"/>
      <c r="BN52" s="89"/>
      <c r="BO52" s="89"/>
      <c r="BP52" s="89"/>
      <c r="BQ52" s="89"/>
      <c r="BR52" s="89"/>
      <c r="BS52" s="89"/>
    </row>
    <row r="53" spans="1:71" ht="27" customHeight="1" x14ac:dyDescent="0.2">
      <c r="A53" s="93"/>
      <c r="B53" s="89"/>
      <c r="C53" s="89"/>
      <c r="D53" s="89"/>
      <c r="E53" s="89"/>
      <c r="F53" s="89"/>
      <c r="G53" s="89"/>
      <c r="H53" s="94"/>
      <c r="I53" s="94"/>
      <c r="J53" s="94"/>
      <c r="K53" s="94"/>
      <c r="L53" s="94"/>
      <c r="M53" s="94"/>
      <c r="N53" s="94"/>
      <c r="O53" s="94"/>
      <c r="P53" s="94"/>
      <c r="Q53" s="94"/>
      <c r="R53" s="95"/>
      <c r="S53" s="94"/>
      <c r="T53" s="96"/>
      <c r="U53" s="94"/>
      <c r="V53" s="97"/>
      <c r="W53" s="94"/>
      <c r="X53" s="98"/>
      <c r="Y53" s="98"/>
      <c r="Z53" s="98"/>
      <c r="AA53" s="98"/>
      <c r="AB53" s="98"/>
      <c r="AC53" s="97"/>
      <c r="AD53" s="99"/>
      <c r="AE53" s="95"/>
      <c r="AF53" s="94"/>
      <c r="AG53" s="89"/>
      <c r="AH53" s="89"/>
      <c r="AI53" s="89"/>
      <c r="AJ53" s="89"/>
      <c r="AK53" s="89"/>
      <c r="AL53" s="89"/>
      <c r="AM53" s="89"/>
      <c r="AN53" s="89"/>
      <c r="AO53" s="89"/>
      <c r="AP53" s="89"/>
      <c r="AQ53" s="89"/>
      <c r="AR53" s="89"/>
      <c r="AS53" s="89"/>
      <c r="AT53" s="89"/>
      <c r="AU53" s="89"/>
      <c r="AV53" s="89"/>
      <c r="AW53" s="100"/>
      <c r="AX53" s="100"/>
      <c r="AY53" s="89"/>
      <c r="AZ53" s="89"/>
      <c r="BA53" s="89"/>
      <c r="BB53" s="89"/>
      <c r="BC53" s="89"/>
      <c r="BD53" s="89"/>
      <c r="BE53" s="89"/>
      <c r="BF53" s="89"/>
      <c r="BG53" s="89"/>
      <c r="BH53" s="89"/>
      <c r="BI53" s="89"/>
      <c r="BJ53" s="89"/>
      <c r="BK53" s="89"/>
      <c r="BL53" s="89"/>
      <c r="BM53" s="89"/>
      <c r="BN53" s="89"/>
      <c r="BO53" s="89"/>
      <c r="BP53" s="89"/>
      <c r="BQ53" s="89"/>
      <c r="BR53" s="89"/>
      <c r="BS53" s="89"/>
    </row>
    <row r="54" spans="1:71" ht="27" customHeight="1" x14ac:dyDescent="0.2">
      <c r="A54" s="93"/>
      <c r="B54" s="89"/>
      <c r="C54" s="89"/>
      <c r="D54" s="89"/>
      <c r="E54" s="89"/>
      <c r="F54" s="89"/>
      <c r="G54" s="89"/>
      <c r="H54" s="94"/>
      <c r="I54" s="94"/>
      <c r="J54" s="94"/>
      <c r="K54" s="94"/>
      <c r="L54" s="94"/>
      <c r="M54" s="94"/>
      <c r="N54" s="94"/>
      <c r="O54" s="94"/>
      <c r="P54" s="94"/>
      <c r="Q54" s="94"/>
      <c r="R54" s="95"/>
      <c r="S54" s="94"/>
      <c r="T54" s="96"/>
      <c r="U54" s="94"/>
      <c r="V54" s="97"/>
      <c r="W54" s="94"/>
      <c r="X54" s="98"/>
      <c r="Y54" s="98"/>
      <c r="Z54" s="98"/>
      <c r="AA54" s="98"/>
      <c r="AB54" s="98"/>
      <c r="AC54" s="97"/>
      <c r="AD54" s="99"/>
      <c r="AE54" s="95"/>
      <c r="AF54" s="94"/>
      <c r="AG54" s="89"/>
      <c r="AH54" s="89"/>
      <c r="AI54" s="89"/>
      <c r="AJ54" s="89"/>
      <c r="AK54" s="89"/>
      <c r="AL54" s="89"/>
      <c r="AM54" s="89"/>
      <c r="AN54" s="89"/>
      <c r="AO54" s="89"/>
      <c r="AP54" s="89"/>
      <c r="AQ54" s="89"/>
      <c r="AR54" s="89"/>
      <c r="AS54" s="89"/>
      <c r="AT54" s="89"/>
      <c r="AU54" s="89"/>
      <c r="AV54" s="89"/>
      <c r="AW54" s="100"/>
      <c r="AX54" s="100"/>
      <c r="AY54" s="89"/>
      <c r="AZ54" s="89"/>
      <c r="BA54" s="89"/>
      <c r="BB54" s="89"/>
      <c r="BC54" s="89"/>
      <c r="BD54" s="89"/>
      <c r="BE54" s="89"/>
      <c r="BF54" s="89"/>
      <c r="BG54" s="89"/>
      <c r="BH54" s="89"/>
      <c r="BI54" s="89"/>
      <c r="BJ54" s="89"/>
      <c r="BK54" s="89"/>
      <c r="BL54" s="89"/>
      <c r="BM54" s="89"/>
      <c r="BN54" s="89"/>
      <c r="BO54" s="89"/>
      <c r="BP54" s="89"/>
      <c r="BQ54" s="89"/>
      <c r="BR54" s="89"/>
      <c r="BS54" s="89"/>
    </row>
    <row r="55" spans="1:71" ht="27" customHeight="1" x14ac:dyDescent="0.2">
      <c r="A55" s="93"/>
      <c r="B55" s="89"/>
      <c r="C55" s="89"/>
      <c r="D55" s="89"/>
      <c r="E55" s="89"/>
      <c r="F55" s="89"/>
      <c r="G55" s="89"/>
      <c r="H55" s="94"/>
      <c r="I55" s="94"/>
      <c r="J55" s="94"/>
      <c r="K55" s="94"/>
      <c r="L55" s="94"/>
      <c r="M55" s="94"/>
      <c r="N55" s="94"/>
      <c r="O55" s="94"/>
      <c r="P55" s="94"/>
      <c r="Q55" s="94"/>
      <c r="R55" s="95"/>
      <c r="S55" s="94"/>
      <c r="T55" s="96"/>
      <c r="U55" s="94"/>
      <c r="V55" s="97"/>
      <c r="W55" s="94"/>
      <c r="X55" s="98"/>
      <c r="Y55" s="98"/>
      <c r="Z55" s="98"/>
      <c r="AA55" s="98"/>
      <c r="AB55" s="98"/>
      <c r="AC55" s="97"/>
      <c r="AD55" s="99"/>
      <c r="AE55" s="95"/>
      <c r="AF55" s="94"/>
      <c r="AG55" s="89"/>
      <c r="AH55" s="89"/>
      <c r="AI55" s="89"/>
      <c r="AJ55" s="89"/>
      <c r="AK55" s="89"/>
      <c r="AL55" s="89"/>
      <c r="AM55" s="89"/>
      <c r="AN55" s="89"/>
      <c r="AO55" s="89"/>
      <c r="AP55" s="89"/>
      <c r="AQ55" s="89"/>
      <c r="AR55" s="89"/>
      <c r="AS55" s="89"/>
      <c r="AT55" s="89"/>
      <c r="AU55" s="89"/>
      <c r="AV55" s="89"/>
      <c r="AW55" s="100"/>
      <c r="AX55" s="100"/>
      <c r="AY55" s="89"/>
      <c r="AZ55" s="89"/>
      <c r="BA55" s="89"/>
      <c r="BB55" s="89"/>
      <c r="BC55" s="89"/>
      <c r="BD55" s="89"/>
      <c r="BE55" s="89"/>
      <c r="BF55" s="89"/>
      <c r="BG55" s="89"/>
      <c r="BH55" s="89"/>
      <c r="BI55" s="89"/>
      <c r="BJ55" s="89"/>
      <c r="BK55" s="89"/>
      <c r="BL55" s="89"/>
      <c r="BM55" s="89"/>
      <c r="BN55" s="89"/>
      <c r="BO55" s="89"/>
      <c r="BP55" s="89"/>
      <c r="BQ55" s="89"/>
      <c r="BR55" s="89"/>
      <c r="BS55" s="89"/>
    </row>
    <row r="56" spans="1:71" ht="27" customHeight="1" x14ac:dyDescent="0.2">
      <c r="A56" s="93"/>
      <c r="B56" s="89"/>
      <c r="C56" s="89"/>
      <c r="D56" s="89"/>
      <c r="E56" s="89"/>
      <c r="F56" s="89"/>
      <c r="G56" s="89"/>
      <c r="H56" s="94"/>
      <c r="I56" s="94"/>
      <c r="J56" s="94"/>
      <c r="K56" s="94"/>
      <c r="L56" s="94"/>
      <c r="M56" s="94"/>
      <c r="N56" s="94"/>
      <c r="O56" s="94"/>
      <c r="P56" s="94"/>
      <c r="Q56" s="94"/>
      <c r="R56" s="95"/>
      <c r="S56" s="94"/>
      <c r="T56" s="96"/>
      <c r="U56" s="94"/>
      <c r="V56" s="97"/>
      <c r="W56" s="94"/>
      <c r="X56" s="98"/>
      <c r="Y56" s="98"/>
      <c r="Z56" s="98"/>
      <c r="AA56" s="98"/>
      <c r="AB56" s="98"/>
      <c r="AC56" s="97"/>
      <c r="AD56" s="99"/>
      <c r="AE56" s="95"/>
      <c r="AF56" s="94"/>
      <c r="AG56" s="89"/>
      <c r="AH56" s="89"/>
      <c r="AI56" s="89"/>
      <c r="AJ56" s="89"/>
      <c r="AK56" s="89"/>
      <c r="AL56" s="89"/>
      <c r="AM56" s="89"/>
      <c r="AN56" s="89"/>
      <c r="AO56" s="89"/>
      <c r="AP56" s="89"/>
      <c r="AQ56" s="89"/>
      <c r="AR56" s="89"/>
      <c r="AS56" s="89"/>
      <c r="AT56" s="89"/>
      <c r="AU56" s="89"/>
      <c r="AV56" s="89"/>
      <c r="AW56" s="100"/>
      <c r="AX56" s="100"/>
      <c r="AY56" s="89"/>
      <c r="AZ56" s="89"/>
      <c r="BA56" s="89"/>
      <c r="BB56" s="89"/>
      <c r="BC56" s="89"/>
      <c r="BD56" s="89"/>
      <c r="BE56" s="89"/>
      <c r="BF56" s="89"/>
      <c r="BG56" s="89"/>
      <c r="BH56" s="89"/>
      <c r="BI56" s="89"/>
      <c r="BJ56" s="89"/>
      <c r="BK56" s="89"/>
      <c r="BL56" s="89"/>
      <c r="BM56" s="89"/>
      <c r="BN56" s="89"/>
      <c r="BO56" s="89"/>
      <c r="BP56" s="89"/>
      <c r="BQ56" s="89"/>
      <c r="BR56" s="89"/>
      <c r="BS56" s="89"/>
    </row>
    <row r="57" spans="1:71" ht="27" customHeight="1" x14ac:dyDescent="0.2">
      <c r="A57" s="93"/>
      <c r="B57" s="89"/>
      <c r="C57" s="89"/>
      <c r="D57" s="89"/>
      <c r="E57" s="89"/>
      <c r="F57" s="89"/>
      <c r="G57" s="89"/>
      <c r="H57" s="94"/>
      <c r="I57" s="94"/>
      <c r="J57" s="94"/>
      <c r="K57" s="94"/>
      <c r="L57" s="94"/>
      <c r="M57" s="94"/>
      <c r="N57" s="94"/>
      <c r="O57" s="94"/>
      <c r="P57" s="94"/>
      <c r="Q57" s="94"/>
      <c r="R57" s="95"/>
      <c r="S57" s="94"/>
      <c r="T57" s="96"/>
      <c r="U57" s="94"/>
      <c r="V57" s="97"/>
      <c r="W57" s="94"/>
      <c r="X57" s="98"/>
      <c r="Y57" s="98"/>
      <c r="Z57" s="98"/>
      <c r="AA57" s="98"/>
      <c r="AB57" s="98"/>
      <c r="AC57" s="97"/>
      <c r="AD57" s="99"/>
      <c r="AE57" s="95"/>
      <c r="AF57" s="94"/>
      <c r="AG57" s="89"/>
      <c r="AH57" s="89"/>
      <c r="AI57" s="89"/>
      <c r="AJ57" s="89"/>
      <c r="AK57" s="89"/>
      <c r="AL57" s="89"/>
      <c r="AM57" s="89"/>
      <c r="AN57" s="89"/>
      <c r="AO57" s="89"/>
      <c r="AP57" s="89"/>
      <c r="AQ57" s="89"/>
      <c r="AR57" s="89"/>
      <c r="AS57" s="89"/>
      <c r="AT57" s="89"/>
      <c r="AU57" s="89"/>
      <c r="AV57" s="89"/>
      <c r="AW57" s="100"/>
      <c r="AX57" s="100"/>
      <c r="AY57" s="89"/>
      <c r="AZ57" s="89"/>
      <c r="BA57" s="89"/>
      <c r="BB57" s="89"/>
      <c r="BC57" s="89"/>
      <c r="BD57" s="89"/>
      <c r="BE57" s="89"/>
      <c r="BF57" s="89"/>
      <c r="BG57" s="89"/>
      <c r="BH57" s="89"/>
      <c r="BI57" s="89"/>
      <c r="BJ57" s="89"/>
      <c r="BK57" s="89"/>
      <c r="BL57" s="89"/>
      <c r="BM57" s="89"/>
      <c r="BN57" s="89"/>
      <c r="BO57" s="89"/>
      <c r="BP57" s="89"/>
      <c r="BQ57" s="89"/>
      <c r="BR57" s="89"/>
      <c r="BS57" s="89"/>
    </row>
    <row r="58" spans="1:71" ht="27" customHeight="1" x14ac:dyDescent="0.2">
      <c r="A58" s="93"/>
      <c r="B58" s="89"/>
      <c r="C58" s="89"/>
      <c r="D58" s="89"/>
      <c r="E58" s="89"/>
      <c r="F58" s="89"/>
      <c r="G58" s="89"/>
      <c r="H58" s="94"/>
      <c r="I58" s="94"/>
      <c r="J58" s="94"/>
      <c r="K58" s="94"/>
      <c r="L58" s="94"/>
      <c r="M58" s="94"/>
      <c r="N58" s="94"/>
      <c r="O58" s="94"/>
      <c r="P58" s="94"/>
      <c r="Q58" s="94"/>
      <c r="R58" s="95"/>
      <c r="S58" s="94"/>
      <c r="T58" s="96"/>
      <c r="U58" s="94"/>
      <c r="V58" s="97"/>
      <c r="W58" s="94"/>
      <c r="X58" s="98"/>
      <c r="Y58" s="98"/>
      <c r="Z58" s="98"/>
      <c r="AA58" s="98"/>
      <c r="AB58" s="98"/>
      <c r="AC58" s="97"/>
      <c r="AD58" s="99"/>
      <c r="AE58" s="95"/>
      <c r="AF58" s="94"/>
      <c r="AG58" s="89"/>
      <c r="AH58" s="89"/>
      <c r="AI58" s="89"/>
      <c r="AJ58" s="89"/>
      <c r="AK58" s="89"/>
      <c r="AL58" s="89"/>
      <c r="AM58" s="89"/>
      <c r="AN58" s="89"/>
      <c r="AO58" s="89"/>
      <c r="AP58" s="89"/>
      <c r="AQ58" s="89"/>
      <c r="AR58" s="89"/>
      <c r="AS58" s="89"/>
      <c r="AT58" s="89"/>
      <c r="AU58" s="89"/>
      <c r="AV58" s="89"/>
      <c r="AW58" s="100"/>
      <c r="AX58" s="100"/>
      <c r="AY58" s="89"/>
      <c r="AZ58" s="89"/>
      <c r="BA58" s="89"/>
      <c r="BB58" s="89"/>
      <c r="BC58" s="89"/>
      <c r="BD58" s="89"/>
      <c r="BE58" s="89"/>
      <c r="BF58" s="89"/>
      <c r="BG58" s="89"/>
      <c r="BH58" s="89"/>
      <c r="BI58" s="89"/>
      <c r="BJ58" s="89"/>
      <c r="BK58" s="89"/>
      <c r="BL58" s="89"/>
      <c r="BM58" s="89"/>
      <c r="BN58" s="89"/>
      <c r="BO58" s="89"/>
      <c r="BP58" s="89"/>
      <c r="BQ58" s="89"/>
      <c r="BR58" s="89"/>
      <c r="BS58" s="89"/>
    </row>
    <row r="59" spans="1:71" ht="27" customHeight="1" x14ac:dyDescent="0.2">
      <c r="A59" s="93"/>
      <c r="B59" s="89"/>
      <c r="C59" s="89"/>
      <c r="D59" s="89"/>
      <c r="E59" s="89"/>
      <c r="F59" s="89"/>
      <c r="G59" s="89"/>
      <c r="H59" s="94"/>
      <c r="I59" s="94"/>
      <c r="J59" s="94"/>
      <c r="K59" s="94"/>
      <c r="L59" s="94"/>
      <c r="M59" s="94"/>
      <c r="N59" s="94"/>
      <c r="O59" s="94"/>
      <c r="P59" s="94"/>
      <c r="Q59" s="94"/>
      <c r="R59" s="95"/>
      <c r="S59" s="94"/>
      <c r="T59" s="96"/>
      <c r="U59" s="94"/>
      <c r="V59" s="97"/>
      <c r="W59" s="94"/>
      <c r="X59" s="98"/>
      <c r="Y59" s="98"/>
      <c r="Z59" s="98"/>
      <c r="AA59" s="98"/>
      <c r="AB59" s="98"/>
      <c r="AC59" s="97"/>
      <c r="AD59" s="99"/>
      <c r="AE59" s="95"/>
      <c r="AF59" s="94"/>
      <c r="AG59" s="89"/>
      <c r="AH59" s="89"/>
      <c r="AI59" s="89"/>
      <c r="AJ59" s="89"/>
      <c r="AK59" s="89"/>
      <c r="AL59" s="89"/>
      <c r="AM59" s="89"/>
      <c r="AN59" s="89"/>
      <c r="AO59" s="89"/>
      <c r="AP59" s="89"/>
      <c r="AQ59" s="89"/>
      <c r="AR59" s="89"/>
      <c r="AS59" s="89"/>
      <c r="AT59" s="89"/>
      <c r="AU59" s="89"/>
      <c r="AV59" s="89"/>
      <c r="AW59" s="100"/>
      <c r="AX59" s="100"/>
      <c r="AY59" s="89"/>
      <c r="AZ59" s="89"/>
      <c r="BA59" s="89"/>
      <c r="BB59" s="89"/>
      <c r="BC59" s="89"/>
      <c r="BD59" s="89"/>
      <c r="BE59" s="89"/>
      <c r="BF59" s="89"/>
      <c r="BG59" s="89"/>
      <c r="BH59" s="89"/>
      <c r="BI59" s="89"/>
      <c r="BJ59" s="89"/>
      <c r="BK59" s="89"/>
      <c r="BL59" s="89"/>
      <c r="BM59" s="89"/>
      <c r="BN59" s="89"/>
      <c r="BO59" s="89"/>
      <c r="BP59" s="89"/>
      <c r="BQ59" s="89"/>
      <c r="BR59" s="89"/>
      <c r="BS59" s="89"/>
    </row>
    <row r="60" spans="1:71" ht="27" customHeight="1" x14ac:dyDescent="0.2">
      <c r="A60" s="93"/>
      <c r="B60" s="89"/>
      <c r="C60" s="89"/>
      <c r="D60" s="89"/>
      <c r="E60" s="89"/>
      <c r="F60" s="89"/>
      <c r="G60" s="89"/>
      <c r="H60" s="94"/>
      <c r="I60" s="94"/>
      <c r="J60" s="94"/>
      <c r="K60" s="94"/>
      <c r="L60" s="94"/>
      <c r="M60" s="94"/>
      <c r="N60" s="94"/>
      <c r="O60" s="94"/>
      <c r="P60" s="94"/>
      <c r="Q60" s="94"/>
      <c r="R60" s="95"/>
      <c r="S60" s="94"/>
      <c r="T60" s="96"/>
      <c r="U60" s="94"/>
      <c r="V60" s="97"/>
      <c r="W60" s="94"/>
      <c r="X60" s="98"/>
      <c r="Y60" s="98"/>
      <c r="Z60" s="98"/>
      <c r="AA60" s="98"/>
      <c r="AB60" s="98"/>
      <c r="AC60" s="97"/>
      <c r="AD60" s="99"/>
      <c r="AE60" s="95"/>
      <c r="AF60" s="94"/>
      <c r="AG60" s="89"/>
      <c r="AH60" s="89"/>
      <c r="AI60" s="89"/>
      <c r="AJ60" s="89"/>
      <c r="AK60" s="89"/>
      <c r="AL60" s="89"/>
      <c r="AM60" s="89"/>
      <c r="AN60" s="89"/>
      <c r="AO60" s="89"/>
      <c r="AP60" s="89"/>
      <c r="AQ60" s="89"/>
      <c r="AR60" s="89"/>
      <c r="AS60" s="89"/>
      <c r="AT60" s="89"/>
      <c r="AU60" s="89"/>
      <c r="AV60" s="89"/>
      <c r="AW60" s="100"/>
      <c r="AX60" s="100"/>
      <c r="AY60" s="89"/>
      <c r="AZ60" s="89"/>
      <c r="BA60" s="89"/>
      <c r="BB60" s="89"/>
      <c r="BC60" s="89"/>
      <c r="BD60" s="89"/>
      <c r="BE60" s="89"/>
      <c r="BF60" s="89"/>
      <c r="BG60" s="89"/>
      <c r="BH60" s="89"/>
      <c r="BI60" s="89"/>
      <c r="BJ60" s="89"/>
      <c r="BK60" s="89"/>
      <c r="BL60" s="89"/>
      <c r="BM60" s="89"/>
      <c r="BN60" s="89"/>
      <c r="BO60" s="89"/>
      <c r="BP60" s="89"/>
      <c r="BQ60" s="89"/>
      <c r="BR60" s="89"/>
      <c r="BS60" s="89"/>
    </row>
    <row r="61" spans="1:71" ht="27" customHeight="1" x14ac:dyDescent="0.2">
      <c r="A61" s="93"/>
      <c r="B61" s="89"/>
      <c r="C61" s="89"/>
      <c r="D61" s="89"/>
      <c r="E61" s="89"/>
      <c r="F61" s="89"/>
      <c r="G61" s="89"/>
      <c r="H61" s="94"/>
      <c r="I61" s="94"/>
      <c r="J61" s="94"/>
      <c r="K61" s="94"/>
      <c r="L61" s="94"/>
      <c r="M61" s="94"/>
      <c r="N61" s="94"/>
      <c r="O61" s="94"/>
      <c r="P61" s="94"/>
      <c r="Q61" s="94"/>
      <c r="R61" s="95"/>
      <c r="S61" s="94"/>
      <c r="T61" s="96"/>
      <c r="U61" s="94"/>
      <c r="V61" s="97"/>
      <c r="W61" s="94"/>
      <c r="X61" s="98"/>
      <c r="Y61" s="98"/>
      <c r="Z61" s="98"/>
      <c r="AA61" s="98"/>
      <c r="AB61" s="98"/>
      <c r="AC61" s="97"/>
      <c r="AD61" s="99"/>
      <c r="AE61" s="95"/>
      <c r="AF61" s="94"/>
      <c r="AG61" s="89"/>
      <c r="AH61" s="89"/>
      <c r="AI61" s="89"/>
      <c r="AJ61" s="89"/>
      <c r="AK61" s="89"/>
      <c r="AL61" s="89"/>
      <c r="AM61" s="89"/>
      <c r="AN61" s="89"/>
      <c r="AO61" s="89"/>
      <c r="AP61" s="89"/>
      <c r="AQ61" s="89"/>
      <c r="AR61" s="89"/>
      <c r="AS61" s="89"/>
      <c r="AT61" s="89"/>
      <c r="AU61" s="89"/>
      <c r="AV61" s="89"/>
      <c r="AW61" s="100"/>
      <c r="AX61" s="100"/>
      <c r="AY61" s="89"/>
      <c r="AZ61" s="89"/>
      <c r="BA61" s="89"/>
      <c r="BB61" s="89"/>
      <c r="BC61" s="89"/>
      <c r="BD61" s="89"/>
      <c r="BE61" s="89"/>
      <c r="BF61" s="89"/>
      <c r="BG61" s="89"/>
      <c r="BH61" s="89"/>
      <c r="BI61" s="89"/>
      <c r="BJ61" s="89"/>
      <c r="BK61" s="89"/>
      <c r="BL61" s="89"/>
      <c r="BM61" s="89"/>
      <c r="BN61" s="89"/>
      <c r="BO61" s="89"/>
      <c r="BP61" s="89"/>
      <c r="BQ61" s="89"/>
      <c r="BR61" s="89"/>
      <c r="BS61" s="89"/>
    </row>
    <row r="62" spans="1:71" ht="27" customHeight="1" x14ac:dyDescent="0.2">
      <c r="A62" s="93"/>
      <c r="B62" s="89"/>
      <c r="C62" s="89"/>
      <c r="D62" s="89"/>
      <c r="E62" s="89"/>
      <c r="F62" s="89"/>
      <c r="G62" s="89"/>
      <c r="H62" s="94"/>
      <c r="I62" s="94"/>
      <c r="J62" s="94"/>
      <c r="K62" s="94"/>
      <c r="L62" s="94"/>
      <c r="M62" s="94"/>
      <c r="N62" s="94"/>
      <c r="O62" s="94"/>
      <c r="P62" s="94"/>
      <c r="Q62" s="94"/>
      <c r="R62" s="95"/>
      <c r="S62" s="94"/>
      <c r="T62" s="96"/>
      <c r="U62" s="94"/>
      <c r="V62" s="97"/>
      <c r="W62" s="94"/>
      <c r="X62" s="98"/>
      <c r="Y62" s="98"/>
      <c r="Z62" s="98"/>
      <c r="AA62" s="98"/>
      <c r="AB62" s="98"/>
      <c r="AC62" s="97"/>
      <c r="AD62" s="99"/>
      <c r="AE62" s="95"/>
      <c r="AF62" s="94"/>
      <c r="AG62" s="89"/>
      <c r="AH62" s="89"/>
      <c r="AI62" s="89"/>
      <c r="AJ62" s="89"/>
      <c r="AK62" s="89"/>
      <c r="AL62" s="89"/>
      <c r="AM62" s="89"/>
      <c r="AN62" s="89"/>
      <c r="AO62" s="89"/>
      <c r="AP62" s="89"/>
      <c r="AQ62" s="89"/>
      <c r="AR62" s="89"/>
      <c r="AS62" s="89"/>
      <c r="AT62" s="89"/>
      <c r="AU62" s="89"/>
      <c r="AV62" s="89"/>
      <c r="AW62" s="100"/>
      <c r="AX62" s="100"/>
      <c r="AY62" s="89"/>
      <c r="AZ62" s="89"/>
      <c r="BA62" s="89"/>
      <c r="BB62" s="89"/>
      <c r="BC62" s="89"/>
      <c r="BD62" s="89"/>
      <c r="BE62" s="89"/>
      <c r="BF62" s="89"/>
      <c r="BG62" s="89"/>
      <c r="BH62" s="89"/>
      <c r="BI62" s="89"/>
      <c r="BJ62" s="89"/>
      <c r="BK62" s="89"/>
      <c r="BL62" s="89"/>
      <c r="BM62" s="89"/>
      <c r="BN62" s="89"/>
      <c r="BO62" s="89"/>
      <c r="BP62" s="89"/>
      <c r="BQ62" s="89"/>
      <c r="BR62" s="89"/>
      <c r="BS62" s="89"/>
    </row>
    <row r="63" spans="1:71" ht="27" customHeight="1" x14ac:dyDescent="0.2">
      <c r="A63" s="93"/>
      <c r="B63" s="89"/>
      <c r="C63" s="89"/>
      <c r="D63" s="89"/>
      <c r="E63" s="89"/>
      <c r="F63" s="89"/>
      <c r="G63" s="89"/>
      <c r="H63" s="94"/>
      <c r="I63" s="94"/>
      <c r="J63" s="94"/>
      <c r="K63" s="94"/>
      <c r="L63" s="94"/>
      <c r="M63" s="94"/>
      <c r="N63" s="94"/>
      <c r="O63" s="94"/>
      <c r="P63" s="94"/>
      <c r="Q63" s="94"/>
      <c r="R63" s="95"/>
      <c r="S63" s="94"/>
      <c r="T63" s="96"/>
      <c r="U63" s="94"/>
      <c r="V63" s="97"/>
      <c r="W63" s="94"/>
      <c r="X63" s="98"/>
      <c r="Y63" s="98"/>
      <c r="Z63" s="98"/>
      <c r="AA63" s="98"/>
      <c r="AB63" s="98"/>
      <c r="AC63" s="97"/>
      <c r="AD63" s="99"/>
      <c r="AE63" s="95"/>
      <c r="AF63" s="94"/>
      <c r="AG63" s="89"/>
      <c r="AH63" s="89"/>
      <c r="AI63" s="89"/>
      <c r="AJ63" s="89"/>
      <c r="AK63" s="89"/>
      <c r="AL63" s="89"/>
      <c r="AM63" s="89"/>
      <c r="AN63" s="89"/>
      <c r="AO63" s="89"/>
      <c r="AP63" s="89"/>
      <c r="AQ63" s="89"/>
      <c r="AR63" s="89"/>
      <c r="AS63" s="89"/>
      <c r="AT63" s="89"/>
      <c r="AU63" s="89"/>
      <c r="AV63" s="89"/>
      <c r="AW63" s="100"/>
      <c r="AX63" s="100"/>
      <c r="AY63" s="89"/>
      <c r="AZ63" s="89"/>
      <c r="BA63" s="89"/>
      <c r="BB63" s="89"/>
      <c r="BC63" s="89"/>
      <c r="BD63" s="89"/>
      <c r="BE63" s="89"/>
      <c r="BF63" s="89"/>
      <c r="BG63" s="89"/>
      <c r="BH63" s="89"/>
      <c r="BI63" s="89"/>
      <c r="BJ63" s="89"/>
      <c r="BK63" s="89"/>
      <c r="BL63" s="89"/>
      <c r="BM63" s="89"/>
      <c r="BN63" s="89"/>
      <c r="BO63" s="89"/>
      <c r="BP63" s="89"/>
      <c r="BQ63" s="89"/>
      <c r="BR63" s="89"/>
      <c r="BS63" s="89"/>
    </row>
    <row r="64" spans="1:71" ht="27" customHeight="1" x14ac:dyDescent="0.2">
      <c r="A64" s="93"/>
      <c r="B64" s="89"/>
      <c r="C64" s="89"/>
      <c r="D64" s="89"/>
      <c r="E64" s="89"/>
      <c r="F64" s="89"/>
      <c r="G64" s="89"/>
      <c r="H64" s="94"/>
      <c r="I64" s="94"/>
      <c r="J64" s="94"/>
      <c r="K64" s="94"/>
      <c r="L64" s="94"/>
      <c r="M64" s="94"/>
      <c r="N64" s="94"/>
      <c r="O64" s="94"/>
      <c r="P64" s="94"/>
      <c r="Q64" s="94"/>
      <c r="R64" s="95"/>
      <c r="S64" s="94"/>
      <c r="T64" s="96"/>
      <c r="U64" s="94"/>
      <c r="V64" s="97"/>
      <c r="W64" s="94"/>
      <c r="X64" s="98"/>
      <c r="Y64" s="98"/>
      <c r="Z64" s="98"/>
      <c r="AA64" s="98"/>
      <c r="AB64" s="98"/>
      <c r="AC64" s="97"/>
      <c r="AD64" s="99"/>
      <c r="AE64" s="95"/>
      <c r="AF64" s="94"/>
      <c r="AG64" s="89"/>
      <c r="AH64" s="89"/>
      <c r="AI64" s="89"/>
      <c r="AJ64" s="89"/>
      <c r="AK64" s="89"/>
      <c r="AL64" s="89"/>
      <c r="AM64" s="89"/>
      <c r="AN64" s="89"/>
      <c r="AO64" s="89"/>
      <c r="AP64" s="89"/>
      <c r="AQ64" s="89"/>
      <c r="AR64" s="89"/>
      <c r="AS64" s="89"/>
      <c r="AT64" s="89"/>
      <c r="AU64" s="89"/>
      <c r="AV64" s="89"/>
      <c r="AW64" s="100"/>
      <c r="AX64" s="100"/>
      <c r="AY64" s="89"/>
      <c r="AZ64" s="89"/>
      <c r="BA64" s="89"/>
      <c r="BB64" s="89"/>
      <c r="BC64" s="89"/>
      <c r="BD64" s="89"/>
      <c r="BE64" s="89"/>
      <c r="BF64" s="89"/>
      <c r="BG64" s="89"/>
      <c r="BH64" s="89"/>
      <c r="BI64" s="89"/>
      <c r="BJ64" s="89"/>
      <c r="BK64" s="89"/>
      <c r="BL64" s="89"/>
      <c r="BM64" s="89"/>
      <c r="BN64" s="89"/>
      <c r="BO64" s="89"/>
      <c r="BP64" s="89"/>
      <c r="BQ64" s="89"/>
      <c r="BR64" s="89"/>
      <c r="BS64" s="89"/>
    </row>
    <row r="65" spans="1:71" ht="27" customHeight="1" x14ac:dyDescent="0.2">
      <c r="A65" s="93"/>
      <c r="B65" s="89"/>
      <c r="C65" s="89"/>
      <c r="D65" s="89"/>
      <c r="E65" s="89"/>
      <c r="F65" s="89"/>
      <c r="G65" s="89"/>
      <c r="H65" s="94"/>
      <c r="I65" s="94"/>
      <c r="J65" s="94"/>
      <c r="K65" s="94"/>
      <c r="L65" s="94"/>
      <c r="M65" s="94"/>
      <c r="N65" s="94"/>
      <c r="O65" s="94"/>
      <c r="P65" s="94"/>
      <c r="Q65" s="94"/>
      <c r="R65" s="95"/>
      <c r="S65" s="94"/>
      <c r="T65" s="96"/>
      <c r="U65" s="94"/>
      <c r="V65" s="97"/>
      <c r="W65" s="94"/>
      <c r="X65" s="98"/>
      <c r="Y65" s="98"/>
      <c r="Z65" s="98"/>
      <c r="AA65" s="98"/>
      <c r="AB65" s="98"/>
      <c r="AC65" s="97"/>
      <c r="AD65" s="99"/>
      <c r="AE65" s="95"/>
      <c r="AF65" s="94"/>
      <c r="AG65" s="89"/>
      <c r="AH65" s="89"/>
      <c r="AI65" s="89"/>
      <c r="AJ65" s="89"/>
      <c r="AK65" s="89"/>
      <c r="AL65" s="89"/>
      <c r="AM65" s="89"/>
      <c r="AN65" s="89"/>
      <c r="AO65" s="89"/>
      <c r="AP65" s="89"/>
      <c r="AQ65" s="89"/>
      <c r="AR65" s="89"/>
      <c r="AS65" s="89"/>
      <c r="AT65" s="89"/>
      <c r="AU65" s="89"/>
      <c r="AV65" s="89"/>
      <c r="AW65" s="100"/>
      <c r="AX65" s="100"/>
      <c r="AY65" s="89"/>
      <c r="AZ65" s="89"/>
      <c r="BA65" s="89"/>
      <c r="BB65" s="89"/>
      <c r="BC65" s="89"/>
      <c r="BD65" s="89"/>
      <c r="BE65" s="89"/>
      <c r="BF65" s="89"/>
      <c r="BG65" s="89"/>
      <c r="BH65" s="89"/>
      <c r="BI65" s="89"/>
      <c r="BJ65" s="89"/>
      <c r="BK65" s="89"/>
      <c r="BL65" s="89"/>
      <c r="BM65" s="89"/>
      <c r="BN65" s="89"/>
      <c r="BO65" s="89"/>
      <c r="BP65" s="89"/>
      <c r="BQ65" s="89"/>
      <c r="BR65" s="89"/>
      <c r="BS65" s="89"/>
    </row>
    <row r="66" spans="1:71" ht="27" customHeight="1" x14ac:dyDescent="0.2">
      <c r="A66" s="93"/>
      <c r="B66" s="89"/>
      <c r="C66" s="89"/>
      <c r="D66" s="89"/>
      <c r="E66" s="89"/>
      <c r="F66" s="89"/>
      <c r="G66" s="89"/>
      <c r="H66" s="94"/>
      <c r="I66" s="94"/>
      <c r="J66" s="94"/>
      <c r="K66" s="94"/>
      <c r="L66" s="94"/>
      <c r="M66" s="94"/>
      <c r="N66" s="94"/>
      <c r="O66" s="94"/>
      <c r="P66" s="94"/>
      <c r="Q66" s="94"/>
      <c r="R66" s="95"/>
      <c r="S66" s="94"/>
      <c r="T66" s="96"/>
      <c r="U66" s="94"/>
      <c r="V66" s="97"/>
      <c r="W66" s="94"/>
      <c r="X66" s="98"/>
      <c r="Y66" s="98"/>
      <c r="Z66" s="98"/>
      <c r="AA66" s="98"/>
      <c r="AB66" s="98"/>
      <c r="AC66" s="97"/>
      <c r="AD66" s="99"/>
      <c r="AE66" s="95"/>
      <c r="AF66" s="94"/>
      <c r="AG66" s="89"/>
      <c r="AH66" s="89"/>
      <c r="AI66" s="89"/>
      <c r="AJ66" s="89"/>
      <c r="AK66" s="89"/>
      <c r="AL66" s="89"/>
      <c r="AM66" s="89"/>
      <c r="AN66" s="89"/>
      <c r="AO66" s="89"/>
      <c r="AP66" s="89"/>
      <c r="AQ66" s="89"/>
      <c r="AR66" s="89"/>
      <c r="AS66" s="89"/>
      <c r="AT66" s="89"/>
      <c r="AU66" s="89"/>
      <c r="AV66" s="89"/>
      <c r="AW66" s="100"/>
      <c r="AX66" s="100"/>
      <c r="AY66" s="89"/>
      <c r="AZ66" s="89"/>
      <c r="BA66" s="89"/>
      <c r="BB66" s="89"/>
      <c r="BC66" s="89"/>
      <c r="BD66" s="89"/>
      <c r="BE66" s="89"/>
      <c r="BF66" s="89"/>
      <c r="BG66" s="89"/>
      <c r="BH66" s="89"/>
      <c r="BI66" s="89"/>
      <c r="BJ66" s="89"/>
      <c r="BK66" s="89"/>
      <c r="BL66" s="89"/>
      <c r="BM66" s="89"/>
      <c r="BN66" s="89"/>
      <c r="BO66" s="89"/>
      <c r="BP66" s="89"/>
      <c r="BQ66" s="89"/>
      <c r="BR66" s="89"/>
      <c r="BS66" s="89"/>
    </row>
    <row r="67" spans="1:71" ht="27" customHeight="1" x14ac:dyDescent="0.2">
      <c r="A67" s="93"/>
      <c r="B67" s="89"/>
      <c r="C67" s="89"/>
      <c r="D67" s="89"/>
      <c r="E67" s="89"/>
      <c r="F67" s="89"/>
      <c r="G67" s="89"/>
      <c r="H67" s="94"/>
      <c r="I67" s="94"/>
      <c r="J67" s="94"/>
      <c r="K67" s="94"/>
      <c r="L67" s="94"/>
      <c r="M67" s="94"/>
      <c r="N67" s="94"/>
      <c r="O67" s="94"/>
      <c r="P67" s="94"/>
      <c r="Q67" s="94"/>
      <c r="R67" s="95"/>
      <c r="S67" s="94"/>
      <c r="T67" s="96"/>
      <c r="U67" s="94"/>
      <c r="V67" s="97"/>
      <c r="W67" s="94"/>
      <c r="X67" s="98"/>
      <c r="Y67" s="98"/>
      <c r="Z67" s="98"/>
      <c r="AA67" s="98"/>
      <c r="AB67" s="98"/>
      <c r="AC67" s="97"/>
      <c r="AD67" s="99"/>
      <c r="AE67" s="95"/>
      <c r="AF67" s="94"/>
      <c r="AG67" s="89"/>
      <c r="AH67" s="89"/>
      <c r="AI67" s="89"/>
      <c r="AJ67" s="89"/>
      <c r="AK67" s="89"/>
      <c r="AL67" s="89"/>
      <c r="AM67" s="89"/>
      <c r="AN67" s="89"/>
      <c r="AO67" s="89"/>
      <c r="AP67" s="89"/>
      <c r="AQ67" s="89"/>
      <c r="AR67" s="89"/>
      <c r="AS67" s="89"/>
      <c r="AT67" s="89"/>
      <c r="AU67" s="89"/>
      <c r="AV67" s="89"/>
      <c r="AW67" s="100"/>
      <c r="AX67" s="100"/>
      <c r="AY67" s="89"/>
      <c r="AZ67" s="89"/>
      <c r="BA67" s="89"/>
      <c r="BB67" s="89"/>
      <c r="BC67" s="89"/>
      <c r="BD67" s="89"/>
      <c r="BE67" s="89"/>
      <c r="BF67" s="89"/>
      <c r="BG67" s="89"/>
      <c r="BH67" s="89"/>
      <c r="BI67" s="89"/>
      <c r="BJ67" s="89"/>
      <c r="BK67" s="89"/>
      <c r="BL67" s="89"/>
      <c r="BM67" s="89"/>
      <c r="BN67" s="89"/>
      <c r="BO67" s="89"/>
      <c r="BP67" s="89"/>
      <c r="BQ67" s="89"/>
      <c r="BR67" s="89"/>
      <c r="BS67" s="89"/>
    </row>
    <row r="68" spans="1:71" ht="27" customHeight="1" x14ac:dyDescent="0.2">
      <c r="A68" s="93"/>
      <c r="B68" s="89"/>
      <c r="C68" s="89"/>
      <c r="D68" s="89"/>
      <c r="E68" s="89"/>
      <c r="F68" s="89"/>
      <c r="G68" s="89"/>
      <c r="H68" s="94"/>
      <c r="I68" s="94"/>
      <c r="J68" s="94"/>
      <c r="K68" s="94"/>
      <c r="L68" s="94"/>
      <c r="M68" s="94"/>
      <c r="N68" s="94"/>
      <c r="O68" s="94"/>
      <c r="P68" s="94"/>
      <c r="Q68" s="94"/>
      <c r="R68" s="95"/>
      <c r="S68" s="94"/>
      <c r="T68" s="96"/>
      <c r="U68" s="94"/>
      <c r="V68" s="97"/>
      <c r="W68" s="94"/>
      <c r="X68" s="98"/>
      <c r="Y68" s="98"/>
      <c r="Z68" s="98"/>
      <c r="AA68" s="98"/>
      <c r="AB68" s="98"/>
      <c r="AC68" s="97"/>
      <c r="AD68" s="99"/>
      <c r="AE68" s="95"/>
      <c r="AF68" s="94"/>
      <c r="AG68" s="89"/>
      <c r="AH68" s="89"/>
      <c r="AI68" s="89"/>
      <c r="AJ68" s="89"/>
      <c r="AK68" s="89"/>
      <c r="AL68" s="89"/>
      <c r="AM68" s="89"/>
      <c r="AN68" s="89"/>
      <c r="AO68" s="89"/>
      <c r="AP68" s="89"/>
      <c r="AQ68" s="89"/>
      <c r="AR68" s="89"/>
      <c r="AS68" s="89"/>
      <c r="AT68" s="89"/>
      <c r="AU68" s="89"/>
      <c r="AV68" s="89"/>
      <c r="AW68" s="100"/>
      <c r="AX68" s="100"/>
      <c r="AY68" s="89"/>
      <c r="AZ68" s="89"/>
      <c r="BA68" s="89"/>
      <c r="BB68" s="89"/>
      <c r="BC68" s="89"/>
      <c r="BD68" s="89"/>
      <c r="BE68" s="89"/>
      <c r="BF68" s="89"/>
      <c r="BG68" s="89"/>
      <c r="BH68" s="89"/>
      <c r="BI68" s="89"/>
      <c r="BJ68" s="89"/>
      <c r="BK68" s="89"/>
      <c r="BL68" s="89"/>
      <c r="BM68" s="89"/>
      <c r="BN68" s="89"/>
      <c r="BO68" s="89"/>
      <c r="BP68" s="89"/>
      <c r="BQ68" s="89"/>
      <c r="BR68" s="89"/>
      <c r="BS68" s="89"/>
    </row>
    <row r="69" spans="1:71" ht="27" customHeight="1" x14ac:dyDescent="0.2">
      <c r="A69" s="93"/>
      <c r="B69" s="89"/>
      <c r="C69" s="89"/>
      <c r="D69" s="89"/>
      <c r="E69" s="89"/>
      <c r="F69" s="89"/>
      <c r="G69" s="89"/>
      <c r="H69" s="94"/>
      <c r="I69" s="94"/>
      <c r="J69" s="94"/>
      <c r="K69" s="94"/>
      <c r="L69" s="94"/>
      <c r="M69" s="94"/>
      <c r="N69" s="94"/>
      <c r="O69" s="94"/>
      <c r="P69" s="94"/>
      <c r="Q69" s="94"/>
      <c r="R69" s="95"/>
      <c r="S69" s="94"/>
      <c r="T69" s="96"/>
      <c r="U69" s="94"/>
      <c r="V69" s="97"/>
      <c r="W69" s="94"/>
      <c r="X69" s="98"/>
      <c r="Y69" s="98"/>
      <c r="Z69" s="98"/>
      <c r="AA69" s="98"/>
      <c r="AB69" s="98"/>
      <c r="AC69" s="97"/>
      <c r="AD69" s="99"/>
      <c r="AE69" s="95"/>
      <c r="AF69" s="94"/>
      <c r="AG69" s="89"/>
      <c r="AH69" s="89"/>
      <c r="AI69" s="89"/>
      <c r="AJ69" s="89"/>
      <c r="AK69" s="89"/>
      <c r="AL69" s="89"/>
      <c r="AM69" s="89"/>
      <c r="AN69" s="89"/>
      <c r="AO69" s="89"/>
      <c r="AP69" s="89"/>
      <c r="AQ69" s="89"/>
      <c r="AR69" s="89"/>
      <c r="AS69" s="89"/>
      <c r="AT69" s="89"/>
      <c r="AU69" s="89"/>
      <c r="AV69" s="89"/>
      <c r="AW69" s="100"/>
      <c r="AX69" s="100"/>
      <c r="AY69" s="89"/>
      <c r="AZ69" s="89"/>
      <c r="BA69" s="89"/>
      <c r="BB69" s="89"/>
      <c r="BC69" s="89"/>
      <c r="BD69" s="89"/>
      <c r="BE69" s="89"/>
      <c r="BF69" s="89"/>
      <c r="BG69" s="89"/>
      <c r="BH69" s="89"/>
      <c r="BI69" s="89"/>
      <c r="BJ69" s="89"/>
      <c r="BK69" s="89"/>
      <c r="BL69" s="89"/>
      <c r="BM69" s="89"/>
      <c r="BN69" s="89"/>
      <c r="BO69" s="89"/>
      <c r="BP69" s="89"/>
      <c r="BQ69" s="89"/>
      <c r="BR69" s="89"/>
      <c r="BS69" s="89"/>
    </row>
    <row r="70" spans="1:71" ht="27" customHeight="1" x14ac:dyDescent="0.2">
      <c r="A70" s="93"/>
      <c r="B70" s="89"/>
      <c r="C70" s="89"/>
      <c r="D70" s="89"/>
      <c r="E70" s="89"/>
      <c r="F70" s="89"/>
      <c r="G70" s="89"/>
      <c r="H70" s="94"/>
      <c r="I70" s="94"/>
      <c r="J70" s="94"/>
      <c r="K70" s="94"/>
      <c r="L70" s="94"/>
      <c r="M70" s="94"/>
      <c r="N70" s="94"/>
      <c r="O70" s="94"/>
      <c r="P70" s="94"/>
      <c r="Q70" s="94"/>
      <c r="R70" s="95"/>
      <c r="S70" s="94"/>
      <c r="T70" s="96"/>
      <c r="U70" s="94"/>
      <c r="V70" s="97"/>
      <c r="W70" s="94"/>
      <c r="X70" s="98"/>
      <c r="Y70" s="98"/>
      <c r="Z70" s="98"/>
      <c r="AA70" s="98"/>
      <c r="AB70" s="98"/>
      <c r="AC70" s="97"/>
      <c r="AD70" s="99"/>
      <c r="AE70" s="95"/>
      <c r="AF70" s="94"/>
      <c r="AG70" s="89"/>
      <c r="AH70" s="89"/>
      <c r="AI70" s="89"/>
      <c r="AJ70" s="89"/>
      <c r="AK70" s="89"/>
      <c r="AL70" s="89"/>
      <c r="AM70" s="89"/>
      <c r="AN70" s="89"/>
      <c r="AO70" s="89"/>
      <c r="AP70" s="89"/>
      <c r="AQ70" s="89"/>
      <c r="AR70" s="89"/>
      <c r="AS70" s="89"/>
      <c r="AT70" s="89"/>
      <c r="AU70" s="89"/>
      <c r="AV70" s="89"/>
      <c r="AW70" s="100"/>
      <c r="AX70" s="100"/>
      <c r="AY70" s="89"/>
      <c r="AZ70" s="89"/>
      <c r="BA70" s="89"/>
      <c r="BB70" s="89"/>
      <c r="BC70" s="89"/>
      <c r="BD70" s="89"/>
      <c r="BE70" s="89"/>
      <c r="BF70" s="89"/>
      <c r="BG70" s="89"/>
      <c r="BH70" s="89"/>
      <c r="BI70" s="89"/>
      <c r="BJ70" s="89"/>
      <c r="BK70" s="89"/>
      <c r="BL70" s="89"/>
      <c r="BM70" s="89"/>
      <c r="BN70" s="89"/>
      <c r="BO70" s="89"/>
      <c r="BP70" s="89"/>
      <c r="BQ70" s="89"/>
      <c r="BR70" s="89"/>
      <c r="BS70" s="89"/>
    </row>
    <row r="71" spans="1:71" ht="27" customHeight="1" x14ac:dyDescent="0.2">
      <c r="A71" s="93"/>
      <c r="B71" s="89"/>
      <c r="C71" s="89"/>
      <c r="D71" s="89"/>
      <c r="E71" s="89"/>
      <c r="F71" s="89"/>
      <c r="G71" s="89"/>
      <c r="H71" s="94"/>
      <c r="I71" s="94"/>
      <c r="J71" s="94"/>
      <c r="K71" s="94"/>
      <c r="L71" s="94"/>
      <c r="M71" s="94"/>
      <c r="N71" s="94"/>
      <c r="O71" s="94"/>
      <c r="P71" s="94"/>
      <c r="Q71" s="94"/>
      <c r="R71" s="95"/>
      <c r="S71" s="94"/>
      <c r="T71" s="96"/>
      <c r="U71" s="94"/>
      <c r="V71" s="97"/>
      <c r="W71" s="94"/>
      <c r="X71" s="98"/>
      <c r="Y71" s="98"/>
      <c r="Z71" s="98"/>
      <c r="AA71" s="98"/>
      <c r="AB71" s="98"/>
      <c r="AC71" s="97"/>
      <c r="AD71" s="99"/>
      <c r="AE71" s="95"/>
      <c r="AF71" s="94"/>
      <c r="AG71" s="89"/>
      <c r="AH71" s="89"/>
      <c r="AI71" s="89"/>
      <c r="AJ71" s="89"/>
      <c r="AK71" s="89"/>
      <c r="AL71" s="89"/>
      <c r="AM71" s="89"/>
      <c r="AN71" s="89"/>
      <c r="AO71" s="89"/>
      <c r="AP71" s="89"/>
      <c r="AQ71" s="89"/>
      <c r="AR71" s="89"/>
      <c r="AS71" s="89"/>
      <c r="AT71" s="89"/>
      <c r="AU71" s="89"/>
      <c r="AV71" s="89"/>
      <c r="AW71" s="100"/>
      <c r="AX71" s="100"/>
      <c r="AY71" s="89"/>
      <c r="AZ71" s="89"/>
      <c r="BA71" s="89"/>
      <c r="BB71" s="89"/>
      <c r="BC71" s="89"/>
      <c r="BD71" s="89"/>
      <c r="BE71" s="89"/>
      <c r="BF71" s="89"/>
      <c r="BG71" s="89"/>
      <c r="BH71" s="89"/>
      <c r="BI71" s="89"/>
      <c r="BJ71" s="89"/>
      <c r="BK71" s="89"/>
      <c r="BL71" s="89"/>
      <c r="BM71" s="89"/>
      <c r="BN71" s="89"/>
      <c r="BO71" s="89"/>
      <c r="BP71" s="89"/>
      <c r="BQ71" s="89"/>
      <c r="BR71" s="89"/>
      <c r="BS71" s="89"/>
    </row>
    <row r="72" spans="1:71" ht="27" customHeight="1" x14ac:dyDescent="0.2">
      <c r="A72" s="93"/>
      <c r="B72" s="89"/>
      <c r="C72" s="89"/>
      <c r="D72" s="89"/>
      <c r="E72" s="89"/>
      <c r="F72" s="89"/>
      <c r="G72" s="89"/>
      <c r="H72" s="94"/>
      <c r="I72" s="94"/>
      <c r="J72" s="94"/>
      <c r="K72" s="94"/>
      <c r="L72" s="94"/>
      <c r="M72" s="94"/>
      <c r="N72" s="94"/>
      <c r="O72" s="94"/>
      <c r="P72" s="94"/>
      <c r="Q72" s="94"/>
      <c r="R72" s="95"/>
      <c r="S72" s="94"/>
      <c r="T72" s="96"/>
      <c r="U72" s="94"/>
      <c r="V72" s="97"/>
      <c r="W72" s="94"/>
      <c r="X72" s="98"/>
      <c r="Y72" s="98"/>
      <c r="Z72" s="98"/>
      <c r="AA72" s="98"/>
      <c r="AB72" s="98"/>
      <c r="AC72" s="97"/>
      <c r="AD72" s="99"/>
      <c r="AE72" s="95"/>
      <c r="AF72" s="94"/>
      <c r="AG72" s="89"/>
      <c r="AH72" s="89"/>
      <c r="AI72" s="89"/>
      <c r="AJ72" s="89"/>
      <c r="AK72" s="89"/>
      <c r="AL72" s="89"/>
      <c r="AM72" s="89"/>
      <c r="AN72" s="89"/>
      <c r="AO72" s="89"/>
      <c r="AP72" s="89"/>
      <c r="AQ72" s="89"/>
      <c r="AR72" s="89"/>
      <c r="AS72" s="89"/>
      <c r="AT72" s="89"/>
      <c r="AU72" s="89"/>
      <c r="AV72" s="89"/>
      <c r="AW72" s="100"/>
      <c r="AX72" s="100"/>
      <c r="AY72" s="89"/>
      <c r="AZ72" s="89"/>
      <c r="BA72" s="89"/>
      <c r="BB72" s="89"/>
      <c r="BC72" s="89"/>
      <c r="BD72" s="89"/>
      <c r="BE72" s="89"/>
      <c r="BF72" s="89"/>
      <c r="BG72" s="89"/>
      <c r="BH72" s="89"/>
      <c r="BI72" s="89"/>
      <c r="BJ72" s="89"/>
      <c r="BK72" s="89"/>
      <c r="BL72" s="89"/>
      <c r="BM72" s="89"/>
      <c r="BN72" s="89"/>
      <c r="BO72" s="89"/>
      <c r="BP72" s="89"/>
      <c r="BQ72" s="89"/>
      <c r="BR72" s="89"/>
      <c r="BS72" s="89"/>
    </row>
    <row r="73" spans="1:71" ht="27" customHeight="1" x14ac:dyDescent="0.2">
      <c r="A73" s="93"/>
      <c r="B73" s="89"/>
      <c r="C73" s="89"/>
      <c r="D73" s="89"/>
      <c r="E73" s="89"/>
      <c r="F73" s="89"/>
      <c r="G73" s="89"/>
      <c r="H73" s="94"/>
      <c r="I73" s="94"/>
      <c r="J73" s="94"/>
      <c r="K73" s="94"/>
      <c r="L73" s="94"/>
      <c r="M73" s="94"/>
      <c r="N73" s="94"/>
      <c r="O73" s="94"/>
      <c r="P73" s="94"/>
      <c r="Q73" s="94"/>
      <c r="R73" s="95"/>
      <c r="S73" s="94"/>
      <c r="T73" s="96"/>
      <c r="U73" s="94"/>
      <c r="V73" s="97"/>
      <c r="W73" s="94"/>
      <c r="X73" s="98"/>
      <c r="Y73" s="98"/>
      <c r="Z73" s="98"/>
      <c r="AA73" s="98"/>
      <c r="AB73" s="98"/>
      <c r="AC73" s="97"/>
      <c r="AD73" s="99"/>
      <c r="AE73" s="95"/>
      <c r="AF73" s="94"/>
      <c r="AG73" s="89"/>
      <c r="AH73" s="89"/>
      <c r="AI73" s="89"/>
      <c r="AJ73" s="89"/>
      <c r="AK73" s="89"/>
      <c r="AL73" s="89"/>
      <c r="AM73" s="89"/>
      <c r="AN73" s="89"/>
      <c r="AO73" s="89"/>
      <c r="AP73" s="89"/>
      <c r="AQ73" s="89"/>
      <c r="AR73" s="89"/>
      <c r="AS73" s="89"/>
      <c r="AT73" s="89"/>
      <c r="AU73" s="89"/>
      <c r="AV73" s="89"/>
      <c r="AW73" s="100"/>
      <c r="AX73" s="100"/>
      <c r="AY73" s="89"/>
      <c r="AZ73" s="89"/>
      <c r="BA73" s="89"/>
      <c r="BB73" s="89"/>
      <c r="BC73" s="89"/>
      <c r="BD73" s="89"/>
      <c r="BE73" s="89"/>
      <c r="BF73" s="89"/>
      <c r="BG73" s="89"/>
      <c r="BH73" s="89"/>
      <c r="BI73" s="89"/>
      <c r="BJ73" s="89"/>
      <c r="BK73" s="89"/>
      <c r="BL73" s="89"/>
      <c r="BM73" s="89"/>
      <c r="BN73" s="89"/>
      <c r="BO73" s="89"/>
      <c r="BP73" s="89"/>
      <c r="BQ73" s="89"/>
      <c r="BR73" s="89"/>
      <c r="BS73" s="89"/>
    </row>
    <row r="74" spans="1:71" ht="27" customHeight="1" x14ac:dyDescent="0.2">
      <c r="A74" s="93"/>
      <c r="B74" s="89"/>
      <c r="C74" s="89"/>
      <c r="D74" s="89"/>
      <c r="E74" s="89"/>
      <c r="F74" s="89"/>
      <c r="G74" s="89"/>
      <c r="H74" s="94"/>
      <c r="I74" s="94"/>
      <c r="J74" s="94"/>
      <c r="K74" s="94"/>
      <c r="L74" s="94"/>
      <c r="M74" s="94"/>
      <c r="N74" s="94"/>
      <c r="O74" s="94"/>
      <c r="P74" s="94"/>
      <c r="Q74" s="94"/>
      <c r="R74" s="95"/>
      <c r="S74" s="94"/>
      <c r="T74" s="96"/>
      <c r="U74" s="94"/>
      <c r="V74" s="97"/>
      <c r="W74" s="94"/>
      <c r="X74" s="98"/>
      <c r="Y74" s="98"/>
      <c r="Z74" s="98"/>
      <c r="AA74" s="98"/>
      <c r="AB74" s="98"/>
      <c r="AC74" s="97"/>
      <c r="AD74" s="99"/>
      <c r="AE74" s="95"/>
      <c r="AF74" s="94"/>
      <c r="AG74" s="89"/>
      <c r="AH74" s="89"/>
      <c r="AI74" s="89"/>
      <c r="AJ74" s="89"/>
      <c r="AK74" s="89"/>
      <c r="AL74" s="89"/>
      <c r="AM74" s="89"/>
      <c r="AN74" s="89"/>
      <c r="AO74" s="89"/>
      <c r="AP74" s="89"/>
      <c r="AQ74" s="89"/>
      <c r="AR74" s="89"/>
      <c r="AS74" s="89"/>
      <c r="AT74" s="89"/>
      <c r="AU74" s="89"/>
      <c r="AV74" s="89"/>
      <c r="AW74" s="100"/>
      <c r="AX74" s="100"/>
      <c r="AY74" s="89"/>
      <c r="AZ74" s="89"/>
      <c r="BA74" s="89"/>
      <c r="BB74" s="89"/>
      <c r="BC74" s="89"/>
      <c r="BD74" s="89"/>
      <c r="BE74" s="89"/>
      <c r="BF74" s="89"/>
      <c r="BG74" s="89"/>
      <c r="BH74" s="89"/>
      <c r="BI74" s="89"/>
      <c r="BJ74" s="89"/>
      <c r="BK74" s="89"/>
      <c r="BL74" s="89"/>
      <c r="BM74" s="89"/>
      <c r="BN74" s="89"/>
      <c r="BO74" s="89"/>
      <c r="BP74" s="89"/>
      <c r="BQ74" s="89"/>
      <c r="BR74" s="89"/>
      <c r="BS74" s="89"/>
    </row>
    <row r="75" spans="1:71" ht="27" customHeight="1" x14ac:dyDescent="0.2">
      <c r="A75" s="93"/>
      <c r="B75" s="89"/>
      <c r="C75" s="89"/>
      <c r="D75" s="89"/>
      <c r="E75" s="89"/>
      <c r="F75" s="89"/>
      <c r="G75" s="89"/>
      <c r="H75" s="94"/>
      <c r="I75" s="94"/>
      <c r="J75" s="94"/>
      <c r="K75" s="94"/>
      <c r="L75" s="94"/>
      <c r="M75" s="94"/>
      <c r="N75" s="94"/>
      <c r="O75" s="94"/>
      <c r="P75" s="94"/>
      <c r="Q75" s="94"/>
      <c r="R75" s="95"/>
      <c r="S75" s="94"/>
      <c r="T75" s="96"/>
      <c r="U75" s="94"/>
      <c r="V75" s="97"/>
      <c r="W75" s="94"/>
      <c r="X75" s="98"/>
      <c r="Y75" s="98"/>
      <c r="Z75" s="98"/>
      <c r="AA75" s="98"/>
      <c r="AB75" s="98"/>
      <c r="AC75" s="97"/>
      <c r="AD75" s="99"/>
      <c r="AE75" s="95"/>
      <c r="AF75" s="94"/>
      <c r="AG75" s="89"/>
      <c r="AH75" s="89"/>
      <c r="AI75" s="89"/>
      <c r="AJ75" s="89"/>
      <c r="AK75" s="89"/>
      <c r="AL75" s="89"/>
      <c r="AM75" s="89"/>
      <c r="AN75" s="89"/>
      <c r="AO75" s="89"/>
      <c r="AP75" s="89"/>
      <c r="AQ75" s="89"/>
      <c r="AR75" s="89"/>
      <c r="AS75" s="89"/>
      <c r="AT75" s="89"/>
      <c r="AU75" s="89"/>
      <c r="AV75" s="89"/>
      <c r="AW75" s="100"/>
      <c r="AX75" s="100"/>
      <c r="AY75" s="89"/>
      <c r="AZ75" s="89"/>
      <c r="BA75" s="89"/>
      <c r="BB75" s="89"/>
      <c r="BC75" s="89"/>
      <c r="BD75" s="89"/>
      <c r="BE75" s="89"/>
      <c r="BF75" s="89"/>
      <c r="BG75" s="89"/>
      <c r="BH75" s="89"/>
      <c r="BI75" s="89"/>
      <c r="BJ75" s="89"/>
      <c r="BK75" s="89"/>
      <c r="BL75" s="89"/>
      <c r="BM75" s="89"/>
      <c r="BN75" s="89"/>
      <c r="BO75" s="89"/>
      <c r="BP75" s="89"/>
      <c r="BQ75" s="89"/>
      <c r="BR75" s="89"/>
      <c r="BS75" s="89"/>
    </row>
    <row r="76" spans="1:71" ht="27" customHeight="1" x14ac:dyDescent="0.2">
      <c r="A76" s="93"/>
      <c r="B76" s="89"/>
      <c r="C76" s="89"/>
      <c r="D76" s="89"/>
      <c r="E76" s="89"/>
      <c r="F76" s="89"/>
      <c r="G76" s="89"/>
      <c r="H76" s="94"/>
      <c r="I76" s="94"/>
      <c r="J76" s="94"/>
      <c r="K76" s="94"/>
      <c r="L76" s="94"/>
      <c r="M76" s="94"/>
      <c r="N76" s="94"/>
      <c r="O76" s="94"/>
      <c r="P76" s="94"/>
      <c r="Q76" s="94"/>
      <c r="R76" s="95"/>
      <c r="S76" s="94"/>
      <c r="T76" s="96"/>
      <c r="U76" s="94"/>
      <c r="V76" s="97"/>
      <c r="W76" s="94"/>
      <c r="X76" s="98"/>
      <c r="Y76" s="98"/>
      <c r="Z76" s="98"/>
      <c r="AA76" s="98"/>
      <c r="AB76" s="98"/>
      <c r="AC76" s="97"/>
      <c r="AD76" s="99"/>
      <c r="AE76" s="95"/>
      <c r="AF76" s="94"/>
      <c r="AG76" s="89"/>
      <c r="AH76" s="89"/>
      <c r="AI76" s="89"/>
      <c r="AJ76" s="89"/>
      <c r="AK76" s="89"/>
      <c r="AL76" s="89"/>
      <c r="AM76" s="89"/>
      <c r="AN76" s="89"/>
      <c r="AO76" s="89"/>
      <c r="AP76" s="89"/>
      <c r="AQ76" s="89"/>
      <c r="AR76" s="89"/>
      <c r="AS76" s="89"/>
      <c r="AT76" s="89"/>
      <c r="AU76" s="89"/>
      <c r="AV76" s="89"/>
      <c r="AW76" s="100"/>
      <c r="AX76" s="100"/>
      <c r="AY76" s="89"/>
      <c r="AZ76" s="89"/>
      <c r="BA76" s="89"/>
      <c r="BB76" s="89"/>
      <c r="BC76" s="89"/>
      <c r="BD76" s="89"/>
      <c r="BE76" s="89"/>
      <c r="BF76" s="89"/>
      <c r="BG76" s="89"/>
      <c r="BH76" s="89"/>
      <c r="BI76" s="89"/>
      <c r="BJ76" s="89"/>
      <c r="BK76" s="89"/>
      <c r="BL76" s="89"/>
      <c r="BM76" s="89"/>
      <c r="BN76" s="89"/>
      <c r="BO76" s="89"/>
      <c r="BP76" s="89"/>
      <c r="BQ76" s="89"/>
      <c r="BR76" s="89"/>
      <c r="BS76" s="89"/>
    </row>
    <row r="77" spans="1:71" ht="27" customHeight="1" x14ac:dyDescent="0.2">
      <c r="A77" s="93"/>
      <c r="B77" s="89"/>
      <c r="C77" s="89"/>
      <c r="D77" s="89"/>
      <c r="E77" s="89"/>
      <c r="F77" s="89"/>
      <c r="G77" s="89"/>
      <c r="H77" s="94"/>
      <c r="I77" s="94"/>
      <c r="J77" s="94"/>
      <c r="K77" s="94"/>
      <c r="L77" s="94"/>
      <c r="M77" s="94"/>
      <c r="N77" s="94"/>
      <c r="O77" s="94"/>
      <c r="P77" s="94"/>
      <c r="Q77" s="94"/>
      <c r="R77" s="95"/>
      <c r="S77" s="94"/>
      <c r="T77" s="96"/>
      <c r="U77" s="94"/>
      <c r="V77" s="97"/>
      <c r="W77" s="94"/>
      <c r="X77" s="98"/>
      <c r="Y77" s="98"/>
      <c r="Z77" s="98"/>
      <c r="AA77" s="98"/>
      <c r="AB77" s="98"/>
      <c r="AC77" s="97"/>
      <c r="AD77" s="99"/>
      <c r="AE77" s="95"/>
      <c r="AF77" s="94"/>
      <c r="AG77" s="89"/>
      <c r="AH77" s="89"/>
      <c r="AI77" s="89"/>
      <c r="AJ77" s="89"/>
      <c r="AK77" s="89"/>
      <c r="AL77" s="89"/>
      <c r="AM77" s="89"/>
      <c r="AN77" s="89"/>
      <c r="AO77" s="89"/>
      <c r="AP77" s="89"/>
      <c r="AQ77" s="89"/>
      <c r="AR77" s="89"/>
      <c r="AS77" s="89"/>
      <c r="AT77" s="89"/>
      <c r="AU77" s="89"/>
      <c r="AV77" s="89"/>
      <c r="AW77" s="100"/>
      <c r="AX77" s="100"/>
      <c r="AY77" s="89"/>
      <c r="AZ77" s="89"/>
      <c r="BA77" s="89"/>
      <c r="BB77" s="89"/>
      <c r="BC77" s="89"/>
      <c r="BD77" s="89"/>
      <c r="BE77" s="89"/>
      <c r="BF77" s="89"/>
      <c r="BG77" s="89"/>
      <c r="BH77" s="89"/>
      <c r="BI77" s="89"/>
      <c r="BJ77" s="89"/>
      <c r="BK77" s="89"/>
      <c r="BL77" s="89"/>
      <c r="BM77" s="89"/>
      <c r="BN77" s="89"/>
      <c r="BO77" s="89"/>
      <c r="BP77" s="89"/>
      <c r="BQ77" s="89"/>
      <c r="BR77" s="89"/>
      <c r="BS77" s="89"/>
    </row>
    <row r="78" spans="1:71" ht="27" customHeight="1" x14ac:dyDescent="0.2">
      <c r="A78" s="93"/>
      <c r="B78" s="89"/>
      <c r="C78" s="89"/>
      <c r="D78" s="89"/>
      <c r="E78" s="89"/>
      <c r="F78" s="89"/>
      <c r="G78" s="89"/>
      <c r="H78" s="94"/>
      <c r="I78" s="94"/>
      <c r="J78" s="94"/>
      <c r="K78" s="94"/>
      <c r="L78" s="94"/>
      <c r="M78" s="94"/>
      <c r="N78" s="94"/>
      <c r="O78" s="94"/>
      <c r="P78" s="94"/>
      <c r="Q78" s="94"/>
      <c r="R78" s="95"/>
      <c r="S78" s="94"/>
      <c r="T78" s="96"/>
      <c r="U78" s="94"/>
      <c r="V78" s="97"/>
      <c r="W78" s="94"/>
      <c r="X78" s="98"/>
      <c r="Y78" s="98"/>
      <c r="Z78" s="98"/>
      <c r="AA78" s="98"/>
      <c r="AB78" s="98"/>
      <c r="AC78" s="97"/>
      <c r="AD78" s="99"/>
      <c r="AE78" s="95"/>
      <c r="AF78" s="94"/>
      <c r="AG78" s="89"/>
      <c r="AH78" s="89"/>
      <c r="AI78" s="89"/>
      <c r="AJ78" s="89"/>
      <c r="AK78" s="89"/>
      <c r="AL78" s="89"/>
      <c r="AM78" s="89"/>
      <c r="AN78" s="89"/>
      <c r="AO78" s="89"/>
      <c r="AP78" s="89"/>
      <c r="AQ78" s="89"/>
      <c r="AR78" s="89"/>
      <c r="AS78" s="89"/>
      <c r="AT78" s="89"/>
      <c r="AU78" s="89"/>
      <c r="AV78" s="89"/>
      <c r="AW78" s="100"/>
      <c r="AX78" s="100"/>
      <c r="AY78" s="89"/>
      <c r="AZ78" s="89"/>
      <c r="BA78" s="89"/>
      <c r="BB78" s="89"/>
      <c r="BC78" s="89"/>
      <c r="BD78" s="89"/>
      <c r="BE78" s="89"/>
      <c r="BF78" s="89"/>
      <c r="BG78" s="89"/>
      <c r="BH78" s="89"/>
      <c r="BI78" s="89"/>
      <c r="BJ78" s="89"/>
      <c r="BK78" s="89"/>
      <c r="BL78" s="89"/>
      <c r="BM78" s="89"/>
      <c r="BN78" s="89"/>
      <c r="BO78" s="89"/>
      <c r="BP78" s="89"/>
      <c r="BQ78" s="89"/>
      <c r="BR78" s="89"/>
      <c r="BS78" s="89"/>
    </row>
    <row r="79" spans="1:71" ht="27" customHeight="1" x14ac:dyDescent="0.2">
      <c r="A79" s="93"/>
      <c r="B79" s="89"/>
      <c r="C79" s="89"/>
      <c r="D79" s="89"/>
      <c r="E79" s="89"/>
      <c r="F79" s="89"/>
      <c r="G79" s="89"/>
      <c r="H79" s="94"/>
      <c r="I79" s="94"/>
      <c r="J79" s="94"/>
      <c r="K79" s="94"/>
      <c r="L79" s="94"/>
      <c r="M79" s="94"/>
      <c r="N79" s="94"/>
      <c r="O79" s="94"/>
      <c r="P79" s="94"/>
      <c r="Q79" s="94"/>
      <c r="R79" s="95"/>
      <c r="S79" s="94"/>
      <c r="T79" s="96"/>
      <c r="U79" s="94"/>
      <c r="V79" s="97"/>
      <c r="W79" s="94"/>
      <c r="X79" s="98"/>
      <c r="Y79" s="98"/>
      <c r="Z79" s="98"/>
      <c r="AA79" s="98"/>
      <c r="AB79" s="98"/>
      <c r="AC79" s="97"/>
      <c r="AD79" s="99"/>
      <c r="AE79" s="95"/>
      <c r="AF79" s="94"/>
      <c r="AG79" s="89"/>
      <c r="AH79" s="89"/>
      <c r="AI79" s="89"/>
      <c r="AJ79" s="89"/>
      <c r="AK79" s="89"/>
      <c r="AL79" s="89"/>
      <c r="AM79" s="89"/>
      <c r="AN79" s="89"/>
      <c r="AO79" s="89"/>
      <c r="AP79" s="89"/>
      <c r="AQ79" s="89"/>
      <c r="AR79" s="89"/>
      <c r="AS79" s="89"/>
      <c r="AT79" s="89"/>
      <c r="AU79" s="89"/>
      <c r="AV79" s="89"/>
      <c r="AW79" s="100"/>
      <c r="AX79" s="100"/>
      <c r="AY79" s="89"/>
      <c r="AZ79" s="89"/>
      <c r="BA79" s="89"/>
      <c r="BB79" s="89"/>
      <c r="BC79" s="89"/>
      <c r="BD79" s="89"/>
      <c r="BE79" s="89"/>
      <c r="BF79" s="89"/>
      <c r="BG79" s="89"/>
      <c r="BH79" s="89"/>
      <c r="BI79" s="89"/>
      <c r="BJ79" s="89"/>
      <c r="BK79" s="89"/>
      <c r="BL79" s="89"/>
      <c r="BM79" s="89"/>
      <c r="BN79" s="89"/>
      <c r="BO79" s="89"/>
      <c r="BP79" s="89"/>
      <c r="BQ79" s="89"/>
      <c r="BR79" s="89"/>
      <c r="BS79" s="89"/>
    </row>
    <row r="80" spans="1:71" ht="27" customHeight="1" x14ac:dyDescent="0.2">
      <c r="A80" s="93"/>
      <c r="B80" s="89"/>
      <c r="C80" s="89"/>
      <c r="D80" s="89"/>
      <c r="E80" s="89"/>
      <c r="F80" s="89"/>
      <c r="G80" s="89"/>
      <c r="H80" s="94"/>
      <c r="I80" s="94"/>
      <c r="J80" s="94"/>
      <c r="K80" s="94"/>
      <c r="L80" s="94"/>
      <c r="M80" s="94"/>
      <c r="N80" s="94"/>
      <c r="O80" s="94"/>
      <c r="P80" s="94"/>
      <c r="Q80" s="94"/>
      <c r="R80" s="95"/>
      <c r="S80" s="94"/>
      <c r="T80" s="96"/>
      <c r="U80" s="94"/>
      <c r="V80" s="97"/>
      <c r="W80" s="94"/>
      <c r="X80" s="98"/>
      <c r="Y80" s="98"/>
      <c r="Z80" s="98"/>
      <c r="AA80" s="98"/>
      <c r="AB80" s="98"/>
      <c r="AC80" s="97"/>
      <c r="AD80" s="99"/>
      <c r="AE80" s="95"/>
      <c r="AF80" s="94"/>
      <c r="AG80" s="89"/>
      <c r="AH80" s="89"/>
      <c r="AI80" s="89"/>
      <c r="AJ80" s="89"/>
      <c r="AK80" s="89"/>
      <c r="AL80" s="89"/>
      <c r="AM80" s="89"/>
      <c r="AN80" s="89"/>
      <c r="AO80" s="89"/>
      <c r="AP80" s="89"/>
      <c r="AQ80" s="89"/>
      <c r="AR80" s="89"/>
      <c r="AS80" s="89"/>
      <c r="AT80" s="89"/>
      <c r="AU80" s="89"/>
      <c r="AV80" s="89"/>
      <c r="AW80" s="100"/>
      <c r="AX80" s="100"/>
      <c r="AY80" s="89"/>
      <c r="AZ80" s="89"/>
      <c r="BA80" s="89"/>
      <c r="BB80" s="89"/>
      <c r="BC80" s="89"/>
      <c r="BD80" s="89"/>
      <c r="BE80" s="89"/>
      <c r="BF80" s="89"/>
      <c r="BG80" s="89"/>
      <c r="BH80" s="89"/>
      <c r="BI80" s="89"/>
      <c r="BJ80" s="89"/>
      <c r="BK80" s="89"/>
      <c r="BL80" s="89"/>
      <c r="BM80" s="89"/>
      <c r="BN80" s="89"/>
      <c r="BO80" s="89"/>
      <c r="BP80" s="89"/>
      <c r="BQ80" s="89"/>
      <c r="BR80" s="89"/>
      <c r="BS80" s="89"/>
    </row>
    <row r="81" spans="1:71" ht="27" customHeight="1" x14ac:dyDescent="0.2">
      <c r="A81" s="93"/>
      <c r="B81" s="89"/>
      <c r="C81" s="89"/>
      <c r="D81" s="89"/>
      <c r="E81" s="89"/>
      <c r="F81" s="89"/>
      <c r="G81" s="89"/>
      <c r="H81" s="94"/>
      <c r="I81" s="94"/>
      <c r="J81" s="94"/>
      <c r="K81" s="94"/>
      <c r="L81" s="94"/>
      <c r="M81" s="94"/>
      <c r="N81" s="94"/>
      <c r="O81" s="94"/>
      <c r="P81" s="94"/>
      <c r="Q81" s="94"/>
      <c r="R81" s="95"/>
      <c r="S81" s="94"/>
      <c r="T81" s="96"/>
      <c r="U81" s="94"/>
      <c r="V81" s="97"/>
      <c r="W81" s="94"/>
      <c r="X81" s="98"/>
      <c r="Y81" s="98"/>
      <c r="Z81" s="98"/>
      <c r="AA81" s="98"/>
      <c r="AB81" s="98"/>
      <c r="AC81" s="97"/>
      <c r="AD81" s="99"/>
      <c r="AE81" s="95"/>
      <c r="AF81" s="94"/>
      <c r="AG81" s="89"/>
      <c r="AH81" s="89"/>
      <c r="AI81" s="89"/>
      <c r="AJ81" s="89"/>
      <c r="AK81" s="89"/>
      <c r="AL81" s="89"/>
      <c r="AM81" s="89"/>
      <c r="AN81" s="89"/>
      <c r="AO81" s="89"/>
      <c r="AP81" s="89"/>
      <c r="AQ81" s="89"/>
      <c r="AR81" s="89"/>
      <c r="AS81" s="89"/>
      <c r="AT81" s="89"/>
      <c r="AU81" s="89"/>
      <c r="AV81" s="89"/>
      <c r="AW81" s="100"/>
      <c r="AX81" s="100"/>
      <c r="AY81" s="89"/>
      <c r="AZ81" s="89"/>
      <c r="BA81" s="89"/>
      <c r="BB81" s="89"/>
      <c r="BC81" s="89"/>
      <c r="BD81" s="89"/>
      <c r="BE81" s="89"/>
      <c r="BF81" s="89"/>
      <c r="BG81" s="89"/>
      <c r="BH81" s="89"/>
      <c r="BI81" s="89"/>
      <c r="BJ81" s="89"/>
      <c r="BK81" s="89"/>
      <c r="BL81" s="89"/>
      <c r="BM81" s="89"/>
      <c r="BN81" s="89"/>
      <c r="BO81" s="89"/>
      <c r="BP81" s="89"/>
      <c r="BQ81" s="89"/>
      <c r="BR81" s="89"/>
      <c r="BS81" s="89"/>
    </row>
    <row r="82" spans="1:71" ht="27" customHeight="1" x14ac:dyDescent="0.2">
      <c r="A82" s="93"/>
      <c r="B82" s="89"/>
      <c r="C82" s="89"/>
      <c r="D82" s="89"/>
      <c r="E82" s="89"/>
      <c r="F82" s="89"/>
      <c r="G82" s="89"/>
      <c r="H82" s="94"/>
      <c r="I82" s="94"/>
      <c r="J82" s="94"/>
      <c r="K82" s="94"/>
      <c r="L82" s="94"/>
      <c r="M82" s="94"/>
      <c r="N82" s="94"/>
      <c r="O82" s="94"/>
      <c r="P82" s="94"/>
      <c r="Q82" s="94"/>
      <c r="R82" s="95"/>
      <c r="S82" s="94"/>
      <c r="T82" s="96"/>
      <c r="U82" s="94"/>
      <c r="V82" s="97"/>
      <c r="W82" s="94"/>
      <c r="X82" s="98"/>
      <c r="Y82" s="98"/>
      <c r="Z82" s="98"/>
      <c r="AA82" s="98"/>
      <c r="AB82" s="98"/>
      <c r="AC82" s="97"/>
      <c r="AD82" s="99"/>
      <c r="AE82" s="95"/>
      <c r="AF82" s="94"/>
      <c r="AG82" s="89"/>
      <c r="AH82" s="89"/>
      <c r="AI82" s="89"/>
      <c r="AJ82" s="89"/>
      <c r="AK82" s="89"/>
      <c r="AL82" s="89"/>
      <c r="AM82" s="89"/>
      <c r="AN82" s="89"/>
      <c r="AO82" s="89"/>
      <c r="AP82" s="89"/>
      <c r="AQ82" s="89"/>
      <c r="AR82" s="89"/>
      <c r="AS82" s="89"/>
      <c r="AT82" s="89"/>
      <c r="AU82" s="89"/>
      <c r="AV82" s="89"/>
      <c r="AW82" s="100"/>
      <c r="AX82" s="100"/>
      <c r="AY82" s="89"/>
      <c r="AZ82" s="89"/>
      <c r="BA82" s="89"/>
      <c r="BB82" s="89"/>
      <c r="BC82" s="89"/>
      <c r="BD82" s="89"/>
      <c r="BE82" s="89"/>
      <c r="BF82" s="89"/>
      <c r="BG82" s="89"/>
      <c r="BH82" s="89"/>
      <c r="BI82" s="89"/>
      <c r="BJ82" s="89"/>
      <c r="BK82" s="89"/>
      <c r="BL82" s="89"/>
      <c r="BM82" s="89"/>
      <c r="BN82" s="89"/>
      <c r="BO82" s="89"/>
      <c r="BP82" s="89"/>
      <c r="BQ82" s="89"/>
      <c r="BR82" s="89"/>
      <c r="BS82" s="89"/>
    </row>
    <row r="83" spans="1:71" ht="27" customHeight="1" x14ac:dyDescent="0.2">
      <c r="A83" s="93"/>
      <c r="B83" s="89"/>
      <c r="C83" s="89"/>
      <c r="D83" s="89"/>
      <c r="E83" s="89"/>
      <c r="F83" s="89"/>
      <c r="G83" s="89"/>
      <c r="H83" s="94"/>
      <c r="I83" s="94"/>
      <c r="J83" s="94"/>
      <c r="K83" s="94"/>
      <c r="L83" s="94"/>
      <c r="M83" s="94"/>
      <c r="N83" s="94"/>
      <c r="O83" s="94"/>
      <c r="P83" s="94"/>
      <c r="Q83" s="94"/>
      <c r="R83" s="95"/>
      <c r="S83" s="94"/>
      <c r="T83" s="96"/>
      <c r="U83" s="94"/>
      <c r="V83" s="97"/>
      <c r="W83" s="94"/>
      <c r="X83" s="98"/>
      <c r="Y83" s="98"/>
      <c r="Z83" s="98"/>
      <c r="AA83" s="98"/>
      <c r="AB83" s="98"/>
      <c r="AC83" s="97"/>
      <c r="AD83" s="99"/>
      <c r="AE83" s="95"/>
      <c r="AF83" s="94"/>
      <c r="AG83" s="89"/>
      <c r="AH83" s="89"/>
      <c r="AI83" s="89"/>
      <c r="AJ83" s="89"/>
      <c r="AK83" s="89"/>
      <c r="AL83" s="89"/>
      <c r="AM83" s="89"/>
      <c r="AN83" s="89"/>
      <c r="AO83" s="89"/>
      <c r="AP83" s="89"/>
      <c r="AQ83" s="89"/>
      <c r="AR83" s="89"/>
      <c r="AS83" s="89"/>
      <c r="AT83" s="89"/>
      <c r="AU83" s="89"/>
      <c r="AV83" s="89"/>
      <c r="AW83" s="100"/>
      <c r="AX83" s="100"/>
      <c r="AY83" s="89"/>
      <c r="AZ83" s="89"/>
      <c r="BA83" s="89"/>
      <c r="BB83" s="89"/>
      <c r="BC83" s="89"/>
      <c r="BD83" s="89"/>
      <c r="BE83" s="89"/>
      <c r="BF83" s="89"/>
      <c r="BG83" s="89"/>
      <c r="BH83" s="89"/>
      <c r="BI83" s="89"/>
      <c r="BJ83" s="89"/>
      <c r="BK83" s="89"/>
      <c r="BL83" s="89"/>
      <c r="BM83" s="89"/>
      <c r="BN83" s="89"/>
      <c r="BO83" s="89"/>
      <c r="BP83" s="89"/>
      <c r="BQ83" s="89"/>
      <c r="BR83" s="89"/>
      <c r="BS83" s="89"/>
    </row>
    <row r="84" spans="1:71" ht="27" customHeight="1" x14ac:dyDescent="0.2">
      <c r="A84" s="93"/>
      <c r="B84" s="89"/>
      <c r="C84" s="89"/>
      <c r="D84" s="89"/>
      <c r="E84" s="89"/>
      <c r="F84" s="89"/>
      <c r="G84" s="89"/>
      <c r="H84" s="94"/>
      <c r="I84" s="94"/>
      <c r="J84" s="94"/>
      <c r="K84" s="94"/>
      <c r="L84" s="94"/>
      <c r="M84" s="94"/>
      <c r="N84" s="94"/>
      <c r="O84" s="94"/>
      <c r="P84" s="94"/>
      <c r="Q84" s="94"/>
      <c r="R84" s="95"/>
      <c r="S84" s="94"/>
      <c r="T84" s="96"/>
      <c r="U84" s="94"/>
      <c r="V84" s="97"/>
      <c r="W84" s="94"/>
      <c r="X84" s="98"/>
      <c r="Y84" s="98"/>
      <c r="Z84" s="98"/>
      <c r="AA84" s="98"/>
      <c r="AB84" s="98"/>
      <c r="AC84" s="97"/>
      <c r="AD84" s="99"/>
      <c r="AE84" s="95"/>
      <c r="AF84" s="94"/>
      <c r="AG84" s="89"/>
      <c r="AH84" s="89"/>
      <c r="AI84" s="89"/>
      <c r="AJ84" s="89"/>
      <c r="AK84" s="89"/>
      <c r="AL84" s="89"/>
      <c r="AM84" s="89"/>
      <c r="AN84" s="89"/>
      <c r="AO84" s="89"/>
      <c r="AP84" s="89"/>
      <c r="AQ84" s="89"/>
      <c r="AR84" s="89"/>
      <c r="AS84" s="89"/>
      <c r="AT84" s="89"/>
      <c r="AU84" s="89"/>
      <c r="AV84" s="89"/>
      <c r="AW84" s="100"/>
      <c r="AX84" s="100"/>
      <c r="AY84" s="89"/>
      <c r="AZ84" s="89"/>
      <c r="BA84" s="89"/>
      <c r="BB84" s="89"/>
      <c r="BC84" s="89"/>
      <c r="BD84" s="89"/>
      <c r="BE84" s="89"/>
      <c r="BF84" s="89"/>
      <c r="BG84" s="89"/>
      <c r="BH84" s="89"/>
      <c r="BI84" s="89"/>
      <c r="BJ84" s="89"/>
      <c r="BK84" s="89"/>
      <c r="BL84" s="89"/>
      <c r="BM84" s="89"/>
      <c r="BN84" s="89"/>
      <c r="BO84" s="89"/>
      <c r="BP84" s="89"/>
      <c r="BQ84" s="89"/>
      <c r="BR84" s="89"/>
      <c r="BS84" s="89"/>
    </row>
    <row r="85" spans="1:71" ht="27" customHeight="1" x14ac:dyDescent="0.2">
      <c r="A85" s="93"/>
      <c r="B85" s="89"/>
      <c r="C85" s="89"/>
      <c r="D85" s="89"/>
      <c r="E85" s="89"/>
      <c r="F85" s="89"/>
      <c r="G85" s="89"/>
      <c r="H85" s="94"/>
      <c r="I85" s="94"/>
      <c r="J85" s="94"/>
      <c r="K85" s="94"/>
      <c r="L85" s="94"/>
      <c r="M85" s="94"/>
      <c r="N85" s="94"/>
      <c r="O85" s="94"/>
      <c r="P85" s="94"/>
      <c r="Q85" s="94"/>
      <c r="R85" s="95"/>
      <c r="S85" s="94"/>
      <c r="T85" s="96"/>
      <c r="U85" s="94"/>
      <c r="V85" s="97"/>
      <c r="W85" s="94"/>
      <c r="X85" s="98"/>
      <c r="Y85" s="98"/>
      <c r="Z85" s="98"/>
      <c r="AA85" s="98"/>
      <c r="AB85" s="98"/>
      <c r="AC85" s="97"/>
      <c r="AD85" s="99"/>
      <c r="AE85" s="95"/>
      <c r="AF85" s="94"/>
      <c r="AG85" s="89"/>
      <c r="AH85" s="89"/>
      <c r="AI85" s="89"/>
      <c r="AJ85" s="89"/>
      <c r="AK85" s="89"/>
      <c r="AL85" s="89"/>
      <c r="AM85" s="89"/>
      <c r="AN85" s="89"/>
      <c r="AO85" s="89"/>
      <c r="AP85" s="89"/>
      <c r="AQ85" s="89"/>
      <c r="AR85" s="89"/>
      <c r="AS85" s="89"/>
      <c r="AT85" s="89"/>
      <c r="AU85" s="89"/>
      <c r="AV85" s="89"/>
      <c r="AW85" s="100"/>
      <c r="AX85" s="100"/>
      <c r="AY85" s="89"/>
      <c r="AZ85" s="89"/>
      <c r="BA85" s="89"/>
      <c r="BB85" s="89"/>
      <c r="BC85" s="89"/>
      <c r="BD85" s="89"/>
      <c r="BE85" s="89"/>
      <c r="BF85" s="89"/>
      <c r="BG85" s="89"/>
      <c r="BH85" s="89"/>
      <c r="BI85" s="89"/>
      <c r="BJ85" s="89"/>
      <c r="BK85" s="89"/>
      <c r="BL85" s="89"/>
      <c r="BM85" s="89"/>
      <c r="BN85" s="89"/>
      <c r="BO85" s="89"/>
      <c r="BP85" s="89"/>
      <c r="BQ85" s="89"/>
      <c r="BR85" s="89"/>
      <c r="BS85" s="89"/>
    </row>
    <row r="86" spans="1:71" ht="27" customHeight="1" x14ac:dyDescent="0.2">
      <c r="A86" s="93"/>
      <c r="B86" s="89"/>
      <c r="C86" s="89"/>
      <c r="D86" s="89"/>
      <c r="E86" s="89"/>
      <c r="F86" s="89"/>
      <c r="G86" s="89"/>
      <c r="H86" s="94"/>
      <c r="I86" s="94"/>
      <c r="J86" s="94"/>
      <c r="K86" s="94"/>
      <c r="L86" s="94"/>
      <c r="M86" s="94"/>
      <c r="N86" s="94"/>
      <c r="O86" s="94"/>
      <c r="P86" s="94"/>
      <c r="Q86" s="94"/>
      <c r="R86" s="95"/>
      <c r="S86" s="94"/>
      <c r="T86" s="96"/>
      <c r="U86" s="94"/>
      <c r="V86" s="97"/>
      <c r="W86" s="94"/>
      <c r="X86" s="98"/>
      <c r="Y86" s="98"/>
      <c r="Z86" s="98"/>
      <c r="AA86" s="98"/>
      <c r="AB86" s="98"/>
      <c r="AC86" s="97"/>
      <c r="AD86" s="99"/>
      <c r="AE86" s="95"/>
      <c r="AF86" s="94"/>
      <c r="AG86" s="89"/>
      <c r="AH86" s="89"/>
      <c r="AI86" s="89"/>
      <c r="AJ86" s="89"/>
      <c r="AK86" s="89"/>
      <c r="AL86" s="89"/>
      <c r="AM86" s="89"/>
      <c r="AN86" s="89"/>
      <c r="AO86" s="89"/>
      <c r="AP86" s="89"/>
      <c r="AQ86" s="89"/>
      <c r="AR86" s="89"/>
      <c r="AS86" s="89"/>
      <c r="AT86" s="89"/>
      <c r="AU86" s="89"/>
      <c r="AV86" s="89"/>
      <c r="AW86" s="100"/>
      <c r="AX86" s="100"/>
      <c r="AY86" s="89"/>
      <c r="AZ86" s="89"/>
      <c r="BA86" s="89"/>
      <c r="BB86" s="89"/>
      <c r="BC86" s="89"/>
      <c r="BD86" s="89"/>
      <c r="BE86" s="89"/>
      <c r="BF86" s="89"/>
      <c r="BG86" s="89"/>
      <c r="BH86" s="89"/>
      <c r="BI86" s="89"/>
      <c r="BJ86" s="89"/>
      <c r="BK86" s="89"/>
      <c r="BL86" s="89"/>
      <c r="BM86" s="89"/>
      <c r="BN86" s="89"/>
      <c r="BO86" s="89"/>
      <c r="BP86" s="89"/>
      <c r="BQ86" s="89"/>
      <c r="BR86" s="89"/>
      <c r="BS86" s="89"/>
    </row>
    <row r="87" spans="1:71" ht="27" customHeight="1" x14ac:dyDescent="0.2">
      <c r="A87" s="93"/>
      <c r="B87" s="89"/>
      <c r="C87" s="89"/>
      <c r="D87" s="89"/>
      <c r="E87" s="89"/>
      <c r="F87" s="89"/>
      <c r="G87" s="89"/>
      <c r="H87" s="94"/>
      <c r="I87" s="94"/>
      <c r="J87" s="94"/>
      <c r="K87" s="94"/>
      <c r="L87" s="94"/>
      <c r="M87" s="94"/>
      <c r="N87" s="94"/>
      <c r="O87" s="94"/>
      <c r="P87" s="94"/>
      <c r="Q87" s="94"/>
      <c r="R87" s="95"/>
      <c r="S87" s="94"/>
      <c r="T87" s="96"/>
      <c r="U87" s="94"/>
      <c r="V87" s="97"/>
      <c r="W87" s="94"/>
      <c r="X87" s="98"/>
      <c r="Y87" s="98"/>
      <c r="Z87" s="98"/>
      <c r="AA87" s="98"/>
      <c r="AB87" s="98"/>
      <c r="AC87" s="97"/>
      <c r="AD87" s="99"/>
      <c r="AE87" s="95"/>
      <c r="AF87" s="94"/>
      <c r="AG87" s="89"/>
      <c r="AH87" s="89"/>
      <c r="AI87" s="89"/>
      <c r="AJ87" s="89"/>
      <c r="AK87" s="89"/>
      <c r="AL87" s="89"/>
      <c r="AM87" s="89"/>
      <c r="AN87" s="89"/>
      <c r="AO87" s="89"/>
      <c r="AP87" s="89"/>
      <c r="AQ87" s="89"/>
      <c r="AR87" s="89"/>
      <c r="AS87" s="89"/>
      <c r="AT87" s="89"/>
      <c r="AU87" s="89"/>
      <c r="AV87" s="89"/>
      <c r="AW87" s="100"/>
      <c r="AX87" s="100"/>
      <c r="AY87" s="89"/>
      <c r="AZ87" s="89"/>
      <c r="BA87" s="89"/>
      <c r="BB87" s="89"/>
      <c r="BC87" s="89"/>
      <c r="BD87" s="89"/>
      <c r="BE87" s="89"/>
      <c r="BF87" s="89"/>
      <c r="BG87" s="89"/>
      <c r="BH87" s="89"/>
      <c r="BI87" s="89"/>
      <c r="BJ87" s="89"/>
      <c r="BK87" s="89"/>
      <c r="BL87" s="89"/>
      <c r="BM87" s="89"/>
      <c r="BN87" s="89"/>
      <c r="BO87" s="89"/>
      <c r="BP87" s="89"/>
      <c r="BQ87" s="89"/>
      <c r="BR87" s="89"/>
      <c r="BS87" s="89"/>
    </row>
    <row r="88" spans="1:71" ht="27" customHeight="1" x14ac:dyDescent="0.2">
      <c r="A88" s="93"/>
      <c r="B88" s="89"/>
      <c r="C88" s="89"/>
      <c r="D88" s="89"/>
      <c r="E88" s="89"/>
      <c r="F88" s="89"/>
      <c r="G88" s="89"/>
      <c r="H88" s="94"/>
      <c r="I88" s="94"/>
      <c r="J88" s="94"/>
      <c r="K88" s="94"/>
      <c r="L88" s="94"/>
      <c r="M88" s="94"/>
      <c r="N88" s="94"/>
      <c r="O88" s="94"/>
      <c r="P88" s="94"/>
      <c r="Q88" s="94"/>
      <c r="R88" s="95"/>
      <c r="S88" s="94"/>
      <c r="T88" s="96"/>
      <c r="U88" s="94"/>
      <c r="V88" s="97"/>
      <c r="W88" s="94"/>
      <c r="X88" s="98"/>
      <c r="Y88" s="98"/>
      <c r="Z88" s="98"/>
      <c r="AA88" s="98"/>
      <c r="AB88" s="98"/>
      <c r="AC88" s="97"/>
      <c r="AD88" s="99"/>
      <c r="AE88" s="95"/>
      <c r="AF88" s="94"/>
      <c r="AG88" s="89"/>
      <c r="AH88" s="89"/>
      <c r="AI88" s="89"/>
      <c r="AJ88" s="89"/>
      <c r="AK88" s="89"/>
      <c r="AL88" s="89"/>
      <c r="AM88" s="89"/>
      <c r="AN88" s="89"/>
      <c r="AO88" s="89"/>
      <c r="AP88" s="89"/>
      <c r="AQ88" s="89"/>
      <c r="AR88" s="89"/>
      <c r="AS88" s="89"/>
      <c r="AT88" s="89"/>
      <c r="AU88" s="89"/>
      <c r="AV88" s="89"/>
      <c r="AW88" s="100"/>
      <c r="AX88" s="100"/>
      <c r="AY88" s="89"/>
      <c r="AZ88" s="89"/>
      <c r="BA88" s="89"/>
      <c r="BB88" s="89"/>
      <c r="BC88" s="89"/>
      <c r="BD88" s="89"/>
      <c r="BE88" s="89"/>
      <c r="BF88" s="89"/>
      <c r="BG88" s="89"/>
      <c r="BH88" s="89"/>
      <c r="BI88" s="89"/>
      <c r="BJ88" s="89"/>
      <c r="BK88" s="89"/>
      <c r="BL88" s="89"/>
      <c r="BM88" s="89"/>
      <c r="BN88" s="89"/>
      <c r="BO88" s="89"/>
      <c r="BP88" s="89"/>
      <c r="BQ88" s="89"/>
      <c r="BR88" s="89"/>
      <c r="BS88" s="89"/>
    </row>
    <row r="89" spans="1:71" ht="27" customHeight="1" x14ac:dyDescent="0.2">
      <c r="A89" s="93"/>
      <c r="B89" s="89"/>
      <c r="C89" s="89"/>
      <c r="D89" s="89"/>
      <c r="E89" s="89"/>
      <c r="F89" s="89"/>
      <c r="G89" s="89"/>
      <c r="H89" s="94"/>
      <c r="I89" s="94"/>
      <c r="J89" s="94"/>
      <c r="K89" s="94"/>
      <c r="L89" s="94"/>
      <c r="M89" s="94"/>
      <c r="N89" s="94"/>
      <c r="O89" s="94"/>
      <c r="P89" s="94"/>
      <c r="Q89" s="94"/>
      <c r="R89" s="95"/>
      <c r="S89" s="94"/>
      <c r="T89" s="96"/>
      <c r="U89" s="94"/>
      <c r="V89" s="97"/>
      <c r="W89" s="94"/>
      <c r="X89" s="98"/>
      <c r="Y89" s="98"/>
      <c r="Z89" s="98"/>
      <c r="AA89" s="98"/>
      <c r="AB89" s="98"/>
      <c r="AC89" s="97"/>
      <c r="AD89" s="99"/>
      <c r="AE89" s="95"/>
      <c r="AF89" s="94"/>
      <c r="AG89" s="89"/>
      <c r="AH89" s="89"/>
      <c r="AI89" s="89"/>
      <c r="AJ89" s="89"/>
      <c r="AK89" s="89"/>
      <c r="AL89" s="89"/>
      <c r="AM89" s="89"/>
      <c r="AN89" s="89"/>
      <c r="AO89" s="89"/>
      <c r="AP89" s="89"/>
      <c r="AQ89" s="89"/>
      <c r="AR89" s="89"/>
      <c r="AS89" s="89"/>
      <c r="AT89" s="89"/>
      <c r="AU89" s="89"/>
      <c r="AV89" s="89"/>
      <c r="AW89" s="100"/>
      <c r="AX89" s="100"/>
      <c r="AY89" s="89"/>
      <c r="AZ89" s="89"/>
      <c r="BA89" s="89"/>
      <c r="BB89" s="89"/>
      <c r="BC89" s="89"/>
      <c r="BD89" s="89"/>
      <c r="BE89" s="89"/>
      <c r="BF89" s="89"/>
      <c r="BG89" s="89"/>
      <c r="BH89" s="89"/>
      <c r="BI89" s="89"/>
      <c r="BJ89" s="89"/>
      <c r="BK89" s="89"/>
      <c r="BL89" s="89"/>
      <c r="BM89" s="89"/>
      <c r="BN89" s="89"/>
      <c r="BO89" s="89"/>
      <c r="BP89" s="89"/>
      <c r="BQ89" s="89"/>
      <c r="BR89" s="89"/>
      <c r="BS89" s="89"/>
    </row>
    <row r="90" spans="1:71" ht="27" customHeight="1" x14ac:dyDescent="0.2">
      <c r="A90" s="93"/>
      <c r="B90" s="89"/>
      <c r="C90" s="89"/>
      <c r="D90" s="89"/>
      <c r="E90" s="89"/>
      <c r="F90" s="89"/>
      <c r="G90" s="89"/>
      <c r="H90" s="94"/>
      <c r="I90" s="94"/>
      <c r="J90" s="94"/>
      <c r="K90" s="94"/>
      <c r="L90" s="94"/>
      <c r="M90" s="94"/>
      <c r="N90" s="94"/>
      <c r="O90" s="94"/>
      <c r="P90" s="94"/>
      <c r="Q90" s="94"/>
      <c r="R90" s="95"/>
      <c r="S90" s="94"/>
      <c r="T90" s="96"/>
      <c r="U90" s="94"/>
      <c r="V90" s="97"/>
      <c r="W90" s="94"/>
      <c r="X90" s="98"/>
      <c r="Y90" s="98"/>
      <c r="Z90" s="98"/>
      <c r="AA90" s="98"/>
      <c r="AB90" s="98"/>
      <c r="AC90" s="97"/>
      <c r="AD90" s="99"/>
      <c r="AE90" s="95"/>
      <c r="AF90" s="94"/>
      <c r="AG90" s="89"/>
      <c r="AH90" s="89"/>
      <c r="AI90" s="89"/>
      <c r="AJ90" s="89"/>
      <c r="AK90" s="89"/>
      <c r="AL90" s="89"/>
      <c r="AM90" s="89"/>
      <c r="AN90" s="89"/>
      <c r="AO90" s="89"/>
      <c r="AP90" s="89"/>
      <c r="AQ90" s="89"/>
      <c r="AR90" s="89"/>
      <c r="AS90" s="89"/>
      <c r="AT90" s="89"/>
      <c r="AU90" s="89"/>
      <c r="AV90" s="89"/>
      <c r="AW90" s="100"/>
      <c r="AX90" s="100"/>
      <c r="AY90" s="89"/>
      <c r="AZ90" s="89"/>
      <c r="BA90" s="89"/>
      <c r="BB90" s="89"/>
      <c r="BC90" s="89"/>
      <c r="BD90" s="89"/>
      <c r="BE90" s="89"/>
      <c r="BF90" s="89"/>
      <c r="BG90" s="89"/>
      <c r="BH90" s="89"/>
      <c r="BI90" s="89"/>
      <c r="BJ90" s="89"/>
      <c r="BK90" s="89"/>
      <c r="BL90" s="89"/>
      <c r="BM90" s="89"/>
      <c r="BN90" s="89"/>
      <c r="BO90" s="89"/>
      <c r="BP90" s="89"/>
      <c r="BQ90" s="89"/>
      <c r="BR90" s="89"/>
      <c r="BS90" s="89"/>
    </row>
    <row r="91" spans="1:71" ht="27" customHeight="1" x14ac:dyDescent="0.2">
      <c r="A91" s="93"/>
      <c r="B91" s="89"/>
      <c r="C91" s="89"/>
      <c r="D91" s="89"/>
      <c r="E91" s="89"/>
      <c r="F91" s="89"/>
      <c r="G91" s="89"/>
      <c r="H91" s="94"/>
      <c r="I91" s="94"/>
      <c r="J91" s="94"/>
      <c r="K91" s="94"/>
      <c r="L91" s="94"/>
      <c r="M91" s="94"/>
      <c r="N91" s="94"/>
      <c r="O91" s="94"/>
      <c r="P91" s="94"/>
      <c r="Q91" s="94"/>
      <c r="R91" s="95"/>
      <c r="S91" s="94"/>
      <c r="T91" s="96"/>
      <c r="U91" s="94"/>
      <c r="V91" s="97"/>
      <c r="W91" s="94"/>
      <c r="X91" s="98"/>
      <c r="Y91" s="98"/>
      <c r="Z91" s="98"/>
      <c r="AA91" s="98"/>
      <c r="AB91" s="98"/>
      <c r="AC91" s="97"/>
      <c r="AD91" s="99"/>
      <c r="AE91" s="95"/>
      <c r="AF91" s="94"/>
      <c r="AG91" s="89"/>
      <c r="AH91" s="89"/>
      <c r="AI91" s="89"/>
      <c r="AJ91" s="89"/>
      <c r="AK91" s="89"/>
      <c r="AL91" s="89"/>
      <c r="AM91" s="89"/>
      <c r="AN91" s="89"/>
      <c r="AO91" s="89"/>
      <c r="AP91" s="89"/>
      <c r="AQ91" s="89"/>
      <c r="AR91" s="89"/>
      <c r="AS91" s="89"/>
      <c r="AT91" s="89"/>
      <c r="AU91" s="89"/>
      <c r="AV91" s="89"/>
      <c r="AW91" s="100"/>
      <c r="AX91" s="100"/>
      <c r="AY91" s="89"/>
      <c r="AZ91" s="89"/>
      <c r="BA91" s="89"/>
      <c r="BB91" s="89"/>
      <c r="BC91" s="89"/>
      <c r="BD91" s="89"/>
      <c r="BE91" s="89"/>
      <c r="BF91" s="89"/>
      <c r="BG91" s="89"/>
      <c r="BH91" s="89"/>
      <c r="BI91" s="89"/>
      <c r="BJ91" s="89"/>
      <c r="BK91" s="89"/>
      <c r="BL91" s="89"/>
      <c r="BM91" s="89"/>
      <c r="BN91" s="89"/>
      <c r="BO91" s="89"/>
      <c r="BP91" s="89"/>
      <c r="BQ91" s="89"/>
      <c r="BR91" s="89"/>
      <c r="BS91" s="89"/>
    </row>
    <row r="92" spans="1:71" ht="27" customHeight="1" x14ac:dyDescent="0.2">
      <c r="A92" s="93"/>
      <c r="B92" s="89"/>
      <c r="C92" s="89"/>
      <c r="D92" s="89"/>
      <c r="E92" s="89"/>
      <c r="F92" s="89"/>
      <c r="G92" s="89"/>
      <c r="H92" s="94"/>
      <c r="I92" s="94"/>
      <c r="J92" s="94"/>
      <c r="K92" s="94"/>
      <c r="L92" s="94"/>
      <c r="M92" s="94"/>
      <c r="N92" s="94"/>
      <c r="O92" s="94"/>
      <c r="P92" s="94"/>
      <c r="Q92" s="94"/>
      <c r="R92" s="95"/>
      <c r="S92" s="94"/>
      <c r="T92" s="96"/>
      <c r="U92" s="94"/>
      <c r="V92" s="97"/>
      <c r="W92" s="94"/>
      <c r="X92" s="98"/>
      <c r="Y92" s="98"/>
      <c r="Z92" s="98"/>
      <c r="AA92" s="98"/>
      <c r="AB92" s="98"/>
      <c r="AC92" s="97"/>
      <c r="AD92" s="99"/>
      <c r="AE92" s="95"/>
      <c r="AF92" s="94"/>
      <c r="AG92" s="89"/>
      <c r="AH92" s="89"/>
      <c r="AI92" s="89"/>
      <c r="AJ92" s="89"/>
      <c r="AK92" s="89"/>
      <c r="AL92" s="89"/>
      <c r="AM92" s="89"/>
      <c r="AN92" s="89"/>
      <c r="AO92" s="89"/>
      <c r="AP92" s="89"/>
      <c r="AQ92" s="89"/>
      <c r="AR92" s="89"/>
      <c r="AS92" s="89"/>
      <c r="AT92" s="89"/>
      <c r="AU92" s="89"/>
      <c r="AV92" s="89"/>
      <c r="AW92" s="100"/>
      <c r="AX92" s="100"/>
      <c r="AY92" s="89"/>
      <c r="AZ92" s="89"/>
      <c r="BA92" s="89"/>
      <c r="BB92" s="89"/>
      <c r="BC92" s="89"/>
      <c r="BD92" s="89"/>
      <c r="BE92" s="89"/>
      <c r="BF92" s="89"/>
      <c r="BG92" s="89"/>
      <c r="BH92" s="89"/>
      <c r="BI92" s="89"/>
      <c r="BJ92" s="89"/>
      <c r="BK92" s="89"/>
      <c r="BL92" s="89"/>
      <c r="BM92" s="89"/>
      <c r="BN92" s="89"/>
      <c r="BO92" s="89"/>
      <c r="BP92" s="89"/>
      <c r="BQ92" s="89"/>
      <c r="BR92" s="89"/>
      <c r="BS92" s="89"/>
    </row>
    <row r="93" spans="1:71" ht="27" customHeight="1" x14ac:dyDescent="0.2">
      <c r="A93" s="93"/>
      <c r="B93" s="89"/>
      <c r="C93" s="89"/>
      <c r="D93" s="89"/>
      <c r="E93" s="89"/>
      <c r="F93" s="89"/>
      <c r="G93" s="89"/>
      <c r="H93" s="94"/>
      <c r="I93" s="94"/>
      <c r="J93" s="94"/>
      <c r="K93" s="94"/>
      <c r="L93" s="94"/>
      <c r="M93" s="94"/>
      <c r="N93" s="94"/>
      <c r="O93" s="94"/>
      <c r="P93" s="94"/>
      <c r="Q93" s="94"/>
      <c r="R93" s="95"/>
      <c r="S93" s="94"/>
      <c r="T93" s="96"/>
      <c r="U93" s="94"/>
      <c r="V93" s="97"/>
      <c r="W93" s="94"/>
      <c r="X93" s="98"/>
      <c r="Y93" s="98"/>
      <c r="Z93" s="98"/>
      <c r="AA93" s="98"/>
      <c r="AB93" s="98"/>
      <c r="AC93" s="97"/>
      <c r="AD93" s="99"/>
      <c r="AE93" s="95"/>
      <c r="AF93" s="94"/>
      <c r="AG93" s="89"/>
      <c r="AH93" s="89"/>
      <c r="AI93" s="89"/>
      <c r="AJ93" s="89"/>
      <c r="AK93" s="89"/>
      <c r="AL93" s="89"/>
      <c r="AM93" s="89"/>
      <c r="AN93" s="89"/>
      <c r="AO93" s="89"/>
      <c r="AP93" s="89"/>
      <c r="AQ93" s="89"/>
      <c r="AR93" s="89"/>
      <c r="AS93" s="89"/>
      <c r="AT93" s="89"/>
      <c r="AU93" s="89"/>
      <c r="AV93" s="89"/>
      <c r="AW93" s="100"/>
      <c r="AX93" s="100"/>
      <c r="AY93" s="89"/>
      <c r="AZ93" s="89"/>
      <c r="BA93" s="89"/>
      <c r="BB93" s="89"/>
      <c r="BC93" s="89"/>
      <c r="BD93" s="89"/>
      <c r="BE93" s="89"/>
      <c r="BF93" s="89"/>
      <c r="BG93" s="89"/>
      <c r="BH93" s="89"/>
      <c r="BI93" s="89"/>
      <c r="BJ93" s="89"/>
      <c r="BK93" s="89"/>
      <c r="BL93" s="89"/>
      <c r="BM93" s="89"/>
      <c r="BN93" s="89"/>
      <c r="BO93" s="89"/>
      <c r="BP93" s="89"/>
      <c r="BQ93" s="89"/>
      <c r="BR93" s="89"/>
      <c r="BS93" s="89"/>
    </row>
    <row r="94" spans="1:71" ht="27" customHeight="1" x14ac:dyDescent="0.2">
      <c r="A94" s="93"/>
      <c r="B94" s="89"/>
      <c r="C94" s="89"/>
      <c r="D94" s="89"/>
      <c r="E94" s="89"/>
      <c r="F94" s="89"/>
      <c r="G94" s="89"/>
      <c r="H94" s="94"/>
      <c r="I94" s="94"/>
      <c r="J94" s="94"/>
      <c r="K94" s="94"/>
      <c r="L94" s="94"/>
      <c r="M94" s="94"/>
      <c r="N94" s="94"/>
      <c r="O94" s="94"/>
      <c r="P94" s="94"/>
      <c r="Q94" s="94"/>
      <c r="R94" s="95"/>
      <c r="S94" s="94"/>
      <c r="T94" s="96"/>
      <c r="U94" s="94"/>
      <c r="V94" s="97"/>
      <c r="W94" s="94"/>
      <c r="X94" s="98"/>
      <c r="Y94" s="98"/>
      <c r="Z94" s="98"/>
      <c r="AA94" s="98"/>
      <c r="AB94" s="98"/>
      <c r="AC94" s="97"/>
      <c r="AD94" s="99"/>
      <c r="AE94" s="95"/>
      <c r="AF94" s="94"/>
      <c r="AG94" s="89"/>
      <c r="AH94" s="89"/>
      <c r="AI94" s="89"/>
      <c r="AJ94" s="89"/>
      <c r="AK94" s="89"/>
      <c r="AL94" s="89"/>
      <c r="AM94" s="89"/>
      <c r="AN94" s="89"/>
      <c r="AO94" s="89"/>
      <c r="AP94" s="89"/>
      <c r="AQ94" s="89"/>
      <c r="AR94" s="89"/>
      <c r="AS94" s="89"/>
      <c r="AT94" s="89"/>
      <c r="AU94" s="89"/>
      <c r="AV94" s="89"/>
      <c r="AW94" s="100"/>
      <c r="AX94" s="100"/>
      <c r="AY94" s="89"/>
      <c r="AZ94" s="89"/>
      <c r="BA94" s="89"/>
      <c r="BB94" s="89"/>
      <c r="BC94" s="89"/>
      <c r="BD94" s="89"/>
      <c r="BE94" s="89"/>
      <c r="BF94" s="89"/>
      <c r="BG94" s="89"/>
      <c r="BH94" s="89"/>
      <c r="BI94" s="89"/>
      <c r="BJ94" s="89"/>
      <c r="BK94" s="89"/>
      <c r="BL94" s="89"/>
      <c r="BM94" s="89"/>
      <c r="BN94" s="89"/>
      <c r="BO94" s="89"/>
      <c r="BP94" s="89"/>
      <c r="BQ94" s="89"/>
      <c r="BR94" s="89"/>
      <c r="BS94" s="89"/>
    </row>
    <row r="95" spans="1:71" ht="27" customHeight="1" x14ac:dyDescent="0.2">
      <c r="A95" s="93"/>
      <c r="B95" s="89"/>
      <c r="C95" s="89"/>
      <c r="D95" s="89"/>
      <c r="E95" s="89"/>
      <c r="F95" s="89"/>
      <c r="G95" s="89"/>
      <c r="H95" s="94"/>
      <c r="I95" s="94"/>
      <c r="J95" s="94"/>
      <c r="K95" s="94"/>
      <c r="L95" s="94"/>
      <c r="M95" s="94"/>
      <c r="N95" s="94"/>
      <c r="O95" s="94"/>
      <c r="P95" s="94"/>
      <c r="Q95" s="94"/>
      <c r="R95" s="95"/>
      <c r="S95" s="94"/>
      <c r="T95" s="96"/>
      <c r="U95" s="94"/>
      <c r="V95" s="97"/>
      <c r="W95" s="94"/>
      <c r="X95" s="98"/>
      <c r="Y95" s="98"/>
      <c r="Z95" s="98"/>
      <c r="AA95" s="98"/>
      <c r="AB95" s="98"/>
      <c r="AC95" s="97"/>
      <c r="AD95" s="99"/>
      <c r="AE95" s="95"/>
      <c r="AF95" s="94"/>
      <c r="AG95" s="89"/>
      <c r="AH95" s="89"/>
      <c r="AI95" s="89"/>
      <c r="AJ95" s="89"/>
      <c r="AK95" s="89"/>
      <c r="AL95" s="89"/>
      <c r="AM95" s="89"/>
      <c r="AN95" s="89"/>
      <c r="AO95" s="89"/>
      <c r="AP95" s="89"/>
      <c r="AQ95" s="89"/>
      <c r="AR95" s="89"/>
      <c r="AS95" s="89"/>
      <c r="AT95" s="89"/>
      <c r="AU95" s="89"/>
      <c r="AV95" s="89"/>
      <c r="AW95" s="100"/>
      <c r="AX95" s="100"/>
      <c r="AY95" s="89"/>
      <c r="AZ95" s="89"/>
      <c r="BA95" s="89"/>
      <c r="BB95" s="89"/>
      <c r="BC95" s="89"/>
      <c r="BD95" s="89"/>
      <c r="BE95" s="89"/>
      <c r="BF95" s="89"/>
      <c r="BG95" s="89"/>
      <c r="BH95" s="89"/>
      <c r="BI95" s="89"/>
      <c r="BJ95" s="89"/>
      <c r="BK95" s="89"/>
      <c r="BL95" s="89"/>
      <c r="BM95" s="89"/>
      <c r="BN95" s="89"/>
      <c r="BO95" s="89"/>
      <c r="BP95" s="89"/>
      <c r="BQ95" s="89"/>
      <c r="BR95" s="89"/>
      <c r="BS95" s="89"/>
    </row>
    <row r="96" spans="1:71" ht="27" customHeight="1" x14ac:dyDescent="0.2">
      <c r="A96" s="93"/>
      <c r="B96" s="89"/>
      <c r="C96" s="89"/>
      <c r="D96" s="89"/>
      <c r="E96" s="89"/>
      <c r="F96" s="89"/>
      <c r="G96" s="89"/>
      <c r="H96" s="94"/>
      <c r="I96" s="94"/>
      <c r="J96" s="94"/>
      <c r="K96" s="94"/>
      <c r="L96" s="94"/>
      <c r="M96" s="94"/>
      <c r="N96" s="94"/>
      <c r="O96" s="94"/>
      <c r="P96" s="94"/>
      <c r="Q96" s="94"/>
      <c r="R96" s="95"/>
      <c r="S96" s="94"/>
      <c r="T96" s="96"/>
      <c r="U96" s="94"/>
      <c r="V96" s="97"/>
      <c r="W96" s="94"/>
      <c r="X96" s="98"/>
      <c r="Y96" s="98"/>
      <c r="Z96" s="98"/>
      <c r="AA96" s="98"/>
      <c r="AB96" s="98"/>
      <c r="AC96" s="97"/>
      <c r="AD96" s="99"/>
      <c r="AE96" s="95"/>
      <c r="AF96" s="94"/>
      <c r="AG96" s="89"/>
      <c r="AH96" s="89"/>
      <c r="AI96" s="89"/>
      <c r="AJ96" s="89"/>
      <c r="AK96" s="89"/>
      <c r="AL96" s="89"/>
      <c r="AM96" s="89"/>
      <c r="AN96" s="89"/>
      <c r="AO96" s="89"/>
      <c r="AP96" s="89"/>
      <c r="AQ96" s="89"/>
      <c r="AR96" s="89"/>
      <c r="AS96" s="89"/>
      <c r="AT96" s="89"/>
      <c r="AU96" s="89"/>
      <c r="AV96" s="89"/>
      <c r="AW96" s="100"/>
      <c r="AX96" s="100"/>
      <c r="AY96" s="89"/>
      <c r="AZ96" s="89"/>
      <c r="BA96" s="89"/>
      <c r="BB96" s="89"/>
      <c r="BC96" s="89"/>
      <c r="BD96" s="89"/>
      <c r="BE96" s="89"/>
      <c r="BF96" s="89"/>
      <c r="BG96" s="89"/>
      <c r="BH96" s="89"/>
      <c r="BI96" s="89"/>
      <c r="BJ96" s="89"/>
      <c r="BK96" s="89"/>
      <c r="BL96" s="89"/>
      <c r="BM96" s="89"/>
      <c r="BN96" s="89"/>
      <c r="BO96" s="89"/>
      <c r="BP96" s="89"/>
      <c r="BQ96" s="89"/>
      <c r="BR96" s="89"/>
      <c r="BS96" s="89"/>
    </row>
    <row r="97" spans="1:71" ht="27" customHeight="1" x14ac:dyDescent="0.2">
      <c r="A97" s="93"/>
      <c r="B97" s="89"/>
      <c r="C97" s="89"/>
      <c r="D97" s="89"/>
      <c r="E97" s="89"/>
      <c r="F97" s="89"/>
      <c r="G97" s="89"/>
      <c r="H97" s="94"/>
      <c r="I97" s="94"/>
      <c r="J97" s="94"/>
      <c r="K97" s="94"/>
      <c r="L97" s="94"/>
      <c r="M97" s="94"/>
      <c r="N97" s="94"/>
      <c r="O97" s="94"/>
      <c r="P97" s="94"/>
      <c r="Q97" s="94"/>
      <c r="R97" s="95"/>
      <c r="S97" s="94"/>
      <c r="T97" s="96"/>
      <c r="U97" s="94"/>
      <c r="V97" s="97"/>
      <c r="W97" s="94"/>
      <c r="X97" s="98"/>
      <c r="Y97" s="98"/>
      <c r="Z97" s="98"/>
      <c r="AA97" s="98"/>
      <c r="AB97" s="98"/>
      <c r="AC97" s="97"/>
      <c r="AD97" s="99"/>
      <c r="AE97" s="95"/>
      <c r="AF97" s="94"/>
      <c r="AG97" s="89"/>
      <c r="AH97" s="89"/>
      <c r="AI97" s="89"/>
      <c r="AJ97" s="89"/>
      <c r="AK97" s="89"/>
      <c r="AL97" s="89"/>
      <c r="AM97" s="89"/>
      <c r="AN97" s="89"/>
      <c r="AO97" s="89"/>
      <c r="AP97" s="89"/>
      <c r="AQ97" s="89"/>
      <c r="AR97" s="89"/>
      <c r="AS97" s="89"/>
      <c r="AT97" s="89"/>
      <c r="AU97" s="89"/>
      <c r="AV97" s="89"/>
      <c r="AW97" s="100"/>
      <c r="AX97" s="100"/>
      <c r="AY97" s="89"/>
      <c r="AZ97" s="89"/>
      <c r="BA97" s="89"/>
      <c r="BB97" s="89"/>
      <c r="BC97" s="89"/>
      <c r="BD97" s="89"/>
      <c r="BE97" s="89"/>
      <c r="BF97" s="89"/>
      <c r="BG97" s="89"/>
      <c r="BH97" s="89"/>
      <c r="BI97" s="89"/>
      <c r="BJ97" s="89"/>
      <c r="BK97" s="89"/>
      <c r="BL97" s="89"/>
      <c r="BM97" s="89"/>
      <c r="BN97" s="89"/>
      <c r="BO97" s="89"/>
      <c r="BP97" s="89"/>
      <c r="BQ97" s="89"/>
      <c r="BR97" s="89"/>
      <c r="BS97" s="89"/>
    </row>
    <row r="98" spans="1:71" ht="27" customHeight="1" x14ac:dyDescent="0.2">
      <c r="A98" s="93"/>
      <c r="B98" s="89"/>
      <c r="C98" s="89"/>
      <c r="D98" s="89"/>
      <c r="E98" s="89"/>
      <c r="F98" s="89"/>
      <c r="G98" s="89"/>
      <c r="H98" s="94"/>
      <c r="I98" s="94"/>
      <c r="J98" s="94"/>
      <c r="K98" s="94"/>
      <c r="L98" s="94"/>
      <c r="M98" s="94"/>
      <c r="N98" s="94"/>
      <c r="O98" s="94"/>
      <c r="P98" s="94"/>
      <c r="Q98" s="94"/>
      <c r="R98" s="95"/>
      <c r="S98" s="94"/>
      <c r="T98" s="96"/>
      <c r="U98" s="94"/>
      <c r="V98" s="97"/>
      <c r="W98" s="94"/>
      <c r="X98" s="98"/>
      <c r="Y98" s="98"/>
      <c r="Z98" s="98"/>
      <c r="AA98" s="98"/>
      <c r="AB98" s="98"/>
      <c r="AC98" s="97"/>
      <c r="AD98" s="99"/>
      <c r="AE98" s="95"/>
      <c r="AF98" s="94"/>
      <c r="AG98" s="89"/>
      <c r="AH98" s="89"/>
      <c r="AI98" s="89"/>
      <c r="AJ98" s="89"/>
      <c r="AK98" s="89"/>
      <c r="AL98" s="89"/>
      <c r="AM98" s="89"/>
      <c r="AN98" s="89"/>
      <c r="AO98" s="89"/>
      <c r="AP98" s="89"/>
      <c r="AQ98" s="89"/>
      <c r="AR98" s="89"/>
      <c r="AS98" s="89"/>
      <c r="AT98" s="89"/>
      <c r="AU98" s="89"/>
      <c r="AV98" s="89"/>
      <c r="AW98" s="100"/>
      <c r="AX98" s="100"/>
      <c r="AY98" s="89"/>
      <c r="AZ98" s="89"/>
      <c r="BA98" s="89"/>
      <c r="BB98" s="89"/>
      <c r="BC98" s="89"/>
      <c r="BD98" s="89"/>
      <c r="BE98" s="89"/>
      <c r="BF98" s="89"/>
      <c r="BG98" s="89"/>
      <c r="BH98" s="89"/>
      <c r="BI98" s="89"/>
      <c r="BJ98" s="89"/>
      <c r="BK98" s="89"/>
      <c r="BL98" s="89"/>
      <c r="BM98" s="89"/>
      <c r="BN98" s="89"/>
      <c r="BO98" s="89"/>
      <c r="BP98" s="89"/>
      <c r="BQ98" s="89"/>
      <c r="BR98" s="89"/>
      <c r="BS98" s="89"/>
    </row>
    <row r="99" spans="1:71" ht="27" customHeight="1" x14ac:dyDescent="0.2">
      <c r="A99" s="93"/>
      <c r="B99" s="89"/>
      <c r="C99" s="89"/>
      <c r="D99" s="89"/>
      <c r="E99" s="89"/>
      <c r="F99" s="89"/>
      <c r="G99" s="89"/>
      <c r="H99" s="94"/>
      <c r="I99" s="94"/>
      <c r="J99" s="94"/>
      <c r="K99" s="94"/>
      <c r="L99" s="94"/>
      <c r="M99" s="94"/>
      <c r="N99" s="94"/>
      <c r="O99" s="94"/>
      <c r="P99" s="94"/>
      <c r="Q99" s="94"/>
      <c r="R99" s="95"/>
      <c r="S99" s="94"/>
      <c r="T99" s="96"/>
      <c r="U99" s="94"/>
      <c r="V99" s="97"/>
      <c r="W99" s="94"/>
      <c r="X99" s="98"/>
      <c r="Y99" s="98"/>
      <c r="Z99" s="98"/>
      <c r="AA99" s="98"/>
      <c r="AB99" s="98"/>
      <c r="AC99" s="97"/>
      <c r="AD99" s="99"/>
      <c r="AE99" s="95"/>
      <c r="AF99" s="94"/>
      <c r="AG99" s="89"/>
      <c r="AH99" s="89"/>
      <c r="AI99" s="89"/>
      <c r="AJ99" s="89"/>
      <c r="AK99" s="89"/>
      <c r="AL99" s="89"/>
      <c r="AM99" s="89"/>
      <c r="AN99" s="89"/>
      <c r="AO99" s="89"/>
      <c r="AP99" s="89"/>
      <c r="AQ99" s="89"/>
      <c r="AR99" s="89"/>
      <c r="AS99" s="89"/>
      <c r="AT99" s="89"/>
      <c r="AU99" s="89"/>
      <c r="AV99" s="89"/>
      <c r="AW99" s="100"/>
      <c r="AX99" s="100"/>
      <c r="AY99" s="89"/>
      <c r="AZ99" s="89"/>
      <c r="BA99" s="89"/>
      <c r="BB99" s="89"/>
      <c r="BC99" s="89"/>
      <c r="BD99" s="89"/>
      <c r="BE99" s="89"/>
      <c r="BF99" s="89"/>
      <c r="BG99" s="89"/>
      <c r="BH99" s="89"/>
      <c r="BI99" s="89"/>
      <c r="BJ99" s="89"/>
      <c r="BK99" s="89"/>
      <c r="BL99" s="89"/>
      <c r="BM99" s="89"/>
      <c r="BN99" s="89"/>
      <c r="BO99" s="89"/>
      <c r="BP99" s="89"/>
      <c r="BQ99" s="89"/>
      <c r="BR99" s="89"/>
      <c r="BS99" s="89"/>
    </row>
    <row r="100" spans="1:71" ht="27" customHeight="1" x14ac:dyDescent="0.2">
      <c r="A100" s="93"/>
      <c r="B100" s="89"/>
      <c r="C100" s="89"/>
      <c r="D100" s="89"/>
      <c r="E100" s="89"/>
      <c r="F100" s="89"/>
      <c r="G100" s="89"/>
      <c r="H100" s="94"/>
      <c r="I100" s="94"/>
      <c r="J100" s="94"/>
      <c r="K100" s="94"/>
      <c r="L100" s="94"/>
      <c r="M100" s="94"/>
      <c r="N100" s="94"/>
      <c r="O100" s="94"/>
      <c r="P100" s="94"/>
      <c r="Q100" s="94"/>
      <c r="R100" s="95"/>
      <c r="S100" s="94"/>
      <c r="T100" s="96"/>
      <c r="U100" s="94"/>
      <c r="V100" s="97"/>
      <c r="W100" s="94"/>
      <c r="X100" s="98"/>
      <c r="Y100" s="98"/>
      <c r="Z100" s="98"/>
      <c r="AA100" s="98"/>
      <c r="AB100" s="98"/>
      <c r="AC100" s="97"/>
      <c r="AD100" s="99"/>
      <c r="AE100" s="95"/>
      <c r="AF100" s="94"/>
      <c r="AG100" s="89"/>
      <c r="AH100" s="89"/>
      <c r="AI100" s="89"/>
      <c r="AJ100" s="89"/>
      <c r="AK100" s="89"/>
      <c r="AL100" s="89"/>
      <c r="AM100" s="89"/>
      <c r="AN100" s="89"/>
      <c r="AO100" s="89"/>
      <c r="AP100" s="89"/>
      <c r="AQ100" s="89"/>
      <c r="AR100" s="89"/>
      <c r="AS100" s="89"/>
      <c r="AT100" s="89"/>
      <c r="AU100" s="89"/>
      <c r="AV100" s="89"/>
      <c r="AW100" s="100"/>
      <c r="AX100" s="100"/>
      <c r="AY100" s="89"/>
      <c r="AZ100" s="89"/>
      <c r="BA100" s="89"/>
      <c r="BB100" s="89"/>
      <c r="BC100" s="89"/>
      <c r="BD100" s="89"/>
      <c r="BE100" s="89"/>
      <c r="BF100" s="89"/>
      <c r="BG100" s="89"/>
      <c r="BH100" s="89"/>
      <c r="BI100" s="89"/>
      <c r="BJ100" s="89"/>
      <c r="BK100" s="89"/>
      <c r="BL100" s="89"/>
      <c r="BM100" s="89"/>
      <c r="BN100" s="89"/>
      <c r="BO100" s="89"/>
      <c r="BP100" s="89"/>
      <c r="BQ100" s="89"/>
      <c r="BR100" s="89"/>
      <c r="BS100" s="89"/>
    </row>
    <row r="101" spans="1:71" ht="27" customHeight="1" x14ac:dyDescent="0.2">
      <c r="A101" s="93"/>
      <c r="B101" s="89"/>
      <c r="C101" s="89"/>
      <c r="D101" s="89"/>
      <c r="E101" s="89"/>
      <c r="F101" s="89"/>
      <c r="G101" s="89"/>
      <c r="H101" s="94"/>
      <c r="I101" s="94"/>
      <c r="J101" s="94"/>
      <c r="K101" s="94"/>
      <c r="L101" s="94"/>
      <c r="M101" s="94"/>
      <c r="N101" s="94"/>
      <c r="O101" s="94"/>
      <c r="P101" s="94"/>
      <c r="Q101" s="94"/>
      <c r="R101" s="95"/>
      <c r="S101" s="94"/>
      <c r="T101" s="96"/>
      <c r="U101" s="94"/>
      <c r="V101" s="97"/>
      <c r="W101" s="94"/>
      <c r="X101" s="98"/>
      <c r="Y101" s="98"/>
      <c r="Z101" s="98"/>
      <c r="AA101" s="98"/>
      <c r="AB101" s="98"/>
      <c r="AC101" s="97"/>
      <c r="AD101" s="99"/>
      <c r="AE101" s="95"/>
      <c r="AF101" s="94"/>
      <c r="AG101" s="89"/>
      <c r="AH101" s="89"/>
      <c r="AI101" s="89"/>
      <c r="AJ101" s="89"/>
      <c r="AK101" s="89"/>
      <c r="AL101" s="89"/>
      <c r="AM101" s="89"/>
      <c r="AN101" s="89"/>
      <c r="AO101" s="89"/>
      <c r="AP101" s="89"/>
      <c r="AQ101" s="89"/>
      <c r="AR101" s="89"/>
      <c r="AS101" s="89"/>
      <c r="AT101" s="89"/>
      <c r="AU101" s="89"/>
      <c r="AV101" s="89"/>
      <c r="AW101" s="100"/>
      <c r="AX101" s="100"/>
      <c r="AY101" s="89"/>
      <c r="AZ101" s="89"/>
      <c r="BA101" s="89"/>
      <c r="BB101" s="89"/>
      <c r="BC101" s="89"/>
      <c r="BD101" s="89"/>
      <c r="BE101" s="89"/>
      <c r="BF101" s="89"/>
      <c r="BG101" s="89"/>
      <c r="BH101" s="89"/>
      <c r="BI101" s="89"/>
      <c r="BJ101" s="89"/>
      <c r="BK101" s="89"/>
      <c r="BL101" s="89"/>
      <c r="BM101" s="89"/>
      <c r="BN101" s="89"/>
      <c r="BO101" s="89"/>
      <c r="BP101" s="89"/>
      <c r="BQ101" s="89"/>
      <c r="BR101" s="89"/>
      <c r="BS101" s="89"/>
    </row>
    <row r="102" spans="1:71" ht="27" customHeight="1" x14ac:dyDescent="0.2">
      <c r="A102" s="93"/>
      <c r="B102" s="89"/>
      <c r="C102" s="89"/>
      <c r="D102" s="89"/>
      <c r="E102" s="89"/>
      <c r="F102" s="89"/>
      <c r="G102" s="89"/>
      <c r="H102" s="94"/>
      <c r="I102" s="94"/>
      <c r="J102" s="94"/>
      <c r="K102" s="94"/>
      <c r="L102" s="94"/>
      <c r="M102" s="94"/>
      <c r="N102" s="94"/>
      <c r="O102" s="94"/>
      <c r="P102" s="94"/>
      <c r="Q102" s="94"/>
      <c r="R102" s="95"/>
      <c r="S102" s="94"/>
      <c r="T102" s="96"/>
      <c r="U102" s="94"/>
      <c r="V102" s="97"/>
      <c r="W102" s="94"/>
      <c r="X102" s="98"/>
      <c r="Y102" s="98"/>
      <c r="Z102" s="98"/>
      <c r="AA102" s="98"/>
      <c r="AB102" s="98"/>
      <c r="AC102" s="97"/>
      <c r="AD102" s="99"/>
      <c r="AE102" s="95"/>
      <c r="AF102" s="94"/>
      <c r="AG102" s="89"/>
      <c r="AH102" s="89"/>
      <c r="AI102" s="89"/>
      <c r="AJ102" s="89"/>
      <c r="AK102" s="89"/>
      <c r="AL102" s="89"/>
      <c r="AM102" s="89"/>
      <c r="AN102" s="89"/>
      <c r="AO102" s="89"/>
      <c r="AP102" s="89"/>
      <c r="AQ102" s="89"/>
      <c r="AR102" s="89"/>
      <c r="AS102" s="89"/>
      <c r="AT102" s="89"/>
      <c r="AU102" s="89"/>
      <c r="AV102" s="89"/>
      <c r="AW102" s="100"/>
      <c r="AX102" s="100"/>
      <c r="AY102" s="89"/>
      <c r="AZ102" s="89"/>
      <c r="BA102" s="89"/>
      <c r="BB102" s="89"/>
      <c r="BC102" s="89"/>
      <c r="BD102" s="89"/>
      <c r="BE102" s="89"/>
      <c r="BF102" s="89"/>
      <c r="BG102" s="89"/>
      <c r="BH102" s="89"/>
      <c r="BI102" s="89"/>
      <c r="BJ102" s="89"/>
      <c r="BK102" s="89"/>
      <c r="BL102" s="89"/>
      <c r="BM102" s="89"/>
      <c r="BN102" s="89"/>
      <c r="BO102" s="89"/>
      <c r="BP102" s="89"/>
      <c r="BQ102" s="89"/>
      <c r="BR102" s="89"/>
      <c r="BS102" s="89"/>
    </row>
    <row r="103" spans="1:71" ht="27" customHeight="1" x14ac:dyDescent="0.2">
      <c r="A103" s="93"/>
      <c r="B103" s="89"/>
      <c r="C103" s="89"/>
      <c r="D103" s="89"/>
      <c r="E103" s="89"/>
      <c r="F103" s="89"/>
      <c r="G103" s="89"/>
      <c r="H103" s="94"/>
      <c r="I103" s="94"/>
      <c r="J103" s="94"/>
      <c r="K103" s="94"/>
      <c r="L103" s="94"/>
      <c r="M103" s="94"/>
      <c r="N103" s="94"/>
      <c r="O103" s="94"/>
      <c r="P103" s="94"/>
      <c r="Q103" s="94"/>
      <c r="R103" s="95"/>
      <c r="S103" s="94"/>
      <c r="T103" s="96"/>
      <c r="U103" s="94"/>
      <c r="V103" s="97"/>
      <c r="W103" s="94"/>
      <c r="X103" s="98"/>
      <c r="Y103" s="98"/>
      <c r="Z103" s="98"/>
      <c r="AA103" s="98"/>
      <c r="AB103" s="98"/>
      <c r="AC103" s="97"/>
      <c r="AD103" s="99"/>
      <c r="AE103" s="95"/>
      <c r="AF103" s="94"/>
      <c r="AG103" s="89"/>
      <c r="AH103" s="89"/>
      <c r="AI103" s="89"/>
      <c r="AJ103" s="89"/>
      <c r="AK103" s="89"/>
      <c r="AL103" s="89"/>
      <c r="AM103" s="89"/>
      <c r="AN103" s="89"/>
      <c r="AO103" s="89"/>
      <c r="AP103" s="89"/>
      <c r="AQ103" s="89"/>
      <c r="AR103" s="89"/>
      <c r="AS103" s="89"/>
      <c r="AT103" s="89"/>
      <c r="AU103" s="89"/>
      <c r="AV103" s="89"/>
      <c r="AW103" s="100"/>
      <c r="AX103" s="100"/>
      <c r="AY103" s="89"/>
      <c r="AZ103" s="89"/>
      <c r="BA103" s="89"/>
      <c r="BB103" s="89"/>
      <c r="BC103" s="89"/>
      <c r="BD103" s="89"/>
      <c r="BE103" s="89"/>
      <c r="BF103" s="89"/>
      <c r="BG103" s="89"/>
      <c r="BH103" s="89"/>
      <c r="BI103" s="89"/>
      <c r="BJ103" s="89"/>
      <c r="BK103" s="89"/>
      <c r="BL103" s="89"/>
      <c r="BM103" s="89"/>
      <c r="BN103" s="89"/>
      <c r="BO103" s="89"/>
      <c r="BP103" s="89"/>
      <c r="BQ103" s="89"/>
      <c r="BR103" s="89"/>
      <c r="BS103" s="89"/>
    </row>
    <row r="104" spans="1:71" ht="27" customHeight="1" x14ac:dyDescent="0.2">
      <c r="A104" s="93"/>
      <c r="B104" s="89"/>
      <c r="C104" s="89"/>
      <c r="D104" s="89"/>
      <c r="E104" s="89"/>
      <c r="F104" s="89"/>
      <c r="G104" s="89"/>
      <c r="H104" s="94"/>
      <c r="I104" s="94"/>
      <c r="J104" s="94"/>
      <c r="K104" s="94"/>
      <c r="L104" s="94"/>
      <c r="M104" s="94"/>
      <c r="N104" s="94"/>
      <c r="O104" s="94"/>
      <c r="P104" s="94"/>
      <c r="Q104" s="94"/>
      <c r="R104" s="95"/>
      <c r="S104" s="94"/>
      <c r="T104" s="96"/>
      <c r="U104" s="94"/>
      <c r="V104" s="97"/>
      <c r="W104" s="94"/>
      <c r="X104" s="98"/>
      <c r="Y104" s="98"/>
      <c r="Z104" s="98"/>
      <c r="AA104" s="98"/>
      <c r="AB104" s="98"/>
      <c r="AC104" s="97"/>
      <c r="AD104" s="99"/>
      <c r="AE104" s="95"/>
      <c r="AF104" s="94"/>
      <c r="AG104" s="89"/>
      <c r="AH104" s="89"/>
      <c r="AI104" s="89"/>
      <c r="AJ104" s="89"/>
      <c r="AK104" s="89"/>
      <c r="AL104" s="89"/>
      <c r="AM104" s="89"/>
      <c r="AN104" s="89"/>
      <c r="AO104" s="89"/>
      <c r="AP104" s="89"/>
      <c r="AQ104" s="89"/>
      <c r="AR104" s="89"/>
      <c r="AS104" s="89"/>
      <c r="AT104" s="89"/>
      <c r="AU104" s="89"/>
      <c r="AV104" s="89"/>
      <c r="AW104" s="100"/>
      <c r="AX104" s="100"/>
      <c r="AY104" s="89"/>
      <c r="AZ104" s="89"/>
      <c r="BA104" s="89"/>
      <c r="BB104" s="89"/>
      <c r="BC104" s="89"/>
      <c r="BD104" s="89"/>
      <c r="BE104" s="89"/>
      <c r="BF104" s="89"/>
      <c r="BG104" s="89"/>
      <c r="BH104" s="89"/>
      <c r="BI104" s="89"/>
      <c r="BJ104" s="89"/>
      <c r="BK104" s="89"/>
      <c r="BL104" s="89"/>
      <c r="BM104" s="89"/>
      <c r="BN104" s="89"/>
      <c r="BO104" s="89"/>
      <c r="BP104" s="89"/>
      <c r="BQ104" s="89"/>
      <c r="BR104" s="89"/>
      <c r="BS104" s="89"/>
    </row>
    <row r="105" spans="1:71" ht="27" customHeight="1" x14ac:dyDescent="0.2">
      <c r="A105" s="93"/>
      <c r="B105" s="89"/>
      <c r="C105" s="89"/>
      <c r="D105" s="89"/>
      <c r="E105" s="89"/>
      <c r="F105" s="89"/>
      <c r="G105" s="89"/>
      <c r="H105" s="94"/>
      <c r="I105" s="94"/>
      <c r="J105" s="94"/>
      <c r="K105" s="94"/>
      <c r="L105" s="94"/>
      <c r="M105" s="94"/>
      <c r="N105" s="94"/>
      <c r="O105" s="94"/>
      <c r="P105" s="94"/>
      <c r="Q105" s="94"/>
      <c r="R105" s="95"/>
      <c r="S105" s="94"/>
      <c r="T105" s="96"/>
      <c r="U105" s="94"/>
      <c r="V105" s="97"/>
      <c r="W105" s="94"/>
      <c r="X105" s="98"/>
      <c r="Y105" s="98"/>
      <c r="Z105" s="98"/>
      <c r="AA105" s="98"/>
      <c r="AB105" s="98"/>
      <c r="AC105" s="97"/>
      <c r="AD105" s="99"/>
      <c r="AE105" s="95"/>
      <c r="AF105" s="94"/>
      <c r="AG105" s="89"/>
      <c r="AH105" s="89"/>
      <c r="AI105" s="89"/>
      <c r="AJ105" s="89"/>
      <c r="AK105" s="89"/>
      <c r="AL105" s="89"/>
      <c r="AM105" s="89"/>
      <c r="AN105" s="89"/>
      <c r="AO105" s="89"/>
      <c r="AP105" s="89"/>
      <c r="AQ105" s="89"/>
      <c r="AR105" s="89"/>
      <c r="AS105" s="89"/>
      <c r="AT105" s="89"/>
      <c r="AU105" s="89"/>
      <c r="AV105" s="89"/>
      <c r="AW105" s="100"/>
      <c r="AX105" s="100"/>
      <c r="AY105" s="89"/>
      <c r="AZ105" s="89"/>
      <c r="BA105" s="89"/>
      <c r="BB105" s="89"/>
      <c r="BC105" s="89"/>
      <c r="BD105" s="89"/>
      <c r="BE105" s="89"/>
      <c r="BF105" s="89"/>
      <c r="BG105" s="89"/>
      <c r="BH105" s="89"/>
      <c r="BI105" s="89"/>
      <c r="BJ105" s="89"/>
      <c r="BK105" s="89"/>
      <c r="BL105" s="89"/>
      <c r="BM105" s="89"/>
      <c r="BN105" s="89"/>
      <c r="BO105" s="89"/>
      <c r="BP105" s="89"/>
      <c r="BQ105" s="89"/>
      <c r="BR105" s="89"/>
      <c r="BS105" s="89"/>
    </row>
    <row r="106" spans="1:71" ht="27" customHeight="1" x14ac:dyDescent="0.2">
      <c r="A106" s="93"/>
      <c r="B106" s="89"/>
      <c r="C106" s="89"/>
      <c r="D106" s="89"/>
      <c r="E106" s="89"/>
      <c r="F106" s="89"/>
      <c r="G106" s="89"/>
      <c r="H106" s="94"/>
      <c r="I106" s="94"/>
      <c r="J106" s="94"/>
      <c r="K106" s="94"/>
      <c r="L106" s="94"/>
      <c r="M106" s="94"/>
      <c r="N106" s="94"/>
      <c r="O106" s="94"/>
      <c r="P106" s="94"/>
      <c r="Q106" s="94"/>
      <c r="R106" s="95"/>
      <c r="S106" s="94"/>
      <c r="T106" s="96"/>
      <c r="U106" s="94"/>
      <c r="V106" s="97"/>
      <c r="W106" s="94"/>
      <c r="X106" s="98"/>
      <c r="Y106" s="98"/>
      <c r="Z106" s="98"/>
      <c r="AA106" s="98"/>
      <c r="AB106" s="98"/>
      <c r="AC106" s="97"/>
      <c r="AD106" s="99"/>
      <c r="AE106" s="95"/>
      <c r="AF106" s="94"/>
      <c r="AG106" s="89"/>
      <c r="AH106" s="89"/>
      <c r="AI106" s="89"/>
      <c r="AJ106" s="89"/>
      <c r="AK106" s="89"/>
      <c r="AL106" s="89"/>
      <c r="AM106" s="89"/>
      <c r="AN106" s="89"/>
      <c r="AO106" s="89"/>
      <c r="AP106" s="89"/>
      <c r="AQ106" s="89"/>
      <c r="AR106" s="89"/>
      <c r="AS106" s="89"/>
      <c r="AT106" s="89"/>
      <c r="AU106" s="89"/>
      <c r="AV106" s="89"/>
      <c r="AW106" s="100"/>
      <c r="AX106" s="100"/>
      <c r="AY106" s="89"/>
      <c r="AZ106" s="89"/>
      <c r="BA106" s="89"/>
      <c r="BB106" s="89"/>
      <c r="BC106" s="89"/>
      <c r="BD106" s="89"/>
      <c r="BE106" s="89"/>
      <c r="BF106" s="89"/>
      <c r="BG106" s="89"/>
      <c r="BH106" s="89"/>
      <c r="BI106" s="89"/>
      <c r="BJ106" s="89"/>
      <c r="BK106" s="89"/>
      <c r="BL106" s="89"/>
      <c r="BM106" s="89"/>
      <c r="BN106" s="89"/>
      <c r="BO106" s="89"/>
      <c r="BP106" s="89"/>
      <c r="BQ106" s="89"/>
      <c r="BR106" s="89"/>
      <c r="BS106" s="89"/>
    </row>
    <row r="107" spans="1:71" ht="27" customHeight="1" x14ac:dyDescent="0.2">
      <c r="A107" s="93"/>
      <c r="B107" s="89"/>
      <c r="C107" s="89"/>
      <c r="D107" s="89"/>
      <c r="E107" s="89"/>
      <c r="F107" s="89"/>
      <c r="G107" s="89"/>
      <c r="H107" s="94"/>
      <c r="I107" s="94"/>
      <c r="J107" s="94"/>
      <c r="K107" s="94"/>
      <c r="L107" s="94"/>
      <c r="M107" s="94"/>
      <c r="N107" s="94"/>
      <c r="O107" s="94"/>
      <c r="P107" s="94"/>
      <c r="Q107" s="94"/>
      <c r="R107" s="95"/>
      <c r="S107" s="94"/>
      <c r="T107" s="96"/>
      <c r="U107" s="94"/>
      <c r="V107" s="97"/>
      <c r="W107" s="94"/>
      <c r="X107" s="98"/>
      <c r="Y107" s="98"/>
      <c r="Z107" s="98"/>
      <c r="AA107" s="98"/>
      <c r="AB107" s="98"/>
      <c r="AC107" s="97"/>
      <c r="AD107" s="99"/>
      <c r="AE107" s="95"/>
      <c r="AF107" s="94"/>
      <c r="AG107" s="89"/>
      <c r="AH107" s="89"/>
      <c r="AI107" s="89"/>
      <c r="AJ107" s="89"/>
      <c r="AK107" s="89"/>
      <c r="AL107" s="89"/>
      <c r="AM107" s="89"/>
      <c r="AN107" s="89"/>
      <c r="AO107" s="89"/>
      <c r="AP107" s="89"/>
      <c r="AQ107" s="89"/>
      <c r="AR107" s="89"/>
      <c r="AS107" s="89"/>
      <c r="AT107" s="89"/>
      <c r="AU107" s="89"/>
      <c r="AV107" s="89"/>
      <c r="AW107" s="100"/>
      <c r="AX107" s="100"/>
      <c r="AY107" s="89"/>
      <c r="AZ107" s="89"/>
      <c r="BA107" s="89"/>
      <c r="BB107" s="89"/>
      <c r="BC107" s="89"/>
      <c r="BD107" s="89"/>
      <c r="BE107" s="89"/>
      <c r="BF107" s="89"/>
      <c r="BG107" s="89"/>
      <c r="BH107" s="89"/>
      <c r="BI107" s="89"/>
      <c r="BJ107" s="89"/>
      <c r="BK107" s="89"/>
      <c r="BL107" s="89"/>
      <c r="BM107" s="89"/>
      <c r="BN107" s="89"/>
      <c r="BO107" s="89"/>
      <c r="BP107" s="89"/>
      <c r="BQ107" s="89"/>
      <c r="BR107" s="89"/>
      <c r="BS107" s="89"/>
    </row>
    <row r="108" spans="1:71" ht="27" customHeight="1" x14ac:dyDescent="0.2">
      <c r="A108" s="93"/>
      <c r="B108" s="89"/>
      <c r="C108" s="89"/>
      <c r="D108" s="89"/>
      <c r="E108" s="89"/>
      <c r="F108" s="89"/>
      <c r="G108" s="89"/>
      <c r="H108" s="94"/>
      <c r="I108" s="94"/>
      <c r="J108" s="94"/>
      <c r="K108" s="94"/>
      <c r="L108" s="94"/>
      <c r="M108" s="94"/>
      <c r="N108" s="94"/>
      <c r="O108" s="94"/>
      <c r="P108" s="94"/>
      <c r="Q108" s="94"/>
      <c r="R108" s="95"/>
      <c r="S108" s="94"/>
      <c r="T108" s="96"/>
      <c r="U108" s="94"/>
      <c r="V108" s="97"/>
      <c r="W108" s="94"/>
      <c r="X108" s="98"/>
      <c r="Y108" s="98"/>
      <c r="Z108" s="98"/>
      <c r="AA108" s="98"/>
      <c r="AB108" s="98"/>
      <c r="AC108" s="97"/>
      <c r="AD108" s="99"/>
      <c r="AE108" s="95"/>
      <c r="AF108" s="94"/>
      <c r="AG108" s="89"/>
      <c r="AH108" s="89"/>
      <c r="AI108" s="89"/>
      <c r="AJ108" s="89"/>
      <c r="AK108" s="89"/>
      <c r="AL108" s="89"/>
      <c r="AM108" s="89"/>
      <c r="AN108" s="89"/>
      <c r="AO108" s="89"/>
      <c r="AP108" s="89"/>
      <c r="AQ108" s="89"/>
      <c r="AR108" s="89"/>
      <c r="AS108" s="89"/>
      <c r="AT108" s="89"/>
      <c r="AU108" s="89"/>
      <c r="AV108" s="89"/>
      <c r="AW108" s="100"/>
      <c r="AX108" s="100"/>
      <c r="AY108" s="89"/>
      <c r="AZ108" s="89"/>
      <c r="BA108" s="89"/>
      <c r="BB108" s="89"/>
      <c r="BC108" s="89"/>
      <c r="BD108" s="89"/>
      <c r="BE108" s="89"/>
      <c r="BF108" s="89"/>
      <c r="BG108" s="89"/>
      <c r="BH108" s="89"/>
      <c r="BI108" s="89"/>
      <c r="BJ108" s="89"/>
      <c r="BK108" s="89"/>
      <c r="BL108" s="89"/>
      <c r="BM108" s="89"/>
      <c r="BN108" s="89"/>
      <c r="BO108" s="89"/>
      <c r="BP108" s="89"/>
      <c r="BQ108" s="89"/>
      <c r="BR108" s="89"/>
      <c r="BS108" s="89"/>
    </row>
    <row r="109" spans="1:71" ht="27" customHeight="1" x14ac:dyDescent="0.2">
      <c r="A109" s="93"/>
      <c r="B109" s="89"/>
      <c r="C109" s="89"/>
      <c r="D109" s="89"/>
      <c r="E109" s="89"/>
      <c r="F109" s="89"/>
      <c r="G109" s="89"/>
      <c r="H109" s="94"/>
      <c r="I109" s="94"/>
      <c r="J109" s="94"/>
      <c r="K109" s="94"/>
      <c r="L109" s="94"/>
      <c r="M109" s="94"/>
      <c r="N109" s="94"/>
      <c r="O109" s="94"/>
      <c r="P109" s="94"/>
      <c r="Q109" s="94"/>
      <c r="R109" s="95"/>
      <c r="S109" s="94"/>
      <c r="T109" s="96"/>
      <c r="U109" s="94"/>
      <c r="V109" s="97"/>
      <c r="W109" s="94"/>
      <c r="X109" s="98"/>
      <c r="Y109" s="98"/>
      <c r="Z109" s="98"/>
      <c r="AA109" s="98"/>
      <c r="AB109" s="98"/>
      <c r="AC109" s="97"/>
      <c r="AD109" s="99"/>
      <c r="AE109" s="95"/>
      <c r="AF109" s="94"/>
      <c r="AG109" s="89"/>
      <c r="AH109" s="89"/>
      <c r="AI109" s="89"/>
      <c r="AJ109" s="89"/>
      <c r="AK109" s="89"/>
      <c r="AL109" s="89"/>
      <c r="AM109" s="89"/>
      <c r="AN109" s="89"/>
      <c r="AO109" s="89"/>
      <c r="AP109" s="89"/>
      <c r="AQ109" s="89"/>
      <c r="AR109" s="89"/>
      <c r="AS109" s="89"/>
      <c r="AT109" s="89"/>
      <c r="AU109" s="89"/>
      <c r="AV109" s="89"/>
      <c r="AW109" s="100"/>
      <c r="AX109" s="100"/>
      <c r="AY109" s="89"/>
      <c r="AZ109" s="89"/>
      <c r="BA109" s="89"/>
      <c r="BB109" s="89"/>
      <c r="BC109" s="89"/>
      <c r="BD109" s="89"/>
      <c r="BE109" s="89"/>
      <c r="BF109" s="89"/>
      <c r="BG109" s="89"/>
      <c r="BH109" s="89"/>
      <c r="BI109" s="89"/>
      <c r="BJ109" s="89"/>
      <c r="BK109" s="89"/>
      <c r="BL109" s="89"/>
      <c r="BM109" s="89"/>
      <c r="BN109" s="89"/>
      <c r="BO109" s="89"/>
      <c r="BP109" s="89"/>
      <c r="BQ109" s="89"/>
      <c r="BR109" s="89"/>
      <c r="BS109" s="89"/>
    </row>
    <row r="110" spans="1:71" ht="27" customHeight="1" x14ac:dyDescent="0.2">
      <c r="A110" s="93"/>
      <c r="B110" s="89"/>
      <c r="C110" s="89"/>
      <c r="D110" s="89"/>
      <c r="E110" s="89"/>
      <c r="F110" s="89"/>
      <c r="G110" s="89"/>
      <c r="H110" s="94"/>
      <c r="I110" s="94"/>
      <c r="J110" s="94"/>
      <c r="K110" s="94"/>
      <c r="L110" s="94"/>
      <c r="M110" s="94"/>
      <c r="N110" s="94"/>
      <c r="O110" s="94"/>
      <c r="P110" s="94"/>
      <c r="Q110" s="94"/>
      <c r="R110" s="95"/>
      <c r="S110" s="94"/>
      <c r="T110" s="96"/>
      <c r="U110" s="94"/>
      <c r="V110" s="97"/>
      <c r="W110" s="94"/>
      <c r="X110" s="98"/>
      <c r="Y110" s="98"/>
      <c r="Z110" s="98"/>
      <c r="AA110" s="98"/>
      <c r="AB110" s="98"/>
      <c r="AC110" s="97"/>
      <c r="AD110" s="99"/>
      <c r="AE110" s="95"/>
      <c r="AF110" s="94"/>
      <c r="AG110" s="89"/>
      <c r="AH110" s="89"/>
      <c r="AI110" s="89"/>
      <c r="AJ110" s="89"/>
      <c r="AK110" s="89"/>
      <c r="AL110" s="89"/>
      <c r="AM110" s="89"/>
      <c r="AN110" s="89"/>
      <c r="AO110" s="89"/>
      <c r="AP110" s="89"/>
      <c r="AQ110" s="89"/>
      <c r="AR110" s="89"/>
      <c r="AS110" s="89"/>
      <c r="AT110" s="89"/>
      <c r="AU110" s="89"/>
      <c r="AV110" s="89"/>
      <c r="AW110" s="100"/>
      <c r="AX110" s="100"/>
      <c r="AY110" s="89"/>
      <c r="AZ110" s="89"/>
      <c r="BA110" s="89"/>
      <c r="BB110" s="89"/>
      <c r="BC110" s="89"/>
      <c r="BD110" s="89"/>
      <c r="BE110" s="89"/>
      <c r="BF110" s="89"/>
      <c r="BG110" s="89"/>
      <c r="BH110" s="89"/>
      <c r="BI110" s="89"/>
      <c r="BJ110" s="89"/>
      <c r="BK110" s="89"/>
      <c r="BL110" s="89"/>
      <c r="BM110" s="89"/>
      <c r="BN110" s="89"/>
      <c r="BO110" s="89"/>
      <c r="BP110" s="89"/>
      <c r="BQ110" s="89"/>
      <c r="BR110" s="89"/>
      <c r="BS110" s="89"/>
    </row>
    <row r="111" spans="1:71" ht="27" customHeight="1" x14ac:dyDescent="0.2">
      <c r="A111" s="93"/>
      <c r="B111" s="89"/>
      <c r="C111" s="89"/>
      <c r="D111" s="89"/>
      <c r="E111" s="89"/>
      <c r="F111" s="89"/>
      <c r="G111" s="89"/>
      <c r="H111" s="94"/>
      <c r="I111" s="94"/>
      <c r="J111" s="94"/>
      <c r="K111" s="94"/>
      <c r="L111" s="94"/>
      <c r="M111" s="94"/>
      <c r="N111" s="94"/>
      <c r="O111" s="94"/>
      <c r="P111" s="94"/>
      <c r="Q111" s="94"/>
      <c r="R111" s="95"/>
      <c r="S111" s="94"/>
      <c r="T111" s="96"/>
      <c r="U111" s="94"/>
      <c r="V111" s="97"/>
      <c r="W111" s="94"/>
      <c r="X111" s="98"/>
      <c r="Y111" s="98"/>
      <c r="Z111" s="98"/>
      <c r="AA111" s="98"/>
      <c r="AB111" s="98"/>
      <c r="AC111" s="97"/>
      <c r="AD111" s="99"/>
      <c r="AE111" s="95"/>
      <c r="AF111" s="94"/>
      <c r="AG111" s="89"/>
      <c r="AH111" s="89"/>
      <c r="AI111" s="89"/>
      <c r="AJ111" s="89"/>
      <c r="AK111" s="89"/>
      <c r="AL111" s="89"/>
      <c r="AM111" s="89"/>
      <c r="AN111" s="89"/>
      <c r="AO111" s="89"/>
      <c r="AP111" s="89"/>
      <c r="AQ111" s="89"/>
      <c r="AR111" s="89"/>
      <c r="AS111" s="89"/>
      <c r="AT111" s="89"/>
      <c r="AU111" s="89"/>
      <c r="AV111" s="89"/>
      <c r="AW111" s="100"/>
      <c r="AX111" s="100"/>
      <c r="AY111" s="89"/>
      <c r="AZ111" s="89"/>
      <c r="BA111" s="89"/>
      <c r="BB111" s="89"/>
      <c r="BC111" s="89"/>
      <c r="BD111" s="89"/>
      <c r="BE111" s="89"/>
      <c r="BF111" s="89"/>
      <c r="BG111" s="89"/>
      <c r="BH111" s="89"/>
      <c r="BI111" s="89"/>
      <c r="BJ111" s="89"/>
      <c r="BK111" s="89"/>
      <c r="BL111" s="89"/>
      <c r="BM111" s="89"/>
      <c r="BN111" s="89"/>
      <c r="BO111" s="89"/>
      <c r="BP111" s="89"/>
      <c r="BQ111" s="89"/>
      <c r="BR111" s="89"/>
      <c r="BS111" s="89"/>
    </row>
    <row r="112" spans="1:71" ht="27" customHeight="1" x14ac:dyDescent="0.2">
      <c r="A112" s="93"/>
      <c r="B112" s="89"/>
      <c r="C112" s="89"/>
      <c r="D112" s="89"/>
      <c r="E112" s="89"/>
      <c r="F112" s="89"/>
      <c r="G112" s="89"/>
      <c r="H112" s="94"/>
      <c r="I112" s="94"/>
      <c r="J112" s="94"/>
      <c r="K112" s="94"/>
      <c r="L112" s="94"/>
      <c r="M112" s="94"/>
      <c r="N112" s="94"/>
      <c r="O112" s="94"/>
      <c r="P112" s="94"/>
      <c r="Q112" s="94"/>
      <c r="R112" s="95"/>
      <c r="S112" s="94"/>
      <c r="T112" s="96"/>
      <c r="U112" s="94"/>
      <c r="V112" s="97"/>
      <c r="W112" s="94"/>
      <c r="X112" s="98"/>
      <c r="Y112" s="98"/>
      <c r="Z112" s="98"/>
      <c r="AA112" s="98"/>
      <c r="AB112" s="98"/>
      <c r="AC112" s="97"/>
      <c r="AD112" s="99"/>
      <c r="AE112" s="95"/>
      <c r="AF112" s="94"/>
      <c r="AG112" s="89"/>
      <c r="AH112" s="89"/>
      <c r="AI112" s="89"/>
      <c r="AJ112" s="89"/>
      <c r="AK112" s="89"/>
      <c r="AL112" s="89"/>
      <c r="AM112" s="89"/>
      <c r="AN112" s="89"/>
      <c r="AO112" s="89"/>
      <c r="AP112" s="89"/>
      <c r="AQ112" s="89"/>
      <c r="AR112" s="89"/>
      <c r="AS112" s="89"/>
      <c r="AT112" s="89"/>
      <c r="AU112" s="89"/>
      <c r="AV112" s="89"/>
      <c r="AW112" s="100"/>
      <c r="AX112" s="100"/>
      <c r="AY112" s="89"/>
      <c r="AZ112" s="89"/>
      <c r="BA112" s="89"/>
      <c r="BB112" s="89"/>
      <c r="BC112" s="89"/>
      <c r="BD112" s="89"/>
      <c r="BE112" s="89"/>
      <c r="BF112" s="89"/>
      <c r="BG112" s="89"/>
      <c r="BH112" s="89"/>
      <c r="BI112" s="89"/>
      <c r="BJ112" s="89"/>
      <c r="BK112" s="89"/>
      <c r="BL112" s="89"/>
      <c r="BM112" s="89"/>
      <c r="BN112" s="89"/>
      <c r="BO112" s="89"/>
      <c r="BP112" s="89"/>
      <c r="BQ112" s="89"/>
      <c r="BR112" s="89"/>
      <c r="BS112" s="89"/>
    </row>
    <row r="113" spans="1:71" ht="27" customHeight="1" x14ac:dyDescent="0.2">
      <c r="A113" s="93"/>
      <c r="B113" s="89"/>
      <c r="C113" s="89"/>
      <c r="D113" s="89"/>
      <c r="E113" s="89"/>
      <c r="F113" s="89"/>
      <c r="G113" s="89"/>
      <c r="H113" s="94"/>
      <c r="I113" s="94"/>
      <c r="J113" s="94"/>
      <c r="K113" s="94"/>
      <c r="L113" s="94"/>
      <c r="M113" s="94"/>
      <c r="N113" s="94"/>
      <c r="O113" s="94"/>
      <c r="P113" s="94"/>
      <c r="Q113" s="94"/>
      <c r="R113" s="95"/>
      <c r="S113" s="94"/>
      <c r="T113" s="96"/>
      <c r="U113" s="94"/>
      <c r="V113" s="97"/>
      <c r="W113" s="94"/>
      <c r="X113" s="98"/>
      <c r="Y113" s="98"/>
      <c r="Z113" s="98"/>
      <c r="AA113" s="98"/>
      <c r="AB113" s="98"/>
      <c r="AC113" s="97"/>
      <c r="AD113" s="99"/>
      <c r="AE113" s="95"/>
      <c r="AF113" s="94"/>
      <c r="AG113" s="89"/>
      <c r="AH113" s="89"/>
      <c r="AI113" s="89"/>
      <c r="AJ113" s="89"/>
      <c r="AK113" s="89"/>
      <c r="AL113" s="89"/>
      <c r="AM113" s="89"/>
      <c r="AN113" s="89"/>
      <c r="AO113" s="89"/>
      <c r="AP113" s="89"/>
      <c r="AQ113" s="89"/>
      <c r="AR113" s="89"/>
      <c r="AS113" s="89"/>
      <c r="AT113" s="89"/>
      <c r="AU113" s="89"/>
      <c r="AV113" s="89"/>
      <c r="AW113" s="100"/>
      <c r="AX113" s="100"/>
      <c r="AY113" s="89"/>
      <c r="AZ113" s="89"/>
      <c r="BA113" s="89"/>
      <c r="BB113" s="89"/>
      <c r="BC113" s="89"/>
      <c r="BD113" s="89"/>
      <c r="BE113" s="89"/>
      <c r="BF113" s="89"/>
      <c r="BG113" s="89"/>
      <c r="BH113" s="89"/>
      <c r="BI113" s="89"/>
      <c r="BJ113" s="89"/>
      <c r="BK113" s="89"/>
      <c r="BL113" s="89"/>
      <c r="BM113" s="89"/>
      <c r="BN113" s="89"/>
      <c r="BO113" s="89"/>
      <c r="BP113" s="89"/>
      <c r="BQ113" s="89"/>
      <c r="BR113" s="89"/>
      <c r="BS113" s="89"/>
    </row>
    <row r="114" spans="1:71" ht="27" customHeight="1" x14ac:dyDescent="0.2">
      <c r="A114" s="93"/>
      <c r="B114" s="89"/>
      <c r="C114" s="89"/>
      <c r="D114" s="89"/>
      <c r="E114" s="89"/>
      <c r="F114" s="89"/>
      <c r="G114" s="89"/>
      <c r="H114" s="94"/>
      <c r="I114" s="94"/>
      <c r="J114" s="94"/>
      <c r="K114" s="94"/>
      <c r="L114" s="94"/>
      <c r="M114" s="94"/>
      <c r="N114" s="94"/>
      <c r="O114" s="94"/>
      <c r="P114" s="94"/>
      <c r="Q114" s="94"/>
      <c r="R114" s="95"/>
      <c r="S114" s="94"/>
      <c r="T114" s="96"/>
      <c r="U114" s="94"/>
      <c r="V114" s="97"/>
      <c r="W114" s="94"/>
      <c r="X114" s="98"/>
      <c r="Y114" s="98"/>
      <c r="Z114" s="98"/>
      <c r="AA114" s="98"/>
      <c r="AB114" s="98"/>
      <c r="AC114" s="97"/>
      <c r="AD114" s="99"/>
      <c r="AE114" s="95"/>
      <c r="AF114" s="94"/>
      <c r="AG114" s="89"/>
      <c r="AH114" s="89"/>
      <c r="AI114" s="89"/>
      <c r="AJ114" s="89"/>
      <c r="AK114" s="89"/>
      <c r="AL114" s="89"/>
      <c r="AM114" s="89"/>
      <c r="AN114" s="89"/>
      <c r="AO114" s="89"/>
      <c r="AP114" s="89"/>
      <c r="AQ114" s="89"/>
      <c r="AR114" s="89"/>
      <c r="AS114" s="89"/>
      <c r="AT114" s="89"/>
      <c r="AU114" s="89"/>
      <c r="AV114" s="89"/>
      <c r="AW114" s="100"/>
      <c r="AX114" s="100"/>
      <c r="AY114" s="89"/>
      <c r="AZ114" s="89"/>
      <c r="BA114" s="89"/>
      <c r="BB114" s="89"/>
      <c r="BC114" s="89"/>
      <c r="BD114" s="89"/>
      <c r="BE114" s="89"/>
      <c r="BF114" s="89"/>
      <c r="BG114" s="89"/>
      <c r="BH114" s="89"/>
      <c r="BI114" s="89"/>
      <c r="BJ114" s="89"/>
      <c r="BK114" s="89"/>
      <c r="BL114" s="89"/>
      <c r="BM114" s="89"/>
      <c r="BN114" s="89"/>
      <c r="BO114" s="89"/>
      <c r="BP114" s="89"/>
      <c r="BQ114" s="89"/>
      <c r="BR114" s="89"/>
      <c r="BS114" s="89"/>
    </row>
    <row r="115" spans="1:71" ht="27" customHeight="1" x14ac:dyDescent="0.2">
      <c r="A115" s="93"/>
      <c r="B115" s="89"/>
      <c r="C115" s="89"/>
      <c r="D115" s="89"/>
      <c r="E115" s="89"/>
      <c r="F115" s="89"/>
      <c r="G115" s="89"/>
      <c r="H115" s="94"/>
      <c r="I115" s="94"/>
      <c r="J115" s="94"/>
      <c r="K115" s="94"/>
      <c r="L115" s="94"/>
      <c r="M115" s="94"/>
      <c r="N115" s="94"/>
      <c r="O115" s="94"/>
      <c r="P115" s="94"/>
      <c r="Q115" s="94"/>
      <c r="R115" s="95"/>
      <c r="S115" s="94"/>
      <c r="T115" s="96"/>
      <c r="U115" s="94"/>
      <c r="V115" s="97"/>
      <c r="W115" s="94"/>
      <c r="X115" s="98"/>
      <c r="Y115" s="98"/>
      <c r="Z115" s="98"/>
      <c r="AA115" s="98"/>
      <c r="AB115" s="98"/>
      <c r="AC115" s="97"/>
      <c r="AD115" s="99"/>
      <c r="AE115" s="95"/>
      <c r="AF115" s="94"/>
      <c r="AG115" s="89"/>
      <c r="AH115" s="89"/>
      <c r="AI115" s="89"/>
      <c r="AJ115" s="89"/>
      <c r="AK115" s="89"/>
      <c r="AL115" s="89"/>
      <c r="AM115" s="89"/>
      <c r="AN115" s="89"/>
      <c r="AO115" s="89"/>
      <c r="AP115" s="89"/>
      <c r="AQ115" s="89"/>
      <c r="AR115" s="89"/>
      <c r="AS115" s="89"/>
      <c r="AT115" s="89"/>
      <c r="AU115" s="89"/>
      <c r="AV115" s="89"/>
      <c r="AW115" s="100"/>
      <c r="AX115" s="100"/>
      <c r="AY115" s="89"/>
      <c r="AZ115" s="89"/>
      <c r="BA115" s="89"/>
      <c r="BB115" s="89"/>
      <c r="BC115" s="89"/>
      <c r="BD115" s="89"/>
      <c r="BE115" s="89"/>
      <c r="BF115" s="89"/>
      <c r="BG115" s="89"/>
      <c r="BH115" s="89"/>
      <c r="BI115" s="89"/>
      <c r="BJ115" s="89"/>
      <c r="BK115" s="89"/>
      <c r="BL115" s="89"/>
      <c r="BM115" s="89"/>
      <c r="BN115" s="89"/>
      <c r="BO115" s="89"/>
      <c r="BP115" s="89"/>
      <c r="BQ115" s="89"/>
      <c r="BR115" s="89"/>
      <c r="BS115" s="89"/>
    </row>
    <row r="116" spans="1:71" ht="27" customHeight="1" x14ac:dyDescent="0.2">
      <c r="A116" s="93"/>
      <c r="B116" s="89"/>
      <c r="C116" s="89"/>
      <c r="D116" s="89"/>
      <c r="E116" s="89"/>
      <c r="F116" s="89"/>
      <c r="G116" s="89"/>
      <c r="H116" s="94"/>
      <c r="I116" s="94"/>
      <c r="J116" s="94"/>
      <c r="K116" s="94"/>
      <c r="L116" s="94"/>
      <c r="M116" s="94"/>
      <c r="N116" s="94"/>
      <c r="O116" s="94"/>
      <c r="P116" s="94"/>
      <c r="Q116" s="94"/>
      <c r="R116" s="95"/>
      <c r="S116" s="94"/>
      <c r="T116" s="96"/>
      <c r="U116" s="94"/>
      <c r="V116" s="97"/>
      <c r="W116" s="94"/>
      <c r="X116" s="98"/>
      <c r="Y116" s="98"/>
      <c r="Z116" s="98"/>
      <c r="AA116" s="98"/>
      <c r="AB116" s="98"/>
      <c r="AC116" s="97"/>
      <c r="AD116" s="99"/>
      <c r="AE116" s="95"/>
      <c r="AF116" s="94"/>
      <c r="AG116" s="89"/>
      <c r="AH116" s="89"/>
      <c r="AI116" s="89"/>
      <c r="AJ116" s="89"/>
      <c r="AK116" s="89"/>
      <c r="AL116" s="89"/>
      <c r="AM116" s="89"/>
      <c r="AN116" s="89"/>
      <c r="AO116" s="89"/>
      <c r="AP116" s="89"/>
      <c r="AQ116" s="89"/>
      <c r="AR116" s="89"/>
      <c r="AS116" s="89"/>
      <c r="AT116" s="89"/>
      <c r="AU116" s="89"/>
      <c r="AV116" s="89"/>
      <c r="AW116" s="100"/>
      <c r="AX116" s="100"/>
      <c r="AY116" s="89"/>
      <c r="AZ116" s="89"/>
      <c r="BA116" s="89"/>
      <c r="BB116" s="89"/>
      <c r="BC116" s="89"/>
      <c r="BD116" s="89"/>
      <c r="BE116" s="89"/>
      <c r="BF116" s="89"/>
      <c r="BG116" s="89"/>
      <c r="BH116" s="89"/>
      <c r="BI116" s="89"/>
      <c r="BJ116" s="89"/>
      <c r="BK116" s="89"/>
      <c r="BL116" s="89"/>
      <c r="BM116" s="89"/>
      <c r="BN116" s="89"/>
      <c r="BO116" s="89"/>
      <c r="BP116" s="89"/>
      <c r="BQ116" s="89"/>
      <c r="BR116" s="89"/>
      <c r="BS116" s="89"/>
    </row>
    <row r="117" spans="1:71" ht="27" customHeight="1" x14ac:dyDescent="0.2">
      <c r="A117" s="93"/>
      <c r="B117" s="89"/>
      <c r="C117" s="89"/>
      <c r="D117" s="89"/>
      <c r="E117" s="89"/>
      <c r="F117" s="89"/>
      <c r="G117" s="89"/>
      <c r="H117" s="94"/>
      <c r="I117" s="94"/>
      <c r="J117" s="94"/>
      <c r="K117" s="94"/>
      <c r="L117" s="94"/>
      <c r="M117" s="94"/>
      <c r="N117" s="94"/>
      <c r="O117" s="94"/>
      <c r="P117" s="94"/>
      <c r="Q117" s="94"/>
      <c r="R117" s="95"/>
      <c r="S117" s="94"/>
      <c r="T117" s="96"/>
      <c r="U117" s="94"/>
      <c r="V117" s="97"/>
      <c r="W117" s="94"/>
      <c r="X117" s="98"/>
      <c r="Y117" s="98"/>
      <c r="Z117" s="98"/>
      <c r="AA117" s="98"/>
      <c r="AB117" s="98"/>
      <c r="AC117" s="97"/>
      <c r="AD117" s="99"/>
      <c r="AE117" s="95"/>
      <c r="AF117" s="94"/>
      <c r="AG117" s="89"/>
      <c r="AH117" s="89"/>
      <c r="AI117" s="89"/>
      <c r="AJ117" s="89"/>
      <c r="AK117" s="89"/>
      <c r="AL117" s="89"/>
      <c r="AM117" s="89"/>
      <c r="AN117" s="89"/>
      <c r="AO117" s="89"/>
      <c r="AP117" s="89"/>
      <c r="AQ117" s="89"/>
      <c r="AR117" s="89"/>
      <c r="AS117" s="89"/>
      <c r="AT117" s="89"/>
      <c r="AU117" s="89"/>
      <c r="AV117" s="89"/>
      <c r="AW117" s="100"/>
      <c r="AX117" s="100"/>
      <c r="AY117" s="89"/>
      <c r="AZ117" s="89"/>
      <c r="BA117" s="89"/>
      <c r="BB117" s="89"/>
      <c r="BC117" s="89"/>
      <c r="BD117" s="89"/>
      <c r="BE117" s="89"/>
      <c r="BF117" s="89"/>
      <c r="BG117" s="89"/>
      <c r="BH117" s="89"/>
      <c r="BI117" s="89"/>
      <c r="BJ117" s="89"/>
      <c r="BK117" s="89"/>
      <c r="BL117" s="89"/>
      <c r="BM117" s="89"/>
      <c r="BN117" s="89"/>
      <c r="BO117" s="89"/>
      <c r="BP117" s="89"/>
      <c r="BQ117" s="89"/>
      <c r="BR117" s="89"/>
      <c r="BS117" s="89"/>
    </row>
    <row r="118" spans="1:71" ht="27" customHeight="1" x14ac:dyDescent="0.2">
      <c r="A118" s="93"/>
      <c r="B118" s="89"/>
      <c r="C118" s="89"/>
      <c r="D118" s="89"/>
      <c r="E118" s="89"/>
      <c r="F118" s="89"/>
      <c r="G118" s="89"/>
      <c r="H118" s="94"/>
      <c r="I118" s="94"/>
      <c r="J118" s="94"/>
      <c r="K118" s="94"/>
      <c r="L118" s="94"/>
      <c r="M118" s="94"/>
      <c r="N118" s="94"/>
      <c r="O118" s="94"/>
      <c r="P118" s="94"/>
      <c r="Q118" s="94"/>
      <c r="R118" s="95"/>
      <c r="S118" s="94"/>
      <c r="T118" s="96"/>
      <c r="U118" s="94"/>
      <c r="V118" s="97"/>
      <c r="W118" s="94"/>
      <c r="X118" s="98"/>
      <c r="Y118" s="98"/>
      <c r="Z118" s="98"/>
      <c r="AA118" s="98"/>
      <c r="AB118" s="98"/>
      <c r="AC118" s="97"/>
      <c r="AD118" s="99"/>
      <c r="AE118" s="95"/>
      <c r="AF118" s="94"/>
      <c r="AG118" s="89"/>
      <c r="AH118" s="89"/>
      <c r="AI118" s="89"/>
      <c r="AJ118" s="89"/>
      <c r="AK118" s="89"/>
      <c r="AL118" s="89"/>
      <c r="AM118" s="89"/>
      <c r="AN118" s="89"/>
      <c r="AO118" s="89"/>
      <c r="AP118" s="89"/>
      <c r="AQ118" s="89"/>
      <c r="AR118" s="89"/>
      <c r="AS118" s="89"/>
      <c r="AT118" s="89"/>
      <c r="AU118" s="89"/>
      <c r="AV118" s="89"/>
      <c r="AW118" s="100"/>
      <c r="AX118" s="100"/>
      <c r="AY118" s="89"/>
      <c r="AZ118" s="89"/>
      <c r="BA118" s="89"/>
      <c r="BB118" s="89"/>
      <c r="BC118" s="89"/>
      <c r="BD118" s="89"/>
      <c r="BE118" s="89"/>
      <c r="BF118" s="89"/>
      <c r="BG118" s="89"/>
      <c r="BH118" s="89"/>
      <c r="BI118" s="89"/>
      <c r="BJ118" s="89"/>
      <c r="BK118" s="89"/>
      <c r="BL118" s="89"/>
      <c r="BM118" s="89"/>
      <c r="BN118" s="89"/>
      <c r="BO118" s="89"/>
      <c r="BP118" s="89"/>
      <c r="BQ118" s="89"/>
      <c r="BR118" s="89"/>
      <c r="BS118" s="89"/>
    </row>
    <row r="119" spans="1:71" ht="27" customHeight="1" x14ac:dyDescent="0.2">
      <c r="A119" s="93"/>
      <c r="B119" s="89"/>
      <c r="C119" s="89"/>
      <c r="D119" s="89"/>
      <c r="E119" s="89"/>
      <c r="F119" s="89"/>
      <c r="G119" s="89"/>
      <c r="H119" s="94"/>
      <c r="I119" s="94"/>
      <c r="J119" s="94"/>
      <c r="K119" s="94"/>
      <c r="L119" s="94"/>
      <c r="M119" s="94"/>
      <c r="N119" s="94"/>
      <c r="O119" s="94"/>
      <c r="P119" s="94"/>
      <c r="Q119" s="94"/>
      <c r="R119" s="95"/>
      <c r="S119" s="94"/>
      <c r="T119" s="96"/>
      <c r="U119" s="94"/>
      <c r="V119" s="97"/>
      <c r="W119" s="94"/>
      <c r="X119" s="98"/>
      <c r="Y119" s="98"/>
      <c r="Z119" s="98"/>
      <c r="AA119" s="98"/>
      <c r="AB119" s="98"/>
      <c r="AC119" s="97"/>
      <c r="AD119" s="99"/>
      <c r="AE119" s="95"/>
      <c r="AF119" s="94"/>
      <c r="AG119" s="89"/>
      <c r="AH119" s="89"/>
      <c r="AI119" s="89"/>
      <c r="AJ119" s="89"/>
      <c r="AK119" s="89"/>
      <c r="AL119" s="89"/>
      <c r="AM119" s="89"/>
      <c r="AN119" s="89"/>
      <c r="AO119" s="89"/>
      <c r="AP119" s="89"/>
      <c r="AQ119" s="89"/>
      <c r="AR119" s="89"/>
      <c r="AS119" s="89"/>
      <c r="AT119" s="89"/>
      <c r="AU119" s="89"/>
      <c r="AV119" s="89"/>
      <c r="AW119" s="100"/>
      <c r="AX119" s="100"/>
      <c r="AY119" s="89"/>
      <c r="AZ119" s="89"/>
      <c r="BA119" s="89"/>
      <c r="BB119" s="89"/>
      <c r="BC119" s="89"/>
      <c r="BD119" s="89"/>
      <c r="BE119" s="89"/>
      <c r="BF119" s="89"/>
      <c r="BG119" s="89"/>
      <c r="BH119" s="89"/>
      <c r="BI119" s="89"/>
      <c r="BJ119" s="89"/>
      <c r="BK119" s="89"/>
      <c r="BL119" s="89"/>
      <c r="BM119" s="89"/>
      <c r="BN119" s="89"/>
      <c r="BO119" s="89"/>
      <c r="BP119" s="89"/>
      <c r="BQ119" s="89"/>
      <c r="BR119" s="89"/>
      <c r="BS119" s="89"/>
    </row>
    <row r="120" spans="1:71" ht="27" customHeight="1" x14ac:dyDescent="0.2">
      <c r="A120" s="93"/>
      <c r="B120" s="89"/>
      <c r="C120" s="89"/>
      <c r="D120" s="89"/>
      <c r="E120" s="89"/>
      <c r="F120" s="89"/>
      <c r="G120" s="89"/>
      <c r="H120" s="94"/>
      <c r="I120" s="94"/>
      <c r="J120" s="94"/>
      <c r="K120" s="94"/>
      <c r="L120" s="94"/>
      <c r="M120" s="94"/>
      <c r="N120" s="94"/>
      <c r="O120" s="94"/>
      <c r="P120" s="94"/>
      <c r="Q120" s="94"/>
      <c r="R120" s="95"/>
      <c r="S120" s="94"/>
      <c r="T120" s="96"/>
      <c r="U120" s="94"/>
      <c r="V120" s="97"/>
      <c r="W120" s="94"/>
      <c r="X120" s="98"/>
      <c r="Y120" s="98"/>
      <c r="Z120" s="98"/>
      <c r="AA120" s="98"/>
      <c r="AB120" s="98"/>
      <c r="AC120" s="97"/>
      <c r="AD120" s="99"/>
      <c r="AE120" s="95"/>
      <c r="AF120" s="94"/>
      <c r="AG120" s="89"/>
      <c r="AH120" s="89"/>
      <c r="AI120" s="89"/>
      <c r="AJ120" s="89"/>
      <c r="AK120" s="89"/>
      <c r="AL120" s="89"/>
      <c r="AM120" s="89"/>
      <c r="AN120" s="89"/>
      <c r="AO120" s="89"/>
      <c r="AP120" s="89"/>
      <c r="AQ120" s="89"/>
      <c r="AR120" s="89"/>
      <c r="AS120" s="89"/>
      <c r="AT120" s="89"/>
      <c r="AU120" s="89"/>
      <c r="AV120" s="89"/>
      <c r="AW120" s="100"/>
      <c r="AX120" s="100"/>
      <c r="AY120" s="89"/>
      <c r="AZ120" s="89"/>
      <c r="BA120" s="89"/>
      <c r="BB120" s="89"/>
      <c r="BC120" s="89"/>
      <c r="BD120" s="89"/>
      <c r="BE120" s="89"/>
      <c r="BF120" s="89"/>
      <c r="BG120" s="89"/>
      <c r="BH120" s="89"/>
      <c r="BI120" s="89"/>
      <c r="BJ120" s="89"/>
      <c r="BK120" s="89"/>
      <c r="BL120" s="89"/>
      <c r="BM120" s="89"/>
      <c r="BN120" s="89"/>
      <c r="BO120" s="89"/>
      <c r="BP120" s="89"/>
      <c r="BQ120" s="89"/>
      <c r="BR120" s="89"/>
      <c r="BS120" s="89"/>
    </row>
    <row r="121" spans="1:71" ht="27" customHeight="1" x14ac:dyDescent="0.2">
      <c r="A121" s="93"/>
      <c r="B121" s="89"/>
      <c r="C121" s="89"/>
      <c r="D121" s="89"/>
      <c r="E121" s="89"/>
      <c r="F121" s="89"/>
      <c r="G121" s="89"/>
      <c r="H121" s="94"/>
      <c r="I121" s="94"/>
      <c r="J121" s="94"/>
      <c r="K121" s="94"/>
      <c r="L121" s="94"/>
      <c r="M121" s="94"/>
      <c r="N121" s="94"/>
      <c r="O121" s="94"/>
      <c r="P121" s="94"/>
      <c r="Q121" s="94"/>
      <c r="R121" s="95"/>
      <c r="S121" s="94"/>
      <c r="T121" s="96"/>
      <c r="U121" s="94"/>
      <c r="V121" s="97"/>
      <c r="W121" s="94"/>
      <c r="X121" s="98"/>
      <c r="Y121" s="98"/>
      <c r="Z121" s="98"/>
      <c r="AA121" s="98"/>
      <c r="AB121" s="98"/>
      <c r="AC121" s="97"/>
      <c r="AD121" s="99"/>
      <c r="AE121" s="95"/>
      <c r="AF121" s="94"/>
      <c r="AG121" s="89"/>
      <c r="AH121" s="89"/>
      <c r="AI121" s="89"/>
      <c r="AJ121" s="89"/>
      <c r="AK121" s="89"/>
      <c r="AL121" s="89"/>
      <c r="AM121" s="89"/>
      <c r="AN121" s="89"/>
      <c r="AO121" s="89"/>
      <c r="AP121" s="89"/>
      <c r="AQ121" s="89"/>
      <c r="AR121" s="89"/>
      <c r="AS121" s="89"/>
      <c r="AT121" s="89"/>
      <c r="AU121" s="89"/>
      <c r="AV121" s="89"/>
      <c r="AW121" s="100"/>
      <c r="AX121" s="100"/>
      <c r="AY121" s="89"/>
      <c r="AZ121" s="89"/>
      <c r="BA121" s="89"/>
      <c r="BB121" s="89"/>
      <c r="BC121" s="89"/>
      <c r="BD121" s="89"/>
      <c r="BE121" s="89"/>
      <c r="BF121" s="89"/>
      <c r="BG121" s="89"/>
      <c r="BH121" s="89"/>
      <c r="BI121" s="89"/>
      <c r="BJ121" s="89"/>
      <c r="BK121" s="89"/>
      <c r="BL121" s="89"/>
      <c r="BM121" s="89"/>
      <c r="BN121" s="89"/>
      <c r="BO121" s="89"/>
      <c r="BP121" s="89"/>
      <c r="BQ121" s="89"/>
      <c r="BR121" s="89"/>
      <c r="BS121" s="89"/>
    </row>
    <row r="122" spans="1:71" ht="27" customHeight="1" x14ac:dyDescent="0.2">
      <c r="A122" s="93"/>
      <c r="B122" s="89"/>
      <c r="C122" s="89"/>
      <c r="D122" s="89"/>
      <c r="E122" s="89"/>
      <c r="F122" s="89"/>
      <c r="G122" s="89"/>
      <c r="H122" s="94"/>
      <c r="I122" s="94"/>
      <c r="J122" s="94"/>
      <c r="K122" s="94"/>
      <c r="L122" s="94"/>
      <c r="M122" s="94"/>
      <c r="N122" s="94"/>
      <c r="O122" s="94"/>
      <c r="P122" s="94"/>
      <c r="Q122" s="94"/>
      <c r="R122" s="95"/>
      <c r="S122" s="94"/>
      <c r="T122" s="96"/>
      <c r="U122" s="94"/>
      <c r="V122" s="97"/>
      <c r="W122" s="94"/>
      <c r="X122" s="98"/>
      <c r="Y122" s="98"/>
      <c r="Z122" s="98"/>
      <c r="AA122" s="98"/>
      <c r="AB122" s="98"/>
      <c r="AC122" s="97"/>
      <c r="AD122" s="99"/>
      <c r="AE122" s="95"/>
      <c r="AF122" s="94"/>
      <c r="AG122" s="89"/>
      <c r="AH122" s="89"/>
      <c r="AI122" s="89"/>
      <c r="AJ122" s="89"/>
      <c r="AK122" s="89"/>
      <c r="AL122" s="89"/>
      <c r="AM122" s="89"/>
      <c r="AN122" s="89"/>
      <c r="AO122" s="89"/>
      <c r="AP122" s="89"/>
      <c r="AQ122" s="89"/>
      <c r="AR122" s="89"/>
      <c r="AS122" s="89"/>
      <c r="AT122" s="89"/>
      <c r="AU122" s="89"/>
      <c r="AV122" s="89"/>
      <c r="AW122" s="100"/>
      <c r="AX122" s="100"/>
      <c r="AY122" s="89"/>
      <c r="AZ122" s="89"/>
      <c r="BA122" s="89"/>
      <c r="BB122" s="89"/>
      <c r="BC122" s="89"/>
      <c r="BD122" s="89"/>
      <c r="BE122" s="89"/>
      <c r="BF122" s="89"/>
      <c r="BG122" s="89"/>
      <c r="BH122" s="89"/>
      <c r="BI122" s="89"/>
      <c r="BJ122" s="89"/>
      <c r="BK122" s="89"/>
      <c r="BL122" s="89"/>
      <c r="BM122" s="89"/>
      <c r="BN122" s="89"/>
      <c r="BO122" s="89"/>
      <c r="BP122" s="89"/>
      <c r="BQ122" s="89"/>
      <c r="BR122" s="89"/>
      <c r="BS122" s="89"/>
    </row>
    <row r="123" spans="1:71" ht="27" customHeight="1" x14ac:dyDescent="0.2">
      <c r="A123" s="93"/>
      <c r="B123" s="89"/>
      <c r="C123" s="89"/>
      <c r="D123" s="89"/>
      <c r="E123" s="89"/>
      <c r="F123" s="89"/>
      <c r="G123" s="89"/>
      <c r="H123" s="94"/>
      <c r="I123" s="94"/>
      <c r="J123" s="94"/>
      <c r="K123" s="94"/>
      <c r="L123" s="94"/>
      <c r="M123" s="94"/>
      <c r="N123" s="94"/>
      <c r="O123" s="94"/>
      <c r="P123" s="94"/>
      <c r="Q123" s="94"/>
      <c r="R123" s="95"/>
      <c r="S123" s="94"/>
      <c r="T123" s="96"/>
      <c r="U123" s="94"/>
      <c r="V123" s="97"/>
      <c r="W123" s="94"/>
      <c r="X123" s="98"/>
      <c r="Y123" s="98"/>
      <c r="Z123" s="98"/>
      <c r="AA123" s="98"/>
      <c r="AB123" s="98"/>
      <c r="AC123" s="97"/>
      <c r="AD123" s="99"/>
      <c r="AE123" s="95"/>
      <c r="AF123" s="94"/>
      <c r="AG123" s="89"/>
      <c r="AH123" s="89"/>
      <c r="AI123" s="89"/>
      <c r="AJ123" s="89"/>
      <c r="AK123" s="89"/>
      <c r="AL123" s="89"/>
      <c r="AM123" s="89"/>
      <c r="AN123" s="89"/>
      <c r="AO123" s="89"/>
      <c r="AP123" s="89"/>
      <c r="AQ123" s="89"/>
      <c r="AR123" s="89"/>
      <c r="AS123" s="89"/>
      <c r="AT123" s="89"/>
      <c r="AU123" s="89"/>
      <c r="AV123" s="89"/>
      <c r="AW123" s="100"/>
      <c r="AX123" s="100"/>
      <c r="AY123" s="89"/>
      <c r="AZ123" s="89"/>
      <c r="BA123" s="89"/>
      <c r="BB123" s="89"/>
      <c r="BC123" s="89"/>
      <c r="BD123" s="89"/>
      <c r="BE123" s="89"/>
      <c r="BF123" s="89"/>
      <c r="BG123" s="89"/>
      <c r="BH123" s="89"/>
      <c r="BI123" s="89"/>
      <c r="BJ123" s="89"/>
      <c r="BK123" s="89"/>
      <c r="BL123" s="89"/>
      <c r="BM123" s="89"/>
      <c r="BN123" s="89"/>
      <c r="BO123" s="89"/>
      <c r="BP123" s="89"/>
      <c r="BQ123" s="89"/>
      <c r="BR123" s="89"/>
      <c r="BS123" s="89"/>
    </row>
    <row r="124" spans="1:71" ht="27" customHeight="1" x14ac:dyDescent="0.2">
      <c r="A124" s="93"/>
      <c r="B124" s="89"/>
      <c r="C124" s="89"/>
      <c r="D124" s="89"/>
      <c r="E124" s="89"/>
      <c r="F124" s="89"/>
      <c r="G124" s="89"/>
      <c r="H124" s="94"/>
      <c r="I124" s="94"/>
      <c r="J124" s="94"/>
      <c r="K124" s="94"/>
      <c r="L124" s="94"/>
      <c r="M124" s="94"/>
      <c r="N124" s="94"/>
      <c r="O124" s="94"/>
      <c r="P124" s="94"/>
      <c r="Q124" s="94"/>
      <c r="R124" s="95"/>
      <c r="S124" s="94"/>
      <c r="T124" s="96"/>
      <c r="U124" s="94"/>
      <c r="V124" s="97"/>
      <c r="W124" s="94"/>
      <c r="X124" s="98"/>
      <c r="Y124" s="98"/>
      <c r="Z124" s="98"/>
      <c r="AA124" s="98"/>
      <c r="AB124" s="98"/>
      <c r="AC124" s="97"/>
      <c r="AD124" s="99"/>
      <c r="AE124" s="95"/>
      <c r="AF124" s="94"/>
      <c r="AG124" s="89"/>
      <c r="AH124" s="89"/>
      <c r="AI124" s="89"/>
      <c r="AJ124" s="89"/>
      <c r="AK124" s="89"/>
      <c r="AL124" s="89"/>
      <c r="AM124" s="89"/>
      <c r="AN124" s="89"/>
      <c r="AO124" s="89"/>
      <c r="AP124" s="89"/>
      <c r="AQ124" s="89"/>
      <c r="AR124" s="89"/>
      <c r="AS124" s="89"/>
      <c r="AT124" s="89"/>
      <c r="AU124" s="89"/>
      <c r="AV124" s="89"/>
      <c r="AW124" s="100"/>
      <c r="AX124" s="100"/>
      <c r="AY124" s="89"/>
      <c r="AZ124" s="89"/>
      <c r="BA124" s="89"/>
      <c r="BB124" s="89"/>
      <c r="BC124" s="89"/>
      <c r="BD124" s="89"/>
      <c r="BE124" s="89"/>
      <c r="BF124" s="89"/>
      <c r="BG124" s="89"/>
      <c r="BH124" s="89"/>
      <c r="BI124" s="89"/>
      <c r="BJ124" s="89"/>
      <c r="BK124" s="89"/>
      <c r="BL124" s="89"/>
      <c r="BM124" s="89"/>
      <c r="BN124" s="89"/>
      <c r="BO124" s="89"/>
      <c r="BP124" s="89"/>
      <c r="BQ124" s="89"/>
      <c r="BR124" s="89"/>
      <c r="BS124" s="89"/>
    </row>
    <row r="125" spans="1:71" ht="27" customHeight="1" x14ac:dyDescent="0.2">
      <c r="A125" s="93"/>
      <c r="B125" s="89"/>
      <c r="C125" s="89"/>
      <c r="D125" s="89"/>
      <c r="E125" s="89"/>
      <c r="F125" s="89"/>
      <c r="G125" s="89"/>
      <c r="H125" s="94"/>
      <c r="I125" s="94"/>
      <c r="J125" s="94"/>
      <c r="K125" s="94"/>
      <c r="L125" s="94"/>
      <c r="M125" s="94"/>
      <c r="N125" s="94"/>
      <c r="O125" s="94"/>
      <c r="P125" s="94"/>
      <c r="Q125" s="94"/>
      <c r="R125" s="95"/>
      <c r="S125" s="94"/>
      <c r="T125" s="96"/>
      <c r="U125" s="94"/>
      <c r="V125" s="97"/>
      <c r="W125" s="94"/>
      <c r="X125" s="98"/>
      <c r="Y125" s="98"/>
      <c r="Z125" s="98"/>
      <c r="AA125" s="98"/>
      <c r="AB125" s="98"/>
      <c r="AC125" s="97"/>
      <c r="AD125" s="99"/>
      <c r="AE125" s="95"/>
      <c r="AF125" s="94"/>
      <c r="AG125" s="89"/>
      <c r="AH125" s="89"/>
      <c r="AI125" s="89"/>
      <c r="AJ125" s="89"/>
      <c r="AK125" s="89"/>
      <c r="AL125" s="89"/>
      <c r="AM125" s="89"/>
      <c r="AN125" s="89"/>
      <c r="AO125" s="89"/>
      <c r="AP125" s="89"/>
      <c r="AQ125" s="89"/>
      <c r="AR125" s="89"/>
      <c r="AS125" s="89"/>
      <c r="AT125" s="89"/>
      <c r="AU125" s="89"/>
      <c r="AV125" s="89"/>
      <c r="AW125" s="100"/>
      <c r="AX125" s="100"/>
      <c r="AY125" s="89"/>
      <c r="AZ125" s="89"/>
      <c r="BA125" s="89"/>
      <c r="BB125" s="89"/>
      <c r="BC125" s="89"/>
      <c r="BD125" s="89"/>
      <c r="BE125" s="89"/>
      <c r="BF125" s="89"/>
      <c r="BG125" s="89"/>
      <c r="BH125" s="89"/>
      <c r="BI125" s="89"/>
      <c r="BJ125" s="89"/>
      <c r="BK125" s="89"/>
      <c r="BL125" s="89"/>
      <c r="BM125" s="89"/>
      <c r="BN125" s="89"/>
      <c r="BO125" s="89"/>
      <c r="BP125" s="89"/>
      <c r="BQ125" s="89"/>
      <c r="BR125" s="89"/>
      <c r="BS125" s="89"/>
    </row>
    <row r="126" spans="1:71" ht="27" customHeight="1" x14ac:dyDescent="0.2">
      <c r="A126" s="93"/>
      <c r="B126" s="89"/>
      <c r="C126" s="89"/>
      <c r="D126" s="89"/>
      <c r="E126" s="89"/>
      <c r="F126" s="89"/>
      <c r="G126" s="89"/>
      <c r="H126" s="94"/>
      <c r="I126" s="94"/>
      <c r="J126" s="94"/>
      <c r="K126" s="94"/>
      <c r="L126" s="94"/>
      <c r="M126" s="94"/>
      <c r="N126" s="94"/>
      <c r="O126" s="94"/>
      <c r="P126" s="94"/>
      <c r="Q126" s="94"/>
      <c r="R126" s="95"/>
      <c r="S126" s="94"/>
      <c r="T126" s="96"/>
      <c r="U126" s="94"/>
      <c r="V126" s="97"/>
      <c r="W126" s="94"/>
      <c r="X126" s="98"/>
      <c r="Y126" s="98"/>
      <c r="Z126" s="98"/>
      <c r="AA126" s="98"/>
      <c r="AB126" s="98"/>
      <c r="AC126" s="97"/>
      <c r="AD126" s="99"/>
      <c r="AE126" s="95"/>
      <c r="AF126" s="94"/>
      <c r="AG126" s="89"/>
      <c r="AH126" s="89"/>
      <c r="AI126" s="89"/>
      <c r="AJ126" s="89"/>
      <c r="AK126" s="89"/>
      <c r="AL126" s="89"/>
      <c r="AM126" s="89"/>
      <c r="AN126" s="89"/>
      <c r="AO126" s="89"/>
      <c r="AP126" s="89"/>
      <c r="AQ126" s="89"/>
      <c r="AR126" s="89"/>
      <c r="AS126" s="89"/>
      <c r="AT126" s="89"/>
      <c r="AU126" s="89"/>
      <c r="AV126" s="89"/>
      <c r="AW126" s="100"/>
      <c r="AX126" s="100"/>
      <c r="AY126" s="89"/>
      <c r="AZ126" s="89"/>
      <c r="BA126" s="89"/>
      <c r="BB126" s="89"/>
      <c r="BC126" s="89"/>
      <c r="BD126" s="89"/>
      <c r="BE126" s="89"/>
      <c r="BF126" s="89"/>
      <c r="BG126" s="89"/>
      <c r="BH126" s="89"/>
      <c r="BI126" s="89"/>
      <c r="BJ126" s="89"/>
      <c r="BK126" s="89"/>
      <c r="BL126" s="89"/>
      <c r="BM126" s="89"/>
      <c r="BN126" s="89"/>
      <c r="BO126" s="89"/>
      <c r="BP126" s="89"/>
      <c r="BQ126" s="89"/>
      <c r="BR126" s="89"/>
      <c r="BS126" s="89"/>
    </row>
    <row r="127" spans="1:71" ht="27" customHeight="1" x14ac:dyDescent="0.2">
      <c r="A127" s="93"/>
      <c r="B127" s="89"/>
      <c r="C127" s="89"/>
      <c r="D127" s="89"/>
      <c r="E127" s="89"/>
      <c r="F127" s="89"/>
      <c r="G127" s="89"/>
      <c r="H127" s="94"/>
      <c r="I127" s="94"/>
      <c r="J127" s="94"/>
      <c r="K127" s="94"/>
      <c r="L127" s="94"/>
      <c r="M127" s="94"/>
      <c r="N127" s="94"/>
      <c r="O127" s="94"/>
      <c r="P127" s="94"/>
      <c r="Q127" s="94"/>
      <c r="R127" s="95"/>
      <c r="S127" s="94"/>
      <c r="T127" s="96"/>
      <c r="U127" s="94"/>
      <c r="V127" s="97"/>
      <c r="W127" s="94"/>
      <c r="X127" s="98"/>
      <c r="Y127" s="98"/>
      <c r="Z127" s="98"/>
      <c r="AA127" s="98"/>
      <c r="AB127" s="98"/>
      <c r="AC127" s="97"/>
      <c r="AD127" s="99"/>
      <c r="AE127" s="95"/>
      <c r="AF127" s="94"/>
      <c r="AG127" s="89"/>
      <c r="AH127" s="89"/>
      <c r="AI127" s="89"/>
      <c r="AJ127" s="89"/>
      <c r="AK127" s="89"/>
      <c r="AL127" s="89"/>
      <c r="AM127" s="89"/>
      <c r="AN127" s="89"/>
      <c r="AO127" s="89"/>
      <c r="AP127" s="89"/>
      <c r="AQ127" s="89"/>
      <c r="AR127" s="89"/>
      <c r="AS127" s="89"/>
      <c r="AT127" s="89"/>
      <c r="AU127" s="89"/>
      <c r="AV127" s="89"/>
      <c r="AW127" s="100"/>
      <c r="AX127" s="100"/>
      <c r="AY127" s="89"/>
      <c r="AZ127" s="89"/>
      <c r="BA127" s="89"/>
      <c r="BB127" s="89"/>
      <c r="BC127" s="89"/>
      <c r="BD127" s="89"/>
      <c r="BE127" s="89"/>
      <c r="BF127" s="89"/>
      <c r="BG127" s="89"/>
      <c r="BH127" s="89"/>
      <c r="BI127" s="89"/>
      <c r="BJ127" s="89"/>
      <c r="BK127" s="89"/>
      <c r="BL127" s="89"/>
      <c r="BM127" s="89"/>
      <c r="BN127" s="89"/>
      <c r="BO127" s="89"/>
      <c r="BP127" s="89"/>
      <c r="BQ127" s="89"/>
      <c r="BR127" s="89"/>
      <c r="BS127" s="89"/>
    </row>
    <row r="128" spans="1:71" ht="27" customHeight="1" x14ac:dyDescent="0.2">
      <c r="A128" s="93"/>
      <c r="B128" s="89"/>
      <c r="C128" s="89"/>
      <c r="D128" s="89"/>
      <c r="E128" s="89"/>
      <c r="F128" s="89"/>
      <c r="G128" s="89"/>
      <c r="H128" s="94"/>
      <c r="I128" s="94"/>
      <c r="J128" s="94"/>
      <c r="K128" s="94"/>
      <c r="L128" s="94"/>
      <c r="M128" s="94"/>
      <c r="N128" s="94"/>
      <c r="O128" s="94"/>
      <c r="P128" s="94"/>
      <c r="Q128" s="94"/>
      <c r="R128" s="95"/>
      <c r="S128" s="94"/>
      <c r="T128" s="96"/>
      <c r="U128" s="94"/>
      <c r="V128" s="97"/>
      <c r="W128" s="94"/>
      <c r="X128" s="98"/>
      <c r="Y128" s="98"/>
      <c r="Z128" s="98"/>
      <c r="AA128" s="98"/>
      <c r="AB128" s="98"/>
      <c r="AC128" s="97"/>
      <c r="AD128" s="99"/>
      <c r="AE128" s="95"/>
      <c r="AF128" s="94"/>
      <c r="AG128" s="89"/>
      <c r="AH128" s="89"/>
      <c r="AI128" s="89"/>
      <c r="AJ128" s="89"/>
      <c r="AK128" s="89"/>
      <c r="AL128" s="89"/>
      <c r="AM128" s="89"/>
      <c r="AN128" s="89"/>
      <c r="AO128" s="89"/>
      <c r="AP128" s="89"/>
      <c r="AQ128" s="89"/>
      <c r="AR128" s="89"/>
      <c r="AS128" s="89"/>
      <c r="AT128" s="89"/>
      <c r="AU128" s="89"/>
      <c r="AV128" s="89"/>
      <c r="AW128" s="100"/>
      <c r="AX128" s="100"/>
      <c r="AY128" s="89"/>
      <c r="AZ128" s="89"/>
      <c r="BA128" s="89"/>
      <c r="BB128" s="89"/>
      <c r="BC128" s="89"/>
      <c r="BD128" s="89"/>
      <c r="BE128" s="89"/>
      <c r="BF128" s="89"/>
      <c r="BG128" s="89"/>
      <c r="BH128" s="89"/>
      <c r="BI128" s="89"/>
      <c r="BJ128" s="89"/>
      <c r="BK128" s="89"/>
      <c r="BL128" s="89"/>
      <c r="BM128" s="89"/>
      <c r="BN128" s="89"/>
      <c r="BO128" s="89"/>
      <c r="BP128" s="89"/>
      <c r="BQ128" s="89"/>
      <c r="BR128" s="89"/>
      <c r="BS128" s="89"/>
    </row>
    <row r="129" spans="1:71" ht="27" customHeight="1" x14ac:dyDescent="0.2">
      <c r="A129" s="93"/>
      <c r="B129" s="89"/>
      <c r="C129" s="89"/>
      <c r="D129" s="89"/>
      <c r="E129" s="89"/>
      <c r="F129" s="89"/>
      <c r="G129" s="89"/>
      <c r="H129" s="94"/>
      <c r="I129" s="94"/>
      <c r="J129" s="94"/>
      <c r="K129" s="94"/>
      <c r="L129" s="94"/>
      <c r="M129" s="94"/>
      <c r="N129" s="94"/>
      <c r="O129" s="94"/>
      <c r="P129" s="94"/>
      <c r="Q129" s="94"/>
      <c r="R129" s="95"/>
      <c r="S129" s="94"/>
      <c r="T129" s="96"/>
      <c r="U129" s="94"/>
      <c r="V129" s="97"/>
      <c r="W129" s="94"/>
      <c r="X129" s="98"/>
      <c r="Y129" s="98"/>
      <c r="Z129" s="98"/>
      <c r="AA129" s="98"/>
      <c r="AB129" s="98"/>
      <c r="AC129" s="97"/>
      <c r="AD129" s="99"/>
      <c r="AE129" s="95"/>
      <c r="AF129" s="94"/>
      <c r="AG129" s="89"/>
      <c r="AH129" s="89"/>
      <c r="AI129" s="89"/>
      <c r="AJ129" s="89"/>
      <c r="AK129" s="89"/>
      <c r="AL129" s="89"/>
      <c r="AM129" s="89"/>
      <c r="AN129" s="89"/>
      <c r="AO129" s="89"/>
      <c r="AP129" s="89"/>
      <c r="AQ129" s="89"/>
      <c r="AR129" s="89"/>
      <c r="AS129" s="89"/>
      <c r="AT129" s="89"/>
      <c r="AU129" s="89"/>
      <c r="AV129" s="89"/>
      <c r="AW129" s="100"/>
      <c r="AX129" s="100"/>
      <c r="AY129" s="89"/>
      <c r="AZ129" s="89"/>
      <c r="BA129" s="89"/>
      <c r="BB129" s="89"/>
      <c r="BC129" s="89"/>
      <c r="BD129" s="89"/>
      <c r="BE129" s="89"/>
      <c r="BF129" s="89"/>
      <c r="BG129" s="89"/>
      <c r="BH129" s="89"/>
      <c r="BI129" s="89"/>
      <c r="BJ129" s="89"/>
      <c r="BK129" s="89"/>
      <c r="BL129" s="89"/>
      <c r="BM129" s="89"/>
      <c r="BN129" s="89"/>
      <c r="BO129" s="89"/>
      <c r="BP129" s="89"/>
      <c r="BQ129" s="89"/>
      <c r="BR129" s="89"/>
      <c r="BS129" s="89"/>
    </row>
    <row r="130" spans="1:71" ht="27" customHeight="1" x14ac:dyDescent="0.2">
      <c r="A130" s="93"/>
      <c r="B130" s="89"/>
      <c r="C130" s="89"/>
      <c r="D130" s="89"/>
      <c r="E130" s="89"/>
      <c r="F130" s="89"/>
      <c r="G130" s="89"/>
      <c r="H130" s="94"/>
      <c r="I130" s="94"/>
      <c r="J130" s="94"/>
      <c r="K130" s="94"/>
      <c r="L130" s="94"/>
      <c r="M130" s="94"/>
      <c r="N130" s="94"/>
      <c r="O130" s="94"/>
      <c r="P130" s="94"/>
      <c r="Q130" s="94"/>
      <c r="R130" s="95"/>
      <c r="S130" s="94"/>
      <c r="T130" s="96"/>
      <c r="U130" s="94"/>
      <c r="V130" s="97"/>
      <c r="W130" s="94"/>
      <c r="X130" s="98"/>
      <c r="Y130" s="98"/>
      <c r="Z130" s="98"/>
      <c r="AA130" s="98"/>
      <c r="AB130" s="98"/>
      <c r="AC130" s="97"/>
      <c r="AD130" s="99"/>
      <c r="AE130" s="95"/>
      <c r="AF130" s="94"/>
      <c r="AG130" s="89"/>
      <c r="AH130" s="89"/>
      <c r="AI130" s="89"/>
      <c r="AJ130" s="89"/>
      <c r="AK130" s="89"/>
      <c r="AL130" s="89"/>
      <c r="AM130" s="89"/>
      <c r="AN130" s="89"/>
      <c r="AO130" s="89"/>
      <c r="AP130" s="89"/>
      <c r="AQ130" s="89"/>
      <c r="AR130" s="89"/>
      <c r="AS130" s="89"/>
      <c r="AT130" s="89"/>
      <c r="AU130" s="89"/>
      <c r="AV130" s="89"/>
      <c r="AW130" s="100"/>
      <c r="AX130" s="100"/>
      <c r="AY130" s="89"/>
      <c r="AZ130" s="89"/>
      <c r="BA130" s="89"/>
      <c r="BB130" s="89"/>
      <c r="BC130" s="89"/>
      <c r="BD130" s="89"/>
      <c r="BE130" s="89"/>
      <c r="BF130" s="89"/>
      <c r="BG130" s="89"/>
      <c r="BH130" s="89"/>
      <c r="BI130" s="89"/>
      <c r="BJ130" s="89"/>
      <c r="BK130" s="89"/>
      <c r="BL130" s="89"/>
      <c r="BM130" s="89"/>
      <c r="BN130" s="89"/>
      <c r="BO130" s="89"/>
      <c r="BP130" s="89"/>
      <c r="BQ130" s="89"/>
      <c r="BR130" s="89"/>
      <c r="BS130" s="89"/>
    </row>
    <row r="131" spans="1:71" ht="27" customHeight="1" x14ac:dyDescent="0.2">
      <c r="A131" s="93"/>
      <c r="B131" s="89"/>
      <c r="C131" s="89"/>
      <c r="D131" s="89"/>
      <c r="E131" s="89"/>
      <c r="F131" s="89"/>
      <c r="G131" s="89"/>
      <c r="H131" s="94"/>
      <c r="I131" s="94"/>
      <c r="J131" s="94"/>
      <c r="K131" s="94"/>
      <c r="L131" s="94"/>
      <c r="M131" s="94"/>
      <c r="N131" s="94"/>
      <c r="O131" s="94"/>
      <c r="P131" s="94"/>
      <c r="Q131" s="94"/>
      <c r="R131" s="95"/>
      <c r="S131" s="94"/>
      <c r="T131" s="96"/>
      <c r="U131" s="94"/>
      <c r="V131" s="97"/>
      <c r="W131" s="94"/>
      <c r="X131" s="98"/>
      <c r="Y131" s="98"/>
      <c r="Z131" s="98"/>
      <c r="AA131" s="98"/>
      <c r="AB131" s="98"/>
      <c r="AC131" s="97"/>
      <c r="AD131" s="99"/>
      <c r="AE131" s="95"/>
      <c r="AF131" s="94"/>
      <c r="AG131" s="89"/>
      <c r="AH131" s="89"/>
      <c r="AI131" s="89"/>
      <c r="AJ131" s="89"/>
      <c r="AK131" s="89"/>
      <c r="AL131" s="89"/>
      <c r="AM131" s="89"/>
      <c r="AN131" s="89"/>
      <c r="AO131" s="89"/>
      <c r="AP131" s="89"/>
      <c r="AQ131" s="89"/>
      <c r="AR131" s="89"/>
      <c r="AS131" s="89"/>
      <c r="AT131" s="89"/>
      <c r="AU131" s="89"/>
      <c r="AV131" s="89"/>
      <c r="AW131" s="100"/>
      <c r="AX131" s="100"/>
      <c r="AY131" s="89"/>
      <c r="AZ131" s="89"/>
      <c r="BA131" s="89"/>
      <c r="BB131" s="89"/>
      <c r="BC131" s="89"/>
      <c r="BD131" s="89"/>
      <c r="BE131" s="89"/>
      <c r="BF131" s="89"/>
      <c r="BG131" s="89"/>
      <c r="BH131" s="89"/>
      <c r="BI131" s="89"/>
      <c r="BJ131" s="89"/>
      <c r="BK131" s="89"/>
      <c r="BL131" s="89"/>
      <c r="BM131" s="89"/>
      <c r="BN131" s="89"/>
      <c r="BO131" s="89"/>
      <c r="BP131" s="89"/>
      <c r="BQ131" s="89"/>
      <c r="BR131" s="89"/>
      <c r="BS131" s="89"/>
    </row>
    <row r="132" spans="1:71" ht="27" customHeight="1" x14ac:dyDescent="0.2">
      <c r="A132" s="93"/>
      <c r="B132" s="89"/>
      <c r="C132" s="89"/>
      <c r="D132" s="89"/>
      <c r="E132" s="89"/>
      <c r="F132" s="89"/>
      <c r="G132" s="89"/>
      <c r="H132" s="94"/>
      <c r="I132" s="94"/>
      <c r="J132" s="94"/>
      <c r="K132" s="94"/>
      <c r="L132" s="94"/>
      <c r="M132" s="94"/>
      <c r="N132" s="94"/>
      <c r="O132" s="94"/>
      <c r="P132" s="94"/>
      <c r="Q132" s="94"/>
      <c r="R132" s="95"/>
      <c r="S132" s="94"/>
      <c r="T132" s="96"/>
      <c r="U132" s="94"/>
      <c r="V132" s="97"/>
      <c r="W132" s="94"/>
      <c r="X132" s="98"/>
      <c r="Y132" s="98"/>
      <c r="Z132" s="98"/>
      <c r="AA132" s="98"/>
      <c r="AB132" s="98"/>
      <c r="AC132" s="97"/>
      <c r="AD132" s="99"/>
      <c r="AE132" s="95"/>
      <c r="AF132" s="94"/>
      <c r="AG132" s="89"/>
      <c r="AH132" s="89"/>
      <c r="AI132" s="89"/>
      <c r="AJ132" s="89"/>
      <c r="AK132" s="89"/>
      <c r="AL132" s="89"/>
      <c r="AM132" s="89"/>
      <c r="AN132" s="89"/>
      <c r="AO132" s="89"/>
      <c r="AP132" s="89"/>
      <c r="AQ132" s="89"/>
      <c r="AR132" s="89"/>
      <c r="AS132" s="89"/>
      <c r="AT132" s="89"/>
      <c r="AU132" s="89"/>
      <c r="AV132" s="89"/>
      <c r="AW132" s="100"/>
      <c r="AX132" s="100"/>
      <c r="AY132" s="89"/>
      <c r="AZ132" s="89"/>
      <c r="BA132" s="89"/>
      <c r="BB132" s="89"/>
      <c r="BC132" s="89"/>
      <c r="BD132" s="89"/>
      <c r="BE132" s="89"/>
      <c r="BF132" s="89"/>
      <c r="BG132" s="89"/>
      <c r="BH132" s="89"/>
      <c r="BI132" s="89"/>
      <c r="BJ132" s="89"/>
      <c r="BK132" s="89"/>
      <c r="BL132" s="89"/>
      <c r="BM132" s="89"/>
      <c r="BN132" s="89"/>
      <c r="BO132" s="89"/>
      <c r="BP132" s="89"/>
      <c r="BQ132" s="89"/>
      <c r="BR132" s="89"/>
      <c r="BS132" s="89"/>
    </row>
    <row r="133" spans="1:71" ht="27" customHeight="1" x14ac:dyDescent="0.2">
      <c r="A133" s="93"/>
      <c r="B133" s="89"/>
      <c r="C133" s="89"/>
      <c r="D133" s="89"/>
      <c r="E133" s="89"/>
      <c r="F133" s="89"/>
      <c r="G133" s="89"/>
      <c r="H133" s="94"/>
      <c r="I133" s="94"/>
      <c r="J133" s="94"/>
      <c r="K133" s="94"/>
      <c r="L133" s="94"/>
      <c r="M133" s="94"/>
      <c r="N133" s="94"/>
      <c r="O133" s="94"/>
      <c r="P133" s="94"/>
      <c r="Q133" s="94"/>
      <c r="R133" s="95"/>
      <c r="S133" s="94"/>
      <c r="T133" s="96"/>
      <c r="U133" s="94"/>
      <c r="V133" s="97"/>
      <c r="W133" s="94"/>
      <c r="X133" s="98"/>
      <c r="Y133" s="98"/>
      <c r="Z133" s="98"/>
      <c r="AA133" s="98"/>
      <c r="AB133" s="98"/>
      <c r="AC133" s="97"/>
      <c r="AD133" s="99"/>
      <c r="AE133" s="95"/>
      <c r="AF133" s="94"/>
      <c r="AG133" s="89"/>
      <c r="AH133" s="89"/>
      <c r="AI133" s="89"/>
      <c r="AJ133" s="89"/>
      <c r="AK133" s="89"/>
      <c r="AL133" s="89"/>
      <c r="AM133" s="89"/>
      <c r="AN133" s="89"/>
      <c r="AO133" s="89"/>
      <c r="AP133" s="89"/>
      <c r="AQ133" s="89"/>
      <c r="AR133" s="89"/>
      <c r="AS133" s="89"/>
      <c r="AT133" s="89"/>
      <c r="AU133" s="89"/>
      <c r="AV133" s="89"/>
      <c r="AW133" s="100"/>
      <c r="AX133" s="100"/>
      <c r="AY133" s="89"/>
      <c r="AZ133" s="89"/>
      <c r="BA133" s="89"/>
      <c r="BB133" s="89"/>
      <c r="BC133" s="89"/>
      <c r="BD133" s="89"/>
      <c r="BE133" s="89"/>
      <c r="BF133" s="89"/>
      <c r="BG133" s="89"/>
      <c r="BH133" s="89"/>
      <c r="BI133" s="89"/>
      <c r="BJ133" s="89"/>
      <c r="BK133" s="89"/>
      <c r="BL133" s="89"/>
      <c r="BM133" s="89"/>
      <c r="BN133" s="89"/>
      <c r="BO133" s="89"/>
      <c r="BP133" s="89"/>
      <c r="BQ133" s="89"/>
      <c r="BR133" s="89"/>
      <c r="BS133" s="89"/>
    </row>
    <row r="134" spans="1:71" ht="27" customHeight="1" x14ac:dyDescent="0.2">
      <c r="A134" s="93"/>
      <c r="B134" s="89"/>
      <c r="C134" s="89"/>
      <c r="D134" s="89"/>
      <c r="E134" s="89"/>
      <c r="F134" s="89"/>
      <c r="G134" s="89"/>
      <c r="H134" s="94"/>
      <c r="I134" s="94"/>
      <c r="J134" s="94"/>
      <c r="K134" s="94"/>
      <c r="L134" s="94"/>
      <c r="M134" s="94"/>
      <c r="N134" s="94"/>
      <c r="O134" s="94"/>
      <c r="P134" s="94"/>
      <c r="Q134" s="94"/>
      <c r="R134" s="95"/>
      <c r="S134" s="94"/>
      <c r="T134" s="96"/>
      <c r="U134" s="94"/>
      <c r="V134" s="97"/>
      <c r="W134" s="94"/>
      <c r="X134" s="98"/>
      <c r="Y134" s="98"/>
      <c r="Z134" s="98"/>
      <c r="AA134" s="98"/>
      <c r="AB134" s="98"/>
      <c r="AC134" s="97"/>
      <c r="AD134" s="99"/>
      <c r="AE134" s="95"/>
      <c r="AF134" s="94"/>
      <c r="AG134" s="89"/>
      <c r="AH134" s="89"/>
      <c r="AI134" s="89"/>
      <c r="AJ134" s="89"/>
      <c r="AK134" s="89"/>
      <c r="AL134" s="89"/>
      <c r="AM134" s="89"/>
      <c r="AN134" s="89"/>
      <c r="AO134" s="89"/>
      <c r="AP134" s="89"/>
      <c r="AQ134" s="89"/>
      <c r="AR134" s="89"/>
      <c r="AS134" s="89"/>
      <c r="AT134" s="89"/>
      <c r="AU134" s="89"/>
      <c r="AV134" s="89"/>
      <c r="AW134" s="100"/>
      <c r="AX134" s="100"/>
      <c r="AY134" s="89"/>
      <c r="AZ134" s="89"/>
      <c r="BA134" s="89"/>
      <c r="BB134" s="89"/>
      <c r="BC134" s="89"/>
      <c r="BD134" s="89"/>
      <c r="BE134" s="89"/>
      <c r="BF134" s="89"/>
      <c r="BG134" s="89"/>
      <c r="BH134" s="89"/>
      <c r="BI134" s="89"/>
      <c r="BJ134" s="89"/>
      <c r="BK134" s="89"/>
      <c r="BL134" s="89"/>
      <c r="BM134" s="89"/>
      <c r="BN134" s="89"/>
      <c r="BO134" s="89"/>
      <c r="BP134" s="89"/>
      <c r="BQ134" s="89"/>
      <c r="BR134" s="89"/>
      <c r="BS134" s="89"/>
    </row>
    <row r="135" spans="1:71" ht="27" customHeight="1" x14ac:dyDescent="0.2">
      <c r="A135" s="93"/>
      <c r="B135" s="89"/>
      <c r="C135" s="89"/>
      <c r="D135" s="89"/>
      <c r="E135" s="89"/>
      <c r="F135" s="89"/>
      <c r="G135" s="89"/>
      <c r="H135" s="94"/>
      <c r="I135" s="94"/>
      <c r="J135" s="94"/>
      <c r="K135" s="94"/>
      <c r="L135" s="94"/>
      <c r="M135" s="94"/>
      <c r="N135" s="94"/>
      <c r="O135" s="94"/>
      <c r="P135" s="94"/>
      <c r="Q135" s="94"/>
      <c r="R135" s="95"/>
      <c r="S135" s="94"/>
      <c r="T135" s="96"/>
      <c r="U135" s="94"/>
      <c r="V135" s="97"/>
      <c r="W135" s="94"/>
      <c r="X135" s="98"/>
      <c r="Y135" s="98"/>
      <c r="Z135" s="98"/>
      <c r="AA135" s="98"/>
      <c r="AB135" s="98"/>
      <c r="AC135" s="97"/>
      <c r="AD135" s="99"/>
      <c r="AE135" s="95"/>
      <c r="AF135" s="94"/>
      <c r="AG135" s="89"/>
      <c r="AH135" s="89"/>
      <c r="AI135" s="89"/>
      <c r="AJ135" s="89"/>
      <c r="AK135" s="89"/>
      <c r="AL135" s="89"/>
      <c r="AM135" s="89"/>
      <c r="AN135" s="89"/>
      <c r="AO135" s="89"/>
      <c r="AP135" s="89"/>
      <c r="AQ135" s="89"/>
      <c r="AR135" s="89"/>
      <c r="AS135" s="89"/>
      <c r="AT135" s="89"/>
      <c r="AU135" s="89"/>
      <c r="AV135" s="89"/>
      <c r="AW135" s="100"/>
      <c r="AX135" s="100"/>
      <c r="AY135" s="89"/>
      <c r="AZ135" s="89"/>
      <c r="BA135" s="89"/>
      <c r="BB135" s="89"/>
      <c r="BC135" s="89"/>
      <c r="BD135" s="89"/>
      <c r="BE135" s="89"/>
      <c r="BF135" s="89"/>
      <c r="BG135" s="89"/>
      <c r="BH135" s="89"/>
      <c r="BI135" s="89"/>
      <c r="BJ135" s="89"/>
      <c r="BK135" s="89"/>
      <c r="BL135" s="89"/>
      <c r="BM135" s="89"/>
      <c r="BN135" s="89"/>
      <c r="BO135" s="89"/>
      <c r="BP135" s="89"/>
      <c r="BQ135" s="89"/>
      <c r="BR135" s="89"/>
      <c r="BS135" s="89"/>
    </row>
    <row r="136" spans="1:71" ht="27" customHeight="1" x14ac:dyDescent="0.2">
      <c r="A136" s="93"/>
      <c r="B136" s="89"/>
      <c r="C136" s="89"/>
      <c r="D136" s="89"/>
      <c r="E136" s="89"/>
      <c r="F136" s="89"/>
      <c r="G136" s="89"/>
      <c r="H136" s="94"/>
      <c r="I136" s="94"/>
      <c r="J136" s="94"/>
      <c r="K136" s="94"/>
      <c r="L136" s="94"/>
      <c r="M136" s="94"/>
      <c r="N136" s="94"/>
      <c r="O136" s="94"/>
      <c r="P136" s="94"/>
      <c r="Q136" s="94"/>
      <c r="R136" s="95"/>
      <c r="S136" s="94"/>
      <c r="T136" s="96"/>
      <c r="U136" s="94"/>
      <c r="V136" s="97"/>
      <c r="W136" s="94"/>
      <c r="X136" s="98"/>
      <c r="Y136" s="98"/>
      <c r="Z136" s="98"/>
      <c r="AA136" s="98"/>
      <c r="AB136" s="98"/>
      <c r="AC136" s="97"/>
      <c r="AD136" s="99"/>
      <c r="AE136" s="95"/>
      <c r="AF136" s="94"/>
      <c r="AG136" s="89"/>
      <c r="AH136" s="89"/>
      <c r="AI136" s="89"/>
      <c r="AJ136" s="89"/>
      <c r="AK136" s="89"/>
      <c r="AL136" s="89"/>
      <c r="AM136" s="89"/>
      <c r="AN136" s="89"/>
      <c r="AO136" s="89"/>
      <c r="AP136" s="89"/>
      <c r="AQ136" s="89"/>
      <c r="AR136" s="89"/>
      <c r="AS136" s="89"/>
      <c r="AT136" s="89"/>
      <c r="AU136" s="89"/>
      <c r="AV136" s="89"/>
      <c r="AW136" s="100"/>
      <c r="AX136" s="100"/>
      <c r="AY136" s="89"/>
      <c r="AZ136" s="89"/>
      <c r="BA136" s="89"/>
      <c r="BB136" s="89"/>
      <c r="BC136" s="89"/>
      <c r="BD136" s="89"/>
      <c r="BE136" s="89"/>
      <c r="BF136" s="89"/>
      <c r="BG136" s="89"/>
      <c r="BH136" s="89"/>
      <c r="BI136" s="89"/>
      <c r="BJ136" s="89"/>
      <c r="BK136" s="89"/>
      <c r="BL136" s="89"/>
      <c r="BM136" s="89"/>
      <c r="BN136" s="89"/>
      <c r="BO136" s="89"/>
      <c r="BP136" s="89"/>
      <c r="BQ136" s="89"/>
      <c r="BR136" s="89"/>
      <c r="BS136" s="89"/>
    </row>
    <row r="137" spans="1:71" ht="27" customHeight="1" x14ac:dyDescent="0.2">
      <c r="A137" s="93"/>
      <c r="B137" s="89"/>
      <c r="C137" s="89"/>
      <c r="D137" s="89"/>
      <c r="E137" s="89"/>
      <c r="F137" s="89"/>
      <c r="G137" s="89"/>
      <c r="H137" s="94"/>
      <c r="I137" s="94"/>
      <c r="J137" s="94"/>
      <c r="K137" s="94"/>
      <c r="L137" s="94"/>
      <c r="M137" s="94"/>
      <c r="N137" s="94"/>
      <c r="O137" s="94"/>
      <c r="P137" s="94"/>
      <c r="Q137" s="94"/>
      <c r="R137" s="95"/>
      <c r="S137" s="94"/>
      <c r="T137" s="96"/>
      <c r="U137" s="94"/>
      <c r="V137" s="97"/>
      <c r="W137" s="94"/>
      <c r="X137" s="98"/>
      <c r="Y137" s="98"/>
      <c r="Z137" s="98"/>
      <c r="AA137" s="98"/>
      <c r="AB137" s="98"/>
      <c r="AC137" s="97"/>
      <c r="AD137" s="99"/>
      <c r="AE137" s="95"/>
      <c r="AF137" s="94"/>
      <c r="AG137" s="89"/>
      <c r="AH137" s="89"/>
      <c r="AI137" s="89"/>
      <c r="AJ137" s="89"/>
      <c r="AK137" s="89"/>
      <c r="AL137" s="89"/>
      <c r="AM137" s="89"/>
      <c r="AN137" s="89"/>
      <c r="AO137" s="89"/>
      <c r="AP137" s="89"/>
      <c r="AQ137" s="89"/>
      <c r="AR137" s="89"/>
      <c r="AS137" s="89"/>
      <c r="AT137" s="89"/>
      <c r="AU137" s="89"/>
      <c r="AV137" s="89"/>
      <c r="AW137" s="100"/>
      <c r="AX137" s="100"/>
      <c r="AY137" s="89"/>
      <c r="AZ137" s="89"/>
      <c r="BA137" s="89"/>
      <c r="BB137" s="89"/>
      <c r="BC137" s="89"/>
      <c r="BD137" s="89"/>
      <c r="BE137" s="89"/>
      <c r="BF137" s="89"/>
      <c r="BG137" s="89"/>
      <c r="BH137" s="89"/>
      <c r="BI137" s="89"/>
      <c r="BJ137" s="89"/>
      <c r="BK137" s="89"/>
      <c r="BL137" s="89"/>
      <c r="BM137" s="89"/>
      <c r="BN137" s="89"/>
      <c r="BO137" s="89"/>
      <c r="BP137" s="89"/>
      <c r="BQ137" s="89"/>
      <c r="BR137" s="89"/>
      <c r="BS137" s="89"/>
    </row>
    <row r="138" spans="1:71" ht="27" customHeight="1" x14ac:dyDescent="0.2">
      <c r="A138" s="93"/>
      <c r="B138" s="89"/>
      <c r="C138" s="89"/>
      <c r="D138" s="89"/>
      <c r="E138" s="89"/>
      <c r="F138" s="89"/>
      <c r="G138" s="89"/>
      <c r="H138" s="94"/>
      <c r="I138" s="94"/>
      <c r="J138" s="94"/>
      <c r="K138" s="94"/>
      <c r="L138" s="94"/>
      <c r="M138" s="94"/>
      <c r="N138" s="94"/>
      <c r="O138" s="94"/>
      <c r="P138" s="94"/>
      <c r="Q138" s="94"/>
      <c r="R138" s="95"/>
      <c r="S138" s="94"/>
      <c r="T138" s="96"/>
      <c r="U138" s="94"/>
      <c r="V138" s="97"/>
      <c r="W138" s="94"/>
      <c r="X138" s="98"/>
      <c r="Y138" s="98"/>
      <c r="Z138" s="98"/>
      <c r="AA138" s="98"/>
      <c r="AB138" s="98"/>
      <c r="AC138" s="97"/>
      <c r="AD138" s="99"/>
      <c r="AE138" s="95"/>
      <c r="AF138" s="94"/>
      <c r="AG138" s="89"/>
      <c r="AH138" s="89"/>
      <c r="AI138" s="89"/>
      <c r="AJ138" s="89"/>
      <c r="AK138" s="89"/>
      <c r="AL138" s="89"/>
      <c r="AM138" s="89"/>
      <c r="AN138" s="89"/>
      <c r="AO138" s="89"/>
      <c r="AP138" s="89"/>
      <c r="AQ138" s="89"/>
      <c r="AR138" s="89"/>
      <c r="AS138" s="89"/>
      <c r="AT138" s="89"/>
      <c r="AU138" s="89"/>
      <c r="AV138" s="89"/>
      <c r="AW138" s="100"/>
      <c r="AX138" s="100"/>
      <c r="AY138" s="89"/>
      <c r="AZ138" s="89"/>
      <c r="BA138" s="89"/>
      <c r="BB138" s="89"/>
      <c r="BC138" s="89"/>
      <c r="BD138" s="89"/>
      <c r="BE138" s="89"/>
      <c r="BF138" s="89"/>
      <c r="BG138" s="89"/>
      <c r="BH138" s="89"/>
      <c r="BI138" s="89"/>
      <c r="BJ138" s="89"/>
      <c r="BK138" s="89"/>
      <c r="BL138" s="89"/>
      <c r="BM138" s="89"/>
      <c r="BN138" s="89"/>
      <c r="BO138" s="89"/>
      <c r="BP138" s="89"/>
      <c r="BQ138" s="89"/>
      <c r="BR138" s="89"/>
      <c r="BS138" s="89"/>
    </row>
    <row r="139" spans="1:71" ht="27" customHeight="1" x14ac:dyDescent="0.2">
      <c r="A139" s="93"/>
      <c r="B139" s="89"/>
      <c r="C139" s="89"/>
      <c r="D139" s="89"/>
      <c r="E139" s="89"/>
      <c r="F139" s="89"/>
      <c r="G139" s="89"/>
      <c r="H139" s="94"/>
      <c r="I139" s="94"/>
      <c r="J139" s="94"/>
      <c r="K139" s="94"/>
      <c r="L139" s="94"/>
      <c r="M139" s="94"/>
      <c r="N139" s="94"/>
      <c r="O139" s="94"/>
      <c r="P139" s="94"/>
      <c r="Q139" s="94"/>
      <c r="R139" s="95"/>
      <c r="S139" s="94"/>
      <c r="T139" s="96"/>
      <c r="U139" s="94"/>
      <c r="V139" s="97"/>
      <c r="W139" s="94"/>
      <c r="X139" s="98"/>
      <c r="Y139" s="98"/>
      <c r="Z139" s="98"/>
      <c r="AA139" s="98"/>
      <c r="AB139" s="98"/>
      <c r="AC139" s="97"/>
      <c r="AD139" s="99"/>
      <c r="AE139" s="95"/>
      <c r="AF139" s="94"/>
      <c r="AG139" s="89"/>
      <c r="AH139" s="89"/>
      <c r="AI139" s="89"/>
      <c r="AJ139" s="89"/>
      <c r="AK139" s="89"/>
      <c r="AL139" s="89"/>
      <c r="AM139" s="89"/>
      <c r="AN139" s="89"/>
      <c r="AO139" s="89"/>
      <c r="AP139" s="89"/>
      <c r="AQ139" s="89"/>
      <c r="AR139" s="89"/>
      <c r="AS139" s="89"/>
      <c r="AT139" s="89"/>
      <c r="AU139" s="89"/>
      <c r="AV139" s="89"/>
      <c r="AW139" s="100"/>
      <c r="AX139" s="100"/>
      <c r="AY139" s="89"/>
      <c r="AZ139" s="89"/>
      <c r="BA139" s="89"/>
      <c r="BB139" s="89"/>
      <c r="BC139" s="89"/>
      <c r="BD139" s="89"/>
      <c r="BE139" s="89"/>
      <c r="BF139" s="89"/>
      <c r="BG139" s="89"/>
      <c r="BH139" s="89"/>
      <c r="BI139" s="89"/>
      <c r="BJ139" s="89"/>
      <c r="BK139" s="89"/>
      <c r="BL139" s="89"/>
      <c r="BM139" s="89"/>
      <c r="BN139" s="89"/>
      <c r="BO139" s="89"/>
      <c r="BP139" s="89"/>
      <c r="BQ139" s="89"/>
      <c r="BR139" s="89"/>
      <c r="BS139" s="89"/>
    </row>
    <row r="140" spans="1:71" ht="27" customHeight="1" x14ac:dyDescent="0.2">
      <c r="A140" s="93"/>
      <c r="B140" s="89"/>
      <c r="C140" s="89"/>
      <c r="D140" s="89"/>
      <c r="E140" s="89"/>
      <c r="F140" s="89"/>
      <c r="G140" s="89"/>
      <c r="H140" s="94"/>
      <c r="I140" s="94"/>
      <c r="J140" s="94"/>
      <c r="K140" s="94"/>
      <c r="L140" s="94"/>
      <c r="M140" s="94"/>
      <c r="N140" s="94"/>
      <c r="O140" s="94"/>
      <c r="P140" s="94"/>
      <c r="Q140" s="94"/>
      <c r="R140" s="95"/>
      <c r="S140" s="94"/>
      <c r="T140" s="96"/>
      <c r="U140" s="94"/>
      <c r="V140" s="97"/>
      <c r="W140" s="94"/>
      <c r="X140" s="98"/>
      <c r="Y140" s="98"/>
      <c r="Z140" s="98"/>
      <c r="AA140" s="98"/>
      <c r="AB140" s="98"/>
      <c r="AC140" s="97"/>
      <c r="AD140" s="99"/>
      <c r="AE140" s="95"/>
      <c r="AF140" s="94"/>
      <c r="AG140" s="89"/>
      <c r="AH140" s="89"/>
      <c r="AI140" s="89"/>
      <c r="AJ140" s="89"/>
      <c r="AK140" s="89"/>
      <c r="AL140" s="89"/>
      <c r="AM140" s="89"/>
      <c r="AN140" s="89"/>
      <c r="AO140" s="89"/>
      <c r="AP140" s="89"/>
      <c r="AQ140" s="89"/>
      <c r="AR140" s="89"/>
      <c r="AS140" s="89"/>
      <c r="AT140" s="89"/>
      <c r="AU140" s="89"/>
      <c r="AV140" s="89"/>
      <c r="AW140" s="100"/>
      <c r="AX140" s="100"/>
      <c r="AY140" s="89"/>
      <c r="AZ140" s="89"/>
      <c r="BA140" s="89"/>
      <c r="BB140" s="89"/>
      <c r="BC140" s="89"/>
      <c r="BD140" s="89"/>
      <c r="BE140" s="89"/>
      <c r="BF140" s="89"/>
      <c r="BG140" s="89"/>
      <c r="BH140" s="89"/>
      <c r="BI140" s="89"/>
      <c r="BJ140" s="89"/>
      <c r="BK140" s="89"/>
      <c r="BL140" s="89"/>
      <c r="BM140" s="89"/>
      <c r="BN140" s="89"/>
      <c r="BO140" s="89"/>
      <c r="BP140" s="89"/>
      <c r="BQ140" s="89"/>
      <c r="BR140" s="89"/>
      <c r="BS140" s="89"/>
    </row>
    <row r="141" spans="1:71" ht="27" customHeight="1" x14ac:dyDescent="0.2">
      <c r="A141" s="93"/>
      <c r="B141" s="89"/>
      <c r="C141" s="89"/>
      <c r="D141" s="89"/>
      <c r="E141" s="89"/>
      <c r="F141" s="89"/>
      <c r="G141" s="89"/>
      <c r="H141" s="94"/>
      <c r="I141" s="94"/>
      <c r="J141" s="94"/>
      <c r="K141" s="94"/>
      <c r="L141" s="94"/>
      <c r="M141" s="94"/>
      <c r="N141" s="94"/>
      <c r="O141" s="94"/>
      <c r="P141" s="94"/>
      <c r="Q141" s="94"/>
      <c r="R141" s="95"/>
      <c r="S141" s="94"/>
      <c r="T141" s="96"/>
      <c r="U141" s="94"/>
      <c r="V141" s="97"/>
      <c r="W141" s="94"/>
      <c r="X141" s="98"/>
      <c r="Y141" s="98"/>
      <c r="Z141" s="98"/>
      <c r="AA141" s="98"/>
      <c r="AB141" s="98"/>
      <c r="AC141" s="97"/>
      <c r="AD141" s="99"/>
      <c r="AE141" s="95"/>
      <c r="AF141" s="94"/>
      <c r="AG141" s="89"/>
      <c r="AH141" s="89"/>
      <c r="AI141" s="89"/>
      <c r="AJ141" s="89"/>
      <c r="AK141" s="89"/>
      <c r="AL141" s="89"/>
      <c r="AM141" s="89"/>
      <c r="AN141" s="89"/>
      <c r="AO141" s="89"/>
      <c r="AP141" s="89"/>
      <c r="AQ141" s="89"/>
      <c r="AR141" s="89"/>
      <c r="AS141" s="89"/>
      <c r="AT141" s="89"/>
      <c r="AU141" s="89"/>
      <c r="AV141" s="89"/>
      <c r="AW141" s="100"/>
      <c r="AX141" s="100"/>
      <c r="AY141" s="89"/>
      <c r="AZ141" s="89"/>
      <c r="BA141" s="89"/>
      <c r="BB141" s="89"/>
      <c r="BC141" s="89"/>
      <c r="BD141" s="89"/>
      <c r="BE141" s="89"/>
      <c r="BF141" s="89"/>
      <c r="BG141" s="89"/>
      <c r="BH141" s="89"/>
      <c r="BI141" s="89"/>
      <c r="BJ141" s="89"/>
      <c r="BK141" s="89"/>
      <c r="BL141" s="89"/>
      <c r="BM141" s="89"/>
      <c r="BN141" s="89"/>
      <c r="BO141" s="89"/>
      <c r="BP141" s="89"/>
      <c r="BQ141" s="89"/>
      <c r="BR141" s="89"/>
      <c r="BS141" s="89"/>
    </row>
    <row r="142" spans="1:71" ht="27" customHeight="1" x14ac:dyDescent="0.2">
      <c r="A142" s="93"/>
      <c r="B142" s="89"/>
      <c r="C142" s="89"/>
      <c r="D142" s="89"/>
      <c r="E142" s="89"/>
      <c r="F142" s="89"/>
      <c r="G142" s="89"/>
      <c r="H142" s="94"/>
      <c r="I142" s="94"/>
      <c r="J142" s="94"/>
      <c r="K142" s="94"/>
      <c r="L142" s="94"/>
      <c r="M142" s="94"/>
      <c r="N142" s="94"/>
      <c r="O142" s="94"/>
      <c r="P142" s="94"/>
      <c r="Q142" s="94"/>
      <c r="R142" s="95"/>
      <c r="S142" s="94"/>
      <c r="T142" s="96"/>
      <c r="U142" s="94"/>
      <c r="V142" s="97"/>
      <c r="W142" s="94"/>
      <c r="X142" s="98"/>
      <c r="Y142" s="98"/>
      <c r="Z142" s="98"/>
      <c r="AA142" s="98"/>
      <c r="AB142" s="98"/>
      <c r="AC142" s="97"/>
      <c r="AD142" s="99"/>
      <c r="AE142" s="95"/>
      <c r="AF142" s="94"/>
      <c r="AG142" s="89"/>
      <c r="AH142" s="89"/>
      <c r="AI142" s="89"/>
      <c r="AJ142" s="89"/>
      <c r="AK142" s="89"/>
      <c r="AL142" s="89"/>
      <c r="AM142" s="89"/>
      <c r="AN142" s="89"/>
      <c r="AO142" s="89"/>
      <c r="AP142" s="89"/>
      <c r="AQ142" s="89"/>
      <c r="AR142" s="89"/>
      <c r="AS142" s="89"/>
      <c r="AT142" s="89"/>
      <c r="AU142" s="89"/>
      <c r="AV142" s="89"/>
      <c r="AW142" s="100"/>
      <c r="AX142" s="100"/>
      <c r="AY142" s="89"/>
      <c r="AZ142" s="89"/>
      <c r="BA142" s="89"/>
      <c r="BB142" s="89"/>
      <c r="BC142" s="89"/>
      <c r="BD142" s="89"/>
      <c r="BE142" s="89"/>
      <c r="BF142" s="89"/>
      <c r="BG142" s="89"/>
      <c r="BH142" s="89"/>
      <c r="BI142" s="89"/>
      <c r="BJ142" s="89"/>
      <c r="BK142" s="89"/>
      <c r="BL142" s="89"/>
      <c r="BM142" s="89"/>
      <c r="BN142" s="89"/>
      <c r="BO142" s="89"/>
      <c r="BP142" s="89"/>
      <c r="BQ142" s="89"/>
      <c r="BR142" s="89"/>
      <c r="BS142" s="89"/>
    </row>
    <row r="143" spans="1:71" ht="27" customHeight="1" x14ac:dyDescent="0.2">
      <c r="A143" s="93"/>
      <c r="B143" s="89"/>
      <c r="C143" s="89"/>
      <c r="D143" s="89"/>
      <c r="E143" s="89"/>
      <c r="F143" s="89"/>
      <c r="G143" s="89"/>
      <c r="H143" s="94"/>
      <c r="I143" s="94"/>
      <c r="J143" s="94"/>
      <c r="K143" s="94"/>
      <c r="L143" s="94"/>
      <c r="M143" s="94"/>
      <c r="N143" s="94"/>
      <c r="O143" s="94"/>
      <c r="P143" s="94"/>
      <c r="Q143" s="94"/>
      <c r="R143" s="95"/>
      <c r="S143" s="94"/>
      <c r="T143" s="96"/>
      <c r="U143" s="94"/>
      <c r="V143" s="97"/>
      <c r="W143" s="94"/>
      <c r="X143" s="98"/>
      <c r="Y143" s="98"/>
      <c r="Z143" s="98"/>
      <c r="AA143" s="98"/>
      <c r="AB143" s="98"/>
      <c r="AC143" s="97"/>
      <c r="AD143" s="99"/>
      <c r="AE143" s="95"/>
      <c r="AF143" s="94"/>
      <c r="AG143" s="89"/>
      <c r="AH143" s="89"/>
      <c r="AI143" s="89"/>
      <c r="AJ143" s="89"/>
      <c r="AK143" s="89"/>
      <c r="AL143" s="89"/>
      <c r="AM143" s="89"/>
      <c r="AN143" s="89"/>
      <c r="AO143" s="89"/>
      <c r="AP143" s="89"/>
      <c r="AQ143" s="89"/>
      <c r="AR143" s="89"/>
      <c r="AS143" s="89"/>
      <c r="AT143" s="89"/>
      <c r="AU143" s="89"/>
      <c r="AV143" s="89"/>
      <c r="AW143" s="100"/>
      <c r="AX143" s="100"/>
      <c r="AY143" s="89"/>
      <c r="AZ143" s="89"/>
      <c r="BA143" s="89"/>
      <c r="BB143" s="89"/>
      <c r="BC143" s="89"/>
      <c r="BD143" s="89"/>
      <c r="BE143" s="89"/>
      <c r="BF143" s="89"/>
      <c r="BG143" s="89"/>
      <c r="BH143" s="89"/>
      <c r="BI143" s="89"/>
      <c r="BJ143" s="89"/>
      <c r="BK143" s="89"/>
      <c r="BL143" s="89"/>
      <c r="BM143" s="89"/>
      <c r="BN143" s="89"/>
      <c r="BO143" s="89"/>
      <c r="BP143" s="89"/>
      <c r="BQ143" s="89"/>
      <c r="BR143" s="89"/>
      <c r="BS143" s="89"/>
    </row>
    <row r="144" spans="1:71" ht="27" customHeight="1" x14ac:dyDescent="0.2">
      <c r="A144" s="93"/>
      <c r="B144" s="89"/>
      <c r="C144" s="89"/>
      <c r="D144" s="89"/>
      <c r="E144" s="89"/>
      <c r="F144" s="89"/>
      <c r="G144" s="89"/>
      <c r="H144" s="94"/>
      <c r="I144" s="94"/>
      <c r="J144" s="94"/>
      <c r="K144" s="94"/>
      <c r="L144" s="94"/>
      <c r="M144" s="94"/>
      <c r="N144" s="94"/>
      <c r="O144" s="94"/>
      <c r="P144" s="94"/>
      <c r="Q144" s="94"/>
      <c r="R144" s="95"/>
      <c r="S144" s="94"/>
      <c r="T144" s="96"/>
      <c r="U144" s="94"/>
      <c r="V144" s="97"/>
      <c r="W144" s="94"/>
      <c r="X144" s="98"/>
      <c r="Y144" s="98"/>
      <c r="Z144" s="98"/>
      <c r="AA144" s="98"/>
      <c r="AB144" s="98"/>
      <c r="AC144" s="97"/>
      <c r="AD144" s="99"/>
      <c r="AE144" s="95"/>
      <c r="AF144" s="94"/>
      <c r="AG144" s="89"/>
      <c r="AH144" s="89"/>
      <c r="AI144" s="89"/>
      <c r="AJ144" s="89"/>
      <c r="AK144" s="89"/>
      <c r="AL144" s="89"/>
      <c r="AM144" s="89"/>
      <c r="AN144" s="89"/>
      <c r="AO144" s="89"/>
      <c r="AP144" s="89"/>
      <c r="AQ144" s="89"/>
      <c r="AR144" s="89"/>
      <c r="AS144" s="89"/>
      <c r="AT144" s="89"/>
      <c r="AU144" s="89"/>
      <c r="AV144" s="89"/>
      <c r="AW144" s="100"/>
      <c r="AX144" s="100"/>
      <c r="AY144" s="89"/>
      <c r="AZ144" s="89"/>
      <c r="BA144" s="89"/>
      <c r="BB144" s="89"/>
      <c r="BC144" s="89"/>
      <c r="BD144" s="89"/>
      <c r="BE144" s="89"/>
      <c r="BF144" s="89"/>
      <c r="BG144" s="89"/>
      <c r="BH144" s="89"/>
      <c r="BI144" s="89"/>
      <c r="BJ144" s="89"/>
      <c r="BK144" s="89"/>
      <c r="BL144" s="89"/>
      <c r="BM144" s="89"/>
      <c r="BN144" s="89"/>
      <c r="BO144" s="89"/>
      <c r="BP144" s="89"/>
      <c r="BQ144" s="89"/>
      <c r="BR144" s="89"/>
      <c r="BS144" s="89"/>
    </row>
    <row r="145" spans="1:71" ht="27" customHeight="1" x14ac:dyDescent="0.2">
      <c r="A145" s="93"/>
      <c r="B145" s="89"/>
      <c r="C145" s="89"/>
      <c r="D145" s="89"/>
      <c r="E145" s="89"/>
      <c r="F145" s="89"/>
      <c r="G145" s="89"/>
      <c r="H145" s="94"/>
      <c r="I145" s="94"/>
      <c r="J145" s="94"/>
      <c r="K145" s="94"/>
      <c r="L145" s="94"/>
      <c r="M145" s="94"/>
      <c r="N145" s="94"/>
      <c r="O145" s="94"/>
      <c r="P145" s="94"/>
      <c r="Q145" s="94"/>
      <c r="R145" s="95"/>
      <c r="S145" s="94"/>
      <c r="T145" s="96"/>
      <c r="U145" s="94"/>
      <c r="V145" s="97"/>
      <c r="W145" s="94"/>
      <c r="X145" s="98"/>
      <c r="Y145" s="98"/>
      <c r="Z145" s="98"/>
      <c r="AA145" s="98"/>
      <c r="AB145" s="98"/>
      <c r="AC145" s="97"/>
      <c r="AD145" s="99"/>
      <c r="AE145" s="95"/>
      <c r="AF145" s="94"/>
      <c r="AG145" s="89"/>
      <c r="AH145" s="89"/>
      <c r="AI145" s="89"/>
      <c r="AJ145" s="89"/>
      <c r="AK145" s="89"/>
      <c r="AL145" s="89"/>
      <c r="AM145" s="89"/>
      <c r="AN145" s="89"/>
      <c r="AO145" s="89"/>
      <c r="AP145" s="89"/>
      <c r="AQ145" s="89"/>
      <c r="AR145" s="89"/>
      <c r="AS145" s="89"/>
      <c r="AT145" s="89"/>
      <c r="AU145" s="89"/>
      <c r="AV145" s="89"/>
      <c r="AW145" s="100"/>
      <c r="AX145" s="100"/>
      <c r="AY145" s="89"/>
      <c r="AZ145" s="89"/>
      <c r="BA145" s="89"/>
      <c r="BB145" s="89"/>
      <c r="BC145" s="89"/>
      <c r="BD145" s="89"/>
      <c r="BE145" s="89"/>
      <c r="BF145" s="89"/>
      <c r="BG145" s="89"/>
      <c r="BH145" s="89"/>
      <c r="BI145" s="89"/>
      <c r="BJ145" s="89"/>
      <c r="BK145" s="89"/>
      <c r="BL145" s="89"/>
      <c r="BM145" s="89"/>
      <c r="BN145" s="89"/>
      <c r="BO145" s="89"/>
      <c r="BP145" s="89"/>
      <c r="BQ145" s="89"/>
      <c r="BR145" s="89"/>
      <c r="BS145" s="89"/>
    </row>
    <row r="146" spans="1:71" ht="27" customHeight="1" x14ac:dyDescent="0.2">
      <c r="A146" s="93"/>
      <c r="B146" s="89"/>
      <c r="C146" s="89"/>
      <c r="D146" s="89"/>
      <c r="E146" s="89"/>
      <c r="F146" s="89"/>
      <c r="G146" s="89"/>
      <c r="H146" s="94"/>
      <c r="I146" s="94"/>
      <c r="J146" s="94"/>
      <c r="K146" s="94"/>
      <c r="L146" s="94"/>
      <c r="M146" s="94"/>
      <c r="N146" s="94"/>
      <c r="O146" s="94"/>
      <c r="P146" s="94"/>
      <c r="Q146" s="94"/>
      <c r="R146" s="95"/>
      <c r="S146" s="94"/>
      <c r="T146" s="96"/>
      <c r="U146" s="94"/>
      <c r="V146" s="97"/>
      <c r="W146" s="94"/>
      <c r="X146" s="98"/>
      <c r="Y146" s="98"/>
      <c r="Z146" s="98"/>
      <c r="AA146" s="98"/>
      <c r="AB146" s="98"/>
      <c r="AC146" s="97"/>
      <c r="AD146" s="99"/>
      <c r="AE146" s="95"/>
      <c r="AF146" s="94"/>
      <c r="AG146" s="89"/>
      <c r="AH146" s="89"/>
      <c r="AI146" s="89"/>
      <c r="AJ146" s="89"/>
      <c r="AK146" s="89"/>
      <c r="AL146" s="89"/>
      <c r="AM146" s="89"/>
      <c r="AN146" s="89"/>
      <c r="AO146" s="89"/>
      <c r="AP146" s="89"/>
      <c r="AQ146" s="89"/>
      <c r="AR146" s="89"/>
      <c r="AS146" s="89"/>
      <c r="AT146" s="89"/>
      <c r="AU146" s="89"/>
      <c r="AV146" s="89"/>
      <c r="AW146" s="100"/>
      <c r="AX146" s="100"/>
      <c r="AY146" s="89"/>
      <c r="AZ146" s="89"/>
      <c r="BA146" s="89"/>
      <c r="BB146" s="89"/>
      <c r="BC146" s="89"/>
      <c r="BD146" s="89"/>
      <c r="BE146" s="89"/>
      <c r="BF146" s="89"/>
      <c r="BG146" s="89"/>
      <c r="BH146" s="89"/>
      <c r="BI146" s="89"/>
      <c r="BJ146" s="89"/>
      <c r="BK146" s="89"/>
      <c r="BL146" s="89"/>
      <c r="BM146" s="89"/>
      <c r="BN146" s="89"/>
      <c r="BO146" s="89"/>
      <c r="BP146" s="89"/>
      <c r="BQ146" s="89"/>
      <c r="BR146" s="89"/>
      <c r="BS146" s="89"/>
    </row>
    <row r="147" spans="1:71" ht="27" customHeight="1" x14ac:dyDescent="0.2">
      <c r="A147" s="93"/>
      <c r="B147" s="89"/>
      <c r="C147" s="89"/>
      <c r="D147" s="89"/>
      <c r="E147" s="89"/>
      <c r="F147" s="89"/>
      <c r="G147" s="89"/>
      <c r="H147" s="94"/>
      <c r="I147" s="94"/>
      <c r="J147" s="94"/>
      <c r="K147" s="94"/>
      <c r="L147" s="94"/>
      <c r="M147" s="94"/>
      <c r="N147" s="94"/>
      <c r="O147" s="94"/>
      <c r="P147" s="94"/>
      <c r="Q147" s="94"/>
      <c r="R147" s="95"/>
      <c r="S147" s="94"/>
      <c r="T147" s="96"/>
      <c r="U147" s="94"/>
      <c r="V147" s="97"/>
      <c r="W147" s="94"/>
      <c r="X147" s="98"/>
      <c r="Y147" s="98"/>
      <c r="Z147" s="98"/>
      <c r="AA147" s="98"/>
      <c r="AB147" s="98"/>
      <c r="AC147" s="97"/>
      <c r="AD147" s="99"/>
      <c r="AE147" s="95"/>
      <c r="AF147" s="94"/>
      <c r="AG147" s="89"/>
      <c r="AH147" s="89"/>
      <c r="AI147" s="89"/>
      <c r="AJ147" s="89"/>
      <c r="AK147" s="89"/>
      <c r="AL147" s="89"/>
      <c r="AM147" s="89"/>
      <c r="AN147" s="89"/>
      <c r="AO147" s="89"/>
      <c r="AP147" s="89"/>
      <c r="AQ147" s="89"/>
      <c r="AR147" s="89"/>
      <c r="AS147" s="89"/>
      <c r="AT147" s="89"/>
      <c r="AU147" s="89"/>
      <c r="AV147" s="89"/>
      <c r="AW147" s="100"/>
      <c r="AX147" s="100"/>
      <c r="AY147" s="89"/>
      <c r="AZ147" s="89"/>
      <c r="BA147" s="89"/>
      <c r="BB147" s="89"/>
      <c r="BC147" s="89"/>
      <c r="BD147" s="89"/>
      <c r="BE147" s="89"/>
      <c r="BF147" s="89"/>
      <c r="BG147" s="89"/>
      <c r="BH147" s="89"/>
      <c r="BI147" s="89"/>
      <c r="BJ147" s="89"/>
      <c r="BK147" s="89"/>
      <c r="BL147" s="89"/>
      <c r="BM147" s="89"/>
      <c r="BN147" s="89"/>
      <c r="BO147" s="89"/>
      <c r="BP147" s="89"/>
      <c r="BQ147" s="89"/>
      <c r="BR147" s="89"/>
      <c r="BS147" s="89"/>
    </row>
    <row r="148" spans="1:71" ht="27" customHeight="1" x14ac:dyDescent="0.2">
      <c r="A148" s="93"/>
      <c r="B148" s="89"/>
      <c r="C148" s="89"/>
      <c r="D148" s="89"/>
      <c r="E148" s="89"/>
      <c r="F148" s="89"/>
      <c r="G148" s="89"/>
      <c r="H148" s="94"/>
      <c r="I148" s="94"/>
      <c r="J148" s="94"/>
      <c r="K148" s="94"/>
      <c r="L148" s="94"/>
      <c r="M148" s="94"/>
      <c r="N148" s="94"/>
      <c r="O148" s="94"/>
      <c r="P148" s="94"/>
      <c r="Q148" s="94"/>
      <c r="R148" s="95"/>
      <c r="S148" s="94"/>
      <c r="T148" s="96"/>
      <c r="U148" s="94"/>
      <c r="V148" s="97"/>
      <c r="W148" s="94"/>
      <c r="X148" s="98"/>
      <c r="Y148" s="98"/>
      <c r="Z148" s="98"/>
      <c r="AA148" s="98"/>
      <c r="AB148" s="98"/>
      <c r="AC148" s="97"/>
      <c r="AD148" s="99"/>
      <c r="AE148" s="95"/>
      <c r="AF148" s="94"/>
      <c r="AG148" s="89"/>
      <c r="AH148" s="89"/>
      <c r="AI148" s="89"/>
      <c r="AJ148" s="89"/>
      <c r="AK148" s="89"/>
      <c r="AL148" s="89"/>
      <c r="AM148" s="89"/>
      <c r="AN148" s="89"/>
      <c r="AO148" s="89"/>
      <c r="AP148" s="89"/>
      <c r="AQ148" s="89"/>
      <c r="AR148" s="89"/>
      <c r="AS148" s="89"/>
      <c r="AT148" s="89"/>
      <c r="AU148" s="89"/>
      <c r="AV148" s="89"/>
      <c r="AW148" s="100"/>
      <c r="AX148" s="100"/>
      <c r="AY148" s="89"/>
      <c r="AZ148" s="89"/>
      <c r="BA148" s="89"/>
      <c r="BB148" s="89"/>
      <c r="BC148" s="89"/>
      <c r="BD148" s="89"/>
      <c r="BE148" s="89"/>
      <c r="BF148" s="89"/>
      <c r="BG148" s="89"/>
      <c r="BH148" s="89"/>
      <c r="BI148" s="89"/>
      <c r="BJ148" s="89"/>
      <c r="BK148" s="89"/>
      <c r="BL148" s="89"/>
      <c r="BM148" s="89"/>
      <c r="BN148" s="89"/>
      <c r="BO148" s="89"/>
      <c r="BP148" s="89"/>
      <c r="BQ148" s="89"/>
      <c r="BR148" s="89"/>
      <c r="BS148" s="89"/>
    </row>
    <row r="149" spans="1:71" ht="27" customHeight="1" x14ac:dyDescent="0.2">
      <c r="A149" s="93"/>
      <c r="B149" s="89"/>
      <c r="C149" s="89"/>
      <c r="D149" s="89"/>
      <c r="E149" s="89"/>
      <c r="F149" s="89"/>
      <c r="G149" s="89"/>
      <c r="H149" s="94"/>
      <c r="I149" s="94"/>
      <c r="J149" s="94"/>
      <c r="K149" s="94"/>
      <c r="L149" s="94"/>
      <c r="M149" s="94"/>
      <c r="N149" s="94"/>
      <c r="O149" s="94"/>
      <c r="P149" s="94"/>
      <c r="Q149" s="94"/>
      <c r="R149" s="95"/>
      <c r="S149" s="94"/>
      <c r="T149" s="96"/>
      <c r="U149" s="94"/>
      <c r="V149" s="97"/>
      <c r="W149" s="94"/>
      <c r="X149" s="98"/>
      <c r="Y149" s="98"/>
      <c r="Z149" s="98"/>
      <c r="AA149" s="98"/>
      <c r="AB149" s="98"/>
      <c r="AC149" s="97"/>
      <c r="AD149" s="99"/>
      <c r="AE149" s="95"/>
      <c r="AF149" s="94"/>
      <c r="AG149" s="89"/>
      <c r="AH149" s="89"/>
      <c r="AI149" s="89"/>
      <c r="AJ149" s="89"/>
      <c r="AK149" s="89"/>
      <c r="AL149" s="89"/>
      <c r="AM149" s="89"/>
      <c r="AN149" s="89"/>
      <c r="AO149" s="89"/>
      <c r="AP149" s="89"/>
      <c r="AQ149" s="89"/>
      <c r="AR149" s="89"/>
      <c r="AS149" s="89"/>
      <c r="AT149" s="89"/>
      <c r="AU149" s="89"/>
      <c r="AV149" s="89"/>
      <c r="AW149" s="100"/>
      <c r="AX149" s="100"/>
      <c r="AY149" s="89"/>
      <c r="AZ149" s="89"/>
      <c r="BA149" s="89"/>
      <c r="BB149" s="89"/>
      <c r="BC149" s="89"/>
      <c r="BD149" s="89"/>
      <c r="BE149" s="89"/>
      <c r="BF149" s="89"/>
      <c r="BG149" s="89"/>
      <c r="BH149" s="89"/>
      <c r="BI149" s="89"/>
      <c r="BJ149" s="89"/>
      <c r="BK149" s="89"/>
      <c r="BL149" s="89"/>
      <c r="BM149" s="89"/>
      <c r="BN149" s="89"/>
      <c r="BO149" s="89"/>
      <c r="BP149" s="89"/>
      <c r="BQ149" s="89"/>
      <c r="BR149" s="89"/>
      <c r="BS149" s="89"/>
    </row>
    <row r="150" spans="1:71" ht="27" customHeight="1" x14ac:dyDescent="0.2">
      <c r="A150" s="93"/>
      <c r="B150" s="89"/>
      <c r="C150" s="89"/>
      <c r="D150" s="89"/>
      <c r="E150" s="89"/>
      <c r="F150" s="89"/>
      <c r="G150" s="89"/>
      <c r="H150" s="94"/>
      <c r="I150" s="94"/>
      <c r="J150" s="94"/>
      <c r="K150" s="94"/>
      <c r="L150" s="94"/>
      <c r="M150" s="94"/>
      <c r="N150" s="94"/>
      <c r="O150" s="94"/>
      <c r="P150" s="94"/>
      <c r="Q150" s="94"/>
      <c r="R150" s="95"/>
      <c r="S150" s="94"/>
      <c r="T150" s="96"/>
      <c r="U150" s="94"/>
      <c r="V150" s="97"/>
      <c r="W150" s="94"/>
      <c r="X150" s="98"/>
      <c r="Y150" s="98"/>
      <c r="Z150" s="98"/>
      <c r="AA150" s="98"/>
      <c r="AB150" s="98"/>
      <c r="AC150" s="97"/>
      <c r="AD150" s="99"/>
      <c r="AE150" s="95"/>
      <c r="AF150" s="94"/>
      <c r="AG150" s="89"/>
      <c r="AH150" s="89"/>
      <c r="AI150" s="89"/>
      <c r="AJ150" s="89"/>
      <c r="AK150" s="89"/>
      <c r="AL150" s="89"/>
      <c r="AM150" s="89"/>
      <c r="AN150" s="89"/>
      <c r="AO150" s="89"/>
      <c r="AP150" s="89"/>
      <c r="AQ150" s="89"/>
      <c r="AR150" s="89"/>
      <c r="AS150" s="89"/>
      <c r="AT150" s="89"/>
      <c r="AU150" s="89"/>
      <c r="AV150" s="89"/>
      <c r="AW150" s="100"/>
      <c r="AX150" s="100"/>
      <c r="AY150" s="89"/>
      <c r="AZ150" s="89"/>
      <c r="BA150" s="89"/>
      <c r="BB150" s="89"/>
      <c r="BC150" s="89"/>
      <c r="BD150" s="89"/>
      <c r="BE150" s="89"/>
      <c r="BF150" s="89"/>
      <c r="BG150" s="89"/>
      <c r="BH150" s="89"/>
      <c r="BI150" s="89"/>
      <c r="BJ150" s="89"/>
      <c r="BK150" s="89"/>
      <c r="BL150" s="89"/>
      <c r="BM150" s="89"/>
      <c r="BN150" s="89"/>
      <c r="BO150" s="89"/>
      <c r="BP150" s="89"/>
      <c r="BQ150" s="89"/>
      <c r="BR150" s="89"/>
      <c r="BS150" s="89"/>
    </row>
    <row r="151" spans="1:71" ht="27" customHeight="1" x14ac:dyDescent="0.2">
      <c r="A151" s="93"/>
      <c r="B151" s="89"/>
      <c r="C151" s="89"/>
      <c r="D151" s="89"/>
      <c r="E151" s="89"/>
      <c r="F151" s="89"/>
      <c r="G151" s="89"/>
      <c r="H151" s="94"/>
      <c r="I151" s="94"/>
      <c r="J151" s="94"/>
      <c r="K151" s="94"/>
      <c r="L151" s="94"/>
      <c r="M151" s="94"/>
      <c r="N151" s="94"/>
      <c r="O151" s="94"/>
      <c r="P151" s="94"/>
      <c r="Q151" s="94"/>
      <c r="R151" s="95"/>
      <c r="S151" s="94"/>
      <c r="T151" s="96"/>
      <c r="U151" s="94"/>
      <c r="V151" s="97"/>
      <c r="W151" s="94"/>
      <c r="X151" s="98"/>
      <c r="Y151" s="98"/>
      <c r="Z151" s="98"/>
      <c r="AA151" s="98"/>
      <c r="AB151" s="98"/>
      <c r="AC151" s="97"/>
      <c r="AD151" s="99"/>
      <c r="AE151" s="95"/>
      <c r="AF151" s="94"/>
      <c r="AG151" s="89"/>
      <c r="AH151" s="89"/>
      <c r="AI151" s="89"/>
      <c r="AJ151" s="89"/>
      <c r="AK151" s="89"/>
      <c r="AL151" s="89"/>
      <c r="AM151" s="89"/>
      <c r="AN151" s="89"/>
      <c r="AO151" s="89"/>
      <c r="AP151" s="89"/>
      <c r="AQ151" s="89"/>
      <c r="AR151" s="89"/>
      <c r="AS151" s="89"/>
      <c r="AT151" s="89"/>
      <c r="AU151" s="89"/>
      <c r="AV151" s="89"/>
      <c r="AW151" s="100"/>
      <c r="AX151" s="100"/>
      <c r="AY151" s="89"/>
      <c r="AZ151" s="89"/>
      <c r="BA151" s="89"/>
      <c r="BB151" s="89"/>
      <c r="BC151" s="89"/>
      <c r="BD151" s="89"/>
      <c r="BE151" s="89"/>
      <c r="BF151" s="89"/>
      <c r="BG151" s="89"/>
      <c r="BH151" s="89"/>
      <c r="BI151" s="89"/>
      <c r="BJ151" s="89"/>
      <c r="BK151" s="89"/>
      <c r="BL151" s="89"/>
      <c r="BM151" s="89"/>
      <c r="BN151" s="89"/>
      <c r="BO151" s="89"/>
      <c r="BP151" s="89"/>
      <c r="BQ151" s="89"/>
      <c r="BR151" s="89"/>
      <c r="BS151" s="89"/>
    </row>
    <row r="152" spans="1:71" ht="27" customHeight="1" x14ac:dyDescent="0.2">
      <c r="A152" s="93"/>
      <c r="B152" s="89"/>
      <c r="C152" s="89"/>
      <c r="D152" s="89"/>
      <c r="E152" s="89"/>
      <c r="F152" s="89"/>
      <c r="G152" s="89"/>
      <c r="H152" s="94"/>
      <c r="I152" s="94"/>
      <c r="J152" s="94"/>
      <c r="K152" s="94"/>
      <c r="L152" s="94"/>
      <c r="M152" s="94"/>
      <c r="N152" s="94"/>
      <c r="O152" s="94"/>
      <c r="P152" s="94"/>
      <c r="Q152" s="94"/>
      <c r="R152" s="95"/>
      <c r="S152" s="94"/>
      <c r="T152" s="96"/>
      <c r="U152" s="94"/>
      <c r="V152" s="97"/>
      <c r="W152" s="94"/>
      <c r="X152" s="98"/>
      <c r="Y152" s="98"/>
      <c r="Z152" s="98"/>
      <c r="AA152" s="98"/>
      <c r="AB152" s="98"/>
      <c r="AC152" s="97"/>
      <c r="AD152" s="99"/>
      <c r="AE152" s="95"/>
      <c r="AF152" s="94"/>
      <c r="AG152" s="89"/>
      <c r="AH152" s="89"/>
      <c r="AI152" s="89"/>
      <c r="AJ152" s="89"/>
      <c r="AK152" s="89"/>
      <c r="AL152" s="89"/>
      <c r="AM152" s="89"/>
      <c r="AN152" s="89"/>
      <c r="AO152" s="89"/>
      <c r="AP152" s="89"/>
      <c r="AQ152" s="89"/>
      <c r="AR152" s="89"/>
      <c r="AS152" s="89"/>
      <c r="AT152" s="89"/>
      <c r="AU152" s="89"/>
      <c r="AV152" s="89"/>
      <c r="AW152" s="100"/>
      <c r="AX152" s="100"/>
      <c r="AY152" s="89"/>
      <c r="AZ152" s="89"/>
      <c r="BA152" s="89"/>
      <c r="BB152" s="89"/>
      <c r="BC152" s="89"/>
      <c r="BD152" s="89"/>
      <c r="BE152" s="89"/>
      <c r="BF152" s="89"/>
      <c r="BG152" s="89"/>
      <c r="BH152" s="89"/>
      <c r="BI152" s="89"/>
      <c r="BJ152" s="89"/>
      <c r="BK152" s="89"/>
      <c r="BL152" s="89"/>
      <c r="BM152" s="89"/>
      <c r="BN152" s="89"/>
      <c r="BO152" s="89"/>
      <c r="BP152" s="89"/>
      <c r="BQ152" s="89"/>
      <c r="BR152" s="89"/>
      <c r="BS152" s="89"/>
    </row>
    <row r="153" spans="1:71" ht="27" customHeight="1" x14ac:dyDescent="0.2">
      <c r="A153" s="93"/>
      <c r="B153" s="89"/>
      <c r="C153" s="89"/>
      <c r="D153" s="89"/>
      <c r="E153" s="89"/>
      <c r="F153" s="89"/>
      <c r="G153" s="89"/>
      <c r="H153" s="94"/>
      <c r="I153" s="94"/>
      <c r="J153" s="94"/>
      <c r="K153" s="94"/>
      <c r="L153" s="94"/>
      <c r="M153" s="94"/>
      <c r="N153" s="94"/>
      <c r="O153" s="94"/>
      <c r="P153" s="94"/>
      <c r="Q153" s="94"/>
      <c r="R153" s="95"/>
      <c r="S153" s="94"/>
      <c r="T153" s="96"/>
      <c r="U153" s="94"/>
      <c r="V153" s="97"/>
      <c r="W153" s="94"/>
      <c r="X153" s="98"/>
      <c r="Y153" s="98"/>
      <c r="Z153" s="98"/>
      <c r="AA153" s="98"/>
      <c r="AB153" s="98"/>
      <c r="AC153" s="97"/>
      <c r="AD153" s="99"/>
      <c r="AE153" s="95"/>
      <c r="AF153" s="94"/>
      <c r="AG153" s="89"/>
      <c r="AH153" s="89"/>
      <c r="AI153" s="89"/>
      <c r="AJ153" s="89"/>
      <c r="AK153" s="89"/>
      <c r="AL153" s="89"/>
      <c r="AM153" s="89"/>
      <c r="AN153" s="89"/>
      <c r="AO153" s="89"/>
      <c r="AP153" s="89"/>
      <c r="AQ153" s="89"/>
      <c r="AR153" s="89"/>
      <c r="AS153" s="89"/>
      <c r="AT153" s="89"/>
      <c r="AU153" s="89"/>
      <c r="AV153" s="89"/>
      <c r="AW153" s="100"/>
      <c r="AX153" s="100"/>
      <c r="AY153" s="89"/>
      <c r="AZ153" s="89"/>
      <c r="BA153" s="89"/>
      <c r="BB153" s="89"/>
      <c r="BC153" s="89"/>
      <c r="BD153" s="89"/>
      <c r="BE153" s="89"/>
      <c r="BF153" s="89"/>
      <c r="BG153" s="89"/>
      <c r="BH153" s="89"/>
      <c r="BI153" s="89"/>
      <c r="BJ153" s="89"/>
      <c r="BK153" s="89"/>
      <c r="BL153" s="89"/>
      <c r="BM153" s="89"/>
      <c r="BN153" s="89"/>
      <c r="BO153" s="89"/>
      <c r="BP153" s="89"/>
      <c r="BQ153" s="89"/>
      <c r="BR153" s="89"/>
      <c r="BS153" s="89"/>
    </row>
    <row r="154" spans="1:71" ht="27" customHeight="1" x14ac:dyDescent="0.2">
      <c r="A154" s="93"/>
      <c r="B154" s="89"/>
      <c r="C154" s="89"/>
      <c r="D154" s="89"/>
      <c r="E154" s="89"/>
      <c r="F154" s="89"/>
      <c r="G154" s="89"/>
      <c r="H154" s="94"/>
      <c r="I154" s="94"/>
      <c r="J154" s="94"/>
      <c r="K154" s="94"/>
      <c r="L154" s="94"/>
      <c r="M154" s="94"/>
      <c r="N154" s="94"/>
      <c r="O154" s="94"/>
      <c r="P154" s="94"/>
      <c r="Q154" s="94"/>
      <c r="R154" s="95"/>
      <c r="S154" s="94"/>
      <c r="T154" s="96"/>
      <c r="U154" s="94"/>
      <c r="V154" s="97"/>
      <c r="W154" s="94"/>
      <c r="X154" s="98"/>
      <c r="Y154" s="98"/>
      <c r="Z154" s="98"/>
      <c r="AA154" s="98"/>
      <c r="AB154" s="98"/>
      <c r="AC154" s="97"/>
      <c r="AD154" s="99"/>
      <c r="AE154" s="95"/>
      <c r="AF154" s="94"/>
      <c r="AG154" s="89"/>
      <c r="AH154" s="89"/>
      <c r="AI154" s="89"/>
      <c r="AJ154" s="89"/>
      <c r="AK154" s="89"/>
      <c r="AL154" s="89"/>
      <c r="AM154" s="89"/>
      <c r="AN154" s="89"/>
      <c r="AO154" s="89"/>
      <c r="AP154" s="89"/>
      <c r="AQ154" s="89"/>
      <c r="AR154" s="89"/>
      <c r="AS154" s="89"/>
      <c r="AT154" s="89"/>
      <c r="AU154" s="89"/>
      <c r="AV154" s="89"/>
      <c r="AW154" s="100"/>
      <c r="AX154" s="100"/>
      <c r="AY154" s="89"/>
      <c r="AZ154" s="89"/>
      <c r="BA154" s="89"/>
      <c r="BB154" s="89"/>
      <c r="BC154" s="89"/>
      <c r="BD154" s="89"/>
      <c r="BE154" s="89"/>
      <c r="BF154" s="89"/>
      <c r="BG154" s="89"/>
      <c r="BH154" s="89"/>
      <c r="BI154" s="89"/>
      <c r="BJ154" s="89"/>
      <c r="BK154" s="89"/>
      <c r="BL154" s="89"/>
      <c r="BM154" s="89"/>
      <c r="BN154" s="89"/>
      <c r="BO154" s="89"/>
      <c r="BP154" s="89"/>
      <c r="BQ154" s="89"/>
      <c r="BR154" s="89"/>
      <c r="BS154" s="89"/>
    </row>
    <row r="155" spans="1:71" ht="27" customHeight="1" x14ac:dyDescent="0.2">
      <c r="A155" s="93"/>
      <c r="B155" s="89"/>
      <c r="C155" s="89"/>
      <c r="D155" s="89"/>
      <c r="E155" s="89"/>
      <c r="F155" s="89"/>
      <c r="G155" s="89"/>
      <c r="H155" s="94"/>
      <c r="I155" s="94"/>
      <c r="J155" s="94"/>
      <c r="K155" s="94"/>
      <c r="L155" s="94"/>
      <c r="M155" s="94"/>
      <c r="N155" s="94"/>
      <c r="O155" s="94"/>
      <c r="P155" s="94"/>
      <c r="Q155" s="94"/>
      <c r="R155" s="95"/>
      <c r="S155" s="94"/>
      <c r="T155" s="96"/>
      <c r="U155" s="94"/>
      <c r="V155" s="97"/>
      <c r="W155" s="94"/>
      <c r="X155" s="98"/>
      <c r="Y155" s="98"/>
      <c r="Z155" s="98"/>
      <c r="AA155" s="98"/>
      <c r="AB155" s="98"/>
      <c r="AC155" s="97"/>
      <c r="AD155" s="99"/>
      <c r="AE155" s="95"/>
      <c r="AF155" s="94"/>
      <c r="AG155" s="89"/>
      <c r="AH155" s="89"/>
      <c r="AI155" s="89"/>
      <c r="AJ155" s="89"/>
      <c r="AK155" s="89"/>
      <c r="AL155" s="89"/>
      <c r="AM155" s="89"/>
      <c r="AN155" s="89"/>
      <c r="AO155" s="89"/>
      <c r="AP155" s="89"/>
      <c r="AQ155" s="89"/>
      <c r="AR155" s="89"/>
      <c r="AS155" s="89"/>
      <c r="AT155" s="89"/>
      <c r="AU155" s="89"/>
      <c r="AV155" s="89"/>
      <c r="AW155" s="100"/>
      <c r="AX155" s="100"/>
      <c r="AY155" s="89"/>
      <c r="AZ155" s="89"/>
      <c r="BA155" s="89"/>
      <c r="BB155" s="89"/>
      <c r="BC155" s="89"/>
      <c r="BD155" s="89"/>
      <c r="BE155" s="89"/>
      <c r="BF155" s="89"/>
      <c r="BG155" s="89"/>
      <c r="BH155" s="89"/>
      <c r="BI155" s="89"/>
      <c r="BJ155" s="89"/>
      <c r="BK155" s="89"/>
      <c r="BL155" s="89"/>
      <c r="BM155" s="89"/>
      <c r="BN155" s="89"/>
      <c r="BO155" s="89"/>
      <c r="BP155" s="89"/>
      <c r="BQ155" s="89"/>
      <c r="BR155" s="89"/>
      <c r="BS155" s="89"/>
    </row>
    <row r="156" spans="1:71" ht="27" customHeight="1" x14ac:dyDescent="0.2">
      <c r="A156" s="93"/>
      <c r="B156" s="89"/>
      <c r="C156" s="89"/>
      <c r="D156" s="89"/>
      <c r="E156" s="89"/>
      <c r="F156" s="89"/>
      <c r="G156" s="89"/>
      <c r="H156" s="94"/>
      <c r="I156" s="94"/>
      <c r="J156" s="94"/>
      <c r="K156" s="94"/>
      <c r="L156" s="94"/>
      <c r="M156" s="94"/>
      <c r="N156" s="94"/>
      <c r="O156" s="94"/>
      <c r="P156" s="94"/>
      <c r="Q156" s="94"/>
      <c r="R156" s="95"/>
      <c r="S156" s="94"/>
      <c r="T156" s="96"/>
      <c r="U156" s="94"/>
      <c r="V156" s="97"/>
      <c r="W156" s="94"/>
      <c r="X156" s="98"/>
      <c r="Y156" s="98"/>
      <c r="Z156" s="98"/>
      <c r="AA156" s="98"/>
      <c r="AB156" s="98"/>
      <c r="AC156" s="97"/>
      <c r="AD156" s="99"/>
      <c r="AE156" s="95"/>
      <c r="AF156" s="94"/>
      <c r="AG156" s="89"/>
      <c r="AH156" s="89"/>
      <c r="AI156" s="89"/>
      <c r="AJ156" s="89"/>
      <c r="AK156" s="89"/>
      <c r="AL156" s="89"/>
      <c r="AM156" s="89"/>
      <c r="AN156" s="89"/>
      <c r="AO156" s="89"/>
      <c r="AP156" s="89"/>
      <c r="AQ156" s="89"/>
      <c r="AR156" s="89"/>
      <c r="AS156" s="89"/>
      <c r="AT156" s="89"/>
      <c r="AU156" s="89"/>
      <c r="AV156" s="89"/>
      <c r="AW156" s="100"/>
      <c r="AX156" s="100"/>
      <c r="AY156" s="89"/>
      <c r="AZ156" s="89"/>
      <c r="BA156" s="89"/>
      <c r="BB156" s="89"/>
      <c r="BC156" s="89"/>
      <c r="BD156" s="89"/>
      <c r="BE156" s="89"/>
      <c r="BF156" s="89"/>
      <c r="BG156" s="89"/>
      <c r="BH156" s="89"/>
      <c r="BI156" s="89"/>
      <c r="BJ156" s="89"/>
      <c r="BK156" s="89"/>
      <c r="BL156" s="89"/>
      <c r="BM156" s="89"/>
      <c r="BN156" s="89"/>
      <c r="BO156" s="89"/>
      <c r="BP156" s="89"/>
      <c r="BQ156" s="89"/>
      <c r="BR156" s="89"/>
      <c r="BS156" s="89"/>
    </row>
    <row r="157" spans="1:71" ht="27" customHeight="1" x14ac:dyDescent="0.2">
      <c r="A157" s="93"/>
      <c r="B157" s="89"/>
      <c r="C157" s="89"/>
      <c r="D157" s="89"/>
      <c r="E157" s="89"/>
      <c r="F157" s="89"/>
      <c r="G157" s="89"/>
      <c r="H157" s="94"/>
      <c r="I157" s="94"/>
      <c r="J157" s="94"/>
      <c r="K157" s="94"/>
      <c r="L157" s="94"/>
      <c r="M157" s="94"/>
      <c r="N157" s="94"/>
      <c r="O157" s="94"/>
      <c r="P157" s="94"/>
      <c r="Q157" s="94"/>
      <c r="R157" s="95"/>
      <c r="S157" s="94"/>
      <c r="T157" s="96"/>
      <c r="U157" s="94"/>
      <c r="V157" s="97"/>
      <c r="W157" s="94"/>
      <c r="X157" s="98"/>
      <c r="Y157" s="98"/>
      <c r="Z157" s="98"/>
      <c r="AA157" s="98"/>
      <c r="AB157" s="98"/>
      <c r="AC157" s="97"/>
      <c r="AD157" s="99"/>
      <c r="AE157" s="95"/>
      <c r="AF157" s="94"/>
      <c r="AG157" s="89"/>
      <c r="AH157" s="89"/>
      <c r="AI157" s="89"/>
      <c r="AJ157" s="89"/>
      <c r="AK157" s="89"/>
      <c r="AL157" s="89"/>
      <c r="AM157" s="89"/>
      <c r="AN157" s="89"/>
      <c r="AO157" s="89"/>
      <c r="AP157" s="89"/>
      <c r="AQ157" s="89"/>
      <c r="AR157" s="89"/>
      <c r="AS157" s="89"/>
      <c r="AT157" s="89"/>
      <c r="AU157" s="89"/>
      <c r="AV157" s="89"/>
      <c r="AW157" s="100"/>
      <c r="AX157" s="100"/>
      <c r="AY157" s="89"/>
      <c r="AZ157" s="89"/>
      <c r="BA157" s="89"/>
      <c r="BB157" s="89"/>
      <c r="BC157" s="89"/>
      <c r="BD157" s="89"/>
      <c r="BE157" s="89"/>
      <c r="BF157" s="89"/>
      <c r="BG157" s="89"/>
      <c r="BH157" s="89"/>
      <c r="BI157" s="89"/>
      <c r="BJ157" s="89"/>
      <c r="BK157" s="89"/>
      <c r="BL157" s="89"/>
      <c r="BM157" s="89"/>
      <c r="BN157" s="89"/>
      <c r="BO157" s="89"/>
      <c r="BP157" s="89"/>
      <c r="BQ157" s="89"/>
      <c r="BR157" s="89"/>
      <c r="BS157" s="89"/>
    </row>
    <row r="158" spans="1:71" ht="27" customHeight="1" x14ac:dyDescent="0.2">
      <c r="A158" s="93"/>
      <c r="B158" s="89"/>
      <c r="C158" s="89"/>
      <c r="D158" s="89"/>
      <c r="E158" s="89"/>
      <c r="F158" s="89"/>
      <c r="G158" s="89"/>
      <c r="H158" s="94"/>
      <c r="I158" s="94"/>
      <c r="J158" s="94"/>
      <c r="K158" s="94"/>
      <c r="L158" s="94"/>
      <c r="M158" s="94"/>
      <c r="N158" s="94"/>
      <c r="O158" s="94"/>
      <c r="P158" s="94"/>
      <c r="Q158" s="94"/>
      <c r="R158" s="95"/>
      <c r="S158" s="94"/>
      <c r="T158" s="96"/>
      <c r="U158" s="94"/>
      <c r="V158" s="97"/>
      <c r="W158" s="94"/>
      <c r="X158" s="98"/>
      <c r="Y158" s="98"/>
      <c r="Z158" s="98"/>
      <c r="AA158" s="98"/>
      <c r="AB158" s="98"/>
      <c r="AC158" s="97"/>
      <c r="AD158" s="99"/>
      <c r="AE158" s="95"/>
      <c r="AF158" s="94"/>
      <c r="AG158" s="89"/>
      <c r="AH158" s="89"/>
      <c r="AI158" s="89"/>
      <c r="AJ158" s="89"/>
      <c r="AK158" s="89"/>
      <c r="AL158" s="89"/>
      <c r="AM158" s="89"/>
      <c r="AN158" s="89"/>
      <c r="AO158" s="89"/>
      <c r="AP158" s="89"/>
      <c r="AQ158" s="89"/>
      <c r="AR158" s="89"/>
      <c r="AS158" s="89"/>
      <c r="AT158" s="89"/>
      <c r="AU158" s="89"/>
      <c r="AV158" s="89"/>
      <c r="AW158" s="100"/>
      <c r="AX158" s="100"/>
      <c r="AY158" s="89"/>
      <c r="AZ158" s="89"/>
      <c r="BA158" s="89"/>
      <c r="BB158" s="89"/>
      <c r="BC158" s="89"/>
      <c r="BD158" s="89"/>
      <c r="BE158" s="89"/>
      <c r="BF158" s="89"/>
      <c r="BG158" s="89"/>
      <c r="BH158" s="89"/>
      <c r="BI158" s="89"/>
      <c r="BJ158" s="89"/>
      <c r="BK158" s="89"/>
      <c r="BL158" s="89"/>
      <c r="BM158" s="89"/>
      <c r="BN158" s="89"/>
      <c r="BO158" s="89"/>
      <c r="BP158" s="89"/>
      <c r="BQ158" s="89"/>
      <c r="BR158" s="89"/>
      <c r="BS158" s="89"/>
    </row>
    <row r="159" spans="1:71" ht="27" customHeight="1" x14ac:dyDescent="0.2">
      <c r="A159" s="93"/>
      <c r="B159" s="89"/>
      <c r="C159" s="89"/>
      <c r="D159" s="89"/>
      <c r="E159" s="89"/>
      <c r="F159" s="89"/>
      <c r="G159" s="89"/>
      <c r="H159" s="94"/>
      <c r="I159" s="94"/>
      <c r="J159" s="94"/>
      <c r="K159" s="94"/>
      <c r="L159" s="94"/>
      <c r="M159" s="94"/>
      <c r="N159" s="94"/>
      <c r="O159" s="94"/>
      <c r="P159" s="94"/>
      <c r="Q159" s="94"/>
      <c r="R159" s="95"/>
      <c r="S159" s="94"/>
      <c r="T159" s="96"/>
      <c r="U159" s="94"/>
      <c r="V159" s="97"/>
      <c r="W159" s="94"/>
      <c r="X159" s="98"/>
      <c r="Y159" s="98"/>
      <c r="Z159" s="98"/>
      <c r="AA159" s="98"/>
      <c r="AB159" s="98"/>
      <c r="AC159" s="97"/>
      <c r="AD159" s="99"/>
      <c r="AE159" s="95"/>
      <c r="AF159" s="94"/>
      <c r="AG159" s="89"/>
      <c r="AH159" s="89"/>
      <c r="AI159" s="89"/>
      <c r="AJ159" s="89"/>
      <c r="AK159" s="89"/>
      <c r="AL159" s="89"/>
      <c r="AM159" s="89"/>
      <c r="AN159" s="89"/>
      <c r="AO159" s="89"/>
      <c r="AP159" s="89"/>
      <c r="AQ159" s="89"/>
      <c r="AR159" s="89"/>
      <c r="AS159" s="89"/>
      <c r="AT159" s="89"/>
      <c r="AU159" s="89"/>
      <c r="AV159" s="89"/>
      <c r="AW159" s="100"/>
      <c r="AX159" s="100"/>
      <c r="AY159" s="89"/>
      <c r="AZ159" s="89"/>
      <c r="BA159" s="89"/>
      <c r="BB159" s="89"/>
      <c r="BC159" s="89"/>
      <c r="BD159" s="89"/>
      <c r="BE159" s="89"/>
      <c r="BF159" s="89"/>
      <c r="BG159" s="89"/>
      <c r="BH159" s="89"/>
      <c r="BI159" s="89"/>
      <c r="BJ159" s="89"/>
      <c r="BK159" s="89"/>
      <c r="BL159" s="89"/>
      <c r="BM159" s="89"/>
      <c r="BN159" s="89"/>
      <c r="BO159" s="89"/>
      <c r="BP159" s="89"/>
      <c r="BQ159" s="89"/>
      <c r="BR159" s="89"/>
      <c r="BS159" s="89"/>
    </row>
    <row r="160" spans="1:71" ht="27" customHeight="1" x14ac:dyDescent="0.2">
      <c r="A160" s="93"/>
      <c r="B160" s="89"/>
      <c r="C160" s="89"/>
      <c r="D160" s="89"/>
      <c r="E160" s="89"/>
      <c r="F160" s="89"/>
      <c r="G160" s="89"/>
      <c r="H160" s="94"/>
      <c r="I160" s="94"/>
      <c r="J160" s="94"/>
      <c r="K160" s="94"/>
      <c r="L160" s="94"/>
      <c r="M160" s="94"/>
      <c r="N160" s="94"/>
      <c r="O160" s="94"/>
      <c r="P160" s="94"/>
      <c r="Q160" s="94"/>
      <c r="R160" s="95"/>
      <c r="S160" s="94"/>
      <c r="T160" s="96"/>
      <c r="U160" s="94"/>
      <c r="V160" s="97"/>
      <c r="W160" s="94"/>
      <c r="X160" s="98"/>
      <c r="Y160" s="98"/>
      <c r="Z160" s="98"/>
      <c r="AA160" s="98"/>
      <c r="AB160" s="98"/>
      <c r="AC160" s="97"/>
      <c r="AD160" s="99"/>
      <c r="AE160" s="95"/>
      <c r="AF160" s="94"/>
      <c r="AG160" s="89"/>
      <c r="AH160" s="89"/>
      <c r="AI160" s="89"/>
      <c r="AJ160" s="89"/>
      <c r="AK160" s="89"/>
      <c r="AL160" s="89"/>
      <c r="AM160" s="89"/>
      <c r="AN160" s="89"/>
      <c r="AO160" s="89"/>
      <c r="AP160" s="89"/>
      <c r="AQ160" s="89"/>
      <c r="AR160" s="89"/>
      <c r="AS160" s="89"/>
      <c r="AT160" s="89"/>
      <c r="AU160" s="89"/>
      <c r="AV160" s="89"/>
      <c r="AW160" s="100"/>
      <c r="AX160" s="100"/>
      <c r="AY160" s="89"/>
      <c r="AZ160" s="89"/>
      <c r="BA160" s="89"/>
      <c r="BB160" s="89"/>
      <c r="BC160" s="89"/>
      <c r="BD160" s="89"/>
      <c r="BE160" s="89"/>
      <c r="BF160" s="89"/>
      <c r="BG160" s="89"/>
      <c r="BH160" s="89"/>
      <c r="BI160" s="89"/>
      <c r="BJ160" s="89"/>
      <c r="BK160" s="89"/>
      <c r="BL160" s="89"/>
      <c r="BM160" s="89"/>
      <c r="BN160" s="89"/>
      <c r="BO160" s="89"/>
      <c r="BP160" s="89"/>
      <c r="BQ160" s="89"/>
      <c r="BR160" s="89"/>
      <c r="BS160" s="89"/>
    </row>
    <row r="161" spans="1:71" ht="27" customHeight="1" x14ac:dyDescent="0.2">
      <c r="A161" s="93"/>
      <c r="B161" s="89"/>
      <c r="C161" s="89"/>
      <c r="D161" s="89"/>
      <c r="E161" s="89"/>
      <c r="F161" s="89"/>
      <c r="G161" s="89"/>
      <c r="H161" s="94"/>
      <c r="I161" s="94"/>
      <c r="J161" s="94"/>
      <c r="K161" s="94"/>
      <c r="L161" s="94"/>
      <c r="M161" s="94"/>
      <c r="N161" s="94"/>
      <c r="O161" s="94"/>
      <c r="P161" s="94"/>
      <c r="Q161" s="94"/>
      <c r="R161" s="95"/>
      <c r="S161" s="94"/>
      <c r="T161" s="96"/>
      <c r="U161" s="94"/>
      <c r="V161" s="97"/>
      <c r="W161" s="94"/>
      <c r="X161" s="98"/>
      <c r="Y161" s="98"/>
      <c r="Z161" s="98"/>
      <c r="AA161" s="98"/>
      <c r="AB161" s="98"/>
      <c r="AC161" s="97"/>
      <c r="AD161" s="99"/>
      <c r="AE161" s="95"/>
      <c r="AF161" s="94"/>
      <c r="AG161" s="89"/>
      <c r="AH161" s="89"/>
      <c r="AI161" s="89"/>
      <c r="AJ161" s="89"/>
      <c r="AK161" s="89"/>
      <c r="AL161" s="89"/>
      <c r="AM161" s="89"/>
      <c r="AN161" s="89"/>
      <c r="AO161" s="89"/>
      <c r="AP161" s="89"/>
      <c r="AQ161" s="89"/>
      <c r="AR161" s="89"/>
      <c r="AS161" s="89"/>
      <c r="AT161" s="89"/>
      <c r="AU161" s="89"/>
      <c r="AV161" s="89"/>
      <c r="AW161" s="100"/>
      <c r="AX161" s="100"/>
      <c r="AY161" s="89"/>
      <c r="AZ161" s="89"/>
      <c r="BA161" s="89"/>
      <c r="BB161" s="89"/>
      <c r="BC161" s="89"/>
      <c r="BD161" s="89"/>
      <c r="BE161" s="89"/>
      <c r="BF161" s="89"/>
      <c r="BG161" s="89"/>
      <c r="BH161" s="89"/>
      <c r="BI161" s="89"/>
      <c r="BJ161" s="89"/>
      <c r="BK161" s="89"/>
      <c r="BL161" s="89"/>
      <c r="BM161" s="89"/>
      <c r="BN161" s="89"/>
      <c r="BO161" s="89"/>
      <c r="BP161" s="89"/>
      <c r="BQ161" s="89"/>
      <c r="BR161" s="89"/>
      <c r="BS161" s="89"/>
    </row>
    <row r="162" spans="1:71" ht="27" customHeight="1" x14ac:dyDescent="0.2">
      <c r="A162" s="93"/>
      <c r="B162" s="89"/>
      <c r="C162" s="89"/>
      <c r="D162" s="89"/>
      <c r="E162" s="89"/>
      <c r="F162" s="89"/>
      <c r="G162" s="89"/>
      <c r="H162" s="94"/>
      <c r="I162" s="94"/>
      <c r="J162" s="94"/>
      <c r="K162" s="94"/>
      <c r="L162" s="94"/>
      <c r="M162" s="94"/>
      <c r="N162" s="94"/>
      <c r="O162" s="94"/>
      <c r="P162" s="94"/>
      <c r="Q162" s="94"/>
      <c r="R162" s="95"/>
      <c r="S162" s="94"/>
      <c r="T162" s="96"/>
      <c r="U162" s="94"/>
      <c r="V162" s="97"/>
      <c r="W162" s="94"/>
      <c r="X162" s="98"/>
      <c r="Y162" s="98"/>
      <c r="Z162" s="98"/>
      <c r="AA162" s="98"/>
      <c r="AB162" s="98"/>
      <c r="AC162" s="97"/>
      <c r="AD162" s="99"/>
      <c r="AE162" s="95"/>
      <c r="AF162" s="94"/>
      <c r="AG162" s="89"/>
      <c r="AH162" s="89"/>
      <c r="AI162" s="89"/>
      <c r="AJ162" s="89"/>
      <c r="AK162" s="89"/>
      <c r="AL162" s="89"/>
      <c r="AM162" s="89"/>
      <c r="AN162" s="89"/>
      <c r="AO162" s="89"/>
      <c r="AP162" s="89"/>
      <c r="AQ162" s="89"/>
      <c r="AR162" s="89"/>
      <c r="AS162" s="89"/>
      <c r="AT162" s="89"/>
      <c r="AU162" s="89"/>
      <c r="AV162" s="89"/>
      <c r="AW162" s="100"/>
      <c r="AX162" s="100"/>
      <c r="AY162" s="89"/>
      <c r="AZ162" s="89"/>
      <c r="BA162" s="89"/>
      <c r="BB162" s="89"/>
      <c r="BC162" s="89"/>
      <c r="BD162" s="89"/>
      <c r="BE162" s="89"/>
      <c r="BF162" s="89"/>
      <c r="BG162" s="89"/>
      <c r="BH162" s="89"/>
      <c r="BI162" s="89"/>
      <c r="BJ162" s="89"/>
      <c r="BK162" s="89"/>
      <c r="BL162" s="89"/>
      <c r="BM162" s="89"/>
      <c r="BN162" s="89"/>
      <c r="BO162" s="89"/>
      <c r="BP162" s="89"/>
      <c r="BQ162" s="89"/>
      <c r="BR162" s="89"/>
      <c r="BS162" s="89"/>
    </row>
    <row r="163" spans="1:71" ht="27" customHeight="1" x14ac:dyDescent="0.2">
      <c r="A163" s="93"/>
      <c r="B163" s="89"/>
      <c r="C163" s="89"/>
      <c r="D163" s="89"/>
      <c r="E163" s="89"/>
      <c r="F163" s="89"/>
      <c r="G163" s="89"/>
      <c r="H163" s="94"/>
      <c r="I163" s="94"/>
      <c r="J163" s="94"/>
      <c r="K163" s="94"/>
      <c r="L163" s="94"/>
      <c r="M163" s="94"/>
      <c r="N163" s="94"/>
      <c r="O163" s="94"/>
      <c r="P163" s="94"/>
      <c r="Q163" s="94"/>
      <c r="R163" s="95"/>
      <c r="S163" s="94"/>
      <c r="T163" s="96"/>
      <c r="U163" s="94"/>
      <c r="V163" s="97"/>
      <c r="W163" s="94"/>
      <c r="X163" s="98"/>
      <c r="Y163" s="98"/>
      <c r="Z163" s="98"/>
      <c r="AA163" s="98"/>
      <c r="AB163" s="98"/>
      <c r="AC163" s="97"/>
      <c r="AD163" s="99"/>
      <c r="AE163" s="95"/>
      <c r="AF163" s="94"/>
      <c r="AG163" s="89"/>
      <c r="AH163" s="89"/>
      <c r="AI163" s="89"/>
      <c r="AJ163" s="89"/>
      <c r="AK163" s="89"/>
      <c r="AL163" s="89"/>
      <c r="AM163" s="89"/>
      <c r="AN163" s="89"/>
      <c r="AO163" s="89"/>
      <c r="AP163" s="89"/>
      <c r="AQ163" s="89"/>
      <c r="AR163" s="89"/>
      <c r="AS163" s="89"/>
      <c r="AT163" s="89"/>
      <c r="AU163" s="89"/>
      <c r="AV163" s="89"/>
      <c r="AW163" s="100"/>
      <c r="AX163" s="100"/>
      <c r="AY163" s="89"/>
      <c r="AZ163" s="89"/>
      <c r="BA163" s="89"/>
      <c r="BB163" s="89"/>
      <c r="BC163" s="89"/>
      <c r="BD163" s="89"/>
      <c r="BE163" s="89"/>
      <c r="BF163" s="89"/>
      <c r="BG163" s="89"/>
      <c r="BH163" s="89"/>
      <c r="BI163" s="89"/>
      <c r="BJ163" s="89"/>
      <c r="BK163" s="89"/>
      <c r="BL163" s="89"/>
      <c r="BM163" s="89"/>
      <c r="BN163" s="89"/>
      <c r="BO163" s="89"/>
      <c r="BP163" s="89"/>
      <c r="BQ163" s="89"/>
      <c r="BR163" s="89"/>
      <c r="BS163" s="89"/>
    </row>
    <row r="164" spans="1:71" ht="27" customHeight="1" x14ac:dyDescent="0.2">
      <c r="A164" s="93"/>
      <c r="B164" s="89"/>
      <c r="C164" s="89"/>
      <c r="D164" s="89"/>
      <c r="E164" s="89"/>
      <c r="F164" s="89"/>
      <c r="G164" s="89"/>
      <c r="H164" s="94"/>
      <c r="I164" s="94"/>
      <c r="J164" s="94"/>
      <c r="K164" s="94"/>
      <c r="L164" s="94"/>
      <c r="M164" s="94"/>
      <c r="N164" s="94"/>
      <c r="O164" s="94"/>
      <c r="P164" s="94"/>
      <c r="Q164" s="94"/>
      <c r="R164" s="95"/>
      <c r="S164" s="94"/>
      <c r="T164" s="96"/>
      <c r="U164" s="94"/>
      <c r="V164" s="97"/>
      <c r="W164" s="94"/>
      <c r="X164" s="98"/>
      <c r="Y164" s="98"/>
      <c r="Z164" s="98"/>
      <c r="AA164" s="98"/>
      <c r="AB164" s="98"/>
      <c r="AC164" s="97"/>
      <c r="AD164" s="99"/>
      <c r="AE164" s="95"/>
      <c r="AF164" s="94"/>
      <c r="AG164" s="89"/>
      <c r="AH164" s="89"/>
      <c r="AI164" s="89"/>
      <c r="AJ164" s="89"/>
      <c r="AK164" s="89"/>
      <c r="AL164" s="89"/>
      <c r="AM164" s="89"/>
      <c r="AN164" s="89"/>
      <c r="AO164" s="89"/>
      <c r="AP164" s="89"/>
      <c r="AQ164" s="89"/>
      <c r="AR164" s="89"/>
      <c r="AS164" s="89"/>
      <c r="AT164" s="89"/>
      <c r="AU164" s="89"/>
      <c r="AV164" s="89"/>
      <c r="AW164" s="100"/>
      <c r="AX164" s="100"/>
      <c r="AY164" s="89"/>
      <c r="AZ164" s="89"/>
      <c r="BA164" s="89"/>
      <c r="BB164" s="89"/>
      <c r="BC164" s="89"/>
      <c r="BD164" s="89"/>
      <c r="BE164" s="89"/>
      <c r="BF164" s="89"/>
      <c r="BG164" s="89"/>
      <c r="BH164" s="89"/>
      <c r="BI164" s="89"/>
      <c r="BJ164" s="89"/>
      <c r="BK164" s="89"/>
      <c r="BL164" s="89"/>
      <c r="BM164" s="89"/>
      <c r="BN164" s="89"/>
      <c r="BO164" s="89"/>
      <c r="BP164" s="89"/>
      <c r="BQ164" s="89"/>
      <c r="BR164" s="89"/>
      <c r="BS164" s="89"/>
    </row>
    <row r="165" spans="1:71" ht="27" customHeight="1" x14ac:dyDescent="0.2">
      <c r="A165" s="93"/>
      <c r="B165" s="89"/>
      <c r="C165" s="89"/>
      <c r="D165" s="89"/>
      <c r="E165" s="89"/>
      <c r="F165" s="89"/>
      <c r="G165" s="89"/>
      <c r="H165" s="94"/>
      <c r="I165" s="94"/>
      <c r="J165" s="94"/>
      <c r="K165" s="94"/>
      <c r="L165" s="94"/>
      <c r="M165" s="94"/>
      <c r="N165" s="94"/>
      <c r="O165" s="94"/>
      <c r="P165" s="94"/>
      <c r="Q165" s="94"/>
      <c r="R165" s="95"/>
      <c r="S165" s="94"/>
      <c r="T165" s="96"/>
      <c r="U165" s="94"/>
      <c r="V165" s="97"/>
      <c r="W165" s="94"/>
      <c r="X165" s="98"/>
      <c r="Y165" s="98"/>
      <c r="Z165" s="98"/>
      <c r="AA165" s="98"/>
      <c r="AB165" s="98"/>
      <c r="AC165" s="97"/>
      <c r="AD165" s="99"/>
      <c r="AE165" s="95"/>
      <c r="AF165" s="94"/>
      <c r="AG165" s="89"/>
      <c r="AH165" s="89"/>
      <c r="AI165" s="89"/>
      <c r="AJ165" s="89"/>
      <c r="AK165" s="89"/>
      <c r="AL165" s="89"/>
      <c r="AM165" s="89"/>
      <c r="AN165" s="89"/>
      <c r="AO165" s="89"/>
      <c r="AP165" s="89"/>
      <c r="AQ165" s="89"/>
      <c r="AR165" s="89"/>
      <c r="AS165" s="89"/>
      <c r="AT165" s="89"/>
      <c r="AU165" s="89"/>
      <c r="AV165" s="89"/>
      <c r="AW165" s="100"/>
      <c r="AX165" s="100"/>
      <c r="AY165" s="89"/>
      <c r="AZ165" s="89"/>
      <c r="BA165" s="89"/>
      <c r="BB165" s="89"/>
      <c r="BC165" s="89"/>
      <c r="BD165" s="89"/>
      <c r="BE165" s="89"/>
      <c r="BF165" s="89"/>
      <c r="BG165" s="89"/>
      <c r="BH165" s="89"/>
      <c r="BI165" s="89"/>
      <c r="BJ165" s="89"/>
      <c r="BK165" s="89"/>
      <c r="BL165" s="89"/>
      <c r="BM165" s="89"/>
      <c r="BN165" s="89"/>
      <c r="BO165" s="89"/>
      <c r="BP165" s="89"/>
      <c r="BQ165" s="89"/>
      <c r="BR165" s="89"/>
      <c r="BS165" s="89"/>
    </row>
    <row r="166" spans="1:71" ht="27" customHeight="1" x14ac:dyDescent="0.2">
      <c r="A166" s="93"/>
      <c r="B166" s="89"/>
      <c r="C166" s="89"/>
      <c r="D166" s="89"/>
      <c r="E166" s="89"/>
      <c r="F166" s="89"/>
      <c r="G166" s="89"/>
      <c r="H166" s="94"/>
      <c r="I166" s="94"/>
      <c r="J166" s="94"/>
      <c r="K166" s="94"/>
      <c r="L166" s="94"/>
      <c r="M166" s="94"/>
      <c r="N166" s="94"/>
      <c r="O166" s="94"/>
      <c r="P166" s="94"/>
      <c r="Q166" s="94"/>
      <c r="R166" s="95"/>
      <c r="S166" s="94"/>
      <c r="T166" s="96"/>
      <c r="U166" s="94"/>
      <c r="V166" s="97"/>
      <c r="W166" s="94"/>
      <c r="X166" s="98"/>
      <c r="Y166" s="98"/>
      <c r="Z166" s="98"/>
      <c r="AA166" s="98"/>
      <c r="AB166" s="98"/>
      <c r="AC166" s="97"/>
      <c r="AD166" s="99"/>
      <c r="AE166" s="95"/>
      <c r="AF166" s="94"/>
      <c r="AG166" s="89"/>
      <c r="AH166" s="89"/>
      <c r="AI166" s="89"/>
      <c r="AJ166" s="89"/>
      <c r="AK166" s="89"/>
      <c r="AL166" s="89"/>
      <c r="AM166" s="89"/>
      <c r="AN166" s="89"/>
      <c r="AO166" s="89"/>
      <c r="AP166" s="89"/>
      <c r="AQ166" s="89"/>
      <c r="AR166" s="89"/>
      <c r="AS166" s="89"/>
      <c r="AT166" s="89"/>
      <c r="AU166" s="89"/>
      <c r="AV166" s="89"/>
      <c r="AW166" s="100"/>
      <c r="AX166" s="100"/>
      <c r="AY166" s="89"/>
      <c r="AZ166" s="89"/>
      <c r="BA166" s="89"/>
      <c r="BB166" s="89"/>
      <c r="BC166" s="89"/>
      <c r="BD166" s="89"/>
      <c r="BE166" s="89"/>
      <c r="BF166" s="89"/>
      <c r="BG166" s="89"/>
      <c r="BH166" s="89"/>
      <c r="BI166" s="89"/>
      <c r="BJ166" s="89"/>
      <c r="BK166" s="89"/>
      <c r="BL166" s="89"/>
      <c r="BM166" s="89"/>
      <c r="BN166" s="89"/>
      <c r="BO166" s="89"/>
      <c r="BP166" s="89"/>
      <c r="BQ166" s="89"/>
      <c r="BR166" s="89"/>
      <c r="BS166" s="89"/>
    </row>
    <row r="167" spans="1:71" ht="27" customHeight="1" x14ac:dyDescent="0.2">
      <c r="A167" s="93"/>
      <c r="B167" s="89"/>
      <c r="C167" s="89"/>
      <c r="D167" s="89"/>
      <c r="E167" s="89"/>
      <c r="F167" s="89"/>
      <c r="G167" s="89"/>
      <c r="H167" s="94"/>
      <c r="I167" s="94"/>
      <c r="J167" s="94"/>
      <c r="K167" s="94"/>
      <c r="L167" s="94"/>
      <c r="M167" s="94"/>
      <c r="N167" s="94"/>
      <c r="O167" s="94"/>
      <c r="P167" s="94"/>
      <c r="Q167" s="94"/>
      <c r="R167" s="95"/>
      <c r="S167" s="94"/>
      <c r="T167" s="96"/>
      <c r="U167" s="94"/>
      <c r="V167" s="97"/>
      <c r="W167" s="94"/>
      <c r="X167" s="98"/>
      <c r="Y167" s="98"/>
      <c r="Z167" s="98"/>
      <c r="AA167" s="98"/>
      <c r="AB167" s="98"/>
      <c r="AC167" s="97"/>
      <c r="AD167" s="99"/>
      <c r="AE167" s="95"/>
      <c r="AF167" s="94"/>
      <c r="AG167" s="89"/>
      <c r="AH167" s="89"/>
      <c r="AI167" s="89"/>
      <c r="AJ167" s="89"/>
      <c r="AK167" s="89"/>
      <c r="AL167" s="89"/>
      <c r="AM167" s="89"/>
      <c r="AN167" s="89"/>
      <c r="AO167" s="89"/>
      <c r="AP167" s="89"/>
      <c r="AQ167" s="89"/>
      <c r="AR167" s="89"/>
      <c r="AS167" s="89"/>
      <c r="AT167" s="89"/>
      <c r="AU167" s="89"/>
      <c r="AV167" s="89"/>
      <c r="AW167" s="100"/>
      <c r="AX167" s="100"/>
      <c r="AY167" s="89"/>
      <c r="AZ167" s="89"/>
      <c r="BA167" s="89"/>
      <c r="BB167" s="89"/>
      <c r="BC167" s="89"/>
      <c r="BD167" s="89"/>
      <c r="BE167" s="89"/>
      <c r="BF167" s="89"/>
      <c r="BG167" s="89"/>
      <c r="BH167" s="89"/>
      <c r="BI167" s="89"/>
      <c r="BJ167" s="89"/>
      <c r="BK167" s="89"/>
      <c r="BL167" s="89"/>
      <c r="BM167" s="89"/>
      <c r="BN167" s="89"/>
      <c r="BO167" s="89"/>
      <c r="BP167" s="89"/>
      <c r="BQ167" s="89"/>
      <c r="BR167" s="89"/>
      <c r="BS167" s="89"/>
    </row>
    <row r="168" spans="1:71" ht="27" customHeight="1" x14ac:dyDescent="0.2">
      <c r="A168" s="93"/>
      <c r="B168" s="89"/>
      <c r="C168" s="89"/>
      <c r="D168" s="89"/>
      <c r="E168" s="89"/>
      <c r="F168" s="89"/>
      <c r="G168" s="89"/>
      <c r="H168" s="94"/>
      <c r="I168" s="94"/>
      <c r="J168" s="94"/>
      <c r="K168" s="94"/>
      <c r="L168" s="94"/>
      <c r="M168" s="94"/>
      <c r="N168" s="94"/>
      <c r="O168" s="94"/>
      <c r="P168" s="94"/>
      <c r="Q168" s="94"/>
      <c r="R168" s="95"/>
      <c r="S168" s="94"/>
      <c r="T168" s="96"/>
      <c r="U168" s="94"/>
      <c r="V168" s="97"/>
      <c r="W168" s="94"/>
      <c r="X168" s="98"/>
      <c r="Y168" s="98"/>
      <c r="Z168" s="98"/>
      <c r="AA168" s="98"/>
      <c r="AB168" s="98"/>
      <c r="AC168" s="97"/>
      <c r="AD168" s="99"/>
      <c r="AE168" s="95"/>
      <c r="AF168" s="94"/>
      <c r="AG168" s="89"/>
      <c r="AH168" s="89"/>
      <c r="AI168" s="89"/>
      <c r="AJ168" s="89"/>
      <c r="AK168" s="89"/>
      <c r="AL168" s="89"/>
      <c r="AM168" s="89"/>
      <c r="AN168" s="89"/>
      <c r="AO168" s="89"/>
      <c r="AP168" s="89"/>
      <c r="AQ168" s="89"/>
      <c r="AR168" s="89"/>
      <c r="AS168" s="89"/>
      <c r="AT168" s="89"/>
      <c r="AU168" s="89"/>
      <c r="AV168" s="89"/>
      <c r="AW168" s="100"/>
      <c r="AX168" s="100"/>
      <c r="AY168" s="89"/>
      <c r="AZ168" s="89"/>
      <c r="BA168" s="89"/>
      <c r="BB168" s="89"/>
      <c r="BC168" s="89"/>
      <c r="BD168" s="89"/>
      <c r="BE168" s="89"/>
      <c r="BF168" s="89"/>
      <c r="BG168" s="89"/>
      <c r="BH168" s="89"/>
      <c r="BI168" s="89"/>
      <c r="BJ168" s="89"/>
      <c r="BK168" s="89"/>
      <c r="BL168" s="89"/>
      <c r="BM168" s="89"/>
      <c r="BN168" s="89"/>
      <c r="BO168" s="89"/>
      <c r="BP168" s="89"/>
      <c r="BQ168" s="89"/>
      <c r="BR168" s="89"/>
      <c r="BS168" s="89"/>
    </row>
    <row r="169" spans="1:71" ht="27" customHeight="1" x14ac:dyDescent="0.2">
      <c r="A169" s="93"/>
      <c r="B169" s="89"/>
      <c r="C169" s="89"/>
      <c r="D169" s="89"/>
      <c r="E169" s="89"/>
      <c r="F169" s="89"/>
      <c r="G169" s="89"/>
      <c r="H169" s="94"/>
      <c r="I169" s="94"/>
      <c r="J169" s="94"/>
      <c r="K169" s="94"/>
      <c r="L169" s="94"/>
      <c r="M169" s="94"/>
      <c r="N169" s="94"/>
      <c r="O169" s="94"/>
      <c r="P169" s="94"/>
      <c r="Q169" s="94"/>
      <c r="R169" s="95"/>
      <c r="S169" s="94"/>
      <c r="T169" s="96"/>
      <c r="U169" s="94"/>
      <c r="V169" s="97"/>
      <c r="W169" s="94"/>
      <c r="X169" s="98"/>
      <c r="Y169" s="98"/>
      <c r="Z169" s="98"/>
      <c r="AA169" s="98"/>
      <c r="AB169" s="98"/>
      <c r="AC169" s="97"/>
      <c r="AD169" s="99"/>
      <c r="AE169" s="95"/>
      <c r="AF169" s="94"/>
      <c r="AG169" s="89"/>
      <c r="AH169" s="89"/>
      <c r="AI169" s="89"/>
      <c r="AJ169" s="89"/>
      <c r="AK169" s="89"/>
      <c r="AL169" s="89"/>
      <c r="AM169" s="89"/>
      <c r="AN169" s="89"/>
      <c r="AO169" s="89"/>
      <c r="AP169" s="89"/>
      <c r="AQ169" s="89"/>
      <c r="AR169" s="89"/>
      <c r="AS169" s="89"/>
      <c r="AT169" s="89"/>
      <c r="AU169" s="89"/>
      <c r="AV169" s="89"/>
      <c r="AW169" s="100"/>
      <c r="AX169" s="100"/>
      <c r="AY169" s="89"/>
      <c r="AZ169" s="89"/>
      <c r="BA169" s="89"/>
      <c r="BB169" s="89"/>
      <c r="BC169" s="89"/>
      <c r="BD169" s="89"/>
      <c r="BE169" s="89"/>
      <c r="BF169" s="89"/>
      <c r="BG169" s="89"/>
      <c r="BH169" s="89"/>
      <c r="BI169" s="89"/>
      <c r="BJ169" s="89"/>
      <c r="BK169" s="89"/>
      <c r="BL169" s="89"/>
      <c r="BM169" s="89"/>
      <c r="BN169" s="89"/>
      <c r="BO169" s="89"/>
      <c r="BP169" s="89"/>
      <c r="BQ169" s="89"/>
      <c r="BR169" s="89"/>
      <c r="BS169" s="89"/>
    </row>
    <row r="170" spans="1:71" ht="27" customHeight="1" x14ac:dyDescent="0.2">
      <c r="A170" s="93"/>
      <c r="B170" s="89"/>
      <c r="C170" s="89"/>
      <c r="D170" s="89"/>
      <c r="E170" s="89"/>
      <c r="F170" s="89"/>
      <c r="G170" s="89"/>
      <c r="H170" s="94"/>
      <c r="I170" s="94"/>
      <c r="J170" s="94"/>
      <c r="K170" s="94"/>
      <c r="L170" s="94"/>
      <c r="M170" s="94"/>
      <c r="N170" s="94"/>
      <c r="O170" s="94"/>
      <c r="P170" s="94"/>
      <c r="Q170" s="94"/>
      <c r="R170" s="95"/>
      <c r="S170" s="94"/>
      <c r="T170" s="96"/>
      <c r="U170" s="94"/>
      <c r="V170" s="97"/>
      <c r="W170" s="94"/>
      <c r="X170" s="98"/>
      <c r="Y170" s="98"/>
      <c r="Z170" s="98"/>
      <c r="AA170" s="98"/>
      <c r="AB170" s="98"/>
      <c r="AC170" s="97"/>
      <c r="AD170" s="99"/>
      <c r="AE170" s="95"/>
      <c r="AF170" s="94"/>
      <c r="AG170" s="89"/>
      <c r="AH170" s="89"/>
      <c r="AI170" s="89"/>
      <c r="AJ170" s="89"/>
      <c r="AK170" s="89"/>
      <c r="AL170" s="89"/>
      <c r="AM170" s="89"/>
      <c r="AN170" s="89"/>
      <c r="AO170" s="89"/>
      <c r="AP170" s="89"/>
      <c r="AQ170" s="89"/>
      <c r="AR170" s="89"/>
      <c r="AS170" s="89"/>
      <c r="AT170" s="89"/>
      <c r="AU170" s="89"/>
      <c r="AV170" s="89"/>
      <c r="AW170" s="100"/>
      <c r="AX170" s="100"/>
      <c r="AY170" s="89"/>
      <c r="AZ170" s="89"/>
      <c r="BA170" s="89"/>
      <c r="BB170" s="89"/>
      <c r="BC170" s="89"/>
      <c r="BD170" s="89"/>
      <c r="BE170" s="89"/>
      <c r="BF170" s="89"/>
      <c r="BG170" s="89"/>
      <c r="BH170" s="89"/>
      <c r="BI170" s="89"/>
      <c r="BJ170" s="89"/>
      <c r="BK170" s="89"/>
      <c r="BL170" s="89"/>
      <c r="BM170" s="89"/>
      <c r="BN170" s="89"/>
      <c r="BO170" s="89"/>
      <c r="BP170" s="89"/>
      <c r="BQ170" s="89"/>
      <c r="BR170" s="89"/>
      <c r="BS170" s="89"/>
    </row>
    <row r="171" spans="1:71" ht="27" customHeight="1" x14ac:dyDescent="0.2">
      <c r="A171" s="93"/>
      <c r="B171" s="89"/>
      <c r="C171" s="89"/>
      <c r="D171" s="89"/>
      <c r="E171" s="89"/>
      <c r="F171" s="89"/>
      <c r="G171" s="89"/>
      <c r="H171" s="94"/>
      <c r="I171" s="94"/>
      <c r="J171" s="94"/>
      <c r="K171" s="94"/>
      <c r="L171" s="94"/>
      <c r="M171" s="94"/>
      <c r="N171" s="94"/>
      <c r="O171" s="94"/>
      <c r="P171" s="94"/>
      <c r="Q171" s="94"/>
      <c r="R171" s="95"/>
      <c r="S171" s="94"/>
      <c r="T171" s="96"/>
      <c r="U171" s="94"/>
      <c r="V171" s="97"/>
      <c r="W171" s="94"/>
      <c r="X171" s="98"/>
      <c r="Y171" s="98"/>
      <c r="Z171" s="98"/>
      <c r="AA171" s="98"/>
      <c r="AB171" s="98"/>
      <c r="AC171" s="97"/>
      <c r="AD171" s="99"/>
      <c r="AE171" s="95"/>
      <c r="AF171" s="94"/>
      <c r="AG171" s="89"/>
      <c r="AH171" s="89"/>
      <c r="AI171" s="89"/>
      <c r="AJ171" s="89"/>
      <c r="AK171" s="89"/>
      <c r="AL171" s="89"/>
      <c r="AM171" s="89"/>
      <c r="AN171" s="89"/>
      <c r="AO171" s="89"/>
      <c r="AP171" s="89"/>
      <c r="AQ171" s="89"/>
      <c r="AR171" s="89"/>
      <c r="AS171" s="89"/>
      <c r="AT171" s="89"/>
      <c r="AU171" s="89"/>
      <c r="AV171" s="89"/>
      <c r="AW171" s="100"/>
      <c r="AX171" s="100"/>
      <c r="AY171" s="89"/>
      <c r="AZ171" s="89"/>
      <c r="BA171" s="89"/>
      <c r="BB171" s="89"/>
      <c r="BC171" s="89"/>
      <c r="BD171" s="89"/>
      <c r="BE171" s="89"/>
      <c r="BF171" s="89"/>
      <c r="BG171" s="89"/>
      <c r="BH171" s="89"/>
      <c r="BI171" s="89"/>
      <c r="BJ171" s="89"/>
      <c r="BK171" s="89"/>
      <c r="BL171" s="89"/>
      <c r="BM171" s="89"/>
      <c r="BN171" s="89"/>
      <c r="BO171" s="89"/>
      <c r="BP171" s="89"/>
      <c r="BQ171" s="89"/>
      <c r="BR171" s="89"/>
      <c r="BS171" s="89"/>
    </row>
    <row r="172" spans="1:71" ht="27" customHeight="1" x14ac:dyDescent="0.2">
      <c r="A172" s="93"/>
      <c r="B172" s="89"/>
      <c r="C172" s="89"/>
      <c r="D172" s="89"/>
      <c r="E172" s="89"/>
      <c r="F172" s="89"/>
      <c r="G172" s="89"/>
      <c r="H172" s="94"/>
      <c r="I172" s="94"/>
      <c r="J172" s="94"/>
      <c r="K172" s="94"/>
      <c r="L172" s="94"/>
      <c r="M172" s="94"/>
      <c r="N172" s="94"/>
      <c r="O172" s="94"/>
      <c r="P172" s="94"/>
      <c r="Q172" s="94"/>
      <c r="R172" s="95"/>
      <c r="S172" s="94"/>
      <c r="T172" s="96"/>
      <c r="U172" s="94"/>
      <c r="V172" s="97"/>
      <c r="W172" s="94"/>
      <c r="X172" s="98"/>
      <c r="Y172" s="98"/>
      <c r="Z172" s="98"/>
      <c r="AA172" s="98"/>
      <c r="AB172" s="98"/>
      <c r="AC172" s="97"/>
      <c r="AD172" s="99"/>
      <c r="AE172" s="95"/>
      <c r="AF172" s="94"/>
      <c r="AG172" s="89"/>
      <c r="AH172" s="89"/>
      <c r="AI172" s="89"/>
      <c r="AJ172" s="89"/>
      <c r="AK172" s="89"/>
      <c r="AL172" s="89"/>
      <c r="AM172" s="89"/>
      <c r="AN172" s="89"/>
      <c r="AO172" s="89"/>
      <c r="AP172" s="89"/>
      <c r="AQ172" s="89"/>
      <c r="AR172" s="89"/>
      <c r="AS172" s="89"/>
      <c r="AT172" s="89"/>
      <c r="AU172" s="89"/>
      <c r="AV172" s="89"/>
      <c r="AW172" s="100"/>
      <c r="AX172" s="100"/>
      <c r="AY172" s="89"/>
      <c r="AZ172" s="89"/>
      <c r="BA172" s="89"/>
      <c r="BB172" s="89"/>
      <c r="BC172" s="89"/>
      <c r="BD172" s="89"/>
      <c r="BE172" s="89"/>
      <c r="BF172" s="89"/>
      <c r="BG172" s="89"/>
      <c r="BH172" s="89"/>
      <c r="BI172" s="89"/>
      <c r="BJ172" s="89"/>
      <c r="BK172" s="89"/>
      <c r="BL172" s="89"/>
      <c r="BM172" s="89"/>
      <c r="BN172" s="89"/>
      <c r="BO172" s="89"/>
      <c r="BP172" s="89"/>
      <c r="BQ172" s="89"/>
      <c r="BR172" s="89"/>
      <c r="BS172" s="89"/>
    </row>
    <row r="173" spans="1:71" ht="27" customHeight="1" x14ac:dyDescent="0.2">
      <c r="A173" s="93"/>
      <c r="B173" s="89"/>
      <c r="C173" s="89"/>
      <c r="D173" s="89"/>
      <c r="E173" s="89"/>
      <c r="F173" s="89"/>
      <c r="G173" s="89"/>
      <c r="H173" s="94"/>
      <c r="I173" s="94"/>
      <c r="J173" s="94"/>
      <c r="K173" s="94"/>
      <c r="L173" s="94"/>
      <c r="M173" s="94"/>
      <c r="N173" s="94"/>
      <c r="O173" s="94"/>
      <c r="P173" s="94"/>
      <c r="Q173" s="94"/>
      <c r="R173" s="95"/>
      <c r="S173" s="94"/>
      <c r="T173" s="96"/>
      <c r="U173" s="94"/>
      <c r="V173" s="97"/>
      <c r="W173" s="94"/>
      <c r="X173" s="98"/>
      <c r="Y173" s="98"/>
      <c r="Z173" s="98"/>
      <c r="AA173" s="98"/>
      <c r="AB173" s="98"/>
      <c r="AC173" s="97"/>
      <c r="AD173" s="99"/>
      <c r="AE173" s="95"/>
      <c r="AF173" s="94"/>
      <c r="AG173" s="89"/>
      <c r="AH173" s="89"/>
      <c r="AI173" s="89"/>
      <c r="AJ173" s="89"/>
      <c r="AK173" s="89"/>
      <c r="AL173" s="89"/>
      <c r="AM173" s="89"/>
      <c r="AN173" s="89"/>
      <c r="AO173" s="89"/>
      <c r="AP173" s="89"/>
      <c r="AQ173" s="89"/>
      <c r="AR173" s="89"/>
      <c r="AS173" s="89"/>
      <c r="AT173" s="89"/>
      <c r="AU173" s="89"/>
      <c r="AV173" s="89"/>
      <c r="AW173" s="100"/>
      <c r="AX173" s="100"/>
      <c r="AY173" s="89"/>
      <c r="AZ173" s="89"/>
      <c r="BA173" s="89"/>
      <c r="BB173" s="89"/>
      <c r="BC173" s="89"/>
      <c r="BD173" s="89"/>
      <c r="BE173" s="89"/>
      <c r="BF173" s="89"/>
      <c r="BG173" s="89"/>
      <c r="BH173" s="89"/>
      <c r="BI173" s="89"/>
      <c r="BJ173" s="89"/>
      <c r="BK173" s="89"/>
      <c r="BL173" s="89"/>
      <c r="BM173" s="89"/>
      <c r="BN173" s="89"/>
      <c r="BO173" s="89"/>
      <c r="BP173" s="89"/>
      <c r="BQ173" s="89"/>
      <c r="BR173" s="89"/>
      <c r="BS173" s="89"/>
    </row>
    <row r="174" spans="1:71" ht="27" customHeight="1" x14ac:dyDescent="0.2">
      <c r="A174" s="93"/>
      <c r="B174" s="89"/>
      <c r="C174" s="89"/>
      <c r="D174" s="89"/>
      <c r="E174" s="89"/>
      <c r="F174" s="89"/>
      <c r="G174" s="89"/>
      <c r="H174" s="94"/>
      <c r="I174" s="94"/>
      <c r="J174" s="94"/>
      <c r="K174" s="94"/>
      <c r="L174" s="94"/>
      <c r="M174" s="94"/>
      <c r="N174" s="94"/>
      <c r="O174" s="94"/>
      <c r="P174" s="94"/>
      <c r="Q174" s="94"/>
      <c r="R174" s="95"/>
      <c r="S174" s="94"/>
      <c r="T174" s="96"/>
      <c r="U174" s="94"/>
      <c r="V174" s="97"/>
      <c r="W174" s="94"/>
      <c r="X174" s="98"/>
      <c r="Y174" s="98"/>
      <c r="Z174" s="98"/>
      <c r="AA174" s="98"/>
      <c r="AB174" s="98"/>
      <c r="AC174" s="97"/>
      <c r="AD174" s="99"/>
      <c r="AE174" s="95"/>
      <c r="AF174" s="94"/>
      <c r="AG174" s="89"/>
      <c r="AH174" s="89"/>
      <c r="AI174" s="89"/>
      <c r="AJ174" s="89"/>
      <c r="AK174" s="89"/>
      <c r="AL174" s="89"/>
      <c r="AM174" s="89"/>
      <c r="AN174" s="89"/>
      <c r="AO174" s="89"/>
      <c r="AP174" s="89"/>
      <c r="AQ174" s="89"/>
      <c r="AR174" s="89"/>
      <c r="AS174" s="89"/>
      <c r="AT174" s="89"/>
      <c r="AU174" s="89"/>
      <c r="AV174" s="89"/>
      <c r="AW174" s="100"/>
      <c r="AX174" s="100"/>
      <c r="AY174" s="89"/>
      <c r="AZ174" s="89"/>
      <c r="BA174" s="89"/>
      <c r="BB174" s="89"/>
      <c r="BC174" s="89"/>
      <c r="BD174" s="89"/>
      <c r="BE174" s="89"/>
      <c r="BF174" s="89"/>
      <c r="BG174" s="89"/>
      <c r="BH174" s="89"/>
      <c r="BI174" s="89"/>
      <c r="BJ174" s="89"/>
      <c r="BK174" s="89"/>
      <c r="BL174" s="89"/>
      <c r="BM174" s="89"/>
      <c r="BN174" s="89"/>
      <c r="BO174" s="89"/>
      <c r="BP174" s="89"/>
      <c r="BQ174" s="89"/>
      <c r="BR174" s="89"/>
      <c r="BS174" s="89"/>
    </row>
    <row r="175" spans="1:71" ht="27" customHeight="1" x14ac:dyDescent="0.2">
      <c r="A175" s="93"/>
      <c r="B175" s="89"/>
      <c r="C175" s="89"/>
      <c r="D175" s="89"/>
      <c r="E175" s="89"/>
      <c r="F175" s="89"/>
      <c r="G175" s="89"/>
      <c r="H175" s="94"/>
      <c r="I175" s="94"/>
      <c r="J175" s="94"/>
      <c r="K175" s="94"/>
      <c r="L175" s="94"/>
      <c r="M175" s="94"/>
      <c r="N175" s="94"/>
      <c r="O175" s="94"/>
      <c r="P175" s="94"/>
      <c r="Q175" s="94"/>
      <c r="R175" s="95"/>
      <c r="S175" s="94"/>
      <c r="T175" s="96"/>
      <c r="U175" s="94"/>
      <c r="V175" s="97"/>
      <c r="W175" s="94"/>
      <c r="X175" s="98"/>
      <c r="Y175" s="98"/>
      <c r="Z175" s="98"/>
      <c r="AA175" s="98"/>
      <c r="AB175" s="98"/>
      <c r="AC175" s="97"/>
      <c r="AD175" s="99"/>
      <c r="AE175" s="95"/>
      <c r="AF175" s="94"/>
      <c r="AG175" s="89"/>
      <c r="AH175" s="89"/>
      <c r="AI175" s="89"/>
      <c r="AJ175" s="89"/>
      <c r="AK175" s="89"/>
      <c r="AL175" s="89"/>
      <c r="AM175" s="89"/>
      <c r="AN175" s="89"/>
      <c r="AO175" s="89"/>
      <c r="AP175" s="89"/>
      <c r="AQ175" s="89"/>
      <c r="AR175" s="89"/>
      <c r="AS175" s="89"/>
      <c r="AT175" s="89"/>
      <c r="AU175" s="89"/>
      <c r="AV175" s="89"/>
      <c r="AW175" s="100"/>
      <c r="AX175" s="100"/>
      <c r="AY175" s="89"/>
      <c r="AZ175" s="89"/>
      <c r="BA175" s="89"/>
      <c r="BB175" s="89"/>
      <c r="BC175" s="89"/>
      <c r="BD175" s="89"/>
      <c r="BE175" s="89"/>
      <c r="BF175" s="89"/>
      <c r="BG175" s="89"/>
      <c r="BH175" s="89"/>
      <c r="BI175" s="89"/>
      <c r="BJ175" s="89"/>
      <c r="BK175" s="89"/>
      <c r="BL175" s="89"/>
      <c r="BM175" s="89"/>
      <c r="BN175" s="89"/>
      <c r="BO175" s="89"/>
      <c r="BP175" s="89"/>
      <c r="BQ175" s="89"/>
      <c r="BR175" s="89"/>
      <c r="BS175" s="89"/>
    </row>
    <row r="176" spans="1:71" ht="27" customHeight="1" x14ac:dyDescent="0.2">
      <c r="A176" s="93"/>
      <c r="B176" s="89"/>
      <c r="C176" s="89"/>
      <c r="D176" s="89"/>
      <c r="E176" s="89"/>
      <c r="F176" s="89"/>
      <c r="G176" s="89"/>
      <c r="H176" s="94"/>
      <c r="I176" s="94"/>
      <c r="J176" s="94"/>
      <c r="K176" s="94"/>
      <c r="L176" s="94"/>
      <c r="M176" s="94"/>
      <c r="N176" s="94"/>
      <c r="O176" s="94"/>
      <c r="P176" s="94"/>
      <c r="Q176" s="94"/>
      <c r="R176" s="95"/>
      <c r="S176" s="94"/>
      <c r="T176" s="96"/>
      <c r="U176" s="94"/>
      <c r="V176" s="97"/>
      <c r="W176" s="94"/>
      <c r="X176" s="98"/>
      <c r="Y176" s="98"/>
      <c r="Z176" s="98"/>
      <c r="AA176" s="98"/>
      <c r="AB176" s="98"/>
      <c r="AC176" s="97"/>
      <c r="AD176" s="99"/>
      <c r="AE176" s="95"/>
      <c r="AF176" s="94"/>
      <c r="AG176" s="89"/>
      <c r="AH176" s="89"/>
      <c r="AI176" s="89"/>
      <c r="AJ176" s="89"/>
      <c r="AK176" s="89"/>
      <c r="AL176" s="89"/>
      <c r="AM176" s="89"/>
      <c r="AN176" s="89"/>
      <c r="AO176" s="89"/>
      <c r="AP176" s="89"/>
      <c r="AQ176" s="89"/>
      <c r="AR176" s="89"/>
      <c r="AS176" s="89"/>
      <c r="AT176" s="89"/>
      <c r="AU176" s="89"/>
      <c r="AV176" s="89"/>
      <c r="AW176" s="100"/>
      <c r="AX176" s="100"/>
      <c r="AY176" s="89"/>
      <c r="AZ176" s="89"/>
      <c r="BA176" s="89"/>
      <c r="BB176" s="89"/>
      <c r="BC176" s="89"/>
      <c r="BD176" s="89"/>
      <c r="BE176" s="89"/>
      <c r="BF176" s="89"/>
      <c r="BG176" s="89"/>
      <c r="BH176" s="89"/>
      <c r="BI176" s="89"/>
      <c r="BJ176" s="89"/>
      <c r="BK176" s="89"/>
      <c r="BL176" s="89"/>
      <c r="BM176" s="89"/>
      <c r="BN176" s="89"/>
      <c r="BO176" s="89"/>
      <c r="BP176" s="89"/>
      <c r="BQ176" s="89"/>
      <c r="BR176" s="89"/>
      <c r="BS176" s="89"/>
    </row>
    <row r="177" spans="1:71" ht="27" customHeight="1" x14ac:dyDescent="0.2">
      <c r="A177" s="93"/>
      <c r="B177" s="89"/>
      <c r="C177" s="89"/>
      <c r="D177" s="89"/>
      <c r="E177" s="89"/>
      <c r="F177" s="89"/>
      <c r="G177" s="89"/>
      <c r="H177" s="94"/>
      <c r="I177" s="94"/>
      <c r="J177" s="94"/>
      <c r="K177" s="94"/>
      <c r="L177" s="94"/>
      <c r="M177" s="94"/>
      <c r="N177" s="94"/>
      <c r="O177" s="94"/>
      <c r="P177" s="94"/>
      <c r="Q177" s="94"/>
      <c r="R177" s="95"/>
      <c r="S177" s="94"/>
      <c r="T177" s="96"/>
      <c r="U177" s="94"/>
      <c r="V177" s="97"/>
      <c r="W177" s="94"/>
      <c r="X177" s="98"/>
      <c r="Y177" s="98"/>
      <c r="Z177" s="98"/>
      <c r="AA177" s="98"/>
      <c r="AB177" s="98"/>
      <c r="AC177" s="97"/>
      <c r="AD177" s="99"/>
      <c r="AE177" s="95"/>
      <c r="AF177" s="94"/>
      <c r="AG177" s="89"/>
      <c r="AH177" s="89"/>
      <c r="AI177" s="89"/>
      <c r="AJ177" s="89"/>
      <c r="AK177" s="89"/>
      <c r="AL177" s="89"/>
      <c r="AM177" s="89"/>
      <c r="AN177" s="89"/>
      <c r="AO177" s="89"/>
      <c r="AP177" s="89"/>
      <c r="AQ177" s="89"/>
      <c r="AR177" s="89"/>
      <c r="AS177" s="89"/>
      <c r="AT177" s="89"/>
      <c r="AU177" s="89"/>
      <c r="AV177" s="89"/>
      <c r="AW177" s="100"/>
      <c r="AX177" s="100"/>
      <c r="AY177" s="89"/>
      <c r="AZ177" s="89"/>
      <c r="BA177" s="89"/>
      <c r="BB177" s="89"/>
      <c r="BC177" s="89"/>
      <c r="BD177" s="89"/>
      <c r="BE177" s="89"/>
      <c r="BF177" s="89"/>
      <c r="BG177" s="89"/>
      <c r="BH177" s="89"/>
      <c r="BI177" s="89"/>
      <c r="BJ177" s="89"/>
      <c r="BK177" s="89"/>
      <c r="BL177" s="89"/>
      <c r="BM177" s="89"/>
      <c r="BN177" s="89"/>
      <c r="BO177" s="89"/>
      <c r="BP177" s="89"/>
      <c r="BQ177" s="89"/>
      <c r="BR177" s="89"/>
      <c r="BS177" s="89"/>
    </row>
    <row r="178" spans="1:71" ht="27" customHeight="1" x14ac:dyDescent="0.2">
      <c r="A178" s="93"/>
      <c r="B178" s="89"/>
      <c r="C178" s="89"/>
      <c r="D178" s="89"/>
      <c r="E178" s="89"/>
      <c r="F178" s="89"/>
      <c r="G178" s="89"/>
      <c r="H178" s="94"/>
      <c r="I178" s="94"/>
      <c r="J178" s="94"/>
      <c r="K178" s="94"/>
      <c r="L178" s="94"/>
      <c r="M178" s="94"/>
      <c r="N178" s="94"/>
      <c r="O178" s="94"/>
      <c r="P178" s="94"/>
      <c r="Q178" s="94"/>
      <c r="R178" s="95"/>
      <c r="S178" s="94"/>
      <c r="T178" s="96"/>
      <c r="U178" s="94"/>
      <c r="V178" s="97"/>
      <c r="W178" s="94"/>
      <c r="X178" s="98"/>
      <c r="Y178" s="98"/>
      <c r="Z178" s="98"/>
      <c r="AA178" s="98"/>
      <c r="AB178" s="98"/>
      <c r="AC178" s="97"/>
      <c r="AD178" s="99"/>
      <c r="AE178" s="95"/>
      <c r="AF178" s="94"/>
      <c r="AG178" s="89"/>
      <c r="AH178" s="89"/>
      <c r="AI178" s="89"/>
      <c r="AJ178" s="89"/>
      <c r="AK178" s="89"/>
      <c r="AL178" s="89"/>
      <c r="AM178" s="89"/>
      <c r="AN178" s="89"/>
      <c r="AO178" s="89"/>
      <c r="AP178" s="89"/>
      <c r="AQ178" s="89"/>
      <c r="AR178" s="89"/>
      <c r="AS178" s="89"/>
      <c r="AT178" s="89"/>
      <c r="AU178" s="89"/>
      <c r="AV178" s="89"/>
      <c r="AW178" s="100"/>
      <c r="AX178" s="100"/>
      <c r="AY178" s="89"/>
      <c r="AZ178" s="89"/>
      <c r="BA178" s="89"/>
      <c r="BB178" s="89"/>
      <c r="BC178" s="89"/>
      <c r="BD178" s="89"/>
      <c r="BE178" s="89"/>
      <c r="BF178" s="89"/>
      <c r="BG178" s="89"/>
      <c r="BH178" s="89"/>
      <c r="BI178" s="89"/>
      <c r="BJ178" s="89"/>
      <c r="BK178" s="89"/>
      <c r="BL178" s="89"/>
      <c r="BM178" s="89"/>
      <c r="BN178" s="89"/>
      <c r="BO178" s="89"/>
      <c r="BP178" s="89"/>
      <c r="BQ178" s="89"/>
      <c r="BR178" s="89"/>
      <c r="BS178" s="89"/>
    </row>
    <row r="179" spans="1:71" ht="27" customHeight="1" x14ac:dyDescent="0.2">
      <c r="A179" s="93"/>
      <c r="B179" s="89"/>
      <c r="C179" s="89"/>
      <c r="D179" s="89"/>
      <c r="E179" s="89"/>
      <c r="F179" s="89"/>
      <c r="G179" s="89"/>
      <c r="H179" s="94"/>
      <c r="I179" s="94"/>
      <c r="J179" s="94"/>
      <c r="K179" s="94"/>
      <c r="L179" s="94"/>
      <c r="M179" s="94"/>
      <c r="N179" s="94"/>
      <c r="O179" s="94"/>
      <c r="P179" s="94"/>
      <c r="Q179" s="94"/>
      <c r="R179" s="95"/>
      <c r="S179" s="94"/>
      <c r="T179" s="96"/>
      <c r="U179" s="94"/>
      <c r="V179" s="97"/>
      <c r="W179" s="94"/>
      <c r="X179" s="98"/>
      <c r="Y179" s="98"/>
      <c r="Z179" s="98"/>
      <c r="AA179" s="98"/>
      <c r="AB179" s="98"/>
      <c r="AC179" s="97"/>
      <c r="AD179" s="99"/>
      <c r="AE179" s="95"/>
      <c r="AF179" s="94"/>
      <c r="AG179" s="89"/>
      <c r="AH179" s="89"/>
      <c r="AI179" s="89"/>
      <c r="AJ179" s="89"/>
      <c r="AK179" s="89"/>
      <c r="AL179" s="89"/>
      <c r="AM179" s="89"/>
      <c r="AN179" s="89"/>
      <c r="AO179" s="89"/>
      <c r="AP179" s="89"/>
      <c r="AQ179" s="89"/>
      <c r="AR179" s="89"/>
      <c r="AS179" s="89"/>
      <c r="AT179" s="89"/>
      <c r="AU179" s="89"/>
      <c r="AV179" s="89"/>
      <c r="AW179" s="100"/>
      <c r="AX179" s="100"/>
      <c r="AY179" s="89"/>
      <c r="AZ179" s="89"/>
      <c r="BA179" s="89"/>
      <c r="BB179" s="89"/>
      <c r="BC179" s="89"/>
      <c r="BD179" s="89"/>
      <c r="BE179" s="89"/>
      <c r="BF179" s="89"/>
      <c r="BG179" s="89"/>
      <c r="BH179" s="89"/>
      <c r="BI179" s="89"/>
      <c r="BJ179" s="89"/>
      <c r="BK179" s="89"/>
      <c r="BL179" s="89"/>
      <c r="BM179" s="89"/>
      <c r="BN179" s="89"/>
      <c r="BO179" s="89"/>
      <c r="BP179" s="89"/>
      <c r="BQ179" s="89"/>
      <c r="BR179" s="89"/>
      <c r="BS179" s="89"/>
    </row>
    <row r="180" spans="1:71" ht="27" customHeight="1" x14ac:dyDescent="0.2">
      <c r="A180" s="93"/>
      <c r="B180" s="89"/>
      <c r="C180" s="89"/>
      <c r="D180" s="89"/>
      <c r="E180" s="89"/>
      <c r="F180" s="89"/>
      <c r="G180" s="89"/>
      <c r="H180" s="94"/>
      <c r="I180" s="94"/>
      <c r="J180" s="94"/>
      <c r="K180" s="94"/>
      <c r="L180" s="94"/>
      <c r="M180" s="94"/>
      <c r="N180" s="94"/>
      <c r="O180" s="94"/>
      <c r="P180" s="94"/>
      <c r="Q180" s="94"/>
      <c r="R180" s="95"/>
      <c r="S180" s="94"/>
      <c r="T180" s="96"/>
      <c r="U180" s="94"/>
      <c r="V180" s="97"/>
      <c r="W180" s="94"/>
      <c r="X180" s="98"/>
      <c r="Y180" s="98"/>
      <c r="Z180" s="98"/>
      <c r="AA180" s="98"/>
      <c r="AB180" s="98"/>
      <c r="AC180" s="97"/>
      <c r="AD180" s="99"/>
      <c r="AE180" s="95"/>
      <c r="AF180" s="94"/>
      <c r="AG180" s="89"/>
      <c r="AH180" s="89"/>
      <c r="AI180" s="89"/>
      <c r="AJ180" s="89"/>
      <c r="AK180" s="89"/>
      <c r="AL180" s="89"/>
      <c r="AM180" s="89"/>
      <c r="AN180" s="89"/>
      <c r="AO180" s="89"/>
      <c r="AP180" s="89"/>
      <c r="AQ180" s="89"/>
      <c r="AR180" s="89"/>
      <c r="AS180" s="89"/>
      <c r="AT180" s="89"/>
      <c r="AU180" s="89"/>
      <c r="AV180" s="89"/>
      <c r="AW180" s="100"/>
      <c r="AX180" s="100"/>
      <c r="AY180" s="89"/>
      <c r="AZ180" s="89"/>
      <c r="BA180" s="89"/>
      <c r="BB180" s="89"/>
      <c r="BC180" s="89"/>
      <c r="BD180" s="89"/>
      <c r="BE180" s="89"/>
      <c r="BF180" s="89"/>
      <c r="BG180" s="89"/>
      <c r="BH180" s="89"/>
      <c r="BI180" s="89"/>
      <c r="BJ180" s="89"/>
      <c r="BK180" s="89"/>
      <c r="BL180" s="89"/>
      <c r="BM180" s="89"/>
      <c r="BN180" s="89"/>
      <c r="BO180" s="89"/>
      <c r="BP180" s="89"/>
      <c r="BQ180" s="89"/>
      <c r="BR180" s="89"/>
      <c r="BS180" s="89"/>
    </row>
    <row r="181" spans="1:71" ht="27" customHeight="1" x14ac:dyDescent="0.2">
      <c r="A181" s="93"/>
      <c r="B181" s="89"/>
      <c r="C181" s="89"/>
      <c r="D181" s="89"/>
      <c r="E181" s="89"/>
      <c r="F181" s="89"/>
      <c r="G181" s="89"/>
      <c r="H181" s="94"/>
      <c r="I181" s="94"/>
      <c r="J181" s="94"/>
      <c r="K181" s="94"/>
      <c r="L181" s="94"/>
      <c r="M181" s="94"/>
      <c r="N181" s="94"/>
      <c r="O181" s="94"/>
      <c r="P181" s="94"/>
      <c r="Q181" s="94"/>
      <c r="R181" s="95"/>
      <c r="S181" s="94"/>
      <c r="T181" s="96"/>
      <c r="U181" s="94"/>
      <c r="V181" s="97"/>
      <c r="W181" s="94"/>
      <c r="X181" s="98"/>
      <c r="Y181" s="98"/>
      <c r="Z181" s="98"/>
      <c r="AA181" s="98"/>
      <c r="AB181" s="98"/>
      <c r="AC181" s="97"/>
      <c r="AD181" s="99"/>
      <c r="AE181" s="95"/>
      <c r="AF181" s="94"/>
      <c r="AG181" s="89"/>
      <c r="AH181" s="89"/>
      <c r="AI181" s="89"/>
      <c r="AJ181" s="89"/>
      <c r="AK181" s="89"/>
      <c r="AL181" s="89"/>
      <c r="AM181" s="89"/>
      <c r="AN181" s="89"/>
      <c r="AO181" s="89"/>
      <c r="AP181" s="89"/>
      <c r="AQ181" s="89"/>
      <c r="AR181" s="89"/>
      <c r="AS181" s="89"/>
      <c r="AT181" s="89"/>
      <c r="AU181" s="89"/>
      <c r="AV181" s="89"/>
      <c r="AW181" s="100"/>
      <c r="AX181" s="100"/>
      <c r="AY181" s="89"/>
      <c r="AZ181" s="89"/>
      <c r="BA181" s="89"/>
      <c r="BB181" s="89"/>
      <c r="BC181" s="89"/>
      <c r="BD181" s="89"/>
      <c r="BE181" s="89"/>
      <c r="BF181" s="89"/>
      <c r="BG181" s="89"/>
      <c r="BH181" s="89"/>
      <c r="BI181" s="89"/>
      <c r="BJ181" s="89"/>
      <c r="BK181" s="89"/>
      <c r="BL181" s="89"/>
      <c r="BM181" s="89"/>
      <c r="BN181" s="89"/>
      <c r="BO181" s="89"/>
      <c r="BP181" s="89"/>
      <c r="BQ181" s="89"/>
      <c r="BR181" s="89"/>
      <c r="BS181" s="89"/>
    </row>
    <row r="182" spans="1:71" ht="27" customHeight="1" x14ac:dyDescent="0.2">
      <c r="A182" s="93"/>
      <c r="B182" s="89"/>
      <c r="C182" s="89"/>
      <c r="D182" s="89"/>
      <c r="E182" s="89"/>
      <c r="F182" s="89"/>
      <c r="G182" s="89"/>
      <c r="H182" s="94"/>
      <c r="I182" s="94"/>
      <c r="J182" s="94"/>
      <c r="K182" s="94"/>
      <c r="L182" s="94"/>
      <c r="M182" s="94"/>
      <c r="N182" s="94"/>
      <c r="O182" s="94"/>
      <c r="P182" s="94"/>
      <c r="Q182" s="94"/>
      <c r="R182" s="95"/>
      <c r="S182" s="94"/>
      <c r="T182" s="96"/>
      <c r="U182" s="94"/>
      <c r="V182" s="97"/>
      <c r="W182" s="94"/>
      <c r="X182" s="98"/>
      <c r="Y182" s="98"/>
      <c r="Z182" s="98"/>
      <c r="AA182" s="98"/>
      <c r="AB182" s="98"/>
      <c r="AC182" s="97"/>
      <c r="AD182" s="99"/>
      <c r="AE182" s="95"/>
      <c r="AF182" s="94"/>
      <c r="AG182" s="89"/>
      <c r="AH182" s="89"/>
      <c r="AI182" s="89"/>
      <c r="AJ182" s="89"/>
      <c r="AK182" s="89"/>
      <c r="AL182" s="89"/>
      <c r="AM182" s="89"/>
      <c r="AN182" s="89"/>
      <c r="AO182" s="89"/>
      <c r="AP182" s="89"/>
      <c r="AQ182" s="89"/>
      <c r="AR182" s="89"/>
      <c r="AS182" s="89"/>
      <c r="AT182" s="89"/>
      <c r="AU182" s="89"/>
      <c r="AV182" s="89"/>
      <c r="AW182" s="100"/>
      <c r="AX182" s="100"/>
      <c r="AY182" s="89"/>
      <c r="AZ182" s="89"/>
      <c r="BA182" s="89"/>
      <c r="BB182" s="89"/>
      <c r="BC182" s="89"/>
      <c r="BD182" s="89"/>
      <c r="BE182" s="89"/>
      <c r="BF182" s="89"/>
      <c r="BG182" s="89"/>
      <c r="BH182" s="89"/>
      <c r="BI182" s="89"/>
      <c r="BJ182" s="89"/>
      <c r="BK182" s="89"/>
      <c r="BL182" s="89"/>
      <c r="BM182" s="89"/>
      <c r="BN182" s="89"/>
      <c r="BO182" s="89"/>
      <c r="BP182" s="89"/>
      <c r="BQ182" s="89"/>
      <c r="BR182" s="89"/>
      <c r="BS182" s="89"/>
    </row>
    <row r="183" spans="1:71" ht="27" customHeight="1" x14ac:dyDescent="0.2">
      <c r="A183" s="93"/>
      <c r="B183" s="89"/>
      <c r="C183" s="89"/>
      <c r="D183" s="89"/>
      <c r="E183" s="89"/>
      <c r="F183" s="89"/>
      <c r="G183" s="89"/>
      <c r="H183" s="94"/>
      <c r="I183" s="94"/>
      <c r="J183" s="94"/>
      <c r="K183" s="94"/>
      <c r="L183" s="94"/>
      <c r="M183" s="94"/>
      <c r="N183" s="94"/>
      <c r="O183" s="94"/>
      <c r="P183" s="94"/>
      <c r="Q183" s="94"/>
      <c r="R183" s="95"/>
      <c r="S183" s="94"/>
      <c r="T183" s="96"/>
      <c r="U183" s="94"/>
      <c r="V183" s="97"/>
      <c r="W183" s="94"/>
      <c r="X183" s="98"/>
      <c r="Y183" s="98"/>
      <c r="Z183" s="98"/>
      <c r="AA183" s="98"/>
      <c r="AB183" s="98"/>
      <c r="AC183" s="97"/>
      <c r="AD183" s="99"/>
      <c r="AE183" s="95"/>
      <c r="AF183" s="94"/>
      <c r="AG183" s="89"/>
      <c r="AH183" s="89"/>
      <c r="AI183" s="89"/>
      <c r="AJ183" s="89"/>
      <c r="AK183" s="89"/>
      <c r="AL183" s="89"/>
      <c r="AM183" s="89"/>
      <c r="AN183" s="89"/>
      <c r="AO183" s="89"/>
      <c r="AP183" s="89"/>
      <c r="AQ183" s="89"/>
      <c r="AR183" s="89"/>
      <c r="AS183" s="89"/>
      <c r="AT183" s="89"/>
      <c r="AU183" s="89"/>
      <c r="AV183" s="89"/>
      <c r="AW183" s="100"/>
      <c r="AX183" s="100"/>
      <c r="AY183" s="89"/>
      <c r="AZ183" s="89"/>
      <c r="BA183" s="89"/>
      <c r="BB183" s="89"/>
      <c r="BC183" s="89"/>
      <c r="BD183" s="89"/>
      <c r="BE183" s="89"/>
      <c r="BF183" s="89"/>
      <c r="BG183" s="89"/>
      <c r="BH183" s="89"/>
      <c r="BI183" s="89"/>
      <c r="BJ183" s="89"/>
      <c r="BK183" s="89"/>
      <c r="BL183" s="89"/>
      <c r="BM183" s="89"/>
      <c r="BN183" s="89"/>
      <c r="BO183" s="89"/>
      <c r="BP183" s="89"/>
      <c r="BQ183" s="89"/>
      <c r="BR183" s="89"/>
      <c r="BS183" s="89"/>
    </row>
    <row r="184" spans="1:71" ht="27" customHeight="1" x14ac:dyDescent="0.2">
      <c r="A184" s="93"/>
      <c r="B184" s="89"/>
      <c r="C184" s="89"/>
      <c r="D184" s="89"/>
      <c r="E184" s="89"/>
      <c r="F184" s="89"/>
      <c r="G184" s="89"/>
      <c r="H184" s="94"/>
      <c r="I184" s="94"/>
      <c r="J184" s="94"/>
      <c r="K184" s="94"/>
      <c r="L184" s="94"/>
      <c r="M184" s="94"/>
      <c r="N184" s="94"/>
      <c r="O184" s="94"/>
      <c r="P184" s="94"/>
      <c r="Q184" s="94"/>
      <c r="R184" s="95"/>
      <c r="S184" s="94"/>
      <c r="T184" s="96"/>
      <c r="U184" s="94"/>
      <c r="V184" s="97"/>
      <c r="W184" s="94"/>
      <c r="X184" s="98"/>
      <c r="Y184" s="98"/>
      <c r="Z184" s="98"/>
      <c r="AA184" s="98"/>
      <c r="AB184" s="98"/>
      <c r="AC184" s="97"/>
      <c r="AD184" s="99"/>
      <c r="AE184" s="95"/>
      <c r="AF184" s="94"/>
      <c r="AG184" s="89"/>
      <c r="AH184" s="89"/>
      <c r="AI184" s="89"/>
      <c r="AJ184" s="89"/>
      <c r="AK184" s="89"/>
      <c r="AL184" s="89"/>
      <c r="AM184" s="89"/>
      <c r="AN184" s="89"/>
      <c r="AO184" s="89"/>
      <c r="AP184" s="89"/>
      <c r="AQ184" s="89"/>
      <c r="AR184" s="89"/>
      <c r="AS184" s="89"/>
      <c r="AT184" s="89"/>
      <c r="AU184" s="89"/>
      <c r="AV184" s="89"/>
      <c r="AW184" s="100"/>
      <c r="AX184" s="100"/>
      <c r="AY184" s="89"/>
      <c r="AZ184" s="89"/>
      <c r="BA184" s="89"/>
      <c r="BB184" s="89"/>
      <c r="BC184" s="89"/>
      <c r="BD184" s="89"/>
      <c r="BE184" s="89"/>
      <c r="BF184" s="89"/>
      <c r="BG184" s="89"/>
      <c r="BH184" s="89"/>
      <c r="BI184" s="89"/>
      <c r="BJ184" s="89"/>
      <c r="BK184" s="89"/>
      <c r="BL184" s="89"/>
      <c r="BM184" s="89"/>
      <c r="BN184" s="89"/>
      <c r="BO184" s="89"/>
      <c r="BP184" s="89"/>
      <c r="BQ184" s="89"/>
      <c r="BR184" s="89"/>
      <c r="BS184" s="89"/>
    </row>
    <row r="185" spans="1:71" ht="27" customHeight="1" x14ac:dyDescent="0.2">
      <c r="A185" s="93"/>
      <c r="B185" s="89"/>
      <c r="C185" s="89"/>
      <c r="D185" s="89"/>
      <c r="E185" s="89"/>
      <c r="F185" s="89"/>
      <c r="G185" s="89"/>
      <c r="H185" s="94"/>
      <c r="I185" s="94"/>
      <c r="J185" s="94"/>
      <c r="K185" s="94"/>
      <c r="L185" s="94"/>
      <c r="M185" s="94"/>
      <c r="N185" s="94"/>
      <c r="O185" s="94"/>
      <c r="P185" s="94"/>
      <c r="Q185" s="94"/>
      <c r="R185" s="95"/>
      <c r="S185" s="94"/>
      <c r="T185" s="96"/>
      <c r="U185" s="94"/>
      <c r="V185" s="97"/>
      <c r="W185" s="94"/>
      <c r="X185" s="98"/>
      <c r="Y185" s="98"/>
      <c r="Z185" s="98"/>
      <c r="AA185" s="98"/>
      <c r="AB185" s="98"/>
      <c r="AC185" s="97"/>
      <c r="AD185" s="99"/>
      <c r="AE185" s="95"/>
      <c r="AF185" s="94"/>
      <c r="AG185" s="89"/>
      <c r="AH185" s="89"/>
      <c r="AI185" s="89"/>
      <c r="AJ185" s="89"/>
      <c r="AK185" s="89"/>
      <c r="AL185" s="89"/>
      <c r="AM185" s="89"/>
      <c r="AN185" s="89"/>
      <c r="AO185" s="89"/>
      <c r="AP185" s="89"/>
      <c r="AQ185" s="89"/>
      <c r="AR185" s="89"/>
      <c r="AS185" s="89"/>
      <c r="AT185" s="89"/>
      <c r="AU185" s="89"/>
      <c r="AV185" s="89"/>
      <c r="AW185" s="100"/>
      <c r="AX185" s="100"/>
      <c r="AY185" s="89"/>
      <c r="AZ185" s="89"/>
      <c r="BA185" s="89"/>
      <c r="BB185" s="89"/>
      <c r="BC185" s="89"/>
      <c r="BD185" s="89"/>
      <c r="BE185" s="89"/>
      <c r="BF185" s="89"/>
      <c r="BG185" s="89"/>
      <c r="BH185" s="89"/>
      <c r="BI185" s="89"/>
      <c r="BJ185" s="89"/>
      <c r="BK185" s="89"/>
      <c r="BL185" s="89"/>
      <c r="BM185" s="89"/>
      <c r="BN185" s="89"/>
      <c r="BO185" s="89"/>
      <c r="BP185" s="89"/>
      <c r="BQ185" s="89"/>
      <c r="BR185" s="89"/>
      <c r="BS185" s="89"/>
    </row>
    <row r="186" spans="1:71" ht="27" customHeight="1" x14ac:dyDescent="0.2">
      <c r="A186" s="93"/>
      <c r="B186" s="89"/>
      <c r="C186" s="89"/>
      <c r="D186" s="89"/>
      <c r="E186" s="89"/>
      <c r="F186" s="89"/>
      <c r="G186" s="89"/>
      <c r="H186" s="94"/>
      <c r="I186" s="94"/>
      <c r="J186" s="94"/>
      <c r="K186" s="94"/>
      <c r="L186" s="94"/>
      <c r="M186" s="94"/>
      <c r="N186" s="94"/>
      <c r="O186" s="94"/>
      <c r="P186" s="94"/>
      <c r="Q186" s="94"/>
      <c r="R186" s="95"/>
      <c r="S186" s="94"/>
      <c r="T186" s="96"/>
      <c r="U186" s="94"/>
      <c r="V186" s="97"/>
      <c r="W186" s="94"/>
      <c r="X186" s="98"/>
      <c r="Y186" s="98"/>
      <c r="Z186" s="98"/>
      <c r="AA186" s="98"/>
      <c r="AB186" s="98"/>
      <c r="AC186" s="97"/>
      <c r="AD186" s="99"/>
      <c r="AE186" s="95"/>
      <c r="AF186" s="94"/>
      <c r="AG186" s="89"/>
      <c r="AH186" s="89"/>
      <c r="AI186" s="89"/>
      <c r="AJ186" s="89"/>
      <c r="AK186" s="89"/>
      <c r="AL186" s="89"/>
      <c r="AM186" s="89"/>
      <c r="AN186" s="89"/>
      <c r="AO186" s="89"/>
      <c r="AP186" s="89"/>
      <c r="AQ186" s="89"/>
      <c r="AR186" s="89"/>
      <c r="AS186" s="89"/>
      <c r="AT186" s="89"/>
      <c r="AU186" s="89"/>
      <c r="AV186" s="89"/>
      <c r="AW186" s="100"/>
      <c r="AX186" s="100"/>
      <c r="AY186" s="89"/>
      <c r="AZ186" s="89"/>
      <c r="BA186" s="89"/>
      <c r="BB186" s="89"/>
      <c r="BC186" s="89"/>
      <c r="BD186" s="89"/>
      <c r="BE186" s="89"/>
      <c r="BF186" s="89"/>
      <c r="BG186" s="89"/>
      <c r="BH186" s="89"/>
      <c r="BI186" s="89"/>
      <c r="BJ186" s="89"/>
      <c r="BK186" s="89"/>
      <c r="BL186" s="89"/>
      <c r="BM186" s="89"/>
      <c r="BN186" s="89"/>
      <c r="BO186" s="89"/>
      <c r="BP186" s="89"/>
      <c r="BQ186" s="89"/>
      <c r="BR186" s="89"/>
      <c r="BS186" s="89"/>
    </row>
    <row r="187" spans="1:71" ht="27" customHeight="1" x14ac:dyDescent="0.2">
      <c r="A187" s="93"/>
      <c r="B187" s="89"/>
      <c r="C187" s="89"/>
      <c r="D187" s="89"/>
      <c r="E187" s="89"/>
      <c r="F187" s="89"/>
      <c r="G187" s="89"/>
      <c r="H187" s="94"/>
      <c r="I187" s="94"/>
      <c r="J187" s="94"/>
      <c r="K187" s="94"/>
      <c r="L187" s="94"/>
      <c r="M187" s="94"/>
      <c r="N187" s="94"/>
      <c r="O187" s="94"/>
      <c r="P187" s="94"/>
      <c r="Q187" s="94"/>
      <c r="R187" s="95"/>
      <c r="S187" s="94"/>
      <c r="T187" s="96"/>
      <c r="U187" s="94"/>
      <c r="V187" s="97"/>
      <c r="W187" s="94"/>
      <c r="X187" s="98"/>
      <c r="Y187" s="98"/>
      <c r="Z187" s="98"/>
      <c r="AA187" s="98"/>
      <c r="AB187" s="98"/>
      <c r="AC187" s="97"/>
      <c r="AD187" s="99"/>
      <c r="AE187" s="95"/>
      <c r="AF187" s="94"/>
      <c r="AG187" s="89"/>
      <c r="AH187" s="89"/>
      <c r="AI187" s="89"/>
      <c r="AJ187" s="89"/>
      <c r="AK187" s="89"/>
      <c r="AL187" s="89"/>
      <c r="AM187" s="89"/>
      <c r="AN187" s="89"/>
      <c r="AO187" s="89"/>
      <c r="AP187" s="89"/>
      <c r="AQ187" s="89"/>
      <c r="AR187" s="89"/>
      <c r="AS187" s="89"/>
      <c r="AT187" s="89"/>
      <c r="AU187" s="89"/>
      <c r="AV187" s="89"/>
      <c r="AW187" s="100"/>
      <c r="AX187" s="100"/>
      <c r="AY187" s="89"/>
      <c r="AZ187" s="89"/>
      <c r="BA187" s="89"/>
      <c r="BB187" s="89"/>
      <c r="BC187" s="89"/>
      <c r="BD187" s="89"/>
      <c r="BE187" s="89"/>
      <c r="BF187" s="89"/>
      <c r="BG187" s="89"/>
      <c r="BH187" s="89"/>
      <c r="BI187" s="89"/>
      <c r="BJ187" s="89"/>
      <c r="BK187" s="89"/>
      <c r="BL187" s="89"/>
      <c r="BM187" s="89"/>
      <c r="BN187" s="89"/>
      <c r="BO187" s="89"/>
      <c r="BP187" s="89"/>
      <c r="BQ187" s="89"/>
      <c r="BR187" s="89"/>
      <c r="BS187" s="89"/>
    </row>
    <row r="188" spans="1:71" ht="27" customHeight="1" x14ac:dyDescent="0.2">
      <c r="A188" s="93"/>
      <c r="B188" s="89"/>
      <c r="C188" s="89"/>
      <c r="D188" s="89"/>
      <c r="E188" s="89"/>
      <c r="F188" s="89"/>
      <c r="G188" s="89"/>
      <c r="H188" s="94"/>
      <c r="I188" s="94"/>
      <c r="J188" s="94"/>
      <c r="K188" s="94"/>
      <c r="L188" s="94"/>
      <c r="M188" s="94"/>
      <c r="N188" s="94"/>
      <c r="O188" s="94"/>
      <c r="P188" s="94"/>
      <c r="Q188" s="94"/>
      <c r="R188" s="95"/>
      <c r="S188" s="94"/>
      <c r="T188" s="96"/>
      <c r="U188" s="94"/>
      <c r="V188" s="97"/>
      <c r="W188" s="94"/>
      <c r="X188" s="98"/>
      <c r="Y188" s="98"/>
      <c r="Z188" s="98"/>
      <c r="AA188" s="98"/>
      <c r="AB188" s="98"/>
      <c r="AC188" s="97"/>
      <c r="AD188" s="99"/>
      <c r="AE188" s="95"/>
      <c r="AF188" s="94"/>
      <c r="AG188" s="89"/>
      <c r="AH188" s="89"/>
      <c r="AI188" s="89"/>
      <c r="AJ188" s="89"/>
      <c r="AK188" s="89"/>
      <c r="AL188" s="89"/>
      <c r="AM188" s="89"/>
      <c r="AN188" s="89"/>
      <c r="AO188" s="89"/>
      <c r="AP188" s="89"/>
      <c r="AQ188" s="89"/>
      <c r="AR188" s="89"/>
      <c r="AS188" s="89"/>
      <c r="AT188" s="89"/>
      <c r="AU188" s="89"/>
      <c r="AV188" s="89"/>
      <c r="AW188" s="100"/>
      <c r="AX188" s="100"/>
      <c r="AY188" s="89"/>
      <c r="AZ188" s="89"/>
      <c r="BA188" s="89"/>
      <c r="BB188" s="89"/>
      <c r="BC188" s="89"/>
      <c r="BD188" s="89"/>
      <c r="BE188" s="89"/>
      <c r="BF188" s="89"/>
      <c r="BG188" s="89"/>
      <c r="BH188" s="89"/>
      <c r="BI188" s="89"/>
      <c r="BJ188" s="89"/>
      <c r="BK188" s="89"/>
      <c r="BL188" s="89"/>
      <c r="BM188" s="89"/>
      <c r="BN188" s="89"/>
      <c r="BO188" s="89"/>
      <c r="BP188" s="89"/>
      <c r="BQ188" s="89"/>
      <c r="BR188" s="89"/>
      <c r="BS188" s="89"/>
    </row>
    <row r="189" spans="1:71" ht="27" customHeight="1" x14ac:dyDescent="0.2">
      <c r="A189" s="93"/>
      <c r="B189" s="89"/>
      <c r="C189" s="89"/>
      <c r="D189" s="89"/>
      <c r="E189" s="89"/>
      <c r="F189" s="89"/>
      <c r="G189" s="89"/>
      <c r="H189" s="94"/>
      <c r="I189" s="94"/>
      <c r="J189" s="94"/>
      <c r="K189" s="94"/>
      <c r="L189" s="94"/>
      <c r="M189" s="94"/>
      <c r="N189" s="94"/>
      <c r="O189" s="94"/>
      <c r="P189" s="94"/>
      <c r="Q189" s="94"/>
      <c r="R189" s="95"/>
      <c r="S189" s="94"/>
      <c r="T189" s="96"/>
      <c r="U189" s="94"/>
      <c r="V189" s="97"/>
      <c r="W189" s="94"/>
      <c r="X189" s="98"/>
      <c r="Y189" s="98"/>
      <c r="Z189" s="98"/>
      <c r="AA189" s="98"/>
      <c r="AB189" s="98"/>
      <c r="AC189" s="97"/>
      <c r="AD189" s="99"/>
      <c r="AE189" s="95"/>
      <c r="AF189" s="94"/>
      <c r="AG189" s="89"/>
      <c r="AH189" s="89"/>
      <c r="AI189" s="89"/>
      <c r="AJ189" s="89"/>
      <c r="AK189" s="89"/>
      <c r="AL189" s="89"/>
      <c r="AM189" s="89"/>
      <c r="AN189" s="89"/>
      <c r="AO189" s="89"/>
      <c r="AP189" s="89"/>
      <c r="AQ189" s="89"/>
      <c r="AR189" s="89"/>
      <c r="AS189" s="89"/>
      <c r="AT189" s="89"/>
      <c r="AU189" s="89"/>
      <c r="AV189" s="89"/>
      <c r="AW189" s="100"/>
      <c r="AX189" s="100"/>
      <c r="AY189" s="89"/>
      <c r="AZ189" s="89"/>
      <c r="BA189" s="89"/>
      <c r="BB189" s="89"/>
      <c r="BC189" s="89"/>
      <c r="BD189" s="89"/>
      <c r="BE189" s="89"/>
      <c r="BF189" s="89"/>
      <c r="BG189" s="89"/>
      <c r="BH189" s="89"/>
      <c r="BI189" s="89"/>
      <c r="BJ189" s="89"/>
      <c r="BK189" s="89"/>
      <c r="BL189" s="89"/>
      <c r="BM189" s="89"/>
      <c r="BN189" s="89"/>
      <c r="BO189" s="89"/>
      <c r="BP189" s="89"/>
      <c r="BQ189" s="89"/>
      <c r="BR189" s="89"/>
      <c r="BS189" s="89"/>
    </row>
    <row r="190" spans="1:71" ht="27" customHeight="1" x14ac:dyDescent="0.2">
      <c r="A190" s="93"/>
      <c r="B190" s="89"/>
      <c r="C190" s="89"/>
      <c r="D190" s="89"/>
      <c r="E190" s="89"/>
      <c r="F190" s="89"/>
      <c r="G190" s="89"/>
      <c r="H190" s="94"/>
      <c r="I190" s="94"/>
      <c r="J190" s="94"/>
      <c r="K190" s="94"/>
      <c r="L190" s="94"/>
      <c r="M190" s="94"/>
      <c r="N190" s="94"/>
      <c r="O190" s="94"/>
      <c r="P190" s="94"/>
      <c r="Q190" s="94"/>
      <c r="R190" s="95"/>
      <c r="S190" s="94"/>
      <c r="T190" s="96"/>
      <c r="U190" s="94"/>
      <c r="V190" s="97"/>
      <c r="W190" s="94"/>
      <c r="X190" s="98"/>
      <c r="Y190" s="98"/>
      <c r="Z190" s="98"/>
      <c r="AA190" s="98"/>
      <c r="AB190" s="98"/>
      <c r="AC190" s="97"/>
      <c r="AD190" s="99"/>
      <c r="AE190" s="95"/>
      <c r="AF190" s="94"/>
      <c r="AG190" s="89"/>
      <c r="AH190" s="89"/>
      <c r="AI190" s="89"/>
      <c r="AJ190" s="89"/>
      <c r="AK190" s="89"/>
      <c r="AL190" s="89"/>
      <c r="AM190" s="89"/>
      <c r="AN190" s="89"/>
      <c r="AO190" s="89"/>
      <c r="AP190" s="89"/>
      <c r="AQ190" s="89"/>
      <c r="AR190" s="89"/>
      <c r="AS190" s="89"/>
      <c r="AT190" s="89"/>
      <c r="AU190" s="89"/>
      <c r="AV190" s="89"/>
      <c r="AW190" s="100"/>
      <c r="AX190" s="100"/>
      <c r="AY190" s="89"/>
      <c r="AZ190" s="89"/>
      <c r="BA190" s="89"/>
      <c r="BB190" s="89"/>
      <c r="BC190" s="89"/>
      <c r="BD190" s="89"/>
      <c r="BE190" s="89"/>
      <c r="BF190" s="89"/>
      <c r="BG190" s="89"/>
      <c r="BH190" s="89"/>
      <c r="BI190" s="89"/>
      <c r="BJ190" s="89"/>
      <c r="BK190" s="89"/>
      <c r="BL190" s="89"/>
      <c r="BM190" s="89"/>
      <c r="BN190" s="89"/>
      <c r="BO190" s="89"/>
      <c r="BP190" s="89"/>
      <c r="BQ190" s="89"/>
      <c r="BR190" s="89"/>
      <c r="BS190" s="89"/>
    </row>
    <row r="191" spans="1:71" ht="27" customHeight="1" x14ac:dyDescent="0.2">
      <c r="A191" s="93"/>
      <c r="B191" s="89"/>
      <c r="C191" s="89"/>
      <c r="D191" s="89"/>
      <c r="E191" s="89"/>
      <c r="F191" s="89"/>
      <c r="G191" s="89"/>
      <c r="H191" s="94"/>
      <c r="I191" s="94"/>
      <c r="J191" s="94"/>
      <c r="K191" s="94"/>
      <c r="L191" s="94"/>
      <c r="M191" s="94"/>
      <c r="N191" s="94"/>
      <c r="O191" s="94"/>
      <c r="P191" s="94"/>
      <c r="Q191" s="94"/>
      <c r="R191" s="95"/>
      <c r="S191" s="94"/>
      <c r="T191" s="96"/>
      <c r="U191" s="94"/>
      <c r="V191" s="97"/>
      <c r="W191" s="94"/>
      <c r="X191" s="98"/>
      <c r="Y191" s="98"/>
      <c r="Z191" s="98"/>
      <c r="AA191" s="98"/>
      <c r="AB191" s="98"/>
      <c r="AC191" s="97"/>
      <c r="AD191" s="99"/>
      <c r="AE191" s="95"/>
      <c r="AF191" s="94"/>
      <c r="AG191" s="89"/>
      <c r="AH191" s="89"/>
      <c r="AI191" s="89"/>
      <c r="AJ191" s="89"/>
      <c r="AK191" s="89"/>
      <c r="AL191" s="89"/>
      <c r="AM191" s="89"/>
      <c r="AN191" s="89"/>
      <c r="AO191" s="89"/>
      <c r="AP191" s="89"/>
      <c r="AQ191" s="89"/>
      <c r="AR191" s="89"/>
      <c r="AS191" s="89"/>
      <c r="AT191" s="89"/>
      <c r="AU191" s="89"/>
      <c r="AV191" s="89"/>
      <c r="AW191" s="100"/>
      <c r="AX191" s="100"/>
      <c r="AY191" s="89"/>
      <c r="AZ191" s="89"/>
      <c r="BA191" s="89"/>
      <c r="BB191" s="89"/>
      <c r="BC191" s="89"/>
      <c r="BD191" s="89"/>
      <c r="BE191" s="89"/>
      <c r="BF191" s="89"/>
      <c r="BG191" s="89"/>
      <c r="BH191" s="89"/>
      <c r="BI191" s="89"/>
      <c r="BJ191" s="89"/>
      <c r="BK191" s="89"/>
      <c r="BL191" s="89"/>
      <c r="BM191" s="89"/>
      <c r="BN191" s="89"/>
      <c r="BO191" s="89"/>
      <c r="BP191" s="89"/>
      <c r="BQ191" s="89"/>
      <c r="BR191" s="89"/>
      <c r="BS191" s="89"/>
    </row>
    <row r="192" spans="1:71" ht="27" customHeight="1" x14ac:dyDescent="0.2">
      <c r="A192" s="93"/>
      <c r="B192" s="89"/>
      <c r="C192" s="89"/>
      <c r="D192" s="89"/>
      <c r="E192" s="89"/>
      <c r="F192" s="89"/>
      <c r="G192" s="89"/>
      <c r="H192" s="94"/>
      <c r="I192" s="94"/>
      <c r="J192" s="94"/>
      <c r="K192" s="94"/>
      <c r="L192" s="94"/>
      <c r="M192" s="94"/>
      <c r="N192" s="94"/>
      <c r="O192" s="94"/>
      <c r="P192" s="94"/>
      <c r="Q192" s="94"/>
      <c r="R192" s="95"/>
      <c r="S192" s="94"/>
      <c r="T192" s="96"/>
      <c r="U192" s="94"/>
      <c r="V192" s="97"/>
      <c r="W192" s="94"/>
      <c r="X192" s="98"/>
      <c r="Y192" s="98"/>
      <c r="Z192" s="98"/>
      <c r="AA192" s="98"/>
      <c r="AB192" s="98"/>
      <c r="AC192" s="97"/>
      <c r="AD192" s="99"/>
      <c r="AE192" s="95"/>
      <c r="AF192" s="94"/>
      <c r="AG192" s="89"/>
      <c r="AH192" s="89"/>
      <c r="AI192" s="89"/>
      <c r="AJ192" s="89"/>
      <c r="AK192" s="89"/>
      <c r="AL192" s="89"/>
      <c r="AM192" s="89"/>
      <c r="AN192" s="89"/>
      <c r="AO192" s="89"/>
      <c r="AP192" s="89"/>
      <c r="AQ192" s="89"/>
      <c r="AR192" s="89"/>
      <c r="AS192" s="89"/>
      <c r="AT192" s="89"/>
      <c r="AU192" s="89"/>
      <c r="AV192" s="89"/>
      <c r="AW192" s="100"/>
      <c r="AX192" s="100"/>
      <c r="AY192" s="89"/>
      <c r="AZ192" s="89"/>
      <c r="BA192" s="89"/>
      <c r="BB192" s="89"/>
      <c r="BC192" s="89"/>
      <c r="BD192" s="89"/>
      <c r="BE192" s="89"/>
      <c r="BF192" s="89"/>
      <c r="BG192" s="89"/>
      <c r="BH192" s="89"/>
      <c r="BI192" s="89"/>
      <c r="BJ192" s="89"/>
      <c r="BK192" s="89"/>
      <c r="BL192" s="89"/>
      <c r="BM192" s="89"/>
      <c r="BN192" s="89"/>
      <c r="BO192" s="89"/>
      <c r="BP192" s="89"/>
      <c r="BQ192" s="89"/>
      <c r="BR192" s="89"/>
      <c r="BS192" s="89"/>
    </row>
    <row r="193" spans="1:71" ht="27" customHeight="1" x14ac:dyDescent="0.2">
      <c r="A193" s="93"/>
      <c r="B193" s="89"/>
      <c r="C193" s="89"/>
      <c r="D193" s="89"/>
      <c r="E193" s="89"/>
      <c r="F193" s="89"/>
      <c r="G193" s="89"/>
      <c r="H193" s="94"/>
      <c r="I193" s="94"/>
      <c r="J193" s="94"/>
      <c r="K193" s="94"/>
      <c r="L193" s="94"/>
      <c r="M193" s="94"/>
      <c r="N193" s="94"/>
      <c r="O193" s="94"/>
      <c r="P193" s="94"/>
      <c r="Q193" s="94"/>
      <c r="R193" s="95"/>
      <c r="S193" s="94"/>
      <c r="T193" s="96"/>
      <c r="U193" s="94"/>
      <c r="V193" s="97"/>
      <c r="W193" s="94"/>
      <c r="X193" s="98"/>
      <c r="Y193" s="98"/>
      <c r="Z193" s="98"/>
      <c r="AA193" s="98"/>
      <c r="AB193" s="98"/>
      <c r="AC193" s="97"/>
      <c r="AD193" s="99"/>
      <c r="AE193" s="95"/>
      <c r="AF193" s="94"/>
      <c r="AG193" s="89"/>
      <c r="AH193" s="89"/>
      <c r="AI193" s="89"/>
      <c r="AJ193" s="89"/>
      <c r="AK193" s="89"/>
      <c r="AL193" s="89"/>
      <c r="AM193" s="89"/>
      <c r="AN193" s="89"/>
      <c r="AO193" s="89"/>
      <c r="AP193" s="89"/>
      <c r="AQ193" s="89"/>
      <c r="AR193" s="89"/>
      <c r="AS193" s="89"/>
      <c r="AT193" s="89"/>
      <c r="AU193" s="89"/>
      <c r="AV193" s="89"/>
      <c r="AW193" s="100"/>
      <c r="AX193" s="100"/>
      <c r="AY193" s="89"/>
      <c r="AZ193" s="89"/>
      <c r="BA193" s="89"/>
      <c r="BB193" s="89"/>
      <c r="BC193" s="89"/>
      <c r="BD193" s="89"/>
      <c r="BE193" s="89"/>
      <c r="BF193" s="89"/>
      <c r="BG193" s="89"/>
      <c r="BH193" s="89"/>
      <c r="BI193" s="89"/>
      <c r="BJ193" s="89"/>
      <c r="BK193" s="89"/>
      <c r="BL193" s="89"/>
      <c r="BM193" s="89"/>
      <c r="BN193" s="89"/>
      <c r="BO193" s="89"/>
      <c r="BP193" s="89"/>
      <c r="BQ193" s="89"/>
      <c r="BR193" s="89"/>
      <c r="BS193" s="89"/>
    </row>
    <row r="194" spans="1:71" ht="27" customHeight="1" x14ac:dyDescent="0.2">
      <c r="A194" s="93"/>
      <c r="B194" s="89"/>
      <c r="C194" s="89"/>
      <c r="D194" s="89"/>
      <c r="E194" s="89"/>
      <c r="F194" s="89"/>
      <c r="G194" s="89"/>
      <c r="H194" s="94"/>
      <c r="I194" s="94"/>
      <c r="J194" s="94"/>
      <c r="K194" s="94"/>
      <c r="L194" s="94"/>
      <c r="M194" s="94"/>
      <c r="N194" s="94"/>
      <c r="O194" s="94"/>
      <c r="P194" s="94"/>
      <c r="Q194" s="94"/>
      <c r="R194" s="95"/>
      <c r="S194" s="94"/>
      <c r="T194" s="96"/>
      <c r="U194" s="94"/>
      <c r="V194" s="97"/>
      <c r="W194" s="94"/>
      <c r="X194" s="98"/>
      <c r="Y194" s="98"/>
      <c r="Z194" s="98"/>
      <c r="AA194" s="98"/>
      <c r="AB194" s="98"/>
      <c r="AC194" s="97"/>
      <c r="AD194" s="99"/>
      <c r="AE194" s="95"/>
      <c r="AF194" s="94"/>
      <c r="AG194" s="89"/>
      <c r="AH194" s="89"/>
      <c r="AI194" s="89"/>
      <c r="AJ194" s="89"/>
      <c r="AK194" s="89"/>
      <c r="AL194" s="89"/>
      <c r="AM194" s="89"/>
      <c r="AN194" s="89"/>
      <c r="AO194" s="89"/>
      <c r="AP194" s="89"/>
      <c r="AQ194" s="89"/>
      <c r="AR194" s="89"/>
      <c r="AS194" s="89"/>
      <c r="AT194" s="89"/>
      <c r="AU194" s="89"/>
      <c r="AV194" s="89"/>
      <c r="AW194" s="100"/>
      <c r="AX194" s="100"/>
      <c r="AY194" s="89"/>
      <c r="AZ194" s="89"/>
      <c r="BA194" s="89"/>
      <c r="BB194" s="89"/>
      <c r="BC194" s="89"/>
      <c r="BD194" s="89"/>
      <c r="BE194" s="89"/>
      <c r="BF194" s="89"/>
      <c r="BG194" s="89"/>
      <c r="BH194" s="89"/>
      <c r="BI194" s="89"/>
      <c r="BJ194" s="89"/>
      <c r="BK194" s="89"/>
      <c r="BL194" s="89"/>
      <c r="BM194" s="89"/>
      <c r="BN194" s="89"/>
      <c r="BO194" s="89"/>
      <c r="BP194" s="89"/>
      <c r="BQ194" s="89"/>
      <c r="BR194" s="89"/>
      <c r="BS194" s="89"/>
    </row>
    <row r="195" spans="1:71" ht="27" customHeight="1" x14ac:dyDescent="0.2">
      <c r="A195" s="93"/>
      <c r="B195" s="89"/>
      <c r="C195" s="89"/>
      <c r="D195" s="89"/>
      <c r="E195" s="89"/>
      <c r="F195" s="89"/>
      <c r="G195" s="89"/>
      <c r="H195" s="94"/>
      <c r="I195" s="94"/>
      <c r="J195" s="94"/>
      <c r="K195" s="94"/>
      <c r="L195" s="94"/>
      <c r="M195" s="94"/>
      <c r="N195" s="94"/>
      <c r="O195" s="94"/>
      <c r="P195" s="94"/>
      <c r="Q195" s="94"/>
      <c r="R195" s="95"/>
      <c r="S195" s="94"/>
      <c r="T195" s="96"/>
      <c r="U195" s="94"/>
      <c r="V195" s="97"/>
      <c r="W195" s="94"/>
      <c r="X195" s="98"/>
      <c r="Y195" s="98"/>
      <c r="Z195" s="98"/>
      <c r="AA195" s="98"/>
      <c r="AB195" s="98"/>
      <c r="AC195" s="97"/>
      <c r="AD195" s="99"/>
      <c r="AE195" s="95"/>
      <c r="AF195" s="94"/>
      <c r="AG195" s="89"/>
      <c r="AH195" s="89"/>
      <c r="AI195" s="89"/>
      <c r="AJ195" s="89"/>
      <c r="AK195" s="89"/>
      <c r="AL195" s="89"/>
      <c r="AM195" s="89"/>
      <c r="AN195" s="89"/>
      <c r="AO195" s="89"/>
      <c r="AP195" s="89"/>
      <c r="AQ195" s="89"/>
      <c r="AR195" s="89"/>
      <c r="AS195" s="89"/>
      <c r="AT195" s="89"/>
      <c r="AU195" s="89"/>
      <c r="AV195" s="89"/>
      <c r="AW195" s="100"/>
      <c r="AX195" s="100"/>
      <c r="AY195" s="89"/>
      <c r="AZ195" s="89"/>
      <c r="BA195" s="89"/>
      <c r="BB195" s="89"/>
      <c r="BC195" s="89"/>
      <c r="BD195" s="89"/>
      <c r="BE195" s="89"/>
      <c r="BF195" s="89"/>
      <c r="BG195" s="89"/>
      <c r="BH195" s="89"/>
      <c r="BI195" s="89"/>
      <c r="BJ195" s="89"/>
      <c r="BK195" s="89"/>
      <c r="BL195" s="89"/>
      <c r="BM195" s="89"/>
      <c r="BN195" s="89"/>
      <c r="BO195" s="89"/>
      <c r="BP195" s="89"/>
      <c r="BQ195" s="89"/>
      <c r="BR195" s="89"/>
      <c r="BS195" s="89"/>
    </row>
    <row r="196" spans="1:71" ht="27" customHeight="1" x14ac:dyDescent="0.2">
      <c r="A196" s="93"/>
      <c r="B196" s="89"/>
      <c r="C196" s="89"/>
      <c r="D196" s="89"/>
      <c r="E196" s="89"/>
      <c r="F196" s="89"/>
      <c r="G196" s="89"/>
      <c r="H196" s="94"/>
      <c r="I196" s="94"/>
      <c r="J196" s="94"/>
      <c r="K196" s="94"/>
      <c r="L196" s="94"/>
      <c r="M196" s="94"/>
      <c r="N196" s="94"/>
      <c r="O196" s="94"/>
      <c r="P196" s="94"/>
      <c r="Q196" s="94"/>
      <c r="R196" s="95"/>
      <c r="S196" s="94"/>
      <c r="T196" s="96"/>
      <c r="U196" s="94"/>
      <c r="V196" s="97"/>
      <c r="W196" s="94"/>
      <c r="X196" s="98"/>
      <c r="Y196" s="98"/>
      <c r="Z196" s="98"/>
      <c r="AA196" s="98"/>
      <c r="AB196" s="98"/>
      <c r="AC196" s="97"/>
      <c r="AD196" s="99"/>
      <c r="AE196" s="95"/>
      <c r="AF196" s="94"/>
      <c r="AG196" s="89"/>
      <c r="AH196" s="89"/>
      <c r="AI196" s="89"/>
      <c r="AJ196" s="89"/>
      <c r="AK196" s="89"/>
      <c r="AL196" s="89"/>
      <c r="AM196" s="89"/>
      <c r="AN196" s="89"/>
      <c r="AO196" s="89"/>
      <c r="AP196" s="89"/>
      <c r="AQ196" s="89"/>
      <c r="AR196" s="89"/>
      <c r="AS196" s="89"/>
      <c r="AT196" s="89"/>
      <c r="AU196" s="89"/>
      <c r="AV196" s="89"/>
      <c r="AW196" s="100"/>
      <c r="AX196" s="100"/>
      <c r="AY196" s="89"/>
      <c r="AZ196" s="89"/>
      <c r="BA196" s="89"/>
      <c r="BB196" s="89"/>
      <c r="BC196" s="89"/>
      <c r="BD196" s="89"/>
      <c r="BE196" s="89"/>
      <c r="BF196" s="89"/>
      <c r="BG196" s="89"/>
      <c r="BH196" s="89"/>
      <c r="BI196" s="89"/>
      <c r="BJ196" s="89"/>
      <c r="BK196" s="89"/>
      <c r="BL196" s="89"/>
      <c r="BM196" s="89"/>
      <c r="BN196" s="89"/>
      <c r="BO196" s="89"/>
      <c r="BP196" s="89"/>
      <c r="BQ196" s="89"/>
      <c r="BR196" s="89"/>
      <c r="BS196" s="89"/>
    </row>
    <row r="197" spans="1:71" ht="27" customHeight="1" x14ac:dyDescent="0.2">
      <c r="A197" s="93"/>
      <c r="B197" s="89"/>
      <c r="C197" s="89"/>
      <c r="D197" s="89"/>
      <c r="E197" s="89"/>
      <c r="F197" s="89"/>
      <c r="G197" s="89"/>
      <c r="H197" s="94"/>
      <c r="I197" s="94"/>
      <c r="J197" s="94"/>
      <c r="K197" s="94"/>
      <c r="L197" s="94"/>
      <c r="M197" s="94"/>
      <c r="N197" s="94"/>
      <c r="O197" s="94"/>
      <c r="P197" s="94"/>
      <c r="Q197" s="94"/>
      <c r="R197" s="95"/>
      <c r="S197" s="94"/>
      <c r="T197" s="96"/>
      <c r="U197" s="94"/>
      <c r="V197" s="97"/>
      <c r="W197" s="94"/>
      <c r="X197" s="98"/>
      <c r="Y197" s="98"/>
      <c r="Z197" s="98"/>
      <c r="AA197" s="98"/>
      <c r="AB197" s="98"/>
      <c r="AC197" s="97"/>
      <c r="AD197" s="99"/>
      <c r="AE197" s="95"/>
      <c r="AF197" s="94"/>
      <c r="AG197" s="89"/>
      <c r="AH197" s="89"/>
      <c r="AI197" s="89"/>
      <c r="AJ197" s="89"/>
      <c r="AK197" s="89"/>
      <c r="AL197" s="89"/>
      <c r="AM197" s="89"/>
      <c r="AN197" s="89"/>
      <c r="AO197" s="89"/>
      <c r="AP197" s="89"/>
      <c r="AQ197" s="89"/>
      <c r="AR197" s="89"/>
      <c r="AS197" s="89"/>
      <c r="AT197" s="89"/>
      <c r="AU197" s="89"/>
      <c r="AV197" s="89"/>
      <c r="AW197" s="100"/>
      <c r="AX197" s="100"/>
      <c r="AY197" s="89"/>
      <c r="AZ197" s="89"/>
      <c r="BA197" s="89"/>
      <c r="BB197" s="89"/>
      <c r="BC197" s="89"/>
      <c r="BD197" s="89"/>
      <c r="BE197" s="89"/>
      <c r="BF197" s="89"/>
      <c r="BG197" s="89"/>
      <c r="BH197" s="89"/>
      <c r="BI197" s="89"/>
      <c r="BJ197" s="89"/>
      <c r="BK197" s="89"/>
      <c r="BL197" s="89"/>
      <c r="BM197" s="89"/>
      <c r="BN197" s="89"/>
      <c r="BO197" s="89"/>
      <c r="BP197" s="89"/>
      <c r="BQ197" s="89"/>
      <c r="BR197" s="89"/>
      <c r="BS197" s="89"/>
    </row>
    <row r="198" spans="1:71" ht="27" customHeight="1" x14ac:dyDescent="0.2">
      <c r="A198" s="93"/>
      <c r="B198" s="89"/>
      <c r="C198" s="89"/>
      <c r="D198" s="89"/>
      <c r="E198" s="89"/>
      <c r="F198" s="89"/>
      <c r="G198" s="89"/>
      <c r="H198" s="94"/>
      <c r="I198" s="94"/>
      <c r="J198" s="94"/>
      <c r="K198" s="94"/>
      <c r="L198" s="94"/>
      <c r="M198" s="94"/>
      <c r="N198" s="94"/>
      <c r="O198" s="94"/>
      <c r="P198" s="94"/>
      <c r="Q198" s="94"/>
      <c r="R198" s="95"/>
      <c r="S198" s="94"/>
      <c r="T198" s="96"/>
      <c r="U198" s="94"/>
      <c r="V198" s="97"/>
      <c r="W198" s="94"/>
      <c r="X198" s="98"/>
      <c r="Y198" s="98"/>
      <c r="Z198" s="98"/>
      <c r="AA198" s="98"/>
      <c r="AB198" s="98"/>
      <c r="AC198" s="97"/>
      <c r="AD198" s="99"/>
      <c r="AE198" s="95"/>
      <c r="AF198" s="94"/>
      <c r="AG198" s="89"/>
      <c r="AH198" s="89"/>
      <c r="AI198" s="89"/>
      <c r="AJ198" s="89"/>
      <c r="AK198" s="89"/>
      <c r="AL198" s="89"/>
      <c r="AM198" s="89"/>
      <c r="AN198" s="89"/>
      <c r="AO198" s="89"/>
      <c r="AP198" s="89"/>
      <c r="AQ198" s="89"/>
      <c r="AR198" s="89"/>
      <c r="AS198" s="89"/>
      <c r="AT198" s="89"/>
      <c r="AU198" s="89"/>
      <c r="AV198" s="89"/>
      <c r="AW198" s="100"/>
      <c r="AX198" s="100"/>
      <c r="AY198" s="89"/>
      <c r="AZ198" s="89"/>
      <c r="BA198" s="89"/>
      <c r="BB198" s="89"/>
      <c r="BC198" s="89"/>
      <c r="BD198" s="89"/>
      <c r="BE198" s="89"/>
      <c r="BF198" s="89"/>
      <c r="BG198" s="89"/>
      <c r="BH198" s="89"/>
      <c r="BI198" s="89"/>
      <c r="BJ198" s="89"/>
      <c r="BK198" s="89"/>
      <c r="BL198" s="89"/>
      <c r="BM198" s="89"/>
      <c r="BN198" s="89"/>
      <c r="BO198" s="89"/>
      <c r="BP198" s="89"/>
      <c r="BQ198" s="89"/>
      <c r="BR198" s="89"/>
      <c r="BS198" s="89"/>
    </row>
    <row r="199" spans="1:71" ht="27" customHeight="1" x14ac:dyDescent="0.2">
      <c r="A199" s="93"/>
      <c r="B199" s="89"/>
      <c r="C199" s="89"/>
      <c r="D199" s="89"/>
      <c r="E199" s="89"/>
      <c r="F199" s="89"/>
      <c r="G199" s="89"/>
      <c r="H199" s="94"/>
      <c r="I199" s="94"/>
      <c r="J199" s="94"/>
      <c r="K199" s="94"/>
      <c r="L199" s="94"/>
      <c r="M199" s="94"/>
      <c r="N199" s="94"/>
      <c r="O199" s="94"/>
      <c r="P199" s="94"/>
      <c r="Q199" s="94"/>
      <c r="R199" s="95"/>
      <c r="S199" s="94"/>
      <c r="T199" s="96"/>
      <c r="U199" s="94"/>
      <c r="V199" s="97"/>
      <c r="W199" s="94"/>
      <c r="X199" s="98"/>
      <c r="Y199" s="98"/>
      <c r="Z199" s="98"/>
      <c r="AA199" s="98"/>
      <c r="AB199" s="98"/>
      <c r="AC199" s="97"/>
      <c r="AD199" s="99"/>
      <c r="AE199" s="95"/>
      <c r="AF199" s="94"/>
      <c r="AG199" s="89"/>
      <c r="AH199" s="89"/>
      <c r="AI199" s="89"/>
      <c r="AJ199" s="89"/>
      <c r="AK199" s="89"/>
      <c r="AL199" s="89"/>
      <c r="AM199" s="89"/>
      <c r="AN199" s="89"/>
      <c r="AO199" s="89"/>
      <c r="AP199" s="89"/>
      <c r="AQ199" s="89"/>
      <c r="AR199" s="89"/>
      <c r="AS199" s="89"/>
      <c r="AT199" s="89"/>
      <c r="AU199" s="89"/>
      <c r="AV199" s="89"/>
      <c r="AW199" s="100"/>
      <c r="AX199" s="100"/>
      <c r="AY199" s="89"/>
      <c r="AZ199" s="89"/>
      <c r="BA199" s="89"/>
      <c r="BB199" s="89"/>
      <c r="BC199" s="89"/>
      <c r="BD199" s="89"/>
      <c r="BE199" s="89"/>
      <c r="BF199" s="89"/>
      <c r="BG199" s="89"/>
      <c r="BH199" s="89"/>
      <c r="BI199" s="89"/>
      <c r="BJ199" s="89"/>
      <c r="BK199" s="89"/>
      <c r="BL199" s="89"/>
      <c r="BM199" s="89"/>
      <c r="BN199" s="89"/>
      <c r="BO199" s="89"/>
      <c r="BP199" s="89"/>
      <c r="BQ199" s="89"/>
      <c r="BR199" s="89"/>
      <c r="BS199" s="89"/>
    </row>
    <row r="200" spans="1:71" ht="27" customHeight="1" x14ac:dyDescent="0.2">
      <c r="A200" s="93"/>
      <c r="B200" s="89"/>
      <c r="C200" s="89"/>
      <c r="D200" s="89"/>
      <c r="E200" s="89"/>
      <c r="F200" s="89"/>
      <c r="G200" s="89"/>
      <c r="H200" s="94"/>
      <c r="I200" s="94"/>
      <c r="J200" s="94"/>
      <c r="K200" s="94"/>
      <c r="L200" s="94"/>
      <c r="M200" s="94"/>
      <c r="N200" s="94"/>
      <c r="O200" s="94"/>
      <c r="P200" s="94"/>
      <c r="Q200" s="94"/>
      <c r="R200" s="95"/>
      <c r="S200" s="94"/>
      <c r="T200" s="96"/>
      <c r="U200" s="94"/>
      <c r="V200" s="97"/>
      <c r="W200" s="94"/>
      <c r="X200" s="98"/>
      <c r="Y200" s="98"/>
      <c r="Z200" s="98"/>
      <c r="AA200" s="98"/>
      <c r="AB200" s="98"/>
      <c r="AC200" s="97"/>
      <c r="AD200" s="99"/>
      <c r="AE200" s="95"/>
      <c r="AF200" s="94"/>
      <c r="AG200" s="89"/>
      <c r="AH200" s="89"/>
      <c r="AI200" s="89"/>
      <c r="AJ200" s="89"/>
      <c r="AK200" s="89"/>
      <c r="AL200" s="89"/>
      <c r="AM200" s="89"/>
      <c r="AN200" s="89"/>
      <c r="AO200" s="89"/>
      <c r="AP200" s="89"/>
      <c r="AQ200" s="89"/>
      <c r="AR200" s="89"/>
      <c r="AS200" s="89"/>
      <c r="AT200" s="89"/>
      <c r="AU200" s="89"/>
      <c r="AV200" s="89"/>
      <c r="AW200" s="100"/>
      <c r="AX200" s="100"/>
      <c r="AY200" s="89"/>
      <c r="AZ200" s="89"/>
      <c r="BA200" s="89"/>
      <c r="BB200" s="89"/>
      <c r="BC200" s="89"/>
      <c r="BD200" s="89"/>
      <c r="BE200" s="89"/>
      <c r="BF200" s="89"/>
      <c r="BG200" s="89"/>
      <c r="BH200" s="89"/>
      <c r="BI200" s="89"/>
      <c r="BJ200" s="89"/>
      <c r="BK200" s="89"/>
      <c r="BL200" s="89"/>
      <c r="BM200" s="89"/>
      <c r="BN200" s="89"/>
      <c r="BO200" s="89"/>
      <c r="BP200" s="89"/>
      <c r="BQ200" s="89"/>
      <c r="BR200" s="89"/>
      <c r="BS200" s="89"/>
    </row>
    <row r="201" spans="1:71" ht="27" customHeight="1" x14ac:dyDescent="0.2">
      <c r="A201" s="93"/>
      <c r="B201" s="89"/>
      <c r="C201" s="89"/>
      <c r="D201" s="89"/>
      <c r="E201" s="89"/>
      <c r="F201" s="89"/>
      <c r="G201" s="89"/>
      <c r="H201" s="94"/>
      <c r="I201" s="94"/>
      <c r="J201" s="94"/>
      <c r="K201" s="94"/>
      <c r="L201" s="94"/>
      <c r="M201" s="94"/>
      <c r="N201" s="94"/>
      <c r="O201" s="94"/>
      <c r="P201" s="94"/>
      <c r="Q201" s="94"/>
      <c r="R201" s="95"/>
      <c r="S201" s="94"/>
      <c r="T201" s="96"/>
      <c r="U201" s="94"/>
      <c r="V201" s="97"/>
      <c r="W201" s="94"/>
      <c r="X201" s="98"/>
      <c r="Y201" s="98"/>
      <c r="Z201" s="98"/>
      <c r="AA201" s="98"/>
      <c r="AB201" s="98"/>
      <c r="AC201" s="97"/>
      <c r="AD201" s="99"/>
      <c r="AE201" s="95"/>
      <c r="AF201" s="94"/>
      <c r="AG201" s="89"/>
      <c r="AH201" s="89"/>
      <c r="AI201" s="89"/>
      <c r="AJ201" s="89"/>
      <c r="AK201" s="89"/>
      <c r="AL201" s="89"/>
      <c r="AM201" s="89"/>
      <c r="AN201" s="89"/>
      <c r="AO201" s="89"/>
      <c r="AP201" s="89"/>
      <c r="AQ201" s="89"/>
      <c r="AR201" s="89"/>
      <c r="AS201" s="89"/>
      <c r="AT201" s="89"/>
      <c r="AU201" s="89"/>
      <c r="AV201" s="89"/>
      <c r="AW201" s="100"/>
      <c r="AX201" s="100"/>
      <c r="AY201" s="89"/>
      <c r="AZ201" s="89"/>
      <c r="BA201" s="89"/>
      <c r="BB201" s="89"/>
      <c r="BC201" s="89"/>
      <c r="BD201" s="89"/>
      <c r="BE201" s="89"/>
      <c r="BF201" s="89"/>
      <c r="BG201" s="89"/>
      <c r="BH201" s="89"/>
      <c r="BI201" s="89"/>
      <c r="BJ201" s="89"/>
      <c r="BK201" s="89"/>
      <c r="BL201" s="89"/>
      <c r="BM201" s="89"/>
      <c r="BN201" s="89"/>
      <c r="BO201" s="89"/>
      <c r="BP201" s="89"/>
      <c r="BQ201" s="89"/>
      <c r="BR201" s="89"/>
      <c r="BS201" s="89"/>
    </row>
    <row r="202" spans="1:71" ht="27" customHeight="1" x14ac:dyDescent="0.2">
      <c r="A202" s="93"/>
      <c r="B202" s="89"/>
      <c r="C202" s="89"/>
      <c r="D202" s="89"/>
      <c r="E202" s="89"/>
      <c r="F202" s="89"/>
      <c r="G202" s="89"/>
      <c r="H202" s="94"/>
      <c r="I202" s="94"/>
      <c r="J202" s="94"/>
      <c r="K202" s="94"/>
      <c r="L202" s="94"/>
      <c r="M202" s="94"/>
      <c r="N202" s="94"/>
      <c r="O202" s="94"/>
      <c r="P202" s="94"/>
      <c r="Q202" s="94"/>
      <c r="R202" s="95"/>
      <c r="S202" s="94"/>
      <c r="T202" s="96"/>
      <c r="U202" s="94"/>
      <c r="V202" s="97"/>
      <c r="W202" s="94"/>
      <c r="X202" s="98"/>
      <c r="Y202" s="98"/>
      <c r="Z202" s="98"/>
      <c r="AA202" s="98"/>
      <c r="AB202" s="98"/>
      <c r="AC202" s="97"/>
      <c r="AD202" s="99"/>
      <c r="AE202" s="95"/>
      <c r="AF202" s="94"/>
      <c r="AG202" s="89"/>
      <c r="AH202" s="89"/>
      <c r="AI202" s="89"/>
      <c r="AJ202" s="89"/>
      <c r="AK202" s="89"/>
      <c r="AL202" s="89"/>
      <c r="AM202" s="89"/>
      <c r="AN202" s="89"/>
      <c r="AO202" s="89"/>
      <c r="AP202" s="89"/>
      <c r="AQ202" s="89"/>
      <c r="AR202" s="89"/>
      <c r="AS202" s="89"/>
      <c r="AT202" s="89"/>
      <c r="AU202" s="89"/>
      <c r="AV202" s="89"/>
      <c r="AW202" s="100"/>
      <c r="AX202" s="100"/>
      <c r="AY202" s="89"/>
      <c r="AZ202" s="89"/>
      <c r="BA202" s="89"/>
      <c r="BB202" s="89"/>
      <c r="BC202" s="89"/>
      <c r="BD202" s="89"/>
      <c r="BE202" s="89"/>
      <c r="BF202" s="89"/>
      <c r="BG202" s="89"/>
      <c r="BH202" s="89"/>
      <c r="BI202" s="89"/>
      <c r="BJ202" s="89"/>
      <c r="BK202" s="89"/>
      <c r="BL202" s="89"/>
      <c r="BM202" s="89"/>
      <c r="BN202" s="89"/>
      <c r="BO202" s="89"/>
      <c r="BP202" s="89"/>
      <c r="BQ202" s="89"/>
      <c r="BR202" s="89"/>
      <c r="BS202" s="89"/>
    </row>
    <row r="203" spans="1:71" ht="27" customHeight="1" x14ac:dyDescent="0.2">
      <c r="A203" s="93"/>
      <c r="B203" s="89"/>
      <c r="C203" s="89"/>
      <c r="D203" s="89"/>
      <c r="E203" s="89"/>
      <c r="F203" s="89"/>
      <c r="G203" s="89"/>
      <c r="H203" s="94"/>
      <c r="I203" s="94"/>
      <c r="J203" s="94"/>
      <c r="K203" s="94"/>
      <c r="L203" s="94"/>
      <c r="M203" s="94"/>
      <c r="N203" s="94"/>
      <c r="O203" s="94"/>
      <c r="P203" s="94"/>
      <c r="Q203" s="94"/>
      <c r="R203" s="95"/>
      <c r="S203" s="94"/>
      <c r="T203" s="96"/>
      <c r="U203" s="94"/>
      <c r="V203" s="97"/>
      <c r="W203" s="94"/>
      <c r="X203" s="98"/>
      <c r="Y203" s="98"/>
      <c r="Z203" s="98"/>
      <c r="AA203" s="98"/>
      <c r="AB203" s="98"/>
      <c r="AC203" s="97"/>
      <c r="AD203" s="99"/>
      <c r="AE203" s="95"/>
      <c r="AF203" s="94"/>
      <c r="AG203" s="89"/>
      <c r="AH203" s="89"/>
      <c r="AI203" s="89"/>
      <c r="AJ203" s="89"/>
      <c r="AK203" s="89"/>
      <c r="AL203" s="89"/>
      <c r="AM203" s="89"/>
      <c r="AN203" s="89"/>
      <c r="AO203" s="89"/>
      <c r="AP203" s="89"/>
      <c r="AQ203" s="89"/>
      <c r="AR203" s="89"/>
      <c r="AS203" s="89"/>
      <c r="AT203" s="89"/>
      <c r="AU203" s="89"/>
      <c r="AV203" s="89"/>
      <c r="AW203" s="100"/>
      <c r="AX203" s="100"/>
      <c r="AY203" s="89"/>
      <c r="AZ203" s="89"/>
      <c r="BA203" s="89"/>
      <c r="BB203" s="89"/>
      <c r="BC203" s="89"/>
      <c r="BD203" s="89"/>
      <c r="BE203" s="89"/>
      <c r="BF203" s="89"/>
      <c r="BG203" s="89"/>
      <c r="BH203" s="89"/>
      <c r="BI203" s="89"/>
      <c r="BJ203" s="89"/>
      <c r="BK203" s="89"/>
      <c r="BL203" s="89"/>
      <c r="BM203" s="89"/>
      <c r="BN203" s="89"/>
      <c r="BO203" s="89"/>
      <c r="BP203" s="89"/>
      <c r="BQ203" s="89"/>
      <c r="BR203" s="89"/>
      <c r="BS203" s="89"/>
    </row>
    <row r="204" spans="1:71" ht="27" customHeight="1" x14ac:dyDescent="0.2">
      <c r="A204" s="93"/>
      <c r="B204" s="89"/>
      <c r="C204" s="89"/>
      <c r="D204" s="89"/>
      <c r="E204" s="89"/>
      <c r="F204" s="89"/>
      <c r="G204" s="89"/>
      <c r="H204" s="94"/>
      <c r="I204" s="94"/>
      <c r="J204" s="94"/>
      <c r="K204" s="94"/>
      <c r="L204" s="94"/>
      <c r="M204" s="94"/>
      <c r="N204" s="94"/>
      <c r="O204" s="94"/>
      <c r="P204" s="94"/>
      <c r="Q204" s="94"/>
      <c r="R204" s="95"/>
      <c r="S204" s="94"/>
      <c r="T204" s="96"/>
      <c r="U204" s="94"/>
      <c r="V204" s="97"/>
      <c r="W204" s="94"/>
      <c r="X204" s="98"/>
      <c r="Y204" s="98"/>
      <c r="Z204" s="98"/>
      <c r="AA204" s="98"/>
      <c r="AB204" s="98"/>
      <c r="AC204" s="97"/>
      <c r="AD204" s="99"/>
      <c r="AE204" s="95"/>
      <c r="AF204" s="94"/>
      <c r="AG204" s="89"/>
      <c r="AH204" s="89"/>
      <c r="AI204" s="89"/>
      <c r="AJ204" s="89"/>
      <c r="AK204" s="89"/>
      <c r="AL204" s="89"/>
      <c r="AM204" s="89"/>
      <c r="AN204" s="89"/>
      <c r="AO204" s="89"/>
      <c r="AP204" s="89"/>
      <c r="AQ204" s="89"/>
      <c r="AR204" s="89"/>
      <c r="AS204" s="89"/>
      <c r="AT204" s="89"/>
      <c r="AU204" s="89"/>
      <c r="AV204" s="89"/>
      <c r="AW204" s="100"/>
      <c r="AX204" s="100"/>
      <c r="AY204" s="89"/>
      <c r="AZ204" s="89"/>
      <c r="BA204" s="89"/>
      <c r="BB204" s="89"/>
      <c r="BC204" s="89"/>
      <c r="BD204" s="89"/>
      <c r="BE204" s="89"/>
      <c r="BF204" s="89"/>
      <c r="BG204" s="89"/>
      <c r="BH204" s="89"/>
      <c r="BI204" s="89"/>
      <c r="BJ204" s="89"/>
      <c r="BK204" s="89"/>
      <c r="BL204" s="89"/>
      <c r="BM204" s="89"/>
      <c r="BN204" s="89"/>
      <c r="BO204" s="89"/>
      <c r="BP204" s="89"/>
      <c r="BQ204" s="89"/>
      <c r="BR204" s="89"/>
      <c r="BS204" s="89"/>
    </row>
    <row r="205" spans="1:71" ht="27" customHeight="1" x14ac:dyDescent="0.2">
      <c r="A205" s="93"/>
      <c r="B205" s="89"/>
      <c r="C205" s="89"/>
      <c r="D205" s="89"/>
      <c r="E205" s="89"/>
      <c r="F205" s="89"/>
      <c r="G205" s="89"/>
      <c r="H205" s="94"/>
      <c r="I205" s="94"/>
      <c r="J205" s="94"/>
      <c r="K205" s="94"/>
      <c r="L205" s="94"/>
      <c r="M205" s="94"/>
      <c r="N205" s="94"/>
      <c r="O205" s="94"/>
      <c r="P205" s="94"/>
      <c r="Q205" s="94"/>
      <c r="R205" s="95"/>
      <c r="S205" s="94"/>
      <c r="T205" s="96"/>
      <c r="U205" s="94"/>
      <c r="V205" s="97"/>
      <c r="W205" s="94"/>
      <c r="X205" s="98"/>
      <c r="Y205" s="98"/>
      <c r="Z205" s="98"/>
      <c r="AA205" s="98"/>
      <c r="AB205" s="98"/>
      <c r="AC205" s="97"/>
      <c r="AD205" s="99"/>
      <c r="AE205" s="95"/>
      <c r="AF205" s="94"/>
      <c r="AG205" s="89"/>
      <c r="AH205" s="89"/>
      <c r="AI205" s="89"/>
      <c r="AJ205" s="89"/>
      <c r="AK205" s="89"/>
      <c r="AL205" s="89"/>
      <c r="AM205" s="89"/>
      <c r="AN205" s="89"/>
      <c r="AO205" s="89"/>
      <c r="AP205" s="89"/>
      <c r="AQ205" s="89"/>
      <c r="AR205" s="89"/>
      <c r="AS205" s="89"/>
      <c r="AT205" s="89"/>
      <c r="AU205" s="89"/>
      <c r="AV205" s="89"/>
      <c r="AW205" s="100"/>
      <c r="AX205" s="100"/>
      <c r="AY205" s="89"/>
      <c r="AZ205" s="89"/>
      <c r="BA205" s="89"/>
      <c r="BB205" s="89"/>
      <c r="BC205" s="89"/>
      <c r="BD205" s="89"/>
      <c r="BE205" s="89"/>
      <c r="BF205" s="89"/>
      <c r="BG205" s="89"/>
      <c r="BH205" s="89"/>
      <c r="BI205" s="89"/>
      <c r="BJ205" s="89"/>
      <c r="BK205" s="89"/>
      <c r="BL205" s="89"/>
      <c r="BM205" s="89"/>
      <c r="BN205" s="89"/>
      <c r="BO205" s="89"/>
      <c r="BP205" s="89"/>
      <c r="BQ205" s="89"/>
      <c r="BR205" s="89"/>
      <c r="BS205" s="89"/>
    </row>
    <row r="206" spans="1:71" ht="27" customHeight="1" x14ac:dyDescent="0.2">
      <c r="A206" s="93"/>
      <c r="B206" s="89"/>
      <c r="C206" s="89"/>
      <c r="D206" s="89"/>
      <c r="E206" s="89"/>
      <c r="F206" s="89"/>
      <c r="G206" s="89"/>
      <c r="H206" s="94"/>
      <c r="I206" s="94"/>
      <c r="J206" s="94"/>
      <c r="K206" s="94"/>
      <c r="L206" s="94"/>
      <c r="M206" s="94"/>
      <c r="N206" s="94"/>
      <c r="O206" s="94"/>
      <c r="P206" s="94"/>
      <c r="Q206" s="94"/>
      <c r="R206" s="95"/>
      <c r="S206" s="94"/>
      <c r="T206" s="96"/>
      <c r="U206" s="94"/>
      <c r="V206" s="97"/>
      <c r="W206" s="94"/>
      <c r="X206" s="98"/>
      <c r="Y206" s="98"/>
      <c r="Z206" s="98"/>
      <c r="AA206" s="98"/>
      <c r="AB206" s="98"/>
      <c r="AC206" s="97"/>
      <c r="AD206" s="99"/>
      <c r="AE206" s="95"/>
      <c r="AF206" s="94"/>
      <c r="AG206" s="89"/>
      <c r="AH206" s="89"/>
      <c r="AI206" s="89"/>
      <c r="AJ206" s="89"/>
      <c r="AK206" s="89"/>
      <c r="AL206" s="89"/>
      <c r="AM206" s="89"/>
      <c r="AN206" s="89"/>
      <c r="AO206" s="89"/>
      <c r="AP206" s="89"/>
      <c r="AQ206" s="89"/>
      <c r="AR206" s="89"/>
      <c r="AS206" s="89"/>
      <c r="AT206" s="89"/>
      <c r="AU206" s="89"/>
      <c r="AV206" s="89"/>
      <c r="AW206" s="100"/>
      <c r="AX206" s="100"/>
      <c r="AY206" s="89"/>
      <c r="AZ206" s="89"/>
      <c r="BA206" s="89"/>
      <c r="BB206" s="89"/>
      <c r="BC206" s="89"/>
      <c r="BD206" s="89"/>
      <c r="BE206" s="89"/>
      <c r="BF206" s="89"/>
      <c r="BG206" s="89"/>
      <c r="BH206" s="89"/>
      <c r="BI206" s="89"/>
      <c r="BJ206" s="89"/>
      <c r="BK206" s="89"/>
      <c r="BL206" s="89"/>
      <c r="BM206" s="89"/>
      <c r="BN206" s="89"/>
      <c r="BO206" s="89"/>
      <c r="BP206" s="89"/>
      <c r="BQ206" s="89"/>
      <c r="BR206" s="89"/>
      <c r="BS206" s="89"/>
    </row>
    <row r="207" spans="1:71" ht="27" customHeight="1" x14ac:dyDescent="0.2">
      <c r="A207" s="93"/>
      <c r="B207" s="89"/>
      <c r="C207" s="89"/>
      <c r="D207" s="89"/>
      <c r="E207" s="89"/>
      <c r="F207" s="89"/>
      <c r="G207" s="89"/>
      <c r="H207" s="94"/>
      <c r="I207" s="94"/>
      <c r="J207" s="94"/>
      <c r="K207" s="94"/>
      <c r="L207" s="94"/>
      <c r="M207" s="94"/>
      <c r="N207" s="94"/>
      <c r="O207" s="94"/>
      <c r="P207" s="94"/>
      <c r="Q207" s="94"/>
      <c r="R207" s="95"/>
      <c r="S207" s="94"/>
      <c r="T207" s="96"/>
      <c r="U207" s="94"/>
      <c r="V207" s="97"/>
      <c r="W207" s="94"/>
      <c r="X207" s="98"/>
      <c r="Y207" s="98"/>
      <c r="Z207" s="98"/>
      <c r="AA207" s="98"/>
      <c r="AB207" s="98"/>
      <c r="AC207" s="97"/>
      <c r="AD207" s="99"/>
      <c r="AE207" s="95"/>
      <c r="AF207" s="94"/>
      <c r="AG207" s="89"/>
      <c r="AH207" s="89"/>
      <c r="AI207" s="89"/>
      <c r="AJ207" s="89"/>
      <c r="AK207" s="89"/>
      <c r="AL207" s="89"/>
      <c r="AM207" s="89"/>
      <c r="AN207" s="89"/>
      <c r="AO207" s="89"/>
      <c r="AP207" s="89"/>
      <c r="AQ207" s="89"/>
      <c r="AR207" s="89"/>
      <c r="AS207" s="89"/>
      <c r="AT207" s="89"/>
      <c r="AU207" s="89"/>
      <c r="AV207" s="89"/>
      <c r="AW207" s="100"/>
      <c r="AX207" s="100"/>
      <c r="AY207" s="89"/>
      <c r="AZ207" s="89"/>
      <c r="BA207" s="89"/>
      <c r="BB207" s="89"/>
      <c r="BC207" s="89"/>
      <c r="BD207" s="89"/>
      <c r="BE207" s="89"/>
      <c r="BF207" s="89"/>
      <c r="BG207" s="89"/>
      <c r="BH207" s="89"/>
      <c r="BI207" s="89"/>
      <c r="BJ207" s="89"/>
      <c r="BK207" s="89"/>
      <c r="BL207" s="89"/>
      <c r="BM207" s="89"/>
      <c r="BN207" s="89"/>
      <c r="BO207" s="89"/>
      <c r="BP207" s="89"/>
      <c r="BQ207" s="89"/>
      <c r="BR207" s="89"/>
      <c r="BS207" s="89"/>
    </row>
    <row r="208" spans="1:71" ht="27" customHeight="1" x14ac:dyDescent="0.2">
      <c r="A208" s="93"/>
      <c r="B208" s="89"/>
      <c r="C208" s="89"/>
      <c r="D208" s="89"/>
      <c r="E208" s="89"/>
      <c r="F208" s="89"/>
      <c r="G208" s="89"/>
      <c r="H208" s="94"/>
      <c r="I208" s="94"/>
      <c r="J208" s="94"/>
      <c r="K208" s="94"/>
      <c r="L208" s="94"/>
      <c r="M208" s="94"/>
      <c r="N208" s="94"/>
      <c r="O208" s="94"/>
      <c r="P208" s="94"/>
      <c r="Q208" s="94"/>
      <c r="R208" s="95"/>
      <c r="S208" s="94"/>
      <c r="T208" s="96"/>
      <c r="U208" s="94"/>
      <c r="V208" s="97"/>
      <c r="W208" s="94"/>
      <c r="X208" s="98"/>
      <c r="Y208" s="98"/>
      <c r="Z208" s="98"/>
      <c r="AA208" s="98"/>
      <c r="AB208" s="98"/>
      <c r="AC208" s="97"/>
      <c r="AD208" s="99"/>
      <c r="AE208" s="95"/>
      <c r="AF208" s="94"/>
      <c r="AG208" s="89"/>
      <c r="AH208" s="89"/>
      <c r="AI208" s="89"/>
      <c r="AJ208" s="89"/>
      <c r="AK208" s="89"/>
      <c r="AL208" s="89"/>
      <c r="AM208" s="89"/>
      <c r="AN208" s="89"/>
      <c r="AO208" s="89"/>
      <c r="AP208" s="89"/>
      <c r="AQ208" s="89"/>
      <c r="AR208" s="89"/>
      <c r="AS208" s="89"/>
      <c r="AT208" s="89"/>
      <c r="AU208" s="89"/>
      <c r="AV208" s="89"/>
      <c r="AW208" s="100"/>
      <c r="AX208" s="100"/>
      <c r="AY208" s="89"/>
      <c r="AZ208" s="89"/>
      <c r="BA208" s="89"/>
      <c r="BB208" s="89"/>
      <c r="BC208" s="89"/>
      <c r="BD208" s="89"/>
      <c r="BE208" s="89"/>
      <c r="BF208" s="89"/>
      <c r="BG208" s="89"/>
      <c r="BH208" s="89"/>
      <c r="BI208" s="89"/>
      <c r="BJ208" s="89"/>
      <c r="BK208" s="89"/>
      <c r="BL208" s="89"/>
      <c r="BM208" s="89"/>
      <c r="BN208" s="89"/>
      <c r="BO208" s="89"/>
      <c r="BP208" s="89"/>
      <c r="BQ208" s="89"/>
      <c r="BR208" s="89"/>
      <c r="BS208" s="89"/>
    </row>
    <row r="209" spans="1:71" ht="27" customHeight="1" x14ac:dyDescent="0.2">
      <c r="A209" s="93"/>
      <c r="B209" s="89"/>
      <c r="C209" s="89"/>
      <c r="D209" s="89"/>
      <c r="E209" s="89"/>
      <c r="F209" s="89"/>
      <c r="G209" s="89"/>
      <c r="H209" s="94"/>
      <c r="I209" s="94"/>
      <c r="J209" s="94"/>
      <c r="K209" s="94"/>
      <c r="L209" s="94"/>
      <c r="M209" s="94"/>
      <c r="N209" s="94"/>
      <c r="O209" s="94"/>
      <c r="P209" s="94"/>
      <c r="Q209" s="94"/>
      <c r="R209" s="95"/>
      <c r="S209" s="94"/>
      <c r="T209" s="96"/>
      <c r="U209" s="94"/>
      <c r="V209" s="97"/>
      <c r="W209" s="94"/>
      <c r="X209" s="98"/>
      <c r="Y209" s="98"/>
      <c r="Z209" s="98"/>
      <c r="AA209" s="98"/>
      <c r="AB209" s="98"/>
      <c r="AC209" s="97"/>
      <c r="AD209" s="99"/>
      <c r="AE209" s="95"/>
      <c r="AF209" s="94"/>
      <c r="AG209" s="89"/>
      <c r="AH209" s="89"/>
      <c r="AI209" s="89"/>
      <c r="AJ209" s="89"/>
      <c r="AK209" s="89"/>
      <c r="AL209" s="89"/>
      <c r="AM209" s="89"/>
      <c r="AN209" s="89"/>
      <c r="AO209" s="89"/>
      <c r="AP209" s="89"/>
      <c r="AQ209" s="89"/>
      <c r="AR209" s="89"/>
      <c r="AS209" s="89"/>
      <c r="AT209" s="89"/>
      <c r="AU209" s="89"/>
      <c r="AV209" s="89"/>
      <c r="AW209" s="100"/>
      <c r="AX209" s="100"/>
      <c r="AY209" s="89"/>
      <c r="AZ209" s="89"/>
      <c r="BA209" s="89"/>
      <c r="BB209" s="89"/>
      <c r="BC209" s="89"/>
      <c r="BD209" s="89"/>
      <c r="BE209" s="89"/>
      <c r="BF209" s="89"/>
      <c r="BG209" s="89"/>
      <c r="BH209" s="89"/>
      <c r="BI209" s="89"/>
      <c r="BJ209" s="89"/>
      <c r="BK209" s="89"/>
      <c r="BL209" s="89"/>
      <c r="BM209" s="89"/>
      <c r="BN209" s="89"/>
      <c r="BO209" s="89"/>
      <c r="BP209" s="89"/>
      <c r="BQ209" s="89"/>
      <c r="BR209" s="89"/>
      <c r="BS209" s="89"/>
    </row>
    <row r="210" spans="1:71" ht="27" customHeight="1" x14ac:dyDescent="0.2">
      <c r="A210" s="93"/>
      <c r="B210" s="89"/>
      <c r="C210" s="89"/>
      <c r="D210" s="89"/>
      <c r="E210" s="89"/>
      <c r="F210" s="89"/>
      <c r="G210" s="89"/>
      <c r="H210" s="94"/>
      <c r="I210" s="94"/>
      <c r="J210" s="94"/>
      <c r="K210" s="94"/>
      <c r="L210" s="94"/>
      <c r="M210" s="94"/>
      <c r="N210" s="94"/>
      <c r="O210" s="94"/>
      <c r="P210" s="94"/>
      <c r="Q210" s="94"/>
      <c r="R210" s="95"/>
      <c r="S210" s="94"/>
      <c r="T210" s="96"/>
      <c r="U210" s="94"/>
      <c r="V210" s="97"/>
      <c r="W210" s="94"/>
      <c r="X210" s="98"/>
      <c r="Y210" s="98"/>
      <c r="Z210" s="98"/>
      <c r="AA210" s="98"/>
      <c r="AB210" s="98"/>
      <c r="AC210" s="97"/>
      <c r="AD210" s="99"/>
      <c r="AE210" s="95"/>
      <c r="AF210" s="94"/>
      <c r="AG210" s="89"/>
      <c r="AH210" s="89"/>
      <c r="AI210" s="89"/>
      <c r="AJ210" s="89"/>
      <c r="AK210" s="89"/>
      <c r="AL210" s="89"/>
      <c r="AM210" s="89"/>
      <c r="AN210" s="89"/>
      <c r="AO210" s="89"/>
      <c r="AP210" s="89"/>
      <c r="AQ210" s="89"/>
      <c r="AR210" s="89"/>
      <c r="AS210" s="89"/>
      <c r="AT210" s="89"/>
      <c r="AU210" s="89"/>
      <c r="AV210" s="89"/>
      <c r="AW210" s="100"/>
      <c r="AX210" s="100"/>
      <c r="AY210" s="89"/>
      <c r="AZ210" s="89"/>
      <c r="BA210" s="89"/>
      <c r="BB210" s="89"/>
      <c r="BC210" s="89"/>
      <c r="BD210" s="89"/>
      <c r="BE210" s="89"/>
      <c r="BF210" s="89"/>
      <c r="BG210" s="89"/>
      <c r="BH210" s="89"/>
      <c r="BI210" s="89"/>
      <c r="BJ210" s="89"/>
      <c r="BK210" s="89"/>
      <c r="BL210" s="89"/>
      <c r="BM210" s="89"/>
      <c r="BN210" s="89"/>
      <c r="BO210" s="89"/>
      <c r="BP210" s="89"/>
      <c r="BQ210" s="89"/>
      <c r="BR210" s="89"/>
      <c r="BS210" s="89"/>
    </row>
    <row r="211" spans="1:71" ht="27" customHeight="1" x14ac:dyDescent="0.2">
      <c r="A211" s="93"/>
      <c r="B211" s="89"/>
      <c r="C211" s="89"/>
      <c r="D211" s="89"/>
      <c r="E211" s="89"/>
      <c r="F211" s="89"/>
      <c r="G211" s="89"/>
      <c r="H211" s="94"/>
      <c r="I211" s="94"/>
      <c r="J211" s="94"/>
      <c r="K211" s="94"/>
      <c r="L211" s="94"/>
      <c r="M211" s="94"/>
      <c r="N211" s="94"/>
      <c r="O211" s="94"/>
      <c r="P211" s="94"/>
      <c r="Q211" s="94"/>
      <c r="R211" s="95"/>
      <c r="S211" s="94"/>
      <c r="T211" s="96"/>
      <c r="U211" s="94"/>
      <c r="V211" s="97"/>
      <c r="W211" s="94"/>
      <c r="X211" s="98"/>
      <c r="Y211" s="98"/>
      <c r="Z211" s="98"/>
      <c r="AA211" s="98"/>
      <c r="AB211" s="98"/>
      <c r="AC211" s="97"/>
      <c r="AD211" s="99"/>
      <c r="AE211" s="95"/>
      <c r="AF211" s="94"/>
      <c r="AG211" s="89"/>
      <c r="AH211" s="89"/>
      <c r="AI211" s="89"/>
      <c r="AJ211" s="89"/>
      <c r="AK211" s="89"/>
      <c r="AL211" s="89"/>
      <c r="AM211" s="89"/>
      <c r="AN211" s="89"/>
      <c r="AO211" s="89"/>
      <c r="AP211" s="89"/>
      <c r="AQ211" s="89"/>
      <c r="AR211" s="89"/>
      <c r="AS211" s="89"/>
      <c r="AT211" s="89"/>
      <c r="AU211" s="89"/>
      <c r="AV211" s="89"/>
      <c r="AW211" s="100"/>
      <c r="AX211" s="100"/>
      <c r="AY211" s="89"/>
      <c r="AZ211" s="89"/>
      <c r="BA211" s="89"/>
      <c r="BB211" s="89"/>
      <c r="BC211" s="89"/>
      <c r="BD211" s="89"/>
      <c r="BE211" s="89"/>
      <c r="BF211" s="89"/>
      <c r="BG211" s="89"/>
      <c r="BH211" s="89"/>
      <c r="BI211" s="89"/>
      <c r="BJ211" s="89"/>
      <c r="BK211" s="89"/>
      <c r="BL211" s="89"/>
      <c r="BM211" s="89"/>
      <c r="BN211" s="89"/>
      <c r="BO211" s="89"/>
      <c r="BP211" s="89"/>
      <c r="BQ211" s="89"/>
      <c r="BR211" s="89"/>
      <c r="BS211" s="89"/>
    </row>
    <row r="212" spans="1:71" ht="27" customHeight="1" x14ac:dyDescent="0.2">
      <c r="A212" s="93"/>
      <c r="B212" s="89"/>
      <c r="C212" s="89"/>
      <c r="D212" s="89"/>
      <c r="E212" s="89"/>
      <c r="F212" s="89"/>
      <c r="G212" s="89"/>
      <c r="H212" s="94"/>
      <c r="I212" s="94"/>
      <c r="J212" s="94"/>
      <c r="K212" s="94"/>
      <c r="L212" s="94"/>
      <c r="M212" s="94"/>
      <c r="N212" s="94"/>
      <c r="O212" s="94"/>
      <c r="P212" s="94"/>
      <c r="Q212" s="94"/>
      <c r="R212" s="95"/>
      <c r="S212" s="94"/>
      <c r="T212" s="96"/>
      <c r="U212" s="94"/>
      <c r="V212" s="97"/>
      <c r="W212" s="94"/>
      <c r="X212" s="98"/>
      <c r="Y212" s="98"/>
      <c r="Z212" s="98"/>
      <c r="AA212" s="98"/>
      <c r="AB212" s="98"/>
      <c r="AC212" s="97"/>
      <c r="AD212" s="99"/>
      <c r="AE212" s="95"/>
      <c r="AF212" s="94"/>
      <c r="AG212" s="89"/>
      <c r="AH212" s="89"/>
      <c r="AI212" s="89"/>
      <c r="AJ212" s="89"/>
      <c r="AK212" s="89"/>
      <c r="AL212" s="89"/>
      <c r="AM212" s="89"/>
      <c r="AN212" s="89"/>
      <c r="AO212" s="89"/>
      <c r="AP212" s="89"/>
      <c r="AQ212" s="89"/>
      <c r="AR212" s="89"/>
      <c r="AS212" s="89"/>
      <c r="AT212" s="89"/>
      <c r="AU212" s="89"/>
      <c r="AV212" s="89"/>
      <c r="AW212" s="100"/>
      <c r="AX212" s="100"/>
      <c r="AY212" s="89"/>
      <c r="AZ212" s="89"/>
      <c r="BA212" s="89"/>
      <c r="BB212" s="89"/>
      <c r="BC212" s="89"/>
      <c r="BD212" s="89"/>
      <c r="BE212" s="89"/>
      <c r="BF212" s="89"/>
      <c r="BG212" s="89"/>
      <c r="BH212" s="89"/>
      <c r="BI212" s="89"/>
      <c r="BJ212" s="89"/>
      <c r="BK212" s="89"/>
      <c r="BL212" s="89"/>
      <c r="BM212" s="89"/>
      <c r="BN212" s="89"/>
      <c r="BO212" s="89"/>
      <c r="BP212" s="89"/>
      <c r="BQ212" s="89"/>
      <c r="BR212" s="89"/>
      <c r="BS212" s="89"/>
    </row>
    <row r="213" spans="1:71" ht="27" customHeight="1" x14ac:dyDescent="0.2">
      <c r="A213" s="93"/>
      <c r="B213" s="89"/>
      <c r="C213" s="89"/>
      <c r="D213" s="89"/>
      <c r="E213" s="89"/>
      <c r="F213" s="89"/>
      <c r="G213" s="89"/>
      <c r="H213" s="94"/>
      <c r="I213" s="94"/>
      <c r="J213" s="94"/>
      <c r="K213" s="94"/>
      <c r="L213" s="94"/>
      <c r="M213" s="94"/>
      <c r="N213" s="94"/>
      <c r="O213" s="94"/>
      <c r="P213" s="94"/>
      <c r="Q213" s="94"/>
      <c r="R213" s="95"/>
      <c r="S213" s="94"/>
      <c r="T213" s="96"/>
      <c r="U213" s="94"/>
      <c r="V213" s="97"/>
      <c r="W213" s="94"/>
      <c r="X213" s="98"/>
      <c r="Y213" s="98"/>
      <c r="Z213" s="98"/>
      <c r="AA213" s="98"/>
      <c r="AB213" s="98"/>
      <c r="AC213" s="97"/>
      <c r="AD213" s="99"/>
      <c r="AE213" s="95"/>
      <c r="AF213" s="94"/>
      <c r="AG213" s="89"/>
      <c r="AH213" s="89"/>
      <c r="AI213" s="89"/>
      <c r="AJ213" s="89"/>
      <c r="AK213" s="89"/>
      <c r="AL213" s="89"/>
      <c r="AM213" s="89"/>
      <c r="AN213" s="89"/>
      <c r="AO213" s="89"/>
      <c r="AP213" s="89"/>
      <c r="AQ213" s="89"/>
      <c r="AR213" s="89"/>
      <c r="AS213" s="89"/>
      <c r="AT213" s="89"/>
      <c r="AU213" s="89"/>
      <c r="AV213" s="89"/>
      <c r="AW213" s="100"/>
      <c r="AX213" s="100"/>
      <c r="AY213" s="89"/>
      <c r="AZ213" s="89"/>
      <c r="BA213" s="89"/>
      <c r="BB213" s="89"/>
      <c r="BC213" s="89"/>
      <c r="BD213" s="89"/>
      <c r="BE213" s="89"/>
      <c r="BF213" s="89"/>
      <c r="BG213" s="89"/>
      <c r="BH213" s="89"/>
      <c r="BI213" s="89"/>
      <c r="BJ213" s="89"/>
      <c r="BK213" s="89"/>
      <c r="BL213" s="89"/>
      <c r="BM213" s="89"/>
      <c r="BN213" s="89"/>
      <c r="BO213" s="89"/>
      <c r="BP213" s="89"/>
      <c r="BQ213" s="89"/>
      <c r="BR213" s="89"/>
      <c r="BS213" s="89"/>
    </row>
    <row r="214" spans="1:71" ht="27" customHeight="1" x14ac:dyDescent="0.2">
      <c r="A214" s="93"/>
      <c r="B214" s="89"/>
      <c r="C214" s="89"/>
      <c r="D214" s="89"/>
      <c r="E214" s="89"/>
      <c r="F214" s="89"/>
      <c r="G214" s="89"/>
      <c r="H214" s="94"/>
      <c r="I214" s="94"/>
      <c r="J214" s="94"/>
      <c r="K214" s="94"/>
      <c r="L214" s="94"/>
      <c r="M214" s="94"/>
      <c r="N214" s="94"/>
      <c r="O214" s="94"/>
      <c r="P214" s="94"/>
      <c r="Q214" s="94"/>
      <c r="R214" s="95"/>
      <c r="S214" s="94"/>
      <c r="T214" s="96"/>
      <c r="U214" s="94"/>
      <c r="V214" s="97"/>
      <c r="W214" s="94"/>
      <c r="X214" s="98"/>
      <c r="Y214" s="98"/>
      <c r="Z214" s="98"/>
      <c r="AA214" s="98"/>
      <c r="AB214" s="98"/>
      <c r="AC214" s="97"/>
      <c r="AD214" s="99"/>
      <c r="AE214" s="95"/>
      <c r="AF214" s="94"/>
      <c r="AG214" s="89"/>
      <c r="AH214" s="89"/>
      <c r="AI214" s="89"/>
      <c r="AJ214" s="89"/>
      <c r="AK214" s="89"/>
      <c r="AL214" s="89"/>
      <c r="AM214" s="89"/>
      <c r="AN214" s="89"/>
      <c r="AO214" s="89"/>
      <c r="AP214" s="89"/>
      <c r="AQ214" s="89"/>
      <c r="AR214" s="89"/>
      <c r="AS214" s="89"/>
      <c r="AT214" s="89"/>
      <c r="AU214" s="89"/>
      <c r="AV214" s="89"/>
      <c r="AW214" s="100"/>
      <c r="AX214" s="100"/>
      <c r="AY214" s="89"/>
      <c r="AZ214" s="89"/>
      <c r="BA214" s="89"/>
      <c r="BB214" s="89"/>
      <c r="BC214" s="89"/>
      <c r="BD214" s="89"/>
      <c r="BE214" s="89"/>
      <c r="BF214" s="89"/>
      <c r="BG214" s="89"/>
      <c r="BH214" s="89"/>
      <c r="BI214" s="89"/>
      <c r="BJ214" s="89"/>
      <c r="BK214" s="89"/>
      <c r="BL214" s="89"/>
      <c r="BM214" s="89"/>
      <c r="BN214" s="89"/>
      <c r="BO214" s="89"/>
      <c r="BP214" s="89"/>
      <c r="BQ214" s="89"/>
      <c r="BR214" s="89"/>
      <c r="BS214" s="89"/>
    </row>
    <row r="215" spans="1:71" ht="27" customHeight="1" x14ac:dyDescent="0.2">
      <c r="A215" s="93"/>
      <c r="B215" s="89"/>
      <c r="C215" s="89"/>
      <c r="D215" s="89"/>
      <c r="E215" s="89"/>
      <c r="F215" s="89"/>
      <c r="G215" s="89"/>
      <c r="H215" s="94"/>
      <c r="I215" s="94"/>
      <c r="J215" s="94"/>
      <c r="K215" s="94"/>
      <c r="L215" s="94"/>
      <c r="M215" s="94"/>
      <c r="N215" s="94"/>
      <c r="O215" s="94"/>
      <c r="P215" s="94"/>
      <c r="Q215" s="94"/>
      <c r="R215" s="95"/>
      <c r="S215" s="94"/>
      <c r="T215" s="96"/>
      <c r="U215" s="94"/>
      <c r="V215" s="97"/>
      <c r="W215" s="94"/>
      <c r="X215" s="98"/>
      <c r="Y215" s="98"/>
      <c r="Z215" s="98"/>
      <c r="AA215" s="98"/>
      <c r="AB215" s="98"/>
      <c r="AC215" s="97"/>
      <c r="AD215" s="99"/>
      <c r="AE215" s="95"/>
      <c r="AF215" s="94"/>
      <c r="AG215" s="89"/>
      <c r="AH215" s="89"/>
      <c r="AI215" s="89"/>
      <c r="AJ215" s="89"/>
      <c r="AK215" s="89"/>
      <c r="AL215" s="89"/>
      <c r="AM215" s="89"/>
      <c r="AN215" s="89"/>
      <c r="AO215" s="89"/>
      <c r="AP215" s="89"/>
      <c r="AQ215" s="89"/>
      <c r="AR215" s="89"/>
      <c r="AS215" s="89"/>
      <c r="AT215" s="89"/>
      <c r="AU215" s="89"/>
      <c r="AV215" s="89"/>
      <c r="AW215" s="100"/>
      <c r="AX215" s="100"/>
      <c r="AY215" s="89"/>
      <c r="AZ215" s="89"/>
      <c r="BA215" s="89"/>
      <c r="BB215" s="89"/>
      <c r="BC215" s="89"/>
      <c r="BD215" s="89"/>
      <c r="BE215" s="89"/>
      <c r="BF215" s="89"/>
      <c r="BG215" s="89"/>
      <c r="BH215" s="89"/>
      <c r="BI215" s="89"/>
      <c r="BJ215" s="89"/>
      <c r="BK215" s="89"/>
      <c r="BL215" s="89"/>
      <c r="BM215" s="89"/>
      <c r="BN215" s="89"/>
      <c r="BO215" s="89"/>
      <c r="BP215" s="89"/>
      <c r="BQ215" s="89"/>
      <c r="BR215" s="89"/>
      <c r="BS215" s="89"/>
    </row>
    <row r="216" spans="1:71" ht="27" customHeight="1" x14ac:dyDescent="0.2">
      <c r="A216" s="93"/>
      <c r="B216" s="89"/>
      <c r="C216" s="89"/>
      <c r="D216" s="89"/>
      <c r="E216" s="89"/>
      <c r="F216" s="89"/>
      <c r="G216" s="89"/>
      <c r="H216" s="94"/>
      <c r="I216" s="94"/>
      <c r="J216" s="94"/>
      <c r="K216" s="94"/>
      <c r="L216" s="94"/>
      <c r="M216" s="94"/>
      <c r="N216" s="94"/>
      <c r="O216" s="94"/>
      <c r="P216" s="94"/>
      <c r="Q216" s="94"/>
      <c r="R216" s="95"/>
      <c r="S216" s="94"/>
      <c r="T216" s="96"/>
      <c r="U216" s="94"/>
      <c r="V216" s="97"/>
      <c r="W216" s="94"/>
      <c r="X216" s="98"/>
      <c r="Y216" s="98"/>
      <c r="Z216" s="98"/>
      <c r="AA216" s="98"/>
      <c r="AB216" s="98"/>
      <c r="AC216" s="97"/>
      <c r="AD216" s="99"/>
      <c r="AE216" s="95"/>
      <c r="AF216" s="94"/>
      <c r="AG216" s="89"/>
      <c r="AH216" s="89"/>
      <c r="AI216" s="89"/>
      <c r="AJ216" s="89"/>
      <c r="AK216" s="89"/>
      <c r="AL216" s="89"/>
      <c r="AM216" s="89"/>
      <c r="AN216" s="89"/>
      <c r="AO216" s="89"/>
      <c r="AP216" s="89"/>
      <c r="AQ216" s="89"/>
      <c r="AR216" s="89"/>
      <c r="AS216" s="89"/>
      <c r="AT216" s="89"/>
      <c r="AU216" s="89"/>
      <c r="AV216" s="89"/>
      <c r="AW216" s="100"/>
      <c r="AX216" s="100"/>
      <c r="AY216" s="89"/>
      <c r="AZ216" s="89"/>
      <c r="BA216" s="89"/>
      <c r="BB216" s="89"/>
      <c r="BC216" s="89"/>
      <c r="BD216" s="89"/>
      <c r="BE216" s="89"/>
      <c r="BF216" s="89"/>
      <c r="BG216" s="89"/>
      <c r="BH216" s="89"/>
      <c r="BI216" s="89"/>
      <c r="BJ216" s="89"/>
      <c r="BK216" s="89"/>
      <c r="BL216" s="89"/>
      <c r="BM216" s="89"/>
      <c r="BN216" s="89"/>
      <c r="BO216" s="89"/>
      <c r="BP216" s="89"/>
      <c r="BQ216" s="89"/>
      <c r="BR216" s="89"/>
      <c r="BS216" s="89"/>
    </row>
    <row r="217" spans="1:71" ht="27" customHeight="1" x14ac:dyDescent="0.2">
      <c r="A217" s="93"/>
      <c r="B217" s="89"/>
      <c r="C217" s="89"/>
      <c r="D217" s="89"/>
      <c r="E217" s="89"/>
      <c r="F217" s="89"/>
      <c r="G217" s="89"/>
      <c r="H217" s="94"/>
      <c r="I217" s="94"/>
      <c r="J217" s="94"/>
      <c r="K217" s="94"/>
      <c r="L217" s="94"/>
      <c r="M217" s="94"/>
      <c r="N217" s="94"/>
      <c r="O217" s="94"/>
      <c r="P217" s="94"/>
      <c r="Q217" s="94"/>
      <c r="R217" s="95"/>
      <c r="S217" s="94"/>
      <c r="T217" s="96"/>
      <c r="U217" s="94"/>
      <c r="V217" s="97"/>
      <c r="W217" s="94"/>
      <c r="X217" s="98"/>
      <c r="Y217" s="98"/>
      <c r="Z217" s="98"/>
      <c r="AA217" s="98"/>
      <c r="AB217" s="98"/>
      <c r="AC217" s="97"/>
      <c r="AD217" s="99"/>
      <c r="AE217" s="95"/>
      <c r="AF217" s="94"/>
      <c r="AG217" s="89"/>
      <c r="AH217" s="89"/>
      <c r="AI217" s="89"/>
      <c r="AJ217" s="89"/>
      <c r="AK217" s="89"/>
      <c r="AL217" s="89"/>
      <c r="AM217" s="89"/>
      <c r="AN217" s="89"/>
      <c r="AO217" s="89"/>
      <c r="AP217" s="89"/>
      <c r="AQ217" s="89"/>
      <c r="AR217" s="89"/>
      <c r="AS217" s="89"/>
      <c r="AT217" s="89"/>
      <c r="AU217" s="89"/>
      <c r="AV217" s="89"/>
      <c r="AW217" s="100"/>
      <c r="AX217" s="100"/>
      <c r="AY217" s="89"/>
      <c r="AZ217" s="89"/>
      <c r="BA217" s="89"/>
      <c r="BB217" s="89"/>
      <c r="BC217" s="89"/>
      <c r="BD217" s="89"/>
      <c r="BE217" s="89"/>
      <c r="BF217" s="89"/>
      <c r="BG217" s="89"/>
      <c r="BH217" s="89"/>
      <c r="BI217" s="89"/>
      <c r="BJ217" s="89"/>
      <c r="BK217" s="89"/>
      <c r="BL217" s="89"/>
      <c r="BM217" s="89"/>
      <c r="BN217" s="89"/>
      <c r="BO217" s="89"/>
      <c r="BP217" s="89"/>
      <c r="BQ217" s="89"/>
      <c r="BR217" s="89"/>
      <c r="BS217" s="89"/>
    </row>
    <row r="218" spans="1:71" ht="27" customHeight="1" x14ac:dyDescent="0.2">
      <c r="A218" s="93"/>
      <c r="B218" s="89"/>
      <c r="C218" s="89"/>
      <c r="D218" s="89"/>
      <c r="E218" s="89"/>
      <c r="F218" s="89"/>
      <c r="G218" s="89"/>
      <c r="H218" s="94"/>
      <c r="I218" s="94"/>
      <c r="J218" s="94"/>
      <c r="K218" s="94"/>
      <c r="L218" s="94"/>
      <c r="M218" s="94"/>
      <c r="N218" s="94"/>
      <c r="O218" s="94"/>
      <c r="P218" s="94"/>
      <c r="Q218" s="94"/>
      <c r="R218" s="95"/>
      <c r="S218" s="94"/>
      <c r="T218" s="96"/>
      <c r="U218" s="94"/>
      <c r="V218" s="97"/>
      <c r="W218" s="94"/>
      <c r="X218" s="98"/>
      <c r="Y218" s="98"/>
      <c r="Z218" s="98"/>
      <c r="AA218" s="98"/>
      <c r="AB218" s="98"/>
      <c r="AC218" s="97"/>
      <c r="AD218" s="99"/>
      <c r="AE218" s="95"/>
      <c r="AF218" s="94"/>
      <c r="AG218" s="89"/>
      <c r="AH218" s="89"/>
      <c r="AI218" s="89"/>
      <c r="AJ218" s="89"/>
      <c r="AK218" s="89"/>
      <c r="AL218" s="89"/>
      <c r="AM218" s="89"/>
      <c r="AN218" s="89"/>
      <c r="AO218" s="89"/>
      <c r="AP218" s="89"/>
      <c r="AQ218" s="89"/>
      <c r="AR218" s="89"/>
      <c r="AS218" s="89"/>
      <c r="AT218" s="89"/>
      <c r="AU218" s="89"/>
      <c r="AV218" s="89"/>
      <c r="AW218" s="100"/>
      <c r="AX218" s="100"/>
      <c r="AY218" s="89"/>
      <c r="AZ218" s="89"/>
      <c r="BA218" s="89"/>
      <c r="BB218" s="89"/>
      <c r="BC218" s="89"/>
      <c r="BD218" s="89"/>
      <c r="BE218" s="89"/>
      <c r="BF218" s="89"/>
      <c r="BG218" s="89"/>
      <c r="BH218" s="89"/>
      <c r="BI218" s="89"/>
      <c r="BJ218" s="89"/>
      <c r="BK218" s="89"/>
      <c r="BL218" s="89"/>
      <c r="BM218" s="89"/>
      <c r="BN218" s="89"/>
      <c r="BO218" s="89"/>
      <c r="BP218" s="89"/>
      <c r="BQ218" s="89"/>
      <c r="BR218" s="89"/>
      <c r="BS218" s="89"/>
    </row>
    <row r="219" spans="1:71" ht="27" customHeight="1" x14ac:dyDescent="0.2">
      <c r="A219" s="93"/>
      <c r="B219" s="89"/>
      <c r="C219" s="89"/>
      <c r="D219" s="89"/>
      <c r="E219" s="89"/>
      <c r="F219" s="89"/>
      <c r="G219" s="89"/>
      <c r="H219" s="94"/>
      <c r="I219" s="94"/>
      <c r="J219" s="94"/>
      <c r="K219" s="94"/>
      <c r="L219" s="94"/>
      <c r="M219" s="94"/>
      <c r="N219" s="94"/>
      <c r="O219" s="94"/>
      <c r="P219" s="94"/>
      <c r="Q219" s="94"/>
      <c r="R219" s="95"/>
      <c r="S219" s="94"/>
      <c r="T219" s="96"/>
      <c r="U219" s="94"/>
      <c r="V219" s="97"/>
      <c r="W219" s="94"/>
      <c r="X219" s="98"/>
      <c r="Y219" s="98"/>
      <c r="Z219" s="98"/>
      <c r="AA219" s="98"/>
      <c r="AB219" s="98"/>
      <c r="AC219" s="97"/>
      <c r="AD219" s="99"/>
      <c r="AE219" s="95"/>
      <c r="AF219" s="94"/>
      <c r="AG219" s="89"/>
      <c r="AH219" s="89"/>
      <c r="AI219" s="89"/>
      <c r="AJ219" s="89"/>
      <c r="AK219" s="89"/>
      <c r="AL219" s="89"/>
      <c r="AM219" s="89"/>
      <c r="AN219" s="89"/>
      <c r="AO219" s="89"/>
      <c r="AP219" s="89"/>
      <c r="AQ219" s="89"/>
      <c r="AR219" s="89"/>
      <c r="AS219" s="89"/>
      <c r="AT219" s="89"/>
      <c r="AU219" s="89"/>
      <c r="AV219" s="89"/>
      <c r="AW219" s="100"/>
      <c r="AX219" s="100"/>
      <c r="AY219" s="89"/>
      <c r="AZ219" s="89"/>
      <c r="BA219" s="89"/>
      <c r="BB219" s="89"/>
      <c r="BC219" s="89"/>
      <c r="BD219" s="89"/>
      <c r="BE219" s="89"/>
      <c r="BF219" s="89"/>
      <c r="BG219" s="89"/>
      <c r="BH219" s="89"/>
      <c r="BI219" s="89"/>
      <c r="BJ219" s="89"/>
      <c r="BK219" s="89"/>
      <c r="BL219" s="89"/>
      <c r="BM219" s="89"/>
      <c r="BN219" s="89"/>
      <c r="BO219" s="89"/>
      <c r="BP219" s="89"/>
      <c r="BQ219" s="89"/>
      <c r="BR219" s="89"/>
      <c r="BS219" s="89"/>
    </row>
    <row r="220" spans="1:71" ht="27" customHeight="1" x14ac:dyDescent="0.2">
      <c r="A220" s="93"/>
      <c r="B220" s="89"/>
      <c r="C220" s="89"/>
      <c r="D220" s="89"/>
      <c r="E220" s="89"/>
      <c r="F220" s="89"/>
      <c r="G220" s="89"/>
      <c r="H220" s="94"/>
      <c r="I220" s="94"/>
      <c r="J220" s="94"/>
      <c r="K220" s="94"/>
      <c r="L220" s="94"/>
      <c r="M220" s="94"/>
      <c r="N220" s="94"/>
      <c r="O220" s="94"/>
      <c r="P220" s="94"/>
      <c r="Q220" s="94"/>
      <c r="R220" s="95"/>
      <c r="S220" s="94"/>
      <c r="T220" s="96"/>
      <c r="U220" s="94"/>
      <c r="V220" s="97"/>
      <c r="W220" s="94"/>
      <c r="X220" s="98"/>
      <c r="Y220" s="98"/>
      <c r="Z220" s="98"/>
      <c r="AA220" s="98"/>
      <c r="AB220" s="98"/>
      <c r="AC220" s="97"/>
      <c r="AD220" s="99"/>
      <c r="AE220" s="95"/>
      <c r="AF220" s="94"/>
      <c r="AG220" s="89"/>
      <c r="AH220" s="89"/>
      <c r="AI220" s="89"/>
      <c r="AJ220" s="89"/>
      <c r="AK220" s="89"/>
      <c r="AL220" s="89"/>
      <c r="AM220" s="89"/>
      <c r="AN220" s="89"/>
      <c r="AO220" s="89"/>
      <c r="AP220" s="89"/>
      <c r="AQ220" s="89"/>
      <c r="AR220" s="89"/>
      <c r="AS220" s="89"/>
      <c r="AT220" s="89"/>
      <c r="AU220" s="89"/>
      <c r="AV220" s="89"/>
      <c r="AW220" s="100"/>
      <c r="AX220" s="100"/>
      <c r="AY220" s="89"/>
      <c r="AZ220" s="89"/>
      <c r="BA220" s="89"/>
      <c r="BB220" s="89"/>
      <c r="BC220" s="89"/>
      <c r="BD220" s="89"/>
      <c r="BE220" s="89"/>
      <c r="BF220" s="89"/>
      <c r="BG220" s="89"/>
      <c r="BH220" s="89"/>
      <c r="BI220" s="89"/>
      <c r="BJ220" s="89"/>
      <c r="BK220" s="89"/>
      <c r="BL220" s="89"/>
      <c r="BM220" s="89"/>
      <c r="BN220" s="89"/>
      <c r="BO220" s="89"/>
      <c r="BP220" s="89"/>
      <c r="BQ220" s="89"/>
      <c r="BR220" s="89"/>
      <c r="BS220" s="89"/>
    </row>
    <row r="221" spans="1:71" ht="27" customHeight="1" x14ac:dyDescent="0.2">
      <c r="A221" s="93"/>
      <c r="B221" s="89"/>
      <c r="C221" s="89"/>
      <c r="D221" s="89"/>
      <c r="E221" s="89"/>
      <c r="F221" s="89"/>
      <c r="G221" s="89"/>
      <c r="H221" s="94"/>
      <c r="I221" s="94"/>
      <c r="J221" s="94"/>
      <c r="K221" s="94"/>
      <c r="L221" s="94"/>
      <c r="M221" s="94"/>
      <c r="N221" s="94"/>
      <c r="O221" s="94"/>
      <c r="P221" s="94"/>
      <c r="Q221" s="94"/>
      <c r="R221" s="95"/>
      <c r="S221" s="94"/>
      <c r="T221" s="96"/>
      <c r="U221" s="94"/>
      <c r="V221" s="97"/>
      <c r="W221" s="94"/>
      <c r="X221" s="98"/>
      <c r="Y221" s="98"/>
      <c r="Z221" s="98"/>
      <c r="AA221" s="98"/>
      <c r="AB221" s="98"/>
      <c r="AC221" s="97"/>
      <c r="AD221" s="99"/>
      <c r="AE221" s="95"/>
      <c r="AF221" s="94"/>
      <c r="AG221" s="89"/>
      <c r="AH221" s="89"/>
      <c r="AI221" s="89"/>
      <c r="AJ221" s="89"/>
      <c r="AK221" s="89"/>
      <c r="AL221" s="89"/>
      <c r="AM221" s="89"/>
      <c r="AN221" s="89"/>
      <c r="AO221" s="89"/>
      <c r="AP221" s="89"/>
      <c r="AQ221" s="89"/>
      <c r="AR221" s="89"/>
      <c r="AS221" s="89"/>
      <c r="AT221" s="89"/>
      <c r="AU221" s="89"/>
      <c r="AV221" s="89"/>
      <c r="AW221" s="100"/>
      <c r="AX221" s="100"/>
      <c r="AY221" s="89"/>
      <c r="AZ221" s="89"/>
      <c r="BA221" s="89"/>
      <c r="BB221" s="89"/>
      <c r="BC221" s="89"/>
      <c r="BD221" s="89"/>
      <c r="BE221" s="89"/>
      <c r="BF221" s="89"/>
      <c r="BG221" s="89"/>
      <c r="BH221" s="89"/>
      <c r="BI221" s="89"/>
      <c r="BJ221" s="89"/>
      <c r="BK221" s="89"/>
      <c r="BL221" s="89"/>
      <c r="BM221" s="89"/>
      <c r="BN221" s="89"/>
      <c r="BO221" s="89"/>
      <c r="BP221" s="89"/>
      <c r="BQ221" s="89"/>
      <c r="BR221" s="89"/>
      <c r="BS221" s="89"/>
    </row>
    <row r="222" spans="1:71" ht="27" customHeight="1" x14ac:dyDescent="0.2">
      <c r="A222" s="93"/>
      <c r="B222" s="89"/>
      <c r="C222" s="89"/>
      <c r="D222" s="89"/>
      <c r="E222" s="89"/>
      <c r="F222" s="89"/>
      <c r="G222" s="89"/>
      <c r="H222" s="94"/>
      <c r="I222" s="94"/>
      <c r="J222" s="94"/>
      <c r="K222" s="94"/>
      <c r="L222" s="94"/>
      <c r="M222" s="94"/>
      <c r="N222" s="94"/>
      <c r="O222" s="94"/>
      <c r="P222" s="94"/>
      <c r="Q222" s="94"/>
      <c r="R222" s="95"/>
      <c r="S222" s="94"/>
      <c r="T222" s="96"/>
      <c r="U222" s="94"/>
      <c r="V222" s="97"/>
      <c r="W222" s="94"/>
      <c r="X222" s="98"/>
      <c r="Y222" s="98"/>
      <c r="Z222" s="98"/>
      <c r="AA222" s="98"/>
      <c r="AB222" s="98"/>
      <c r="AC222" s="97"/>
      <c r="AD222" s="99"/>
      <c r="AE222" s="95"/>
      <c r="AF222" s="94"/>
      <c r="AG222" s="89"/>
      <c r="AH222" s="89"/>
      <c r="AI222" s="89"/>
      <c r="AJ222" s="89"/>
      <c r="AK222" s="89"/>
      <c r="AL222" s="89"/>
      <c r="AM222" s="89"/>
      <c r="AN222" s="89"/>
      <c r="AO222" s="89"/>
      <c r="AP222" s="89"/>
      <c r="AQ222" s="89"/>
      <c r="AR222" s="89"/>
      <c r="AS222" s="89"/>
      <c r="AT222" s="89"/>
      <c r="AU222" s="89"/>
      <c r="AV222" s="89"/>
      <c r="AW222" s="100"/>
      <c r="AX222" s="100"/>
      <c r="AY222" s="89"/>
      <c r="AZ222" s="89"/>
      <c r="BA222" s="89"/>
      <c r="BB222" s="89"/>
      <c r="BC222" s="89"/>
      <c r="BD222" s="89"/>
      <c r="BE222" s="89"/>
      <c r="BF222" s="89"/>
      <c r="BG222" s="89"/>
      <c r="BH222" s="89"/>
      <c r="BI222" s="89"/>
      <c r="BJ222" s="89"/>
      <c r="BK222" s="89"/>
      <c r="BL222" s="89"/>
      <c r="BM222" s="89"/>
      <c r="BN222" s="89"/>
      <c r="BO222" s="89"/>
      <c r="BP222" s="89"/>
      <c r="BQ222" s="89"/>
      <c r="BR222" s="89"/>
      <c r="BS222" s="89"/>
    </row>
    <row r="223" spans="1:71" ht="27" customHeight="1" x14ac:dyDescent="0.2">
      <c r="A223" s="93"/>
      <c r="B223" s="89"/>
      <c r="C223" s="89"/>
      <c r="D223" s="89"/>
      <c r="E223" s="89"/>
      <c r="F223" s="89"/>
      <c r="G223" s="89"/>
      <c r="H223" s="94"/>
      <c r="I223" s="94"/>
      <c r="J223" s="94"/>
      <c r="K223" s="94"/>
      <c r="L223" s="94"/>
      <c r="M223" s="94"/>
      <c r="N223" s="94"/>
      <c r="O223" s="94"/>
      <c r="P223" s="94"/>
      <c r="Q223" s="94"/>
      <c r="R223" s="95"/>
      <c r="S223" s="94"/>
      <c r="T223" s="96"/>
      <c r="U223" s="94"/>
      <c r="V223" s="97"/>
      <c r="W223" s="94"/>
      <c r="X223" s="98"/>
      <c r="Y223" s="98"/>
      <c r="Z223" s="98"/>
      <c r="AA223" s="98"/>
      <c r="AB223" s="98"/>
      <c r="AC223" s="97"/>
      <c r="AD223" s="99"/>
      <c r="AE223" s="95"/>
      <c r="AF223" s="94"/>
      <c r="AG223" s="89"/>
      <c r="AH223" s="89"/>
      <c r="AI223" s="89"/>
      <c r="AJ223" s="89"/>
      <c r="AK223" s="89"/>
      <c r="AL223" s="89"/>
      <c r="AM223" s="89"/>
      <c r="AN223" s="89"/>
      <c r="AO223" s="89"/>
      <c r="AP223" s="89"/>
      <c r="AQ223" s="89"/>
      <c r="AR223" s="89"/>
      <c r="AS223" s="89"/>
      <c r="AT223" s="89"/>
      <c r="AU223" s="89"/>
      <c r="AV223" s="89"/>
      <c r="AW223" s="100"/>
      <c r="AX223" s="100"/>
      <c r="AY223" s="89"/>
      <c r="AZ223" s="89"/>
      <c r="BA223" s="89"/>
      <c r="BB223" s="89"/>
      <c r="BC223" s="89"/>
      <c r="BD223" s="89"/>
      <c r="BE223" s="89"/>
      <c r="BF223" s="89"/>
      <c r="BG223" s="89"/>
      <c r="BH223" s="89"/>
      <c r="BI223" s="89"/>
      <c r="BJ223" s="89"/>
      <c r="BK223" s="89"/>
      <c r="BL223" s="89"/>
      <c r="BM223" s="89"/>
      <c r="BN223" s="89"/>
      <c r="BO223" s="89"/>
      <c r="BP223" s="89"/>
      <c r="BQ223" s="89"/>
      <c r="BR223" s="89"/>
      <c r="BS223" s="89"/>
    </row>
    <row r="224" spans="1:71" ht="27" customHeight="1" x14ac:dyDescent="0.2">
      <c r="A224" s="93"/>
      <c r="B224" s="89"/>
      <c r="C224" s="89"/>
      <c r="D224" s="89"/>
      <c r="E224" s="89"/>
      <c r="F224" s="89"/>
      <c r="G224" s="89"/>
      <c r="H224" s="94"/>
      <c r="I224" s="94"/>
      <c r="J224" s="94"/>
      <c r="K224" s="94"/>
      <c r="L224" s="94"/>
      <c r="M224" s="94"/>
      <c r="N224" s="94"/>
      <c r="O224" s="94"/>
      <c r="P224" s="94"/>
      <c r="Q224" s="94"/>
      <c r="R224" s="95"/>
      <c r="S224" s="94"/>
      <c r="T224" s="96"/>
      <c r="U224" s="94"/>
      <c r="V224" s="97"/>
      <c r="W224" s="94"/>
      <c r="X224" s="98"/>
      <c r="Y224" s="98"/>
      <c r="Z224" s="98"/>
      <c r="AA224" s="98"/>
      <c r="AB224" s="98"/>
      <c r="AC224" s="97"/>
      <c r="AD224" s="99"/>
      <c r="AE224" s="95"/>
      <c r="AF224" s="94"/>
      <c r="AG224" s="89"/>
      <c r="AH224" s="89"/>
      <c r="AI224" s="89"/>
      <c r="AJ224" s="89"/>
      <c r="AK224" s="89"/>
      <c r="AL224" s="89"/>
      <c r="AM224" s="89"/>
      <c r="AN224" s="89"/>
      <c r="AO224" s="89"/>
      <c r="AP224" s="89"/>
      <c r="AQ224" s="89"/>
      <c r="AR224" s="89"/>
      <c r="AS224" s="89"/>
      <c r="AT224" s="89"/>
      <c r="AU224" s="89"/>
      <c r="AV224" s="89"/>
      <c r="AW224" s="100"/>
      <c r="AX224" s="100"/>
      <c r="AY224" s="89"/>
      <c r="AZ224" s="89"/>
      <c r="BA224" s="89"/>
      <c r="BB224" s="89"/>
      <c r="BC224" s="89"/>
      <c r="BD224" s="89"/>
      <c r="BE224" s="89"/>
      <c r="BF224" s="89"/>
      <c r="BG224" s="89"/>
      <c r="BH224" s="89"/>
      <c r="BI224" s="89"/>
      <c r="BJ224" s="89"/>
      <c r="BK224" s="89"/>
      <c r="BL224" s="89"/>
      <c r="BM224" s="89"/>
      <c r="BN224" s="89"/>
      <c r="BO224" s="89"/>
      <c r="BP224" s="89"/>
      <c r="BQ224" s="89"/>
      <c r="BR224" s="89"/>
      <c r="BS224" s="89"/>
    </row>
    <row r="225" spans="1:71" ht="27" customHeight="1" x14ac:dyDescent="0.2">
      <c r="A225" s="93"/>
      <c r="B225" s="89"/>
      <c r="C225" s="89"/>
      <c r="D225" s="89"/>
      <c r="E225" s="89"/>
      <c r="F225" s="89"/>
      <c r="G225" s="89"/>
      <c r="H225" s="94"/>
      <c r="I225" s="94"/>
      <c r="J225" s="94"/>
      <c r="K225" s="94"/>
      <c r="L225" s="94"/>
      <c r="M225" s="94"/>
      <c r="N225" s="94"/>
      <c r="O225" s="94"/>
      <c r="P225" s="94"/>
      <c r="Q225" s="94"/>
      <c r="R225" s="95"/>
      <c r="S225" s="94"/>
      <c r="T225" s="96"/>
      <c r="U225" s="94"/>
      <c r="V225" s="97"/>
      <c r="W225" s="94"/>
      <c r="X225" s="98"/>
      <c r="Y225" s="98"/>
      <c r="Z225" s="98"/>
      <c r="AA225" s="98"/>
      <c r="AB225" s="98"/>
      <c r="AC225" s="97"/>
      <c r="AD225" s="99"/>
      <c r="AE225" s="95"/>
      <c r="AF225" s="94"/>
      <c r="AG225" s="89"/>
      <c r="AH225" s="89"/>
      <c r="AI225" s="89"/>
      <c r="AJ225" s="89"/>
      <c r="AK225" s="89"/>
      <c r="AL225" s="89"/>
      <c r="AM225" s="89"/>
      <c r="AN225" s="89"/>
      <c r="AO225" s="89"/>
      <c r="AP225" s="89"/>
      <c r="AQ225" s="89"/>
      <c r="AR225" s="89"/>
      <c r="AS225" s="89"/>
      <c r="AT225" s="89"/>
      <c r="AU225" s="89"/>
      <c r="AV225" s="89"/>
      <c r="AW225" s="100"/>
      <c r="AX225" s="100"/>
      <c r="AY225" s="89"/>
      <c r="AZ225" s="89"/>
      <c r="BA225" s="89"/>
      <c r="BB225" s="89"/>
      <c r="BC225" s="89"/>
      <c r="BD225" s="89"/>
      <c r="BE225" s="89"/>
      <c r="BF225" s="89"/>
      <c r="BG225" s="89"/>
      <c r="BH225" s="89"/>
      <c r="BI225" s="89"/>
      <c r="BJ225" s="89"/>
      <c r="BK225" s="89"/>
      <c r="BL225" s="89"/>
      <c r="BM225" s="89"/>
      <c r="BN225" s="89"/>
      <c r="BO225" s="89"/>
      <c r="BP225" s="89"/>
      <c r="BQ225" s="89"/>
      <c r="BR225" s="89"/>
      <c r="BS225" s="89"/>
    </row>
    <row r="226" spans="1:71" ht="27" customHeight="1" x14ac:dyDescent="0.2">
      <c r="A226" s="93"/>
      <c r="B226" s="89"/>
      <c r="C226" s="89"/>
      <c r="D226" s="89"/>
      <c r="E226" s="89"/>
      <c r="F226" s="89"/>
      <c r="G226" s="89"/>
      <c r="H226" s="94"/>
      <c r="I226" s="94"/>
      <c r="J226" s="94"/>
      <c r="K226" s="94"/>
      <c r="L226" s="94"/>
      <c r="M226" s="94"/>
      <c r="N226" s="94"/>
      <c r="O226" s="94"/>
      <c r="P226" s="94"/>
      <c r="Q226" s="94"/>
      <c r="R226" s="95"/>
      <c r="S226" s="94"/>
      <c r="T226" s="96"/>
      <c r="U226" s="94"/>
      <c r="V226" s="97"/>
      <c r="W226" s="94"/>
      <c r="X226" s="98"/>
      <c r="Y226" s="98"/>
      <c r="Z226" s="98"/>
      <c r="AA226" s="98"/>
      <c r="AB226" s="98"/>
      <c r="AC226" s="97"/>
      <c r="AD226" s="99"/>
      <c r="AE226" s="95"/>
      <c r="AF226" s="94"/>
      <c r="AG226" s="89"/>
      <c r="AH226" s="89"/>
      <c r="AI226" s="89"/>
      <c r="AJ226" s="89"/>
      <c r="AK226" s="89"/>
      <c r="AL226" s="89"/>
      <c r="AM226" s="89"/>
      <c r="AN226" s="89"/>
      <c r="AO226" s="89"/>
      <c r="AP226" s="89"/>
      <c r="AQ226" s="89"/>
      <c r="AR226" s="89"/>
      <c r="AS226" s="89"/>
      <c r="AT226" s="89"/>
      <c r="AU226" s="89"/>
      <c r="AV226" s="89"/>
      <c r="AW226" s="100"/>
      <c r="AX226" s="100"/>
      <c r="AY226" s="89"/>
      <c r="AZ226" s="89"/>
      <c r="BA226" s="89"/>
      <c r="BB226" s="89"/>
      <c r="BC226" s="89"/>
      <c r="BD226" s="89"/>
      <c r="BE226" s="89"/>
      <c r="BF226" s="89"/>
      <c r="BG226" s="89"/>
      <c r="BH226" s="89"/>
      <c r="BI226" s="89"/>
      <c r="BJ226" s="89"/>
      <c r="BK226" s="89"/>
      <c r="BL226" s="89"/>
      <c r="BM226" s="89"/>
      <c r="BN226" s="89"/>
      <c r="BO226" s="89"/>
      <c r="BP226" s="89"/>
      <c r="BQ226" s="89"/>
      <c r="BR226" s="89"/>
      <c r="BS226" s="89"/>
    </row>
    <row r="227" spans="1:71" ht="27" customHeight="1" x14ac:dyDescent="0.2">
      <c r="A227" s="93"/>
      <c r="B227" s="89"/>
      <c r="C227" s="89"/>
      <c r="D227" s="89"/>
      <c r="E227" s="89"/>
      <c r="F227" s="89"/>
      <c r="G227" s="89"/>
      <c r="H227" s="94"/>
      <c r="I227" s="94"/>
      <c r="J227" s="94"/>
      <c r="K227" s="94"/>
      <c r="L227" s="94"/>
      <c r="M227" s="94"/>
      <c r="N227" s="94"/>
      <c r="O227" s="94"/>
      <c r="P227" s="94"/>
      <c r="Q227" s="94"/>
      <c r="R227" s="95"/>
      <c r="S227" s="94"/>
      <c r="T227" s="96"/>
      <c r="U227" s="94"/>
      <c r="V227" s="97"/>
      <c r="W227" s="94"/>
      <c r="X227" s="98"/>
      <c r="Y227" s="98"/>
      <c r="Z227" s="98"/>
      <c r="AA227" s="98"/>
      <c r="AB227" s="98"/>
      <c r="AC227" s="97"/>
      <c r="AD227" s="99"/>
      <c r="AE227" s="95"/>
      <c r="AF227" s="94"/>
      <c r="AG227" s="89"/>
      <c r="AH227" s="89"/>
      <c r="AI227" s="89"/>
      <c r="AJ227" s="89"/>
      <c r="AK227" s="89"/>
      <c r="AL227" s="89"/>
      <c r="AM227" s="89"/>
      <c r="AN227" s="89"/>
      <c r="AO227" s="89"/>
      <c r="AP227" s="89"/>
      <c r="AQ227" s="89"/>
      <c r="AR227" s="89"/>
      <c r="AS227" s="89"/>
      <c r="AT227" s="89"/>
      <c r="AU227" s="89"/>
      <c r="AV227" s="89"/>
      <c r="AW227" s="100"/>
      <c r="AX227" s="100"/>
      <c r="AY227" s="89"/>
      <c r="AZ227" s="89"/>
      <c r="BA227" s="89"/>
      <c r="BB227" s="89"/>
      <c r="BC227" s="89"/>
      <c r="BD227" s="89"/>
      <c r="BE227" s="89"/>
      <c r="BF227" s="89"/>
      <c r="BG227" s="89"/>
      <c r="BH227" s="89"/>
      <c r="BI227" s="89"/>
      <c r="BJ227" s="89"/>
      <c r="BK227" s="89"/>
      <c r="BL227" s="89"/>
      <c r="BM227" s="89"/>
      <c r="BN227" s="89"/>
      <c r="BO227" s="89"/>
      <c r="BP227" s="89"/>
      <c r="BQ227" s="89"/>
      <c r="BR227" s="89"/>
      <c r="BS227" s="89"/>
    </row>
    <row r="228" spans="1:71" ht="27" customHeight="1" x14ac:dyDescent="0.2">
      <c r="A228" s="93"/>
      <c r="B228" s="89"/>
      <c r="C228" s="89"/>
      <c r="D228" s="89"/>
      <c r="E228" s="89"/>
      <c r="F228" s="89"/>
      <c r="G228" s="89"/>
      <c r="H228" s="94"/>
      <c r="I228" s="94"/>
      <c r="J228" s="94"/>
      <c r="K228" s="94"/>
      <c r="L228" s="94"/>
      <c r="M228" s="94"/>
      <c r="N228" s="94"/>
      <c r="O228" s="94"/>
      <c r="P228" s="94"/>
      <c r="Q228" s="94"/>
      <c r="R228" s="95"/>
      <c r="S228" s="94"/>
      <c r="T228" s="96"/>
      <c r="U228" s="94"/>
      <c r="V228" s="97"/>
      <c r="W228" s="94"/>
      <c r="X228" s="98"/>
      <c r="Y228" s="98"/>
      <c r="Z228" s="98"/>
      <c r="AA228" s="98"/>
      <c r="AB228" s="98"/>
      <c r="AC228" s="97"/>
      <c r="AD228" s="99"/>
      <c r="AE228" s="95"/>
      <c r="AF228" s="94"/>
      <c r="AG228" s="89"/>
      <c r="AH228" s="89"/>
      <c r="AI228" s="89"/>
      <c r="AJ228" s="89"/>
      <c r="AK228" s="89"/>
      <c r="AL228" s="89"/>
      <c r="AM228" s="89"/>
      <c r="AN228" s="89"/>
      <c r="AO228" s="89"/>
      <c r="AP228" s="89"/>
      <c r="AQ228" s="89"/>
      <c r="AR228" s="89"/>
      <c r="AS228" s="89"/>
      <c r="AT228" s="89"/>
      <c r="AU228" s="89"/>
      <c r="AV228" s="89"/>
      <c r="AW228" s="100"/>
      <c r="AX228" s="100"/>
      <c r="AY228" s="89"/>
      <c r="AZ228" s="89"/>
      <c r="BA228" s="89"/>
      <c r="BB228" s="89"/>
      <c r="BC228" s="89"/>
      <c r="BD228" s="89"/>
      <c r="BE228" s="89"/>
      <c r="BF228" s="89"/>
      <c r="BG228" s="89"/>
      <c r="BH228" s="89"/>
      <c r="BI228" s="89"/>
      <c r="BJ228" s="89"/>
      <c r="BK228" s="89"/>
      <c r="BL228" s="89"/>
      <c r="BM228" s="89"/>
      <c r="BN228" s="89"/>
      <c r="BO228" s="89"/>
      <c r="BP228" s="89"/>
      <c r="BQ228" s="89"/>
      <c r="BR228" s="89"/>
      <c r="BS228" s="89"/>
    </row>
    <row r="229" spans="1:71" ht="27" customHeight="1" x14ac:dyDescent="0.2">
      <c r="A229" s="93"/>
      <c r="B229" s="89"/>
      <c r="C229" s="89"/>
      <c r="D229" s="89"/>
      <c r="E229" s="89"/>
      <c r="F229" s="89"/>
      <c r="G229" s="89"/>
      <c r="H229" s="94"/>
      <c r="I229" s="94"/>
      <c r="J229" s="94"/>
      <c r="K229" s="94"/>
      <c r="L229" s="94"/>
      <c r="M229" s="94"/>
      <c r="N229" s="94"/>
      <c r="O229" s="94"/>
      <c r="P229" s="94"/>
      <c r="Q229" s="94"/>
      <c r="R229" s="95"/>
      <c r="S229" s="94"/>
      <c r="T229" s="96"/>
      <c r="U229" s="94"/>
      <c r="V229" s="97"/>
      <c r="W229" s="94"/>
      <c r="X229" s="98"/>
      <c r="Y229" s="98"/>
      <c r="Z229" s="98"/>
      <c r="AA229" s="98"/>
      <c r="AB229" s="98"/>
      <c r="AC229" s="97"/>
      <c r="AD229" s="99"/>
      <c r="AE229" s="95"/>
      <c r="AF229" s="94"/>
      <c r="AG229" s="89"/>
      <c r="AH229" s="89"/>
      <c r="AI229" s="89"/>
      <c r="AJ229" s="89"/>
      <c r="AK229" s="89"/>
      <c r="AL229" s="89"/>
      <c r="AM229" s="89"/>
      <c r="AN229" s="89"/>
      <c r="AO229" s="89"/>
      <c r="AP229" s="89"/>
      <c r="AQ229" s="89"/>
      <c r="AR229" s="89"/>
      <c r="AS229" s="89"/>
      <c r="AT229" s="89"/>
      <c r="AU229" s="89"/>
      <c r="AV229" s="89"/>
      <c r="AW229" s="100"/>
      <c r="AX229" s="100"/>
      <c r="AY229" s="89"/>
      <c r="AZ229" s="89"/>
      <c r="BA229" s="89"/>
      <c r="BB229" s="89"/>
      <c r="BC229" s="89"/>
      <c r="BD229" s="89"/>
      <c r="BE229" s="89"/>
      <c r="BF229" s="89"/>
      <c r="BG229" s="89"/>
      <c r="BH229" s="89"/>
      <c r="BI229" s="89"/>
      <c r="BJ229" s="89"/>
      <c r="BK229" s="89"/>
      <c r="BL229" s="89"/>
      <c r="BM229" s="89"/>
      <c r="BN229" s="89"/>
      <c r="BO229" s="89"/>
      <c r="BP229" s="89"/>
      <c r="BQ229" s="89"/>
      <c r="BR229" s="89"/>
      <c r="BS229" s="89"/>
    </row>
    <row r="230" spans="1:71" ht="27" customHeight="1" x14ac:dyDescent="0.2">
      <c r="A230" s="93"/>
      <c r="B230" s="89"/>
      <c r="C230" s="89"/>
      <c r="D230" s="89"/>
      <c r="E230" s="89"/>
      <c r="F230" s="89"/>
      <c r="G230" s="89"/>
      <c r="H230" s="94"/>
      <c r="I230" s="94"/>
      <c r="J230" s="94"/>
      <c r="K230" s="94"/>
      <c r="L230" s="94"/>
      <c r="M230" s="94"/>
      <c r="N230" s="94"/>
      <c r="O230" s="94"/>
      <c r="P230" s="94"/>
      <c r="Q230" s="94"/>
      <c r="R230" s="95"/>
      <c r="S230" s="94"/>
      <c r="T230" s="96"/>
      <c r="U230" s="94"/>
      <c r="V230" s="97"/>
      <c r="W230" s="94"/>
      <c r="X230" s="98"/>
      <c r="Y230" s="98"/>
      <c r="Z230" s="98"/>
      <c r="AA230" s="98"/>
      <c r="AB230" s="98"/>
      <c r="AC230" s="97"/>
      <c r="AD230" s="99"/>
      <c r="AE230" s="95"/>
      <c r="AF230" s="94"/>
      <c r="AG230" s="89"/>
      <c r="AH230" s="89"/>
      <c r="AI230" s="89"/>
      <c r="AJ230" s="89"/>
      <c r="AK230" s="89"/>
      <c r="AL230" s="89"/>
      <c r="AM230" s="89"/>
      <c r="AN230" s="89"/>
      <c r="AO230" s="89"/>
      <c r="AP230" s="89"/>
      <c r="AQ230" s="89"/>
      <c r="AR230" s="89"/>
      <c r="AS230" s="89"/>
      <c r="AT230" s="89"/>
      <c r="AU230" s="89"/>
      <c r="AV230" s="89"/>
      <c r="AW230" s="100"/>
      <c r="AX230" s="100"/>
      <c r="AY230" s="89"/>
      <c r="AZ230" s="89"/>
      <c r="BA230" s="89"/>
      <c r="BB230" s="89"/>
      <c r="BC230" s="89"/>
      <c r="BD230" s="89"/>
      <c r="BE230" s="89"/>
      <c r="BF230" s="89"/>
      <c r="BG230" s="89"/>
      <c r="BH230" s="89"/>
      <c r="BI230" s="89"/>
      <c r="BJ230" s="89"/>
      <c r="BK230" s="89"/>
      <c r="BL230" s="89"/>
      <c r="BM230" s="89"/>
      <c r="BN230" s="89"/>
      <c r="BO230" s="89"/>
      <c r="BP230" s="89"/>
      <c r="BQ230" s="89"/>
      <c r="BR230" s="89"/>
      <c r="BS230" s="89"/>
    </row>
    <row r="231" spans="1:71" ht="27" customHeight="1" x14ac:dyDescent="0.2">
      <c r="A231" s="93"/>
      <c r="B231" s="89"/>
      <c r="C231" s="89"/>
      <c r="D231" s="89"/>
      <c r="E231" s="89"/>
      <c r="F231" s="89"/>
      <c r="G231" s="89"/>
      <c r="H231" s="94"/>
      <c r="I231" s="94"/>
      <c r="J231" s="94"/>
      <c r="K231" s="94"/>
      <c r="L231" s="94"/>
      <c r="M231" s="94"/>
      <c r="N231" s="94"/>
      <c r="O231" s="94"/>
      <c r="P231" s="94"/>
      <c r="Q231" s="94"/>
      <c r="R231" s="95"/>
      <c r="S231" s="94"/>
      <c r="T231" s="96"/>
      <c r="U231" s="94"/>
      <c r="V231" s="97"/>
      <c r="W231" s="94"/>
      <c r="X231" s="98"/>
      <c r="Y231" s="98"/>
      <c r="Z231" s="98"/>
      <c r="AA231" s="98"/>
      <c r="AB231" s="98"/>
      <c r="AC231" s="97"/>
      <c r="AD231" s="99"/>
      <c r="AE231" s="95"/>
      <c r="AF231" s="94"/>
      <c r="AG231" s="89"/>
      <c r="AH231" s="89"/>
      <c r="AI231" s="89"/>
      <c r="AJ231" s="89"/>
      <c r="AK231" s="89"/>
      <c r="AL231" s="89"/>
      <c r="AM231" s="89"/>
      <c r="AN231" s="89"/>
      <c r="AO231" s="89"/>
      <c r="AP231" s="89"/>
      <c r="AQ231" s="89"/>
      <c r="AR231" s="89"/>
      <c r="AS231" s="89"/>
      <c r="AT231" s="89"/>
      <c r="AU231" s="89"/>
      <c r="AV231" s="89"/>
      <c r="AW231" s="100"/>
      <c r="AX231" s="100"/>
      <c r="AY231" s="89"/>
      <c r="AZ231" s="89"/>
      <c r="BA231" s="89"/>
      <c r="BB231" s="89"/>
      <c r="BC231" s="89"/>
      <c r="BD231" s="89"/>
      <c r="BE231" s="89"/>
      <c r="BF231" s="89"/>
      <c r="BG231" s="89"/>
      <c r="BH231" s="89"/>
      <c r="BI231" s="89"/>
      <c r="BJ231" s="89"/>
      <c r="BK231" s="89"/>
      <c r="BL231" s="89"/>
      <c r="BM231" s="89"/>
      <c r="BN231" s="89"/>
      <c r="BO231" s="89"/>
      <c r="BP231" s="89"/>
      <c r="BQ231" s="89"/>
      <c r="BR231" s="89"/>
      <c r="BS231" s="89"/>
    </row>
    <row r="232" spans="1:71" ht="27" customHeight="1" x14ac:dyDescent="0.2">
      <c r="A232" s="93"/>
      <c r="B232" s="89"/>
      <c r="C232" s="89"/>
      <c r="D232" s="89"/>
      <c r="E232" s="89"/>
      <c r="F232" s="89"/>
      <c r="G232" s="89"/>
      <c r="H232" s="94"/>
      <c r="I232" s="94"/>
      <c r="J232" s="94"/>
      <c r="K232" s="94"/>
      <c r="L232" s="94"/>
      <c r="M232" s="94"/>
      <c r="N232" s="94"/>
      <c r="O232" s="94"/>
      <c r="P232" s="94"/>
      <c r="Q232" s="94"/>
      <c r="R232" s="95"/>
      <c r="S232" s="94"/>
      <c r="T232" s="96"/>
      <c r="U232" s="94"/>
      <c r="V232" s="97"/>
      <c r="W232" s="94"/>
      <c r="X232" s="98"/>
      <c r="Y232" s="98"/>
      <c r="Z232" s="98"/>
      <c r="AA232" s="98"/>
      <c r="AB232" s="98"/>
      <c r="AC232" s="97"/>
      <c r="AD232" s="99"/>
      <c r="AE232" s="95"/>
      <c r="AF232" s="94"/>
      <c r="AG232" s="89"/>
      <c r="AH232" s="89"/>
      <c r="AI232" s="89"/>
      <c r="AJ232" s="89"/>
      <c r="AK232" s="89"/>
      <c r="AL232" s="89"/>
      <c r="AM232" s="89"/>
      <c r="AN232" s="89"/>
      <c r="AO232" s="89"/>
      <c r="AP232" s="89"/>
      <c r="AQ232" s="89"/>
      <c r="AR232" s="89"/>
      <c r="AS232" s="89"/>
      <c r="AT232" s="89"/>
      <c r="AU232" s="89"/>
      <c r="AV232" s="89"/>
      <c r="AW232" s="100"/>
      <c r="AX232" s="100"/>
      <c r="AY232" s="89"/>
      <c r="AZ232" s="89"/>
      <c r="BA232" s="89"/>
      <c r="BB232" s="89"/>
      <c r="BC232" s="89"/>
      <c r="BD232" s="89"/>
      <c r="BE232" s="89"/>
      <c r="BF232" s="89"/>
      <c r="BG232" s="89"/>
      <c r="BH232" s="89"/>
      <c r="BI232" s="89"/>
      <c r="BJ232" s="89"/>
      <c r="BK232" s="89"/>
      <c r="BL232" s="89"/>
      <c r="BM232" s="89"/>
      <c r="BN232" s="89"/>
      <c r="BO232" s="89"/>
      <c r="BP232" s="89"/>
      <c r="BQ232" s="89"/>
      <c r="BR232" s="89"/>
      <c r="BS232" s="89"/>
    </row>
    <row r="233" spans="1:71" ht="27" customHeight="1" x14ac:dyDescent="0.2">
      <c r="A233" s="93"/>
      <c r="B233" s="89"/>
      <c r="C233" s="89"/>
      <c r="D233" s="89"/>
      <c r="E233" s="89"/>
      <c r="F233" s="89"/>
      <c r="G233" s="89"/>
      <c r="H233" s="94"/>
      <c r="I233" s="94"/>
      <c r="J233" s="94"/>
      <c r="K233" s="94"/>
      <c r="L233" s="94"/>
      <c r="M233" s="94"/>
      <c r="N233" s="94"/>
      <c r="O233" s="94"/>
      <c r="P233" s="94"/>
      <c r="Q233" s="94"/>
      <c r="R233" s="95"/>
      <c r="S233" s="94"/>
      <c r="T233" s="96"/>
      <c r="U233" s="94"/>
      <c r="V233" s="97"/>
      <c r="W233" s="94"/>
      <c r="X233" s="98"/>
      <c r="Y233" s="98"/>
      <c r="Z233" s="98"/>
      <c r="AA233" s="98"/>
      <c r="AB233" s="98"/>
      <c r="AC233" s="97"/>
      <c r="AD233" s="99"/>
      <c r="AE233" s="95"/>
      <c r="AF233" s="94"/>
      <c r="AG233" s="89"/>
      <c r="AH233" s="89"/>
      <c r="AI233" s="89"/>
      <c r="AJ233" s="89"/>
      <c r="AK233" s="89"/>
      <c r="AL233" s="89"/>
      <c r="AM233" s="89"/>
      <c r="AN233" s="89"/>
      <c r="AO233" s="89"/>
      <c r="AP233" s="89"/>
      <c r="AQ233" s="89"/>
      <c r="AR233" s="89"/>
      <c r="AS233" s="89"/>
      <c r="AT233" s="89"/>
      <c r="AU233" s="89"/>
      <c r="AV233" s="89"/>
      <c r="AW233" s="100"/>
      <c r="AX233" s="100"/>
      <c r="AY233" s="89"/>
      <c r="AZ233" s="89"/>
      <c r="BA233" s="89"/>
      <c r="BB233" s="89"/>
      <c r="BC233" s="89"/>
      <c r="BD233" s="89"/>
      <c r="BE233" s="89"/>
      <c r="BF233" s="89"/>
      <c r="BG233" s="89"/>
      <c r="BH233" s="89"/>
      <c r="BI233" s="89"/>
      <c r="BJ233" s="89"/>
      <c r="BK233" s="89"/>
      <c r="BL233" s="89"/>
      <c r="BM233" s="89"/>
      <c r="BN233" s="89"/>
      <c r="BO233" s="89"/>
      <c r="BP233" s="89"/>
      <c r="BQ233" s="89"/>
      <c r="BR233" s="89"/>
      <c r="BS233" s="89"/>
    </row>
    <row r="234" spans="1:71" ht="27" customHeight="1" x14ac:dyDescent="0.2">
      <c r="A234" s="93"/>
      <c r="B234" s="89"/>
      <c r="C234" s="89"/>
      <c r="D234" s="89"/>
      <c r="E234" s="89"/>
      <c r="F234" s="89"/>
      <c r="G234" s="89"/>
      <c r="H234" s="94"/>
      <c r="I234" s="94"/>
      <c r="J234" s="94"/>
      <c r="K234" s="94"/>
      <c r="L234" s="94"/>
      <c r="M234" s="94"/>
      <c r="N234" s="94"/>
      <c r="O234" s="94"/>
      <c r="P234" s="94"/>
      <c r="Q234" s="94"/>
      <c r="R234" s="95"/>
      <c r="S234" s="94"/>
      <c r="T234" s="96"/>
      <c r="U234" s="94"/>
      <c r="V234" s="97"/>
      <c r="W234" s="94"/>
      <c r="X234" s="98"/>
      <c r="Y234" s="98"/>
      <c r="Z234" s="98"/>
      <c r="AA234" s="98"/>
      <c r="AB234" s="98"/>
      <c r="AC234" s="97"/>
      <c r="AD234" s="99"/>
      <c r="AE234" s="95"/>
      <c r="AF234" s="94"/>
      <c r="AG234" s="89"/>
      <c r="AH234" s="89"/>
      <c r="AI234" s="89"/>
      <c r="AJ234" s="89"/>
      <c r="AK234" s="89"/>
      <c r="AL234" s="89"/>
      <c r="AM234" s="89"/>
      <c r="AN234" s="89"/>
      <c r="AO234" s="89"/>
      <c r="AP234" s="89"/>
      <c r="AQ234" s="89"/>
      <c r="AR234" s="89"/>
      <c r="AS234" s="89"/>
      <c r="AT234" s="89"/>
      <c r="AU234" s="89"/>
      <c r="AV234" s="89"/>
      <c r="AW234" s="100"/>
      <c r="AX234" s="100"/>
      <c r="AY234" s="89"/>
      <c r="AZ234" s="89"/>
      <c r="BA234" s="89"/>
      <c r="BB234" s="89"/>
      <c r="BC234" s="89"/>
      <c r="BD234" s="89"/>
      <c r="BE234" s="89"/>
      <c r="BF234" s="89"/>
      <c r="BG234" s="89"/>
      <c r="BH234" s="89"/>
      <c r="BI234" s="89"/>
      <c r="BJ234" s="89"/>
      <c r="BK234" s="89"/>
      <c r="BL234" s="89"/>
      <c r="BM234" s="89"/>
      <c r="BN234" s="89"/>
      <c r="BO234" s="89"/>
      <c r="BP234" s="89"/>
      <c r="BQ234" s="89"/>
      <c r="BR234" s="89"/>
      <c r="BS234" s="89"/>
    </row>
    <row r="235" spans="1:71" ht="27" customHeight="1" x14ac:dyDescent="0.2">
      <c r="A235" s="93"/>
      <c r="B235" s="89"/>
      <c r="C235" s="89"/>
      <c r="D235" s="89"/>
      <c r="E235" s="89"/>
      <c r="F235" s="89"/>
      <c r="G235" s="89"/>
      <c r="H235" s="94"/>
      <c r="I235" s="94"/>
      <c r="J235" s="94"/>
      <c r="K235" s="94"/>
      <c r="L235" s="94"/>
      <c r="M235" s="94"/>
      <c r="N235" s="94"/>
      <c r="O235" s="94"/>
      <c r="P235" s="94"/>
      <c r="Q235" s="94"/>
      <c r="R235" s="95"/>
      <c r="S235" s="94"/>
      <c r="T235" s="96"/>
      <c r="U235" s="94"/>
      <c r="V235" s="97"/>
      <c r="W235" s="94"/>
      <c r="X235" s="98"/>
      <c r="Y235" s="98"/>
      <c r="Z235" s="98"/>
      <c r="AA235" s="98"/>
      <c r="AB235" s="98"/>
      <c r="AC235" s="97"/>
      <c r="AD235" s="99"/>
      <c r="AE235" s="95"/>
      <c r="AF235" s="94"/>
      <c r="AG235" s="89"/>
      <c r="AH235" s="89"/>
      <c r="AI235" s="89"/>
      <c r="AJ235" s="89"/>
      <c r="AK235" s="89"/>
      <c r="AL235" s="89"/>
      <c r="AM235" s="89"/>
      <c r="AN235" s="89"/>
      <c r="AO235" s="89"/>
      <c r="AP235" s="89"/>
      <c r="AQ235" s="89"/>
      <c r="AR235" s="89"/>
      <c r="AS235" s="89"/>
      <c r="AT235" s="89"/>
      <c r="AU235" s="89"/>
      <c r="AV235" s="89"/>
      <c r="AW235" s="100"/>
      <c r="AX235" s="100"/>
      <c r="AY235" s="89"/>
      <c r="AZ235" s="89"/>
      <c r="BA235" s="89"/>
      <c r="BB235" s="89"/>
      <c r="BC235" s="89"/>
      <c r="BD235" s="89"/>
      <c r="BE235" s="89"/>
      <c r="BF235" s="89"/>
      <c r="BG235" s="89"/>
      <c r="BH235" s="89"/>
      <c r="BI235" s="89"/>
      <c r="BJ235" s="89"/>
      <c r="BK235" s="89"/>
      <c r="BL235" s="89"/>
      <c r="BM235" s="89"/>
      <c r="BN235" s="89"/>
      <c r="BO235" s="89"/>
      <c r="BP235" s="89"/>
      <c r="BQ235" s="89"/>
      <c r="BR235" s="89"/>
      <c r="BS235" s="89"/>
    </row>
    <row r="236" spans="1:71" ht="27" customHeight="1" x14ac:dyDescent="0.2">
      <c r="A236" s="93"/>
      <c r="B236" s="89"/>
      <c r="C236" s="89"/>
      <c r="D236" s="89"/>
      <c r="E236" s="89"/>
      <c r="F236" s="89"/>
      <c r="G236" s="89"/>
      <c r="H236" s="94"/>
      <c r="I236" s="94"/>
      <c r="J236" s="94"/>
      <c r="K236" s="94"/>
      <c r="L236" s="94"/>
      <c r="M236" s="94"/>
      <c r="N236" s="94"/>
      <c r="O236" s="94"/>
      <c r="P236" s="94"/>
      <c r="Q236" s="94"/>
      <c r="R236" s="95"/>
      <c r="S236" s="94"/>
      <c r="T236" s="96"/>
      <c r="U236" s="94"/>
      <c r="V236" s="97"/>
      <c r="W236" s="94"/>
      <c r="X236" s="98"/>
      <c r="Y236" s="98"/>
      <c r="Z236" s="98"/>
      <c r="AA236" s="98"/>
      <c r="AB236" s="98"/>
      <c r="AC236" s="97"/>
      <c r="AD236" s="99"/>
      <c r="AE236" s="95"/>
      <c r="AF236" s="94"/>
      <c r="AG236" s="89"/>
      <c r="AH236" s="89"/>
      <c r="AI236" s="89"/>
      <c r="AJ236" s="89"/>
      <c r="AK236" s="89"/>
      <c r="AL236" s="89"/>
      <c r="AM236" s="89"/>
      <c r="AN236" s="89"/>
      <c r="AO236" s="89"/>
      <c r="AP236" s="89"/>
      <c r="AQ236" s="89"/>
      <c r="AR236" s="89"/>
      <c r="AS236" s="89"/>
      <c r="AT236" s="89"/>
      <c r="AU236" s="89"/>
      <c r="AV236" s="89"/>
      <c r="AW236" s="100"/>
      <c r="AX236" s="100"/>
      <c r="AY236" s="89"/>
      <c r="AZ236" s="89"/>
      <c r="BA236" s="89"/>
      <c r="BB236" s="89"/>
      <c r="BC236" s="89"/>
      <c r="BD236" s="89"/>
      <c r="BE236" s="89"/>
      <c r="BF236" s="89"/>
      <c r="BG236" s="89"/>
      <c r="BH236" s="89"/>
      <c r="BI236" s="89"/>
      <c r="BJ236" s="89"/>
      <c r="BK236" s="89"/>
      <c r="BL236" s="89"/>
      <c r="BM236" s="89"/>
      <c r="BN236" s="89"/>
      <c r="BO236" s="89"/>
      <c r="BP236" s="89"/>
      <c r="BQ236" s="89"/>
      <c r="BR236" s="89"/>
      <c r="BS236" s="89"/>
    </row>
    <row r="237" spans="1:71" ht="27" customHeight="1" x14ac:dyDescent="0.2">
      <c r="A237" s="93"/>
      <c r="B237" s="89"/>
      <c r="C237" s="89"/>
      <c r="D237" s="89"/>
      <c r="E237" s="89"/>
      <c r="F237" s="89"/>
      <c r="G237" s="89"/>
      <c r="H237" s="94"/>
      <c r="I237" s="94"/>
      <c r="J237" s="94"/>
      <c r="K237" s="94"/>
      <c r="L237" s="94"/>
      <c r="M237" s="94"/>
      <c r="N237" s="94"/>
      <c r="O237" s="94"/>
      <c r="P237" s="94"/>
      <c r="Q237" s="94"/>
      <c r="R237" s="95"/>
      <c r="S237" s="94"/>
      <c r="T237" s="96"/>
      <c r="U237" s="94"/>
      <c r="V237" s="97"/>
      <c r="W237" s="94"/>
      <c r="X237" s="98"/>
      <c r="Y237" s="98"/>
      <c r="Z237" s="98"/>
      <c r="AA237" s="98"/>
      <c r="AB237" s="98"/>
      <c r="AC237" s="97"/>
      <c r="AD237" s="99"/>
      <c r="AE237" s="95"/>
      <c r="AF237" s="94"/>
      <c r="AG237" s="89"/>
      <c r="AH237" s="89"/>
      <c r="AI237" s="89"/>
      <c r="AJ237" s="89"/>
      <c r="AK237" s="89"/>
      <c r="AL237" s="89"/>
      <c r="AM237" s="89"/>
      <c r="AN237" s="89"/>
      <c r="AO237" s="89"/>
      <c r="AP237" s="89"/>
      <c r="AQ237" s="89"/>
      <c r="AR237" s="89"/>
      <c r="AS237" s="89"/>
      <c r="AT237" s="89"/>
      <c r="AU237" s="89"/>
      <c r="AV237" s="89"/>
      <c r="AW237" s="100"/>
      <c r="AX237" s="100"/>
      <c r="AY237" s="89"/>
      <c r="AZ237" s="89"/>
      <c r="BA237" s="89"/>
      <c r="BB237" s="89"/>
      <c r="BC237" s="89"/>
      <c r="BD237" s="89"/>
      <c r="BE237" s="89"/>
      <c r="BF237" s="89"/>
      <c r="BG237" s="89"/>
      <c r="BH237" s="89"/>
      <c r="BI237" s="89"/>
      <c r="BJ237" s="89"/>
      <c r="BK237" s="89"/>
      <c r="BL237" s="89"/>
      <c r="BM237" s="89"/>
      <c r="BN237" s="89"/>
      <c r="BO237" s="89"/>
      <c r="BP237" s="89"/>
      <c r="BQ237" s="89"/>
      <c r="BR237" s="89"/>
      <c r="BS237" s="89"/>
    </row>
    <row r="238" spans="1:71" ht="27" customHeight="1" x14ac:dyDescent="0.2">
      <c r="A238" s="93"/>
      <c r="B238" s="89"/>
      <c r="C238" s="89"/>
      <c r="D238" s="89"/>
      <c r="E238" s="89"/>
      <c r="F238" s="89"/>
      <c r="G238" s="89"/>
      <c r="H238" s="94"/>
      <c r="I238" s="94"/>
      <c r="J238" s="94"/>
      <c r="K238" s="94"/>
      <c r="L238" s="94"/>
      <c r="M238" s="94"/>
      <c r="N238" s="94"/>
      <c r="O238" s="94"/>
      <c r="P238" s="94"/>
      <c r="Q238" s="94"/>
      <c r="R238" s="95"/>
      <c r="S238" s="94"/>
      <c r="T238" s="96"/>
      <c r="U238" s="94"/>
      <c r="V238" s="97"/>
      <c r="W238" s="94"/>
      <c r="X238" s="98"/>
      <c r="Y238" s="98"/>
      <c r="Z238" s="98"/>
      <c r="AA238" s="98"/>
      <c r="AB238" s="98"/>
      <c r="AC238" s="97"/>
      <c r="AD238" s="99"/>
      <c r="AE238" s="95"/>
      <c r="AF238" s="94"/>
      <c r="AG238" s="89"/>
      <c r="AH238" s="89"/>
      <c r="AI238" s="89"/>
      <c r="AJ238" s="89"/>
      <c r="AK238" s="89"/>
      <c r="AL238" s="89"/>
      <c r="AM238" s="89"/>
      <c r="AN238" s="89"/>
      <c r="AO238" s="89"/>
      <c r="AP238" s="89"/>
      <c r="AQ238" s="89"/>
      <c r="AR238" s="89"/>
      <c r="AS238" s="89"/>
      <c r="AT238" s="89"/>
      <c r="AU238" s="89"/>
      <c r="AV238" s="89"/>
      <c r="AW238" s="100"/>
      <c r="AX238" s="100"/>
      <c r="AY238" s="89"/>
      <c r="AZ238" s="89"/>
      <c r="BA238" s="89"/>
      <c r="BB238" s="89"/>
      <c r="BC238" s="89"/>
      <c r="BD238" s="89"/>
      <c r="BE238" s="89"/>
      <c r="BF238" s="89"/>
      <c r="BG238" s="89"/>
      <c r="BH238" s="89"/>
      <c r="BI238" s="89"/>
      <c r="BJ238" s="89"/>
      <c r="BK238" s="89"/>
      <c r="BL238" s="89"/>
      <c r="BM238" s="89"/>
      <c r="BN238" s="89"/>
      <c r="BO238" s="89"/>
      <c r="BP238" s="89"/>
      <c r="BQ238" s="89"/>
      <c r="BR238" s="89"/>
      <c r="BS238" s="89"/>
    </row>
    <row r="239" spans="1:71" ht="27" customHeight="1" x14ac:dyDescent="0.2">
      <c r="A239" s="93"/>
      <c r="B239" s="89"/>
      <c r="C239" s="89"/>
      <c r="D239" s="89"/>
      <c r="E239" s="89"/>
      <c r="F239" s="89"/>
      <c r="G239" s="89"/>
      <c r="H239" s="94"/>
      <c r="I239" s="94"/>
      <c r="J239" s="94"/>
      <c r="K239" s="94"/>
      <c r="L239" s="94"/>
      <c r="M239" s="94"/>
      <c r="N239" s="94"/>
      <c r="O239" s="94"/>
      <c r="P239" s="94"/>
      <c r="Q239" s="94"/>
      <c r="R239" s="95"/>
      <c r="S239" s="94"/>
      <c r="T239" s="96"/>
      <c r="U239" s="94"/>
      <c r="V239" s="97"/>
      <c r="W239" s="94"/>
      <c r="X239" s="98"/>
      <c r="Y239" s="98"/>
      <c r="Z239" s="98"/>
      <c r="AA239" s="98"/>
      <c r="AB239" s="98"/>
      <c r="AC239" s="97"/>
      <c r="AD239" s="99"/>
      <c r="AE239" s="95"/>
      <c r="AF239" s="94"/>
      <c r="AG239" s="89"/>
      <c r="AH239" s="89"/>
      <c r="AI239" s="89"/>
      <c r="AJ239" s="89"/>
      <c r="AK239" s="89"/>
      <c r="AL239" s="89"/>
      <c r="AM239" s="89"/>
      <c r="AN239" s="89"/>
      <c r="AO239" s="89"/>
      <c r="AP239" s="89"/>
      <c r="AQ239" s="89"/>
      <c r="AR239" s="89"/>
      <c r="AS239" s="89"/>
      <c r="AT239" s="89"/>
      <c r="AU239" s="89"/>
      <c r="AV239" s="89"/>
      <c r="AW239" s="100"/>
      <c r="AX239" s="100"/>
      <c r="AY239" s="89"/>
      <c r="AZ239" s="89"/>
      <c r="BA239" s="89"/>
      <c r="BB239" s="89"/>
      <c r="BC239" s="89"/>
      <c r="BD239" s="89"/>
      <c r="BE239" s="89"/>
      <c r="BF239" s="89"/>
      <c r="BG239" s="89"/>
      <c r="BH239" s="89"/>
      <c r="BI239" s="89"/>
      <c r="BJ239" s="89"/>
      <c r="BK239" s="89"/>
      <c r="BL239" s="89"/>
      <c r="BM239" s="89"/>
      <c r="BN239" s="89"/>
      <c r="BO239" s="89"/>
      <c r="BP239" s="89"/>
      <c r="BQ239" s="89"/>
      <c r="BR239" s="89"/>
      <c r="BS239" s="89"/>
    </row>
    <row r="240" spans="1:71" ht="27" customHeight="1" x14ac:dyDescent="0.2">
      <c r="A240" s="93"/>
      <c r="B240" s="89"/>
      <c r="C240" s="89"/>
      <c r="D240" s="89"/>
      <c r="E240" s="89"/>
      <c r="F240" s="89"/>
      <c r="G240" s="89"/>
      <c r="H240" s="94"/>
      <c r="I240" s="94"/>
      <c r="J240" s="94"/>
      <c r="K240" s="94"/>
      <c r="L240" s="94"/>
      <c r="M240" s="94"/>
      <c r="N240" s="94"/>
      <c r="O240" s="94"/>
      <c r="P240" s="94"/>
      <c r="Q240" s="94"/>
      <c r="R240" s="95"/>
      <c r="S240" s="94"/>
      <c r="T240" s="96"/>
      <c r="U240" s="94"/>
      <c r="V240" s="97"/>
      <c r="W240" s="94"/>
      <c r="X240" s="98"/>
      <c r="Y240" s="98"/>
      <c r="Z240" s="98"/>
      <c r="AA240" s="98"/>
      <c r="AB240" s="98"/>
      <c r="AC240" s="97"/>
      <c r="AD240" s="99"/>
      <c r="AE240" s="95"/>
      <c r="AF240" s="94"/>
      <c r="AG240" s="89"/>
      <c r="AH240" s="89"/>
      <c r="AI240" s="89"/>
      <c r="AJ240" s="89"/>
      <c r="AK240" s="89"/>
      <c r="AL240" s="89"/>
      <c r="AM240" s="89"/>
      <c r="AN240" s="89"/>
      <c r="AO240" s="89"/>
      <c r="AP240" s="89"/>
      <c r="AQ240" s="89"/>
      <c r="AR240" s="89"/>
      <c r="AS240" s="89"/>
      <c r="AT240" s="89"/>
      <c r="AU240" s="89"/>
      <c r="AV240" s="89"/>
      <c r="AW240" s="100"/>
      <c r="AX240" s="100"/>
      <c r="AY240" s="89"/>
      <c r="AZ240" s="89"/>
      <c r="BA240" s="89"/>
      <c r="BB240" s="89"/>
      <c r="BC240" s="89"/>
      <c r="BD240" s="89"/>
      <c r="BE240" s="89"/>
      <c r="BF240" s="89"/>
      <c r="BG240" s="89"/>
      <c r="BH240" s="89"/>
      <c r="BI240" s="89"/>
      <c r="BJ240" s="89"/>
      <c r="BK240" s="89"/>
      <c r="BL240" s="89"/>
      <c r="BM240" s="89"/>
      <c r="BN240" s="89"/>
      <c r="BO240" s="89"/>
      <c r="BP240" s="89"/>
      <c r="BQ240" s="89"/>
      <c r="BR240" s="89"/>
      <c r="BS240" s="89"/>
    </row>
    <row r="241" spans="1:71" ht="27" customHeight="1" x14ac:dyDescent="0.2">
      <c r="A241" s="93"/>
      <c r="B241" s="89"/>
      <c r="C241" s="89"/>
      <c r="D241" s="89"/>
      <c r="E241" s="89"/>
      <c r="F241" s="89"/>
      <c r="G241" s="89"/>
      <c r="H241" s="94"/>
      <c r="I241" s="94"/>
      <c r="J241" s="94"/>
      <c r="K241" s="94"/>
      <c r="L241" s="94"/>
      <c r="M241" s="94"/>
      <c r="N241" s="94"/>
      <c r="O241" s="94"/>
      <c r="P241" s="94"/>
      <c r="Q241" s="94"/>
      <c r="R241" s="95"/>
      <c r="S241" s="94"/>
      <c r="T241" s="96"/>
      <c r="U241" s="94"/>
      <c r="V241" s="97"/>
      <c r="W241" s="94"/>
      <c r="X241" s="98"/>
      <c r="Y241" s="98"/>
      <c r="Z241" s="98"/>
      <c r="AA241" s="98"/>
      <c r="AB241" s="98"/>
      <c r="AC241" s="97"/>
      <c r="AD241" s="99"/>
      <c r="AE241" s="95"/>
      <c r="AF241" s="94"/>
      <c r="AG241" s="89"/>
      <c r="AH241" s="89"/>
      <c r="AI241" s="89"/>
      <c r="AJ241" s="89"/>
      <c r="AK241" s="89"/>
      <c r="AL241" s="89"/>
      <c r="AM241" s="89"/>
      <c r="AN241" s="89"/>
      <c r="AO241" s="89"/>
      <c r="AP241" s="89"/>
      <c r="AQ241" s="89"/>
      <c r="AR241" s="89"/>
      <c r="AS241" s="89"/>
      <c r="AT241" s="89"/>
      <c r="AU241" s="89"/>
      <c r="AV241" s="89"/>
      <c r="AW241" s="100"/>
      <c r="AX241" s="100"/>
      <c r="AY241" s="89"/>
      <c r="AZ241" s="89"/>
      <c r="BA241" s="89"/>
      <c r="BB241" s="89"/>
      <c r="BC241" s="89"/>
      <c r="BD241" s="89"/>
      <c r="BE241" s="89"/>
      <c r="BF241" s="89"/>
      <c r="BG241" s="89"/>
      <c r="BH241" s="89"/>
      <c r="BI241" s="89"/>
      <c r="BJ241" s="89"/>
      <c r="BK241" s="89"/>
      <c r="BL241" s="89"/>
      <c r="BM241" s="89"/>
      <c r="BN241" s="89"/>
      <c r="BO241" s="89"/>
      <c r="BP241" s="89"/>
      <c r="BQ241" s="89"/>
      <c r="BR241" s="89"/>
      <c r="BS241" s="89"/>
    </row>
    <row r="242" spans="1:71" ht="27" customHeight="1" x14ac:dyDescent="0.2">
      <c r="A242" s="93"/>
      <c r="B242" s="89"/>
      <c r="C242" s="89"/>
      <c r="D242" s="89"/>
      <c r="E242" s="89"/>
      <c r="F242" s="89"/>
      <c r="G242" s="89"/>
      <c r="H242" s="94"/>
      <c r="I242" s="94"/>
      <c r="J242" s="94"/>
      <c r="K242" s="94"/>
      <c r="L242" s="94"/>
      <c r="M242" s="94"/>
      <c r="N242" s="94"/>
      <c r="O242" s="94"/>
      <c r="P242" s="94"/>
      <c r="Q242" s="94"/>
      <c r="R242" s="95"/>
      <c r="S242" s="94"/>
      <c r="T242" s="96"/>
      <c r="U242" s="94"/>
      <c r="V242" s="97"/>
      <c r="W242" s="94"/>
      <c r="X242" s="98"/>
      <c r="Y242" s="98"/>
      <c r="Z242" s="98"/>
      <c r="AA242" s="98"/>
      <c r="AB242" s="98"/>
      <c r="AC242" s="97"/>
      <c r="AD242" s="99"/>
      <c r="AE242" s="95"/>
      <c r="AF242" s="94"/>
      <c r="AG242" s="89"/>
      <c r="AH242" s="89"/>
      <c r="AI242" s="89"/>
      <c r="AJ242" s="89"/>
      <c r="AK242" s="89"/>
      <c r="AL242" s="89"/>
      <c r="AM242" s="89"/>
      <c r="AN242" s="89"/>
      <c r="AO242" s="89"/>
      <c r="AP242" s="89"/>
      <c r="AQ242" s="89"/>
      <c r="AR242" s="89"/>
      <c r="AS242" s="89"/>
      <c r="AT242" s="89"/>
      <c r="AU242" s="89"/>
      <c r="AV242" s="89"/>
      <c r="AW242" s="100"/>
      <c r="AX242" s="100"/>
      <c r="AY242" s="89"/>
      <c r="AZ242" s="89"/>
      <c r="BA242" s="89"/>
      <c r="BB242" s="89"/>
      <c r="BC242" s="89"/>
      <c r="BD242" s="89"/>
      <c r="BE242" s="89"/>
      <c r="BF242" s="89"/>
      <c r="BG242" s="89"/>
      <c r="BH242" s="89"/>
      <c r="BI242" s="89"/>
      <c r="BJ242" s="89"/>
      <c r="BK242" s="89"/>
      <c r="BL242" s="89"/>
      <c r="BM242" s="89"/>
      <c r="BN242" s="89"/>
      <c r="BO242" s="89"/>
      <c r="BP242" s="89"/>
      <c r="BQ242" s="89"/>
      <c r="BR242" s="89"/>
      <c r="BS242" s="89"/>
    </row>
    <row r="243" spans="1:71" ht="27" customHeight="1" x14ac:dyDescent="0.2">
      <c r="A243" s="93"/>
      <c r="B243" s="89"/>
      <c r="C243" s="89"/>
      <c r="D243" s="89"/>
      <c r="E243" s="89"/>
      <c r="F243" s="89"/>
      <c r="G243" s="89"/>
      <c r="H243" s="94"/>
      <c r="I243" s="94"/>
      <c r="J243" s="94"/>
      <c r="K243" s="94"/>
      <c r="L243" s="94"/>
      <c r="M243" s="94"/>
      <c r="N243" s="94"/>
      <c r="O243" s="94"/>
      <c r="P243" s="94"/>
      <c r="Q243" s="94"/>
      <c r="R243" s="95"/>
      <c r="S243" s="94"/>
      <c r="T243" s="96"/>
      <c r="U243" s="94"/>
      <c r="V243" s="97"/>
      <c r="W243" s="94"/>
      <c r="X243" s="98"/>
      <c r="Y243" s="98"/>
      <c r="Z243" s="98"/>
      <c r="AA243" s="98"/>
      <c r="AB243" s="98"/>
      <c r="AC243" s="97"/>
      <c r="AD243" s="99"/>
      <c r="AE243" s="95"/>
      <c r="AF243" s="94"/>
      <c r="AG243" s="89"/>
      <c r="AH243" s="89"/>
      <c r="AI243" s="89"/>
      <c r="AJ243" s="89"/>
      <c r="AK243" s="89"/>
      <c r="AL243" s="89"/>
      <c r="AM243" s="89"/>
      <c r="AN243" s="89"/>
      <c r="AO243" s="89"/>
      <c r="AP243" s="89"/>
      <c r="AQ243" s="89"/>
      <c r="AR243" s="89"/>
      <c r="AS243" s="89"/>
      <c r="AT243" s="89"/>
      <c r="AU243" s="89"/>
      <c r="AV243" s="89"/>
      <c r="AW243" s="100"/>
      <c r="AX243" s="100"/>
      <c r="AY243" s="89"/>
      <c r="AZ243" s="89"/>
      <c r="BA243" s="89"/>
      <c r="BB243" s="89"/>
      <c r="BC243" s="89"/>
      <c r="BD243" s="89"/>
      <c r="BE243" s="89"/>
      <c r="BF243" s="89"/>
      <c r="BG243" s="89"/>
      <c r="BH243" s="89"/>
      <c r="BI243" s="89"/>
      <c r="BJ243" s="89"/>
      <c r="BK243" s="89"/>
      <c r="BL243" s="89"/>
      <c r="BM243" s="89"/>
      <c r="BN243" s="89"/>
      <c r="BO243" s="89"/>
      <c r="BP243" s="89"/>
      <c r="BQ243" s="89"/>
      <c r="BR243" s="89"/>
      <c r="BS243" s="89"/>
    </row>
    <row r="244" spans="1:71" ht="27" customHeight="1" x14ac:dyDescent="0.2">
      <c r="A244" s="93"/>
      <c r="B244" s="89"/>
      <c r="C244" s="89"/>
      <c r="D244" s="89"/>
      <c r="E244" s="89"/>
      <c r="F244" s="89"/>
      <c r="G244" s="89"/>
      <c r="H244" s="94"/>
      <c r="I244" s="94"/>
      <c r="J244" s="94"/>
      <c r="K244" s="94"/>
      <c r="L244" s="94"/>
      <c r="M244" s="94"/>
      <c r="N244" s="94"/>
      <c r="O244" s="94"/>
      <c r="P244" s="94"/>
      <c r="Q244" s="94"/>
      <c r="R244" s="95"/>
      <c r="S244" s="94"/>
      <c r="T244" s="96"/>
      <c r="U244" s="94"/>
      <c r="V244" s="97"/>
      <c r="W244" s="94"/>
      <c r="X244" s="98"/>
      <c r="Y244" s="98"/>
      <c r="Z244" s="98"/>
      <c r="AA244" s="98"/>
      <c r="AB244" s="98"/>
      <c r="AC244" s="97"/>
      <c r="AD244" s="99"/>
      <c r="AE244" s="95"/>
      <c r="AF244" s="94"/>
      <c r="AG244" s="89"/>
      <c r="AH244" s="89"/>
      <c r="AI244" s="89"/>
      <c r="AJ244" s="89"/>
      <c r="AK244" s="89"/>
      <c r="AL244" s="89"/>
      <c r="AM244" s="89"/>
      <c r="AN244" s="89"/>
      <c r="AO244" s="89"/>
      <c r="AP244" s="89"/>
      <c r="AQ244" s="89"/>
      <c r="AR244" s="89"/>
      <c r="AS244" s="89"/>
      <c r="AT244" s="89"/>
      <c r="AU244" s="89"/>
      <c r="AV244" s="89"/>
      <c r="AW244" s="100"/>
      <c r="AX244" s="100"/>
      <c r="AY244" s="89"/>
      <c r="AZ244" s="89"/>
      <c r="BA244" s="89"/>
      <c r="BB244" s="89"/>
      <c r="BC244" s="89"/>
      <c r="BD244" s="89"/>
      <c r="BE244" s="89"/>
      <c r="BF244" s="89"/>
      <c r="BG244" s="89"/>
      <c r="BH244" s="89"/>
      <c r="BI244" s="89"/>
      <c r="BJ244" s="89"/>
      <c r="BK244" s="89"/>
      <c r="BL244" s="89"/>
      <c r="BM244" s="89"/>
      <c r="BN244" s="89"/>
      <c r="BO244" s="89"/>
      <c r="BP244" s="89"/>
      <c r="BQ244" s="89"/>
      <c r="BR244" s="89"/>
      <c r="BS244" s="89"/>
    </row>
    <row r="245" spans="1:71" ht="27" customHeight="1" x14ac:dyDescent="0.2">
      <c r="A245" s="93"/>
      <c r="B245" s="89"/>
      <c r="C245" s="89"/>
      <c r="D245" s="89"/>
      <c r="E245" s="89"/>
      <c r="F245" s="89"/>
      <c r="G245" s="89"/>
      <c r="H245" s="94"/>
      <c r="I245" s="94"/>
      <c r="J245" s="94"/>
      <c r="K245" s="94"/>
      <c r="L245" s="94"/>
      <c r="M245" s="94"/>
      <c r="N245" s="94"/>
      <c r="O245" s="94"/>
      <c r="P245" s="94"/>
      <c r="Q245" s="94"/>
      <c r="R245" s="95"/>
      <c r="S245" s="94"/>
      <c r="T245" s="96"/>
      <c r="U245" s="94"/>
      <c r="V245" s="97"/>
      <c r="W245" s="94"/>
      <c r="X245" s="98"/>
      <c r="Y245" s="98"/>
      <c r="Z245" s="98"/>
      <c r="AA245" s="98"/>
      <c r="AB245" s="98"/>
      <c r="AC245" s="97"/>
      <c r="AD245" s="99"/>
      <c r="AE245" s="95"/>
      <c r="AF245" s="94"/>
      <c r="AG245" s="89"/>
      <c r="AH245" s="89"/>
      <c r="AI245" s="89"/>
      <c r="AJ245" s="89"/>
      <c r="AK245" s="89"/>
      <c r="AL245" s="89"/>
      <c r="AM245" s="89"/>
      <c r="AN245" s="89"/>
      <c r="AO245" s="89"/>
      <c r="AP245" s="89"/>
      <c r="AQ245" s="89"/>
      <c r="AR245" s="89"/>
      <c r="AS245" s="89"/>
      <c r="AT245" s="89"/>
      <c r="AU245" s="89"/>
      <c r="AV245" s="89"/>
      <c r="AW245" s="100"/>
      <c r="AX245" s="100"/>
      <c r="AY245" s="89"/>
      <c r="AZ245" s="89"/>
      <c r="BA245" s="89"/>
      <c r="BB245" s="89"/>
      <c r="BC245" s="89"/>
      <c r="BD245" s="89"/>
      <c r="BE245" s="89"/>
      <c r="BF245" s="89"/>
      <c r="BG245" s="89"/>
      <c r="BH245" s="89"/>
      <c r="BI245" s="89"/>
      <c r="BJ245" s="89"/>
      <c r="BK245" s="89"/>
      <c r="BL245" s="89"/>
      <c r="BM245" s="89"/>
      <c r="BN245" s="89"/>
      <c r="BO245" s="89"/>
      <c r="BP245" s="89"/>
      <c r="BQ245" s="89"/>
      <c r="BR245" s="89"/>
      <c r="BS245" s="89"/>
    </row>
    <row r="246" spans="1:71" ht="27" customHeight="1" x14ac:dyDescent="0.2">
      <c r="A246" s="93"/>
      <c r="B246" s="89"/>
      <c r="C246" s="89"/>
      <c r="D246" s="89"/>
      <c r="E246" s="89"/>
      <c r="F246" s="89"/>
      <c r="G246" s="89"/>
      <c r="H246" s="94"/>
      <c r="I246" s="94"/>
      <c r="J246" s="94"/>
      <c r="K246" s="94"/>
      <c r="L246" s="94"/>
      <c r="M246" s="94"/>
      <c r="N246" s="94"/>
      <c r="O246" s="94"/>
      <c r="P246" s="94"/>
      <c r="Q246" s="94"/>
      <c r="R246" s="95"/>
      <c r="S246" s="94"/>
      <c r="T246" s="96"/>
      <c r="U246" s="94"/>
      <c r="V246" s="97"/>
      <c r="W246" s="94"/>
      <c r="X246" s="98"/>
      <c r="Y246" s="98"/>
      <c r="Z246" s="98"/>
      <c r="AA246" s="98"/>
      <c r="AB246" s="98"/>
      <c r="AC246" s="97"/>
      <c r="AD246" s="99"/>
      <c r="AE246" s="95"/>
      <c r="AF246" s="94"/>
      <c r="AG246" s="89"/>
      <c r="AH246" s="89"/>
      <c r="AI246" s="89"/>
      <c r="AJ246" s="89"/>
      <c r="AK246" s="89"/>
      <c r="AL246" s="89"/>
      <c r="AM246" s="89"/>
      <c r="AN246" s="89"/>
      <c r="AO246" s="89"/>
      <c r="AP246" s="89"/>
      <c r="AQ246" s="89"/>
      <c r="AR246" s="89"/>
      <c r="AS246" s="89"/>
      <c r="AT246" s="89"/>
      <c r="AU246" s="89"/>
      <c r="AV246" s="89"/>
      <c r="AW246" s="100"/>
      <c r="AX246" s="100"/>
      <c r="AY246" s="89"/>
      <c r="AZ246" s="89"/>
      <c r="BA246" s="89"/>
      <c r="BB246" s="89"/>
      <c r="BC246" s="89"/>
      <c r="BD246" s="89"/>
      <c r="BE246" s="89"/>
      <c r="BF246" s="89"/>
      <c r="BG246" s="89"/>
      <c r="BH246" s="89"/>
      <c r="BI246" s="89"/>
      <c r="BJ246" s="89"/>
      <c r="BK246" s="89"/>
      <c r="BL246" s="89"/>
      <c r="BM246" s="89"/>
      <c r="BN246" s="89"/>
      <c r="BO246" s="89"/>
      <c r="BP246" s="89"/>
      <c r="BQ246" s="89"/>
      <c r="BR246" s="89"/>
      <c r="BS246" s="89"/>
    </row>
    <row r="247" spans="1:71" ht="27" customHeight="1" x14ac:dyDescent="0.2">
      <c r="A247" s="93"/>
      <c r="B247" s="89"/>
      <c r="C247" s="89"/>
      <c r="D247" s="89"/>
      <c r="E247" s="89"/>
      <c r="F247" s="89"/>
      <c r="G247" s="89"/>
      <c r="H247" s="94"/>
      <c r="I247" s="94"/>
      <c r="J247" s="94"/>
      <c r="K247" s="94"/>
      <c r="L247" s="94"/>
      <c r="M247" s="94"/>
      <c r="N247" s="94"/>
      <c r="O247" s="94"/>
      <c r="P247" s="94"/>
      <c r="Q247" s="94"/>
      <c r="R247" s="95"/>
      <c r="S247" s="94"/>
      <c r="T247" s="96"/>
      <c r="U247" s="94"/>
      <c r="V247" s="97"/>
      <c r="W247" s="94"/>
      <c r="X247" s="98"/>
      <c r="Y247" s="98"/>
      <c r="Z247" s="98"/>
      <c r="AA247" s="98"/>
      <c r="AB247" s="98"/>
      <c r="AC247" s="97"/>
      <c r="AD247" s="99"/>
      <c r="AE247" s="95"/>
      <c r="AF247" s="94"/>
      <c r="AG247" s="89"/>
      <c r="AH247" s="89"/>
      <c r="AI247" s="89"/>
      <c r="AJ247" s="89"/>
      <c r="AK247" s="89"/>
      <c r="AL247" s="89"/>
      <c r="AM247" s="89"/>
      <c r="AN247" s="89"/>
      <c r="AO247" s="89"/>
      <c r="AP247" s="89"/>
      <c r="AQ247" s="89"/>
      <c r="AR247" s="89"/>
      <c r="AS247" s="89"/>
      <c r="AT247" s="89"/>
      <c r="AU247" s="89"/>
      <c r="AV247" s="89"/>
      <c r="AW247" s="100"/>
      <c r="AX247" s="100"/>
      <c r="AY247" s="89"/>
      <c r="AZ247" s="89"/>
      <c r="BA247" s="89"/>
      <c r="BB247" s="89"/>
      <c r="BC247" s="89"/>
      <c r="BD247" s="89"/>
      <c r="BE247" s="89"/>
      <c r="BF247" s="89"/>
      <c r="BG247" s="89"/>
      <c r="BH247" s="89"/>
      <c r="BI247" s="89"/>
      <c r="BJ247" s="89"/>
      <c r="BK247" s="89"/>
      <c r="BL247" s="89"/>
      <c r="BM247" s="89"/>
      <c r="BN247" s="89"/>
      <c r="BO247" s="89"/>
      <c r="BP247" s="89"/>
      <c r="BQ247" s="89"/>
      <c r="BR247" s="89"/>
      <c r="BS247" s="89"/>
    </row>
    <row r="248" spans="1:71" ht="27" customHeight="1" x14ac:dyDescent="0.2">
      <c r="A248" s="93"/>
      <c r="B248" s="89"/>
      <c r="C248" s="89"/>
      <c r="D248" s="89"/>
      <c r="E248" s="89"/>
      <c r="F248" s="89"/>
      <c r="G248" s="89"/>
      <c r="H248" s="94"/>
      <c r="I248" s="94"/>
      <c r="J248" s="94"/>
      <c r="K248" s="94"/>
      <c r="L248" s="94"/>
      <c r="M248" s="94"/>
      <c r="N248" s="94"/>
      <c r="O248" s="94"/>
      <c r="P248" s="94"/>
      <c r="Q248" s="94"/>
      <c r="R248" s="95"/>
      <c r="S248" s="94"/>
      <c r="T248" s="96"/>
      <c r="U248" s="94"/>
      <c r="V248" s="97"/>
      <c r="W248" s="94"/>
      <c r="X248" s="98"/>
      <c r="Y248" s="98"/>
      <c r="Z248" s="98"/>
      <c r="AA248" s="98"/>
      <c r="AB248" s="98"/>
      <c r="AC248" s="97"/>
      <c r="AD248" s="99"/>
      <c r="AE248" s="95"/>
      <c r="AF248" s="94"/>
      <c r="AG248" s="89"/>
      <c r="AH248" s="89"/>
      <c r="AI248" s="89"/>
      <c r="AJ248" s="89"/>
      <c r="AK248" s="89"/>
      <c r="AL248" s="89"/>
      <c r="AM248" s="89"/>
      <c r="AN248" s="89"/>
      <c r="AO248" s="89"/>
      <c r="AP248" s="89"/>
      <c r="AQ248" s="89"/>
      <c r="AR248" s="89"/>
      <c r="AS248" s="89"/>
      <c r="AT248" s="89"/>
      <c r="AU248" s="89"/>
      <c r="AV248" s="89"/>
      <c r="AW248" s="100"/>
      <c r="AX248" s="100"/>
      <c r="AY248" s="89"/>
      <c r="AZ248" s="89"/>
      <c r="BA248" s="89"/>
      <c r="BB248" s="89"/>
      <c r="BC248" s="89"/>
      <c r="BD248" s="89"/>
      <c r="BE248" s="89"/>
      <c r="BF248" s="89"/>
      <c r="BG248" s="89"/>
      <c r="BH248" s="89"/>
      <c r="BI248" s="89"/>
      <c r="BJ248" s="89"/>
      <c r="BK248" s="89"/>
      <c r="BL248" s="89"/>
      <c r="BM248" s="89"/>
      <c r="BN248" s="89"/>
      <c r="BO248" s="89"/>
      <c r="BP248" s="89"/>
      <c r="BQ248" s="89"/>
      <c r="BR248" s="89"/>
      <c r="BS248" s="89"/>
    </row>
    <row r="249" spans="1:71" ht="27" customHeight="1" x14ac:dyDescent="0.2">
      <c r="A249" s="93"/>
      <c r="B249" s="89"/>
      <c r="C249" s="89"/>
      <c r="D249" s="89"/>
      <c r="E249" s="89"/>
      <c r="F249" s="89"/>
      <c r="G249" s="89"/>
      <c r="H249" s="94"/>
      <c r="I249" s="94"/>
      <c r="J249" s="94"/>
      <c r="K249" s="94"/>
      <c r="L249" s="94"/>
      <c r="M249" s="94"/>
      <c r="N249" s="94"/>
      <c r="O249" s="94"/>
      <c r="P249" s="94"/>
      <c r="Q249" s="94"/>
      <c r="R249" s="95"/>
      <c r="S249" s="94"/>
      <c r="T249" s="96"/>
      <c r="U249" s="94"/>
      <c r="V249" s="97"/>
      <c r="W249" s="94"/>
      <c r="X249" s="98"/>
      <c r="Y249" s="98"/>
      <c r="Z249" s="98"/>
      <c r="AA249" s="98"/>
      <c r="AB249" s="98"/>
      <c r="AC249" s="97"/>
      <c r="AD249" s="99"/>
      <c r="AE249" s="95"/>
      <c r="AF249" s="94"/>
      <c r="AG249" s="89"/>
      <c r="AH249" s="89"/>
      <c r="AI249" s="89"/>
      <c r="AJ249" s="89"/>
      <c r="AK249" s="89"/>
      <c r="AL249" s="89"/>
      <c r="AM249" s="89"/>
      <c r="AN249" s="89"/>
      <c r="AO249" s="89"/>
      <c r="AP249" s="89"/>
      <c r="AQ249" s="89"/>
      <c r="AR249" s="89"/>
      <c r="AS249" s="89"/>
      <c r="AT249" s="89"/>
      <c r="AU249" s="89"/>
      <c r="AV249" s="89"/>
      <c r="AW249" s="100"/>
      <c r="AX249" s="100"/>
      <c r="AY249" s="89"/>
      <c r="AZ249" s="89"/>
      <c r="BA249" s="89"/>
      <c r="BB249" s="89"/>
      <c r="BC249" s="89"/>
      <c r="BD249" s="89"/>
      <c r="BE249" s="89"/>
      <c r="BF249" s="89"/>
      <c r="BG249" s="89"/>
      <c r="BH249" s="89"/>
      <c r="BI249" s="89"/>
      <c r="BJ249" s="89"/>
      <c r="BK249" s="89"/>
      <c r="BL249" s="89"/>
      <c r="BM249" s="89"/>
      <c r="BN249" s="89"/>
      <c r="BO249" s="89"/>
      <c r="BP249" s="89"/>
      <c r="BQ249" s="89"/>
      <c r="BR249" s="89"/>
      <c r="BS249" s="89"/>
    </row>
    <row r="250" spans="1:71" ht="27" customHeight="1" x14ac:dyDescent="0.2">
      <c r="A250" s="93"/>
      <c r="B250" s="89"/>
      <c r="C250" s="89"/>
      <c r="D250" s="89"/>
      <c r="E250" s="89"/>
      <c r="F250" s="89"/>
      <c r="G250" s="89"/>
      <c r="H250" s="94"/>
      <c r="I250" s="94"/>
      <c r="J250" s="94"/>
      <c r="K250" s="94"/>
      <c r="L250" s="94"/>
      <c r="M250" s="94"/>
      <c r="N250" s="94"/>
      <c r="O250" s="94"/>
      <c r="P250" s="94"/>
      <c r="Q250" s="94"/>
      <c r="R250" s="95"/>
      <c r="S250" s="94"/>
      <c r="T250" s="96"/>
      <c r="U250" s="94"/>
      <c r="V250" s="97"/>
      <c r="W250" s="94"/>
      <c r="X250" s="98"/>
      <c r="Y250" s="98"/>
      <c r="Z250" s="98"/>
      <c r="AA250" s="98"/>
      <c r="AB250" s="98"/>
      <c r="AC250" s="97"/>
      <c r="AD250" s="99"/>
      <c r="AE250" s="95"/>
      <c r="AF250" s="94"/>
      <c r="AG250" s="89"/>
      <c r="AH250" s="89"/>
      <c r="AI250" s="89"/>
      <c r="AJ250" s="89"/>
      <c r="AK250" s="89"/>
      <c r="AL250" s="89"/>
      <c r="AM250" s="89"/>
      <c r="AN250" s="89"/>
      <c r="AO250" s="89"/>
      <c r="AP250" s="89"/>
      <c r="AQ250" s="89"/>
      <c r="AR250" s="89"/>
      <c r="AS250" s="89"/>
      <c r="AT250" s="89"/>
      <c r="AU250" s="89"/>
      <c r="AV250" s="89"/>
      <c r="AW250" s="100"/>
      <c r="AX250" s="100"/>
      <c r="AY250" s="89"/>
      <c r="AZ250" s="89"/>
      <c r="BA250" s="89"/>
      <c r="BB250" s="89"/>
      <c r="BC250" s="89"/>
      <c r="BD250" s="89"/>
      <c r="BE250" s="89"/>
      <c r="BF250" s="89"/>
      <c r="BG250" s="89"/>
      <c r="BH250" s="89"/>
      <c r="BI250" s="89"/>
      <c r="BJ250" s="89"/>
      <c r="BK250" s="89"/>
      <c r="BL250" s="89"/>
      <c r="BM250" s="89"/>
      <c r="BN250" s="89"/>
      <c r="BO250" s="89"/>
      <c r="BP250" s="89"/>
      <c r="BQ250" s="89"/>
      <c r="BR250" s="89"/>
      <c r="BS250" s="89"/>
    </row>
    <row r="251" spans="1:71" ht="27" customHeight="1" x14ac:dyDescent="0.2">
      <c r="A251" s="93"/>
      <c r="B251" s="89"/>
      <c r="C251" s="89"/>
      <c r="D251" s="89"/>
      <c r="E251" s="89"/>
      <c r="F251" s="89"/>
      <c r="G251" s="89"/>
      <c r="H251" s="94"/>
      <c r="I251" s="94"/>
      <c r="J251" s="94"/>
      <c r="K251" s="94"/>
      <c r="L251" s="94"/>
      <c r="M251" s="94"/>
      <c r="N251" s="94"/>
      <c r="O251" s="94"/>
      <c r="P251" s="94"/>
      <c r="Q251" s="94"/>
      <c r="R251" s="95"/>
      <c r="S251" s="94"/>
      <c r="T251" s="96"/>
      <c r="U251" s="94"/>
      <c r="V251" s="97"/>
      <c r="W251" s="94"/>
      <c r="X251" s="98"/>
      <c r="Y251" s="98"/>
      <c r="Z251" s="98"/>
      <c r="AA251" s="98"/>
      <c r="AB251" s="98"/>
      <c r="AC251" s="97"/>
      <c r="AD251" s="99"/>
      <c r="AE251" s="95"/>
      <c r="AF251" s="94"/>
      <c r="AG251" s="89"/>
      <c r="AH251" s="89"/>
      <c r="AI251" s="89"/>
      <c r="AJ251" s="89"/>
      <c r="AK251" s="89"/>
      <c r="AL251" s="89"/>
      <c r="AM251" s="89"/>
      <c r="AN251" s="89"/>
      <c r="AO251" s="89"/>
      <c r="AP251" s="89"/>
      <c r="AQ251" s="89"/>
      <c r="AR251" s="89"/>
      <c r="AS251" s="89"/>
      <c r="AT251" s="89"/>
      <c r="AU251" s="89"/>
      <c r="AV251" s="89"/>
      <c r="AW251" s="100"/>
      <c r="AX251" s="100"/>
      <c r="AY251" s="89"/>
      <c r="AZ251" s="89"/>
      <c r="BA251" s="89"/>
      <c r="BB251" s="89"/>
      <c r="BC251" s="89"/>
      <c r="BD251" s="89"/>
      <c r="BE251" s="89"/>
      <c r="BF251" s="89"/>
      <c r="BG251" s="89"/>
      <c r="BH251" s="89"/>
      <c r="BI251" s="89"/>
      <c r="BJ251" s="89"/>
      <c r="BK251" s="89"/>
      <c r="BL251" s="89"/>
      <c r="BM251" s="89"/>
      <c r="BN251" s="89"/>
      <c r="BO251" s="89"/>
      <c r="BP251" s="89"/>
      <c r="BQ251" s="89"/>
      <c r="BR251" s="89"/>
      <c r="BS251" s="89"/>
    </row>
    <row r="252" spans="1:71" ht="27" customHeight="1" x14ac:dyDescent="0.2">
      <c r="A252" s="93"/>
      <c r="B252" s="89"/>
      <c r="C252" s="89"/>
      <c r="D252" s="89"/>
      <c r="E252" s="89"/>
      <c r="F252" s="89"/>
      <c r="G252" s="89"/>
      <c r="H252" s="94"/>
      <c r="I252" s="94"/>
      <c r="J252" s="94"/>
      <c r="K252" s="94"/>
      <c r="L252" s="94"/>
      <c r="M252" s="94"/>
      <c r="N252" s="94"/>
      <c r="O252" s="94"/>
      <c r="P252" s="94"/>
      <c r="Q252" s="94"/>
      <c r="R252" s="95"/>
      <c r="S252" s="94"/>
      <c r="T252" s="96"/>
      <c r="U252" s="94"/>
      <c r="V252" s="97"/>
      <c r="W252" s="94"/>
      <c r="X252" s="98"/>
      <c r="Y252" s="98"/>
      <c r="Z252" s="98"/>
      <c r="AA252" s="98"/>
      <c r="AB252" s="98"/>
      <c r="AC252" s="97"/>
      <c r="AD252" s="99"/>
      <c r="AE252" s="95"/>
      <c r="AF252" s="94"/>
      <c r="AG252" s="89"/>
      <c r="AH252" s="89"/>
      <c r="AI252" s="89"/>
      <c r="AJ252" s="89"/>
      <c r="AK252" s="89"/>
      <c r="AL252" s="89"/>
      <c r="AM252" s="89"/>
      <c r="AN252" s="89"/>
      <c r="AO252" s="89"/>
      <c r="AP252" s="89"/>
      <c r="AQ252" s="89"/>
      <c r="AR252" s="89"/>
      <c r="AS252" s="89"/>
      <c r="AT252" s="89"/>
      <c r="AU252" s="89"/>
      <c r="AV252" s="89"/>
      <c r="AW252" s="100"/>
      <c r="AX252" s="100"/>
      <c r="AY252" s="89"/>
      <c r="AZ252" s="89"/>
      <c r="BA252" s="89"/>
      <c r="BB252" s="89"/>
      <c r="BC252" s="89"/>
      <c r="BD252" s="89"/>
      <c r="BE252" s="89"/>
      <c r="BF252" s="89"/>
      <c r="BG252" s="89"/>
      <c r="BH252" s="89"/>
      <c r="BI252" s="89"/>
      <c r="BJ252" s="89"/>
      <c r="BK252" s="89"/>
      <c r="BL252" s="89"/>
      <c r="BM252" s="89"/>
      <c r="BN252" s="89"/>
      <c r="BO252" s="89"/>
      <c r="BP252" s="89"/>
      <c r="BQ252" s="89"/>
      <c r="BR252" s="89"/>
      <c r="BS252" s="89"/>
    </row>
    <row r="253" spans="1:71" ht="27" customHeight="1" x14ac:dyDescent="0.2">
      <c r="A253" s="93"/>
      <c r="B253" s="89"/>
      <c r="C253" s="89"/>
      <c r="D253" s="89"/>
      <c r="E253" s="89"/>
      <c r="F253" s="89"/>
      <c r="G253" s="89"/>
      <c r="H253" s="94"/>
      <c r="I253" s="94"/>
      <c r="J253" s="94"/>
      <c r="K253" s="94"/>
      <c r="L253" s="94"/>
      <c r="M253" s="94"/>
      <c r="N253" s="94"/>
      <c r="O253" s="94"/>
      <c r="P253" s="94"/>
      <c r="Q253" s="94"/>
      <c r="R253" s="95"/>
      <c r="S253" s="94"/>
      <c r="T253" s="96"/>
      <c r="U253" s="94"/>
      <c r="V253" s="97"/>
      <c r="W253" s="94"/>
      <c r="X253" s="98"/>
      <c r="Y253" s="98"/>
      <c r="Z253" s="98"/>
      <c r="AA253" s="98"/>
      <c r="AB253" s="98"/>
      <c r="AC253" s="97"/>
      <c r="AD253" s="99"/>
      <c r="AE253" s="95"/>
      <c r="AF253" s="94"/>
      <c r="AG253" s="89"/>
      <c r="AH253" s="89"/>
      <c r="AI253" s="89"/>
      <c r="AJ253" s="89"/>
      <c r="AK253" s="89"/>
      <c r="AL253" s="89"/>
      <c r="AM253" s="89"/>
      <c r="AN253" s="89"/>
      <c r="AO253" s="89"/>
      <c r="AP253" s="89"/>
      <c r="AQ253" s="89"/>
      <c r="AR253" s="89"/>
      <c r="AS253" s="89"/>
      <c r="AT253" s="89"/>
      <c r="AU253" s="89"/>
      <c r="AV253" s="89"/>
      <c r="AW253" s="100"/>
      <c r="AX253" s="100"/>
      <c r="AY253" s="89"/>
      <c r="AZ253" s="89"/>
      <c r="BA253" s="89"/>
      <c r="BB253" s="89"/>
      <c r="BC253" s="89"/>
      <c r="BD253" s="89"/>
      <c r="BE253" s="89"/>
      <c r="BF253" s="89"/>
      <c r="BG253" s="89"/>
      <c r="BH253" s="89"/>
      <c r="BI253" s="89"/>
      <c r="BJ253" s="89"/>
      <c r="BK253" s="89"/>
      <c r="BL253" s="89"/>
      <c r="BM253" s="89"/>
      <c r="BN253" s="89"/>
      <c r="BO253" s="89"/>
      <c r="BP253" s="89"/>
      <c r="BQ253" s="89"/>
      <c r="BR253" s="89"/>
      <c r="BS253" s="89"/>
    </row>
    <row r="254" spans="1:71" ht="27" customHeight="1" x14ac:dyDescent="0.2">
      <c r="A254" s="93"/>
      <c r="B254" s="89"/>
      <c r="C254" s="89"/>
      <c r="D254" s="89"/>
      <c r="E254" s="89"/>
      <c r="F254" s="89"/>
      <c r="G254" s="89"/>
      <c r="H254" s="94"/>
      <c r="I254" s="94"/>
      <c r="J254" s="94"/>
      <c r="K254" s="94"/>
      <c r="L254" s="94"/>
      <c r="M254" s="94"/>
      <c r="N254" s="94"/>
      <c r="O254" s="94"/>
      <c r="P254" s="94"/>
      <c r="Q254" s="94"/>
      <c r="R254" s="95"/>
      <c r="S254" s="94"/>
      <c r="T254" s="96"/>
      <c r="U254" s="94"/>
      <c r="V254" s="97"/>
      <c r="W254" s="94"/>
      <c r="X254" s="98"/>
      <c r="Y254" s="98"/>
      <c r="Z254" s="98"/>
      <c r="AA254" s="98"/>
      <c r="AB254" s="98"/>
      <c r="AC254" s="97"/>
      <c r="AD254" s="99"/>
      <c r="AE254" s="95"/>
      <c r="AF254" s="94"/>
      <c r="AG254" s="89"/>
      <c r="AH254" s="89"/>
      <c r="AI254" s="89"/>
      <c r="AJ254" s="89"/>
      <c r="AK254" s="89"/>
      <c r="AL254" s="89"/>
      <c r="AM254" s="89"/>
      <c r="AN254" s="89"/>
      <c r="AO254" s="89"/>
      <c r="AP254" s="89"/>
      <c r="AQ254" s="89"/>
      <c r="AR254" s="89"/>
      <c r="AS254" s="89"/>
      <c r="AT254" s="89"/>
      <c r="AU254" s="89"/>
      <c r="AV254" s="89"/>
      <c r="AW254" s="100"/>
      <c r="AX254" s="100"/>
      <c r="AY254" s="89"/>
      <c r="AZ254" s="89"/>
      <c r="BA254" s="89"/>
      <c r="BB254" s="89"/>
      <c r="BC254" s="89"/>
      <c r="BD254" s="89"/>
      <c r="BE254" s="89"/>
      <c r="BF254" s="89"/>
      <c r="BG254" s="89"/>
      <c r="BH254" s="89"/>
      <c r="BI254" s="89"/>
      <c r="BJ254" s="89"/>
      <c r="BK254" s="89"/>
      <c r="BL254" s="89"/>
      <c r="BM254" s="89"/>
      <c r="BN254" s="89"/>
      <c r="BO254" s="89"/>
      <c r="BP254" s="89"/>
      <c r="BQ254" s="89"/>
      <c r="BR254" s="89"/>
      <c r="BS254" s="89"/>
    </row>
    <row r="255" spans="1:71" ht="27" customHeight="1" x14ac:dyDescent="0.2">
      <c r="A255" s="93"/>
      <c r="B255" s="89"/>
      <c r="C255" s="89"/>
      <c r="D255" s="89"/>
      <c r="E255" s="89"/>
      <c r="F255" s="89"/>
      <c r="G255" s="89"/>
      <c r="H255" s="94"/>
      <c r="I255" s="94"/>
      <c r="J255" s="94"/>
      <c r="K255" s="94"/>
      <c r="L255" s="94"/>
      <c r="M255" s="94"/>
      <c r="N255" s="94"/>
      <c r="O255" s="94"/>
      <c r="P255" s="94"/>
      <c r="Q255" s="94"/>
      <c r="R255" s="95"/>
      <c r="S255" s="94"/>
      <c r="T255" s="96"/>
      <c r="U255" s="94"/>
      <c r="V255" s="97"/>
      <c r="W255" s="94"/>
      <c r="X255" s="98"/>
      <c r="Y255" s="98"/>
      <c r="Z255" s="98"/>
      <c r="AA255" s="98"/>
      <c r="AB255" s="98"/>
      <c r="AC255" s="97"/>
      <c r="AD255" s="99"/>
      <c r="AE255" s="95"/>
      <c r="AF255" s="94"/>
      <c r="AG255" s="89"/>
      <c r="AH255" s="89"/>
      <c r="AI255" s="89"/>
      <c r="AJ255" s="89"/>
      <c r="AK255" s="89"/>
      <c r="AL255" s="89"/>
      <c r="AM255" s="89"/>
      <c r="AN255" s="89"/>
      <c r="AO255" s="89"/>
      <c r="AP255" s="89"/>
      <c r="AQ255" s="89"/>
      <c r="AR255" s="89"/>
      <c r="AS255" s="89"/>
      <c r="AT255" s="89"/>
      <c r="AU255" s="89"/>
      <c r="AV255" s="89"/>
      <c r="AW255" s="100"/>
      <c r="AX255" s="100"/>
      <c r="AY255" s="89"/>
      <c r="AZ255" s="89"/>
      <c r="BA255" s="89"/>
      <c r="BB255" s="89"/>
      <c r="BC255" s="89"/>
      <c r="BD255" s="89"/>
      <c r="BE255" s="89"/>
      <c r="BF255" s="89"/>
      <c r="BG255" s="89"/>
      <c r="BH255" s="89"/>
      <c r="BI255" s="89"/>
      <c r="BJ255" s="89"/>
      <c r="BK255" s="89"/>
      <c r="BL255" s="89"/>
      <c r="BM255" s="89"/>
      <c r="BN255" s="89"/>
      <c r="BO255" s="89"/>
      <c r="BP255" s="89"/>
      <c r="BQ255" s="89"/>
      <c r="BR255" s="89"/>
      <c r="BS255" s="89"/>
    </row>
    <row r="256" spans="1:71" ht="27" customHeight="1" x14ac:dyDescent="0.2">
      <c r="A256" s="93"/>
      <c r="B256" s="89"/>
      <c r="C256" s="89"/>
      <c r="D256" s="89"/>
      <c r="E256" s="89"/>
      <c r="F256" s="89"/>
      <c r="G256" s="89"/>
      <c r="H256" s="94"/>
      <c r="I256" s="94"/>
      <c r="J256" s="94"/>
      <c r="K256" s="94"/>
      <c r="L256" s="94"/>
      <c r="M256" s="94"/>
      <c r="N256" s="94"/>
      <c r="O256" s="94"/>
      <c r="P256" s="94"/>
      <c r="Q256" s="94"/>
      <c r="R256" s="95"/>
      <c r="S256" s="94"/>
      <c r="T256" s="96"/>
      <c r="U256" s="94"/>
      <c r="V256" s="97"/>
      <c r="W256" s="94"/>
      <c r="X256" s="98"/>
      <c r="Y256" s="98"/>
      <c r="Z256" s="98"/>
      <c r="AA256" s="98"/>
      <c r="AB256" s="98"/>
      <c r="AC256" s="97"/>
      <c r="AD256" s="99"/>
      <c r="AE256" s="95"/>
      <c r="AF256" s="94"/>
      <c r="AG256" s="89"/>
      <c r="AH256" s="89"/>
      <c r="AI256" s="89"/>
      <c r="AJ256" s="89"/>
      <c r="AK256" s="89"/>
      <c r="AL256" s="89"/>
      <c r="AM256" s="89"/>
      <c r="AN256" s="89"/>
      <c r="AO256" s="89"/>
      <c r="AP256" s="89"/>
      <c r="AQ256" s="89"/>
      <c r="AR256" s="89"/>
      <c r="AS256" s="89"/>
      <c r="AT256" s="89"/>
      <c r="AU256" s="89"/>
      <c r="AV256" s="89"/>
      <c r="AW256" s="100"/>
      <c r="AX256" s="100"/>
      <c r="AY256" s="89"/>
      <c r="AZ256" s="89"/>
      <c r="BA256" s="89"/>
      <c r="BB256" s="89"/>
      <c r="BC256" s="89"/>
      <c r="BD256" s="89"/>
      <c r="BE256" s="89"/>
      <c r="BF256" s="89"/>
      <c r="BG256" s="89"/>
      <c r="BH256" s="89"/>
      <c r="BI256" s="89"/>
      <c r="BJ256" s="89"/>
      <c r="BK256" s="89"/>
      <c r="BL256" s="89"/>
      <c r="BM256" s="89"/>
      <c r="BN256" s="89"/>
      <c r="BO256" s="89"/>
      <c r="BP256" s="89"/>
      <c r="BQ256" s="89"/>
      <c r="BR256" s="89"/>
      <c r="BS256" s="89"/>
    </row>
    <row r="257" spans="1:71" ht="27" customHeight="1" x14ac:dyDescent="0.2">
      <c r="A257" s="93"/>
      <c r="B257" s="89"/>
      <c r="C257" s="89"/>
      <c r="D257" s="89"/>
      <c r="E257" s="89"/>
      <c r="F257" s="89"/>
      <c r="G257" s="89"/>
      <c r="H257" s="94"/>
      <c r="I257" s="94"/>
      <c r="J257" s="94"/>
      <c r="K257" s="94"/>
      <c r="L257" s="94"/>
      <c r="M257" s="94"/>
      <c r="N257" s="94"/>
      <c r="O257" s="94"/>
      <c r="P257" s="94"/>
      <c r="Q257" s="94"/>
      <c r="R257" s="95"/>
      <c r="S257" s="94"/>
      <c r="T257" s="96"/>
      <c r="U257" s="94"/>
      <c r="V257" s="97"/>
      <c r="W257" s="94"/>
      <c r="X257" s="98"/>
      <c r="Y257" s="98"/>
      <c r="Z257" s="98"/>
      <c r="AA257" s="98"/>
      <c r="AB257" s="98"/>
      <c r="AC257" s="97"/>
      <c r="AD257" s="99"/>
      <c r="AE257" s="95"/>
      <c r="AF257" s="94"/>
      <c r="AG257" s="89"/>
      <c r="AH257" s="89"/>
      <c r="AI257" s="89"/>
      <c r="AJ257" s="89"/>
      <c r="AK257" s="89"/>
      <c r="AL257" s="89"/>
      <c r="AM257" s="89"/>
      <c r="AN257" s="89"/>
      <c r="AO257" s="89"/>
      <c r="AP257" s="89"/>
      <c r="AQ257" s="89"/>
      <c r="AR257" s="89"/>
      <c r="AS257" s="89"/>
      <c r="AT257" s="89"/>
      <c r="AU257" s="89"/>
      <c r="AV257" s="89"/>
      <c r="AW257" s="100"/>
      <c r="AX257" s="100"/>
      <c r="AY257" s="89"/>
      <c r="AZ257" s="89"/>
      <c r="BA257" s="89"/>
      <c r="BB257" s="89"/>
      <c r="BC257" s="89"/>
      <c r="BD257" s="89"/>
      <c r="BE257" s="89"/>
      <c r="BF257" s="89"/>
      <c r="BG257" s="89"/>
      <c r="BH257" s="89"/>
      <c r="BI257" s="89"/>
      <c r="BJ257" s="89"/>
      <c r="BK257" s="89"/>
      <c r="BL257" s="89"/>
      <c r="BM257" s="89"/>
      <c r="BN257" s="89"/>
      <c r="BO257" s="89"/>
      <c r="BP257" s="89"/>
      <c r="BQ257" s="89"/>
      <c r="BR257" s="89"/>
      <c r="BS257" s="89"/>
    </row>
    <row r="258" spans="1:71" ht="27" customHeight="1" x14ac:dyDescent="0.2">
      <c r="A258" s="93"/>
      <c r="B258" s="89"/>
      <c r="C258" s="89"/>
      <c r="D258" s="89"/>
      <c r="E258" s="89"/>
      <c r="F258" s="89"/>
      <c r="G258" s="89"/>
      <c r="H258" s="94"/>
      <c r="I258" s="94"/>
      <c r="J258" s="94"/>
      <c r="K258" s="94"/>
      <c r="L258" s="94"/>
      <c r="M258" s="94"/>
      <c r="N258" s="94"/>
      <c r="O258" s="94"/>
      <c r="P258" s="94"/>
      <c r="Q258" s="94"/>
      <c r="R258" s="95"/>
      <c r="S258" s="94"/>
      <c r="T258" s="96"/>
      <c r="U258" s="94"/>
      <c r="V258" s="97"/>
      <c r="W258" s="94"/>
      <c r="X258" s="98"/>
      <c r="Y258" s="98"/>
      <c r="Z258" s="98"/>
      <c r="AA258" s="98"/>
      <c r="AB258" s="98"/>
      <c r="AC258" s="97"/>
      <c r="AD258" s="99"/>
      <c r="AE258" s="95"/>
      <c r="AF258" s="94"/>
      <c r="AG258" s="89"/>
      <c r="AH258" s="89"/>
      <c r="AI258" s="89"/>
      <c r="AJ258" s="89"/>
      <c r="AK258" s="89"/>
      <c r="AL258" s="89"/>
      <c r="AM258" s="89"/>
      <c r="AN258" s="89"/>
      <c r="AO258" s="89"/>
      <c r="AP258" s="89"/>
      <c r="AQ258" s="89"/>
      <c r="AR258" s="89"/>
      <c r="AS258" s="89"/>
      <c r="AT258" s="89"/>
      <c r="AU258" s="89"/>
      <c r="AV258" s="89"/>
      <c r="AW258" s="100"/>
      <c r="AX258" s="100"/>
      <c r="AY258" s="89"/>
      <c r="AZ258" s="89"/>
      <c r="BA258" s="89"/>
      <c r="BB258" s="89"/>
      <c r="BC258" s="89"/>
      <c r="BD258" s="89"/>
      <c r="BE258" s="89"/>
      <c r="BF258" s="89"/>
      <c r="BG258" s="89"/>
      <c r="BH258" s="89"/>
      <c r="BI258" s="89"/>
      <c r="BJ258" s="89"/>
      <c r="BK258" s="89"/>
      <c r="BL258" s="89"/>
      <c r="BM258" s="89"/>
      <c r="BN258" s="89"/>
      <c r="BO258" s="89"/>
      <c r="BP258" s="89"/>
      <c r="BQ258" s="89"/>
      <c r="BR258" s="89"/>
      <c r="BS258" s="89"/>
    </row>
    <row r="259" spans="1:71" ht="27" customHeight="1" x14ac:dyDescent="0.2">
      <c r="A259" s="93"/>
      <c r="B259" s="89"/>
      <c r="C259" s="89"/>
      <c r="D259" s="89"/>
      <c r="E259" s="89"/>
      <c r="F259" s="89"/>
      <c r="G259" s="89"/>
      <c r="H259" s="94"/>
      <c r="I259" s="94"/>
      <c r="J259" s="94"/>
      <c r="K259" s="94"/>
      <c r="L259" s="94"/>
      <c r="M259" s="94"/>
      <c r="N259" s="94"/>
      <c r="O259" s="94"/>
      <c r="P259" s="94"/>
      <c r="Q259" s="94"/>
      <c r="R259" s="95"/>
      <c r="S259" s="94"/>
      <c r="T259" s="96"/>
      <c r="U259" s="94"/>
      <c r="V259" s="97"/>
      <c r="W259" s="94"/>
      <c r="X259" s="98"/>
      <c r="Y259" s="98"/>
      <c r="Z259" s="98"/>
      <c r="AA259" s="98"/>
      <c r="AB259" s="98"/>
      <c r="AC259" s="97"/>
      <c r="AD259" s="99"/>
      <c r="AE259" s="95"/>
      <c r="AF259" s="94"/>
      <c r="AG259" s="89"/>
      <c r="AH259" s="89"/>
      <c r="AI259" s="89"/>
      <c r="AJ259" s="89"/>
      <c r="AK259" s="89"/>
      <c r="AL259" s="89"/>
      <c r="AM259" s="89"/>
      <c r="AN259" s="89"/>
      <c r="AO259" s="89"/>
      <c r="AP259" s="89"/>
      <c r="AQ259" s="89"/>
      <c r="AR259" s="89"/>
      <c r="AS259" s="89"/>
      <c r="AT259" s="89"/>
      <c r="AU259" s="89"/>
      <c r="AV259" s="89"/>
      <c r="AW259" s="100"/>
      <c r="AX259" s="100"/>
      <c r="AY259" s="89"/>
      <c r="AZ259" s="89"/>
      <c r="BA259" s="89"/>
      <c r="BB259" s="89"/>
      <c r="BC259" s="89"/>
      <c r="BD259" s="89"/>
      <c r="BE259" s="89"/>
      <c r="BF259" s="89"/>
      <c r="BG259" s="89"/>
      <c r="BH259" s="89"/>
      <c r="BI259" s="89"/>
      <c r="BJ259" s="89"/>
      <c r="BK259" s="89"/>
      <c r="BL259" s="89"/>
      <c r="BM259" s="89"/>
      <c r="BN259" s="89"/>
      <c r="BO259" s="89"/>
      <c r="BP259" s="89"/>
      <c r="BQ259" s="89"/>
      <c r="BR259" s="89"/>
      <c r="BS259" s="89"/>
    </row>
    <row r="260" spans="1:71" ht="27" customHeight="1" x14ac:dyDescent="0.2">
      <c r="A260" s="93"/>
      <c r="B260" s="89"/>
      <c r="C260" s="89"/>
      <c r="D260" s="89"/>
      <c r="E260" s="89"/>
      <c r="F260" s="89"/>
      <c r="G260" s="89"/>
      <c r="H260" s="94"/>
      <c r="I260" s="94"/>
      <c r="J260" s="94"/>
      <c r="K260" s="94"/>
      <c r="L260" s="94"/>
      <c r="M260" s="94"/>
      <c r="N260" s="94"/>
      <c r="O260" s="94"/>
      <c r="P260" s="94"/>
      <c r="Q260" s="94"/>
      <c r="R260" s="95"/>
      <c r="S260" s="94"/>
      <c r="T260" s="96"/>
      <c r="U260" s="94"/>
      <c r="V260" s="97"/>
      <c r="W260" s="94"/>
      <c r="X260" s="98"/>
      <c r="Y260" s="98"/>
      <c r="Z260" s="98"/>
      <c r="AA260" s="98"/>
      <c r="AB260" s="98"/>
      <c r="AC260" s="97"/>
      <c r="AD260" s="99"/>
      <c r="AE260" s="95"/>
      <c r="AF260" s="94"/>
      <c r="AG260" s="89"/>
      <c r="AH260" s="89"/>
      <c r="AI260" s="89"/>
      <c r="AJ260" s="89"/>
      <c r="AK260" s="89"/>
      <c r="AL260" s="89"/>
      <c r="AM260" s="89"/>
      <c r="AN260" s="89"/>
      <c r="AO260" s="89"/>
      <c r="AP260" s="89"/>
      <c r="AQ260" s="89"/>
      <c r="AR260" s="89"/>
      <c r="AS260" s="89"/>
      <c r="AT260" s="89"/>
      <c r="AU260" s="89"/>
      <c r="AV260" s="89"/>
      <c r="AW260" s="100"/>
      <c r="AX260" s="100"/>
      <c r="AY260" s="89"/>
      <c r="AZ260" s="89"/>
      <c r="BA260" s="89"/>
      <c r="BB260" s="89"/>
      <c r="BC260" s="89"/>
      <c r="BD260" s="89"/>
      <c r="BE260" s="89"/>
      <c r="BF260" s="89"/>
      <c r="BG260" s="89"/>
      <c r="BH260" s="89"/>
      <c r="BI260" s="89"/>
      <c r="BJ260" s="89"/>
      <c r="BK260" s="89"/>
      <c r="BL260" s="89"/>
      <c r="BM260" s="89"/>
      <c r="BN260" s="89"/>
      <c r="BO260" s="89"/>
      <c r="BP260" s="89"/>
      <c r="BQ260" s="89"/>
      <c r="BR260" s="89"/>
      <c r="BS260" s="89"/>
    </row>
    <row r="261" spans="1:71" ht="27" customHeight="1" x14ac:dyDescent="0.2">
      <c r="A261" s="93"/>
      <c r="B261" s="89"/>
      <c r="C261" s="89"/>
      <c r="D261" s="89"/>
      <c r="E261" s="89"/>
      <c r="F261" s="89"/>
      <c r="G261" s="89"/>
      <c r="H261" s="94"/>
      <c r="I261" s="94"/>
      <c r="J261" s="94"/>
      <c r="K261" s="94"/>
      <c r="L261" s="94"/>
      <c r="M261" s="94"/>
      <c r="N261" s="94"/>
      <c r="O261" s="94"/>
      <c r="P261" s="94"/>
      <c r="Q261" s="94"/>
      <c r="R261" s="95"/>
      <c r="S261" s="94"/>
      <c r="T261" s="96"/>
      <c r="U261" s="94"/>
      <c r="V261" s="97"/>
      <c r="W261" s="94"/>
      <c r="X261" s="98"/>
      <c r="Y261" s="98"/>
      <c r="Z261" s="98"/>
      <c r="AA261" s="98"/>
      <c r="AB261" s="98"/>
      <c r="AC261" s="97"/>
      <c r="AD261" s="99"/>
      <c r="AE261" s="95"/>
      <c r="AF261" s="94"/>
      <c r="AG261" s="89"/>
      <c r="AH261" s="89"/>
      <c r="AI261" s="89"/>
      <c r="AJ261" s="89"/>
      <c r="AK261" s="89"/>
      <c r="AL261" s="89"/>
      <c r="AM261" s="89"/>
      <c r="AN261" s="89"/>
      <c r="AO261" s="89"/>
      <c r="AP261" s="89"/>
      <c r="AQ261" s="89"/>
      <c r="AR261" s="89"/>
      <c r="AS261" s="89"/>
      <c r="AT261" s="89"/>
      <c r="AU261" s="89"/>
      <c r="AV261" s="89"/>
      <c r="AW261" s="100"/>
      <c r="AX261" s="100"/>
      <c r="AY261" s="89"/>
      <c r="AZ261" s="89"/>
      <c r="BA261" s="89"/>
      <c r="BB261" s="89"/>
      <c r="BC261" s="89"/>
      <c r="BD261" s="89"/>
      <c r="BE261" s="89"/>
      <c r="BF261" s="89"/>
      <c r="BG261" s="89"/>
      <c r="BH261" s="89"/>
      <c r="BI261" s="89"/>
      <c r="BJ261" s="89"/>
      <c r="BK261" s="89"/>
      <c r="BL261" s="89"/>
      <c r="BM261" s="89"/>
      <c r="BN261" s="89"/>
      <c r="BO261" s="89"/>
      <c r="BP261" s="89"/>
      <c r="BQ261" s="89"/>
      <c r="BR261" s="89"/>
      <c r="BS261" s="89"/>
    </row>
    <row r="262" spans="1:71" ht="27" customHeight="1" x14ac:dyDescent="0.2">
      <c r="A262" s="93"/>
      <c r="B262" s="89"/>
      <c r="C262" s="89"/>
      <c r="D262" s="89"/>
      <c r="E262" s="89"/>
      <c r="F262" s="89"/>
      <c r="G262" s="89"/>
      <c r="H262" s="94"/>
      <c r="I262" s="94"/>
      <c r="J262" s="94"/>
      <c r="K262" s="94"/>
      <c r="L262" s="94"/>
      <c r="M262" s="94"/>
      <c r="N262" s="94"/>
      <c r="O262" s="94"/>
      <c r="P262" s="94"/>
      <c r="Q262" s="94"/>
      <c r="R262" s="95"/>
      <c r="S262" s="94"/>
      <c r="T262" s="96"/>
      <c r="U262" s="94"/>
      <c r="V262" s="97"/>
      <c r="W262" s="94"/>
      <c r="X262" s="98"/>
      <c r="Y262" s="98"/>
      <c r="Z262" s="98"/>
      <c r="AA262" s="98"/>
      <c r="AB262" s="98"/>
      <c r="AC262" s="97"/>
      <c r="AD262" s="99"/>
      <c r="AE262" s="95"/>
      <c r="AF262" s="94"/>
      <c r="AG262" s="89"/>
      <c r="AH262" s="89"/>
      <c r="AI262" s="89"/>
      <c r="AJ262" s="89"/>
      <c r="AK262" s="89"/>
      <c r="AL262" s="89"/>
      <c r="AM262" s="89"/>
      <c r="AN262" s="89"/>
      <c r="AO262" s="89"/>
      <c r="AP262" s="89"/>
      <c r="AQ262" s="89"/>
      <c r="AR262" s="89"/>
      <c r="AS262" s="89"/>
      <c r="AT262" s="89"/>
      <c r="AU262" s="89"/>
      <c r="AV262" s="89"/>
      <c r="AW262" s="100"/>
      <c r="AX262" s="100"/>
      <c r="AY262" s="89"/>
      <c r="AZ262" s="89"/>
      <c r="BA262" s="89"/>
      <c r="BB262" s="89"/>
      <c r="BC262" s="89"/>
      <c r="BD262" s="89"/>
      <c r="BE262" s="89"/>
      <c r="BF262" s="89"/>
      <c r="BG262" s="89"/>
      <c r="BH262" s="89"/>
      <c r="BI262" s="89"/>
      <c r="BJ262" s="89"/>
      <c r="BK262" s="89"/>
      <c r="BL262" s="89"/>
      <c r="BM262" s="89"/>
      <c r="BN262" s="89"/>
      <c r="BO262" s="89"/>
      <c r="BP262" s="89"/>
      <c r="BQ262" s="89"/>
      <c r="BR262" s="89"/>
      <c r="BS262" s="89"/>
    </row>
    <row r="263" spans="1:71" ht="27" customHeight="1" x14ac:dyDescent="0.2">
      <c r="A263" s="93"/>
      <c r="B263" s="89"/>
      <c r="C263" s="89"/>
      <c r="D263" s="89"/>
      <c r="E263" s="89"/>
      <c r="F263" s="89"/>
      <c r="G263" s="89"/>
      <c r="H263" s="94"/>
      <c r="I263" s="94"/>
      <c r="J263" s="94"/>
      <c r="K263" s="94"/>
      <c r="L263" s="94"/>
      <c r="M263" s="94"/>
      <c r="N263" s="94"/>
      <c r="O263" s="94"/>
      <c r="P263" s="94"/>
      <c r="Q263" s="94"/>
      <c r="R263" s="95"/>
      <c r="S263" s="94"/>
      <c r="T263" s="96"/>
      <c r="U263" s="94"/>
      <c r="V263" s="97"/>
      <c r="W263" s="94"/>
      <c r="X263" s="98"/>
      <c r="Y263" s="98"/>
      <c r="Z263" s="98"/>
      <c r="AA263" s="98"/>
      <c r="AB263" s="98"/>
      <c r="AC263" s="97"/>
      <c r="AD263" s="99"/>
      <c r="AE263" s="95"/>
      <c r="AF263" s="94"/>
      <c r="AG263" s="89"/>
      <c r="AH263" s="89"/>
      <c r="AI263" s="89"/>
      <c r="AJ263" s="89"/>
      <c r="AK263" s="89"/>
      <c r="AL263" s="89"/>
      <c r="AM263" s="89"/>
      <c r="AN263" s="89"/>
      <c r="AO263" s="89"/>
      <c r="AP263" s="89"/>
      <c r="AQ263" s="89"/>
      <c r="AR263" s="89"/>
      <c r="AS263" s="89"/>
      <c r="AT263" s="89"/>
      <c r="AU263" s="89"/>
      <c r="AV263" s="89"/>
      <c r="AW263" s="100"/>
      <c r="AX263" s="100"/>
      <c r="AY263" s="89"/>
      <c r="AZ263" s="89"/>
      <c r="BA263" s="89"/>
      <c r="BB263" s="89"/>
      <c r="BC263" s="89"/>
      <c r="BD263" s="89"/>
      <c r="BE263" s="89"/>
      <c r="BF263" s="89"/>
      <c r="BG263" s="89"/>
      <c r="BH263" s="89"/>
      <c r="BI263" s="89"/>
      <c r="BJ263" s="89"/>
      <c r="BK263" s="89"/>
      <c r="BL263" s="89"/>
      <c r="BM263" s="89"/>
      <c r="BN263" s="89"/>
      <c r="BO263" s="89"/>
      <c r="BP263" s="89"/>
      <c r="BQ263" s="89"/>
      <c r="BR263" s="89"/>
      <c r="BS263" s="89"/>
    </row>
    <row r="264" spans="1:71" ht="27" customHeight="1" x14ac:dyDescent="0.2">
      <c r="A264" s="93"/>
      <c r="B264" s="89"/>
      <c r="C264" s="89"/>
      <c r="D264" s="89"/>
      <c r="E264" s="89"/>
      <c r="F264" s="89"/>
      <c r="G264" s="89"/>
      <c r="H264" s="94"/>
      <c r="I264" s="94"/>
      <c r="J264" s="94"/>
      <c r="K264" s="94"/>
      <c r="L264" s="94"/>
      <c r="M264" s="94"/>
      <c r="N264" s="94"/>
      <c r="O264" s="94"/>
      <c r="P264" s="94"/>
      <c r="Q264" s="94"/>
      <c r="R264" s="95"/>
      <c r="S264" s="94"/>
      <c r="T264" s="96"/>
      <c r="U264" s="94"/>
      <c r="V264" s="97"/>
      <c r="W264" s="94"/>
      <c r="X264" s="98"/>
      <c r="Y264" s="98"/>
      <c r="Z264" s="98"/>
      <c r="AA264" s="98"/>
      <c r="AB264" s="98"/>
      <c r="AC264" s="97"/>
      <c r="AD264" s="99"/>
      <c r="AE264" s="95"/>
      <c r="AF264" s="94"/>
      <c r="AG264" s="89"/>
      <c r="AH264" s="89"/>
      <c r="AI264" s="89"/>
      <c r="AJ264" s="89"/>
      <c r="AK264" s="89"/>
      <c r="AL264" s="89"/>
      <c r="AM264" s="89"/>
      <c r="AN264" s="89"/>
      <c r="AO264" s="89"/>
      <c r="AP264" s="89"/>
      <c r="AQ264" s="89"/>
      <c r="AR264" s="89"/>
      <c r="AS264" s="89"/>
      <c r="AT264" s="89"/>
      <c r="AU264" s="89"/>
      <c r="AV264" s="89"/>
      <c r="AW264" s="100"/>
      <c r="AX264" s="100"/>
      <c r="AY264" s="89"/>
      <c r="AZ264" s="89"/>
      <c r="BA264" s="89"/>
      <c r="BB264" s="89"/>
      <c r="BC264" s="89"/>
      <c r="BD264" s="89"/>
      <c r="BE264" s="89"/>
      <c r="BF264" s="89"/>
      <c r="BG264" s="89"/>
      <c r="BH264" s="89"/>
      <c r="BI264" s="89"/>
      <c r="BJ264" s="89"/>
      <c r="BK264" s="89"/>
      <c r="BL264" s="89"/>
      <c r="BM264" s="89"/>
      <c r="BN264" s="89"/>
      <c r="BO264" s="89"/>
      <c r="BP264" s="89"/>
      <c r="BQ264" s="89"/>
      <c r="BR264" s="89"/>
      <c r="BS264" s="89"/>
    </row>
    <row r="265" spans="1:71" ht="27" customHeight="1" x14ac:dyDescent="0.2">
      <c r="A265" s="93"/>
      <c r="B265" s="89"/>
      <c r="C265" s="89"/>
      <c r="D265" s="89"/>
      <c r="E265" s="89"/>
      <c r="F265" s="89"/>
      <c r="G265" s="89"/>
      <c r="H265" s="94"/>
      <c r="I265" s="94"/>
      <c r="J265" s="94"/>
      <c r="K265" s="94"/>
      <c r="L265" s="94"/>
      <c r="M265" s="94"/>
      <c r="N265" s="94"/>
      <c r="O265" s="94"/>
      <c r="P265" s="94"/>
      <c r="Q265" s="94"/>
      <c r="R265" s="95"/>
      <c r="S265" s="94"/>
      <c r="T265" s="96"/>
      <c r="U265" s="94"/>
      <c r="V265" s="97"/>
      <c r="W265" s="94"/>
      <c r="X265" s="98"/>
      <c r="Y265" s="98"/>
      <c r="Z265" s="98"/>
      <c r="AA265" s="98"/>
      <c r="AB265" s="98"/>
      <c r="AC265" s="97"/>
      <c r="AD265" s="99"/>
      <c r="AE265" s="95"/>
      <c r="AF265" s="94"/>
      <c r="AG265" s="89"/>
      <c r="AH265" s="89"/>
      <c r="AI265" s="89"/>
      <c r="AJ265" s="89"/>
      <c r="AK265" s="89"/>
      <c r="AL265" s="89"/>
      <c r="AM265" s="89"/>
      <c r="AN265" s="89"/>
      <c r="AO265" s="89"/>
      <c r="AP265" s="89"/>
      <c r="AQ265" s="89"/>
      <c r="AR265" s="89"/>
      <c r="AS265" s="89"/>
      <c r="AT265" s="89"/>
      <c r="AU265" s="89"/>
      <c r="AV265" s="89"/>
      <c r="AW265" s="100"/>
      <c r="AX265" s="100"/>
      <c r="AY265" s="89"/>
      <c r="AZ265" s="89"/>
      <c r="BA265" s="89"/>
      <c r="BB265" s="89"/>
      <c r="BC265" s="89"/>
      <c r="BD265" s="89"/>
      <c r="BE265" s="89"/>
      <c r="BF265" s="89"/>
      <c r="BG265" s="89"/>
      <c r="BH265" s="89"/>
      <c r="BI265" s="89"/>
      <c r="BJ265" s="89"/>
      <c r="BK265" s="89"/>
      <c r="BL265" s="89"/>
      <c r="BM265" s="89"/>
      <c r="BN265" s="89"/>
      <c r="BO265" s="89"/>
      <c r="BP265" s="89"/>
      <c r="BQ265" s="89"/>
      <c r="BR265" s="89"/>
      <c r="BS265" s="89"/>
    </row>
    <row r="266" spans="1:71" ht="27" customHeight="1" x14ac:dyDescent="0.2">
      <c r="A266" s="93"/>
      <c r="B266" s="89"/>
      <c r="C266" s="89"/>
      <c r="D266" s="89"/>
      <c r="E266" s="89"/>
      <c r="F266" s="89"/>
      <c r="G266" s="89"/>
      <c r="H266" s="94"/>
      <c r="I266" s="94"/>
      <c r="J266" s="94"/>
      <c r="K266" s="94"/>
      <c r="L266" s="94"/>
      <c r="M266" s="94"/>
      <c r="N266" s="94"/>
      <c r="O266" s="94"/>
      <c r="P266" s="94"/>
      <c r="Q266" s="94"/>
      <c r="R266" s="95"/>
      <c r="S266" s="94"/>
      <c r="T266" s="96"/>
      <c r="U266" s="94"/>
      <c r="V266" s="97"/>
      <c r="W266" s="94"/>
      <c r="X266" s="98"/>
      <c r="Y266" s="98"/>
      <c r="Z266" s="98"/>
      <c r="AA266" s="98"/>
      <c r="AB266" s="98"/>
      <c r="AC266" s="97"/>
      <c r="AD266" s="99"/>
      <c r="AE266" s="95"/>
      <c r="AF266" s="94"/>
      <c r="AG266" s="89"/>
      <c r="AH266" s="89"/>
      <c r="AI266" s="89"/>
      <c r="AJ266" s="89"/>
      <c r="AK266" s="89"/>
      <c r="AL266" s="89"/>
      <c r="AM266" s="89"/>
      <c r="AN266" s="89"/>
      <c r="AO266" s="89"/>
      <c r="AP266" s="89"/>
      <c r="AQ266" s="89"/>
      <c r="AR266" s="89"/>
      <c r="AS266" s="89"/>
      <c r="AT266" s="89"/>
      <c r="AU266" s="89"/>
      <c r="AV266" s="89"/>
      <c r="AW266" s="100"/>
      <c r="AX266" s="100"/>
      <c r="AY266" s="89"/>
      <c r="AZ266" s="89"/>
      <c r="BA266" s="89"/>
      <c r="BB266" s="89"/>
      <c r="BC266" s="89"/>
      <c r="BD266" s="89"/>
      <c r="BE266" s="89"/>
      <c r="BF266" s="89"/>
      <c r="BG266" s="89"/>
      <c r="BH266" s="89"/>
      <c r="BI266" s="89"/>
      <c r="BJ266" s="89"/>
      <c r="BK266" s="89"/>
      <c r="BL266" s="89"/>
      <c r="BM266" s="89"/>
      <c r="BN266" s="89"/>
      <c r="BO266" s="89"/>
      <c r="BP266" s="89"/>
      <c r="BQ266" s="89"/>
      <c r="BR266" s="89"/>
      <c r="BS266" s="89"/>
    </row>
    <row r="267" spans="1:71" ht="27" customHeight="1" x14ac:dyDescent="0.2">
      <c r="A267" s="93"/>
      <c r="B267" s="89"/>
      <c r="C267" s="89"/>
      <c r="D267" s="89"/>
      <c r="E267" s="89"/>
      <c r="F267" s="89"/>
      <c r="G267" s="89"/>
      <c r="H267" s="94"/>
      <c r="I267" s="94"/>
      <c r="J267" s="94"/>
      <c r="K267" s="94"/>
      <c r="L267" s="94"/>
      <c r="M267" s="94"/>
      <c r="N267" s="94"/>
      <c r="O267" s="94"/>
      <c r="P267" s="94"/>
      <c r="Q267" s="94"/>
      <c r="R267" s="95"/>
      <c r="S267" s="94"/>
      <c r="T267" s="96"/>
      <c r="U267" s="94"/>
      <c r="V267" s="97"/>
      <c r="W267" s="94"/>
      <c r="X267" s="98"/>
      <c r="Y267" s="98"/>
      <c r="Z267" s="98"/>
      <c r="AA267" s="98"/>
      <c r="AB267" s="98"/>
      <c r="AC267" s="97"/>
      <c r="AD267" s="99"/>
      <c r="AE267" s="95"/>
      <c r="AF267" s="94"/>
      <c r="AG267" s="89"/>
      <c r="AH267" s="89"/>
      <c r="AI267" s="89"/>
      <c r="AJ267" s="89"/>
      <c r="AK267" s="89"/>
      <c r="AL267" s="89"/>
      <c r="AM267" s="89"/>
      <c r="AN267" s="89"/>
      <c r="AO267" s="89"/>
      <c r="AP267" s="89"/>
      <c r="AQ267" s="89"/>
      <c r="AR267" s="89"/>
      <c r="AS267" s="89"/>
      <c r="AT267" s="89"/>
      <c r="AU267" s="89"/>
      <c r="AV267" s="89"/>
      <c r="AW267" s="100"/>
      <c r="AX267" s="100"/>
      <c r="AY267" s="89"/>
      <c r="AZ267" s="89"/>
      <c r="BA267" s="89"/>
      <c r="BB267" s="89"/>
      <c r="BC267" s="89"/>
      <c r="BD267" s="89"/>
      <c r="BE267" s="89"/>
      <c r="BF267" s="89"/>
      <c r="BG267" s="89"/>
      <c r="BH267" s="89"/>
      <c r="BI267" s="89"/>
      <c r="BJ267" s="89"/>
      <c r="BK267" s="89"/>
      <c r="BL267" s="89"/>
      <c r="BM267" s="89"/>
      <c r="BN267" s="89"/>
      <c r="BO267" s="89"/>
      <c r="BP267" s="89"/>
      <c r="BQ267" s="89"/>
      <c r="BR267" s="89"/>
      <c r="BS267" s="89"/>
    </row>
    <row r="268" spans="1:71" ht="27" customHeight="1" x14ac:dyDescent="0.2">
      <c r="A268" s="93"/>
      <c r="B268" s="89"/>
      <c r="C268" s="89"/>
      <c r="D268" s="89"/>
      <c r="E268" s="89"/>
      <c r="F268" s="89"/>
      <c r="G268" s="89"/>
      <c r="H268" s="94"/>
      <c r="I268" s="94"/>
      <c r="J268" s="94"/>
      <c r="K268" s="94"/>
      <c r="L268" s="94"/>
      <c r="M268" s="94"/>
      <c r="N268" s="94"/>
      <c r="O268" s="94"/>
      <c r="P268" s="94"/>
      <c r="Q268" s="94"/>
      <c r="R268" s="95"/>
      <c r="S268" s="94"/>
      <c r="T268" s="96"/>
      <c r="U268" s="94"/>
      <c r="V268" s="97"/>
      <c r="W268" s="94"/>
      <c r="X268" s="98"/>
      <c r="Y268" s="98"/>
      <c r="Z268" s="98"/>
      <c r="AA268" s="98"/>
      <c r="AB268" s="98"/>
      <c r="AC268" s="97"/>
      <c r="AD268" s="99"/>
      <c r="AE268" s="95"/>
      <c r="AF268" s="94"/>
      <c r="AG268" s="89"/>
      <c r="AH268" s="89"/>
      <c r="AI268" s="89"/>
      <c r="AJ268" s="89"/>
      <c r="AK268" s="89"/>
      <c r="AL268" s="89"/>
      <c r="AM268" s="89"/>
      <c r="AN268" s="89"/>
      <c r="AO268" s="89"/>
      <c r="AP268" s="89"/>
      <c r="AQ268" s="89"/>
      <c r="AR268" s="89"/>
      <c r="AS268" s="89"/>
      <c r="AT268" s="89"/>
      <c r="AU268" s="89"/>
      <c r="AV268" s="89"/>
      <c r="AW268" s="100"/>
      <c r="AX268" s="100"/>
      <c r="AY268" s="89"/>
      <c r="AZ268" s="89"/>
      <c r="BA268" s="89"/>
      <c r="BB268" s="89"/>
      <c r="BC268" s="89"/>
      <c r="BD268" s="89"/>
      <c r="BE268" s="89"/>
      <c r="BF268" s="89"/>
      <c r="BG268" s="89"/>
      <c r="BH268" s="89"/>
      <c r="BI268" s="89"/>
      <c r="BJ268" s="89"/>
      <c r="BK268" s="89"/>
      <c r="BL268" s="89"/>
      <c r="BM268" s="89"/>
      <c r="BN268" s="89"/>
      <c r="BO268" s="89"/>
      <c r="BP268" s="89"/>
      <c r="BQ268" s="89"/>
      <c r="BR268" s="89"/>
      <c r="BS268" s="89"/>
    </row>
    <row r="269" spans="1:71" ht="27" customHeight="1" x14ac:dyDescent="0.2">
      <c r="A269" s="93"/>
      <c r="B269" s="89"/>
      <c r="C269" s="89"/>
      <c r="D269" s="89"/>
      <c r="E269" s="89"/>
      <c r="F269" s="89"/>
      <c r="G269" s="89"/>
      <c r="H269" s="94"/>
      <c r="I269" s="94"/>
      <c r="J269" s="94"/>
      <c r="K269" s="94"/>
      <c r="L269" s="94"/>
      <c r="M269" s="94"/>
      <c r="N269" s="94"/>
      <c r="O269" s="94"/>
      <c r="P269" s="94"/>
      <c r="Q269" s="94"/>
      <c r="R269" s="95"/>
      <c r="S269" s="94"/>
      <c r="T269" s="96"/>
      <c r="U269" s="94"/>
      <c r="V269" s="97"/>
      <c r="W269" s="94"/>
      <c r="X269" s="98"/>
      <c r="Y269" s="98"/>
      <c r="Z269" s="98"/>
      <c r="AA269" s="98"/>
      <c r="AB269" s="98"/>
      <c r="AC269" s="97"/>
      <c r="AD269" s="99"/>
      <c r="AE269" s="95"/>
      <c r="AF269" s="94"/>
      <c r="AG269" s="89"/>
      <c r="AH269" s="89"/>
      <c r="AI269" s="89"/>
      <c r="AJ269" s="89"/>
      <c r="AK269" s="89"/>
      <c r="AL269" s="89"/>
      <c r="AM269" s="89"/>
      <c r="AN269" s="89"/>
      <c r="AO269" s="89"/>
      <c r="AP269" s="89"/>
      <c r="AQ269" s="89"/>
      <c r="AR269" s="89"/>
      <c r="AS269" s="89"/>
      <c r="AT269" s="89"/>
      <c r="AU269" s="89"/>
      <c r="AV269" s="89"/>
      <c r="AW269" s="100"/>
      <c r="AX269" s="100"/>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1" ht="27" customHeight="1" x14ac:dyDescent="0.2">
      <c r="A270" s="93"/>
      <c r="B270" s="89"/>
      <c r="C270" s="89"/>
      <c r="D270" s="89"/>
      <c r="E270" s="89"/>
      <c r="F270" s="89"/>
      <c r="G270" s="89"/>
      <c r="H270" s="94"/>
      <c r="I270" s="94"/>
      <c r="J270" s="94"/>
      <c r="K270" s="94"/>
      <c r="L270" s="94"/>
      <c r="M270" s="94"/>
      <c r="N270" s="94"/>
      <c r="O270" s="94"/>
      <c r="P270" s="94"/>
      <c r="Q270" s="94"/>
      <c r="R270" s="95"/>
      <c r="S270" s="94"/>
      <c r="T270" s="96"/>
      <c r="U270" s="94"/>
      <c r="V270" s="97"/>
      <c r="W270" s="94"/>
      <c r="X270" s="98"/>
      <c r="Y270" s="98"/>
      <c r="Z270" s="98"/>
      <c r="AA270" s="98"/>
      <c r="AB270" s="98"/>
      <c r="AC270" s="97"/>
      <c r="AD270" s="99"/>
      <c r="AE270" s="95"/>
      <c r="AF270" s="94"/>
      <c r="AG270" s="89"/>
      <c r="AH270" s="89"/>
      <c r="AI270" s="89"/>
      <c r="AJ270" s="89"/>
      <c r="AK270" s="89"/>
      <c r="AL270" s="89"/>
      <c r="AM270" s="89"/>
      <c r="AN270" s="89"/>
      <c r="AO270" s="89"/>
      <c r="AP270" s="89"/>
      <c r="AQ270" s="89"/>
      <c r="AR270" s="89"/>
      <c r="AS270" s="89"/>
      <c r="AT270" s="89"/>
      <c r="AU270" s="89"/>
      <c r="AV270" s="89"/>
      <c r="AW270" s="100"/>
      <c r="AX270" s="100"/>
      <c r="AY270" s="89"/>
      <c r="AZ270" s="89"/>
      <c r="BA270" s="89"/>
      <c r="BB270" s="89"/>
      <c r="BC270" s="89"/>
      <c r="BD270" s="89"/>
      <c r="BE270" s="89"/>
      <c r="BF270" s="89"/>
      <c r="BG270" s="89"/>
      <c r="BH270" s="89"/>
      <c r="BI270" s="89"/>
      <c r="BJ270" s="89"/>
      <c r="BK270" s="89"/>
      <c r="BL270" s="89"/>
      <c r="BM270" s="89"/>
      <c r="BN270" s="89"/>
      <c r="BO270" s="89"/>
      <c r="BP270" s="89"/>
      <c r="BQ270" s="89"/>
      <c r="BR270" s="89"/>
      <c r="BS270" s="89"/>
    </row>
    <row r="271" spans="1:71" ht="27" customHeight="1" x14ac:dyDescent="0.2">
      <c r="A271" s="93"/>
      <c r="B271" s="89"/>
      <c r="C271" s="89"/>
      <c r="D271" s="89"/>
      <c r="E271" s="89"/>
      <c r="F271" s="89"/>
      <c r="G271" s="89"/>
      <c r="H271" s="94"/>
      <c r="I271" s="94"/>
      <c r="J271" s="94"/>
      <c r="K271" s="94"/>
      <c r="L271" s="94"/>
      <c r="M271" s="94"/>
      <c r="N271" s="94"/>
      <c r="O271" s="94"/>
      <c r="P271" s="94"/>
      <c r="Q271" s="94"/>
      <c r="R271" s="95"/>
      <c r="S271" s="94"/>
      <c r="T271" s="96"/>
      <c r="U271" s="94"/>
      <c r="V271" s="97"/>
      <c r="W271" s="94"/>
      <c r="X271" s="98"/>
      <c r="Y271" s="98"/>
      <c r="Z271" s="98"/>
      <c r="AA271" s="98"/>
      <c r="AB271" s="98"/>
      <c r="AC271" s="97"/>
      <c r="AD271" s="99"/>
      <c r="AE271" s="95"/>
      <c r="AF271" s="94"/>
      <c r="AG271" s="89"/>
      <c r="AH271" s="89"/>
      <c r="AI271" s="89"/>
      <c r="AJ271" s="89"/>
      <c r="AK271" s="89"/>
      <c r="AL271" s="89"/>
      <c r="AM271" s="89"/>
      <c r="AN271" s="89"/>
      <c r="AO271" s="89"/>
      <c r="AP271" s="89"/>
      <c r="AQ271" s="89"/>
      <c r="AR271" s="89"/>
      <c r="AS271" s="89"/>
      <c r="AT271" s="89"/>
      <c r="AU271" s="89"/>
      <c r="AV271" s="89"/>
      <c r="AW271" s="100"/>
      <c r="AX271" s="100"/>
      <c r="AY271" s="89"/>
      <c r="AZ271" s="89"/>
      <c r="BA271" s="89"/>
      <c r="BB271" s="89"/>
      <c r="BC271" s="89"/>
      <c r="BD271" s="89"/>
      <c r="BE271" s="89"/>
      <c r="BF271" s="89"/>
      <c r="BG271" s="89"/>
      <c r="BH271" s="89"/>
      <c r="BI271" s="89"/>
      <c r="BJ271" s="89"/>
      <c r="BK271" s="89"/>
      <c r="BL271" s="89"/>
      <c r="BM271" s="89"/>
      <c r="BN271" s="89"/>
      <c r="BO271" s="89"/>
      <c r="BP271" s="89"/>
      <c r="BQ271" s="89"/>
      <c r="BR271" s="89"/>
      <c r="BS271" s="89"/>
    </row>
    <row r="272" spans="1:71" ht="27" customHeight="1" x14ac:dyDescent="0.2">
      <c r="A272" s="93"/>
      <c r="B272" s="89"/>
      <c r="C272" s="89"/>
      <c r="D272" s="89"/>
      <c r="E272" s="89"/>
      <c r="F272" s="89"/>
      <c r="G272" s="89"/>
      <c r="H272" s="94"/>
      <c r="I272" s="94"/>
      <c r="J272" s="94"/>
      <c r="K272" s="94"/>
      <c r="L272" s="94"/>
      <c r="M272" s="94"/>
      <c r="N272" s="94"/>
      <c r="O272" s="94"/>
      <c r="P272" s="94"/>
      <c r="Q272" s="94"/>
      <c r="R272" s="95"/>
      <c r="S272" s="94"/>
      <c r="T272" s="96"/>
      <c r="U272" s="94"/>
      <c r="V272" s="97"/>
      <c r="W272" s="94"/>
      <c r="X272" s="98"/>
      <c r="Y272" s="98"/>
      <c r="Z272" s="98"/>
      <c r="AA272" s="98"/>
      <c r="AB272" s="98"/>
      <c r="AC272" s="97"/>
      <c r="AD272" s="99"/>
      <c r="AE272" s="95"/>
      <c r="AF272" s="94"/>
      <c r="AG272" s="89"/>
      <c r="AH272" s="89"/>
      <c r="AI272" s="89"/>
      <c r="AJ272" s="89"/>
      <c r="AK272" s="89"/>
      <c r="AL272" s="89"/>
      <c r="AM272" s="89"/>
      <c r="AN272" s="89"/>
      <c r="AO272" s="89"/>
      <c r="AP272" s="89"/>
      <c r="AQ272" s="89"/>
      <c r="AR272" s="89"/>
      <c r="AS272" s="89"/>
      <c r="AT272" s="89"/>
      <c r="AU272" s="89"/>
      <c r="AV272" s="89"/>
      <c r="AW272" s="100"/>
      <c r="AX272" s="100"/>
      <c r="AY272" s="89"/>
      <c r="AZ272" s="89"/>
      <c r="BA272" s="89"/>
      <c r="BB272" s="89"/>
      <c r="BC272" s="89"/>
      <c r="BD272" s="89"/>
      <c r="BE272" s="89"/>
      <c r="BF272" s="89"/>
      <c r="BG272" s="89"/>
      <c r="BH272" s="89"/>
      <c r="BI272" s="89"/>
      <c r="BJ272" s="89"/>
      <c r="BK272" s="89"/>
      <c r="BL272" s="89"/>
      <c r="BM272" s="89"/>
      <c r="BN272" s="89"/>
      <c r="BO272" s="89"/>
      <c r="BP272" s="89"/>
      <c r="BQ272" s="89"/>
      <c r="BR272" s="89"/>
      <c r="BS272" s="89"/>
    </row>
    <row r="273" spans="1:71" ht="27" customHeight="1" x14ac:dyDescent="0.2">
      <c r="A273" s="93"/>
      <c r="B273" s="89"/>
      <c r="C273" s="89"/>
      <c r="D273" s="89"/>
      <c r="E273" s="89"/>
      <c r="F273" s="89"/>
      <c r="G273" s="89"/>
      <c r="H273" s="94"/>
      <c r="I273" s="94"/>
      <c r="J273" s="94"/>
      <c r="K273" s="94"/>
      <c r="L273" s="94"/>
      <c r="M273" s="94"/>
      <c r="N273" s="94"/>
      <c r="O273" s="94"/>
      <c r="P273" s="94"/>
      <c r="Q273" s="94"/>
      <c r="R273" s="95"/>
      <c r="S273" s="94"/>
      <c r="T273" s="96"/>
      <c r="U273" s="94"/>
      <c r="V273" s="97"/>
      <c r="W273" s="94"/>
      <c r="X273" s="98"/>
      <c r="Y273" s="98"/>
      <c r="Z273" s="98"/>
      <c r="AA273" s="98"/>
      <c r="AB273" s="98"/>
      <c r="AC273" s="97"/>
      <c r="AD273" s="99"/>
      <c r="AE273" s="95"/>
      <c r="AF273" s="94"/>
      <c r="AG273" s="89"/>
      <c r="AH273" s="89"/>
      <c r="AI273" s="89"/>
      <c r="AJ273" s="89"/>
      <c r="AK273" s="89"/>
      <c r="AL273" s="89"/>
      <c r="AM273" s="89"/>
      <c r="AN273" s="89"/>
      <c r="AO273" s="89"/>
      <c r="AP273" s="89"/>
      <c r="AQ273" s="89"/>
      <c r="AR273" s="89"/>
      <c r="AS273" s="89"/>
      <c r="AT273" s="89"/>
      <c r="AU273" s="89"/>
      <c r="AV273" s="89"/>
      <c r="AW273" s="100"/>
      <c r="AX273" s="100"/>
      <c r="AY273" s="89"/>
      <c r="AZ273" s="89"/>
      <c r="BA273" s="89"/>
      <c r="BB273" s="89"/>
      <c r="BC273" s="89"/>
      <c r="BD273" s="89"/>
      <c r="BE273" s="89"/>
      <c r="BF273" s="89"/>
      <c r="BG273" s="89"/>
      <c r="BH273" s="89"/>
      <c r="BI273" s="89"/>
      <c r="BJ273" s="89"/>
      <c r="BK273" s="89"/>
      <c r="BL273" s="89"/>
      <c r="BM273" s="89"/>
      <c r="BN273" s="89"/>
      <c r="BO273" s="89"/>
      <c r="BP273" s="89"/>
      <c r="BQ273" s="89"/>
      <c r="BR273" s="89"/>
      <c r="BS273" s="89"/>
    </row>
    <row r="274" spans="1:71" ht="27" customHeight="1" x14ac:dyDescent="0.2">
      <c r="A274" s="93"/>
      <c r="B274" s="89"/>
      <c r="C274" s="89"/>
      <c r="D274" s="89"/>
      <c r="E274" s="89"/>
      <c r="F274" s="89"/>
      <c r="G274" s="89"/>
      <c r="H274" s="94"/>
      <c r="I274" s="94"/>
      <c r="J274" s="94"/>
      <c r="K274" s="94"/>
      <c r="L274" s="94"/>
      <c r="M274" s="94"/>
      <c r="N274" s="94"/>
      <c r="O274" s="94"/>
      <c r="P274" s="94"/>
      <c r="Q274" s="94"/>
      <c r="R274" s="95"/>
      <c r="S274" s="94"/>
      <c r="T274" s="96"/>
      <c r="U274" s="94"/>
      <c r="V274" s="97"/>
      <c r="W274" s="94"/>
      <c r="X274" s="98"/>
      <c r="Y274" s="98"/>
      <c r="Z274" s="98"/>
      <c r="AA274" s="98"/>
      <c r="AB274" s="98"/>
      <c r="AC274" s="97"/>
      <c r="AD274" s="99"/>
      <c r="AE274" s="95"/>
      <c r="AF274" s="94"/>
      <c r="AG274" s="89"/>
      <c r="AH274" s="89"/>
      <c r="AI274" s="89"/>
      <c r="AJ274" s="89"/>
      <c r="AK274" s="89"/>
      <c r="AL274" s="89"/>
      <c r="AM274" s="89"/>
      <c r="AN274" s="89"/>
      <c r="AO274" s="89"/>
      <c r="AP274" s="89"/>
      <c r="AQ274" s="89"/>
      <c r="AR274" s="89"/>
      <c r="AS274" s="89"/>
      <c r="AT274" s="89"/>
      <c r="AU274" s="89"/>
      <c r="AV274" s="89"/>
      <c r="AW274" s="100"/>
      <c r="AX274" s="100"/>
      <c r="AY274" s="89"/>
      <c r="AZ274" s="89"/>
      <c r="BA274" s="89"/>
      <c r="BB274" s="89"/>
      <c r="BC274" s="89"/>
      <c r="BD274" s="89"/>
      <c r="BE274" s="89"/>
      <c r="BF274" s="89"/>
      <c r="BG274" s="89"/>
      <c r="BH274" s="89"/>
      <c r="BI274" s="89"/>
      <c r="BJ274" s="89"/>
      <c r="BK274" s="89"/>
      <c r="BL274" s="89"/>
      <c r="BM274" s="89"/>
      <c r="BN274" s="89"/>
      <c r="BO274" s="89"/>
      <c r="BP274" s="89"/>
      <c r="BQ274" s="89"/>
      <c r="BR274" s="89"/>
      <c r="BS274" s="89"/>
    </row>
    <row r="275" spans="1:71" ht="27" customHeight="1" x14ac:dyDescent="0.2">
      <c r="A275" s="93"/>
      <c r="B275" s="89"/>
      <c r="C275" s="89"/>
      <c r="D275" s="89"/>
      <c r="E275" s="89"/>
      <c r="F275" s="89"/>
      <c r="G275" s="89"/>
      <c r="H275" s="94"/>
      <c r="I275" s="94"/>
      <c r="J275" s="94"/>
      <c r="K275" s="94"/>
      <c r="L275" s="94"/>
      <c r="M275" s="94"/>
      <c r="N275" s="94"/>
      <c r="O275" s="94"/>
      <c r="P275" s="94"/>
      <c r="Q275" s="94"/>
      <c r="R275" s="95"/>
      <c r="S275" s="94"/>
      <c r="T275" s="96"/>
      <c r="U275" s="94"/>
      <c r="V275" s="97"/>
      <c r="W275" s="94"/>
      <c r="X275" s="98"/>
      <c r="Y275" s="98"/>
      <c r="Z275" s="98"/>
      <c r="AA275" s="98"/>
      <c r="AB275" s="98"/>
      <c r="AC275" s="97"/>
      <c r="AD275" s="99"/>
      <c r="AE275" s="95"/>
      <c r="AF275" s="94"/>
      <c r="AG275" s="89"/>
      <c r="AH275" s="89"/>
      <c r="AI275" s="89"/>
      <c r="AJ275" s="89"/>
      <c r="AK275" s="89"/>
      <c r="AL275" s="89"/>
      <c r="AM275" s="89"/>
      <c r="AN275" s="89"/>
      <c r="AO275" s="89"/>
      <c r="AP275" s="89"/>
      <c r="AQ275" s="89"/>
      <c r="AR275" s="89"/>
      <c r="AS275" s="89"/>
      <c r="AT275" s="89"/>
      <c r="AU275" s="89"/>
      <c r="AV275" s="89"/>
      <c r="AW275" s="100"/>
      <c r="AX275" s="100"/>
      <c r="AY275" s="89"/>
      <c r="AZ275" s="89"/>
      <c r="BA275" s="89"/>
      <c r="BB275" s="89"/>
      <c r="BC275" s="89"/>
      <c r="BD275" s="89"/>
      <c r="BE275" s="89"/>
      <c r="BF275" s="89"/>
      <c r="BG275" s="89"/>
      <c r="BH275" s="89"/>
      <c r="BI275" s="89"/>
      <c r="BJ275" s="89"/>
      <c r="BK275" s="89"/>
      <c r="BL275" s="89"/>
      <c r="BM275" s="89"/>
      <c r="BN275" s="89"/>
      <c r="BO275" s="89"/>
      <c r="BP275" s="89"/>
      <c r="BQ275" s="89"/>
      <c r="BR275" s="89"/>
      <c r="BS275" s="89"/>
    </row>
    <row r="276" spans="1:71" ht="27" customHeight="1" x14ac:dyDescent="0.2">
      <c r="A276" s="93"/>
      <c r="B276" s="89"/>
      <c r="C276" s="89"/>
      <c r="D276" s="89"/>
      <c r="E276" s="89"/>
      <c r="F276" s="89"/>
      <c r="G276" s="89"/>
      <c r="H276" s="94"/>
      <c r="I276" s="94"/>
      <c r="J276" s="94"/>
      <c r="K276" s="94"/>
      <c r="L276" s="94"/>
      <c r="M276" s="94"/>
      <c r="N276" s="94"/>
      <c r="O276" s="94"/>
      <c r="P276" s="94"/>
      <c r="Q276" s="94"/>
      <c r="R276" s="95"/>
      <c r="S276" s="94"/>
      <c r="T276" s="96"/>
      <c r="U276" s="94"/>
      <c r="V276" s="97"/>
      <c r="W276" s="94"/>
      <c r="X276" s="98"/>
      <c r="Y276" s="98"/>
      <c r="Z276" s="98"/>
      <c r="AA276" s="98"/>
      <c r="AB276" s="98"/>
      <c r="AC276" s="97"/>
      <c r="AD276" s="99"/>
      <c r="AE276" s="95"/>
      <c r="AF276" s="94"/>
      <c r="AG276" s="89"/>
      <c r="AH276" s="89"/>
      <c r="AI276" s="89"/>
      <c r="AJ276" s="89"/>
      <c r="AK276" s="89"/>
      <c r="AL276" s="89"/>
      <c r="AM276" s="89"/>
      <c r="AN276" s="89"/>
      <c r="AO276" s="89"/>
      <c r="AP276" s="89"/>
      <c r="AQ276" s="89"/>
      <c r="AR276" s="89"/>
      <c r="AS276" s="89"/>
      <c r="AT276" s="89"/>
      <c r="AU276" s="89"/>
      <c r="AV276" s="89"/>
      <c r="AW276" s="100"/>
      <c r="AX276" s="100"/>
      <c r="AY276" s="89"/>
      <c r="AZ276" s="89"/>
      <c r="BA276" s="89"/>
      <c r="BB276" s="89"/>
      <c r="BC276" s="89"/>
      <c r="BD276" s="89"/>
      <c r="BE276" s="89"/>
      <c r="BF276" s="89"/>
      <c r="BG276" s="89"/>
      <c r="BH276" s="89"/>
      <c r="BI276" s="89"/>
      <c r="BJ276" s="89"/>
      <c r="BK276" s="89"/>
      <c r="BL276" s="89"/>
      <c r="BM276" s="89"/>
      <c r="BN276" s="89"/>
      <c r="BO276" s="89"/>
      <c r="BP276" s="89"/>
      <c r="BQ276" s="89"/>
      <c r="BR276" s="89"/>
      <c r="BS276" s="89"/>
    </row>
    <row r="277" spans="1:71" ht="27" customHeight="1" x14ac:dyDescent="0.2">
      <c r="A277" s="93"/>
      <c r="B277" s="89"/>
      <c r="C277" s="89"/>
      <c r="D277" s="89"/>
      <c r="E277" s="89"/>
      <c r="F277" s="89"/>
      <c r="G277" s="89"/>
      <c r="H277" s="94"/>
      <c r="I277" s="94"/>
      <c r="J277" s="94"/>
      <c r="K277" s="94"/>
      <c r="L277" s="94"/>
      <c r="M277" s="94"/>
      <c r="N277" s="94"/>
      <c r="O277" s="94"/>
      <c r="P277" s="94"/>
      <c r="Q277" s="94"/>
      <c r="R277" s="95"/>
      <c r="S277" s="94"/>
      <c r="T277" s="96"/>
      <c r="U277" s="94"/>
      <c r="V277" s="97"/>
      <c r="W277" s="94"/>
      <c r="X277" s="98"/>
      <c r="Y277" s="98"/>
      <c r="Z277" s="98"/>
      <c r="AA277" s="98"/>
      <c r="AB277" s="98"/>
      <c r="AC277" s="97"/>
      <c r="AD277" s="99"/>
      <c r="AE277" s="95"/>
      <c r="AF277" s="94"/>
      <c r="AG277" s="89"/>
      <c r="AH277" s="89"/>
      <c r="AI277" s="89"/>
      <c r="AJ277" s="89"/>
      <c r="AK277" s="89"/>
      <c r="AL277" s="89"/>
      <c r="AM277" s="89"/>
      <c r="AN277" s="89"/>
      <c r="AO277" s="89"/>
      <c r="AP277" s="89"/>
      <c r="AQ277" s="89"/>
      <c r="AR277" s="89"/>
      <c r="AS277" s="89"/>
      <c r="AT277" s="89"/>
      <c r="AU277" s="89"/>
      <c r="AV277" s="89"/>
      <c r="AW277" s="100"/>
      <c r="AX277" s="100"/>
      <c r="AY277" s="89"/>
      <c r="AZ277" s="89"/>
      <c r="BA277" s="89"/>
      <c r="BB277" s="89"/>
      <c r="BC277" s="89"/>
      <c r="BD277" s="89"/>
      <c r="BE277" s="89"/>
      <c r="BF277" s="89"/>
      <c r="BG277" s="89"/>
      <c r="BH277" s="89"/>
      <c r="BI277" s="89"/>
      <c r="BJ277" s="89"/>
      <c r="BK277" s="89"/>
      <c r="BL277" s="89"/>
      <c r="BM277" s="89"/>
      <c r="BN277" s="89"/>
      <c r="BO277" s="89"/>
      <c r="BP277" s="89"/>
      <c r="BQ277" s="89"/>
      <c r="BR277" s="89"/>
      <c r="BS277" s="89"/>
    </row>
    <row r="278" spans="1:71" ht="27" customHeight="1" x14ac:dyDescent="0.2">
      <c r="A278" s="93"/>
      <c r="B278" s="89"/>
      <c r="C278" s="89"/>
      <c r="D278" s="89"/>
      <c r="E278" s="89"/>
      <c r="F278" s="89"/>
      <c r="G278" s="89"/>
      <c r="H278" s="94"/>
      <c r="I278" s="94"/>
      <c r="J278" s="94"/>
      <c r="K278" s="94"/>
      <c r="L278" s="94"/>
      <c r="M278" s="94"/>
      <c r="N278" s="94"/>
      <c r="O278" s="94"/>
      <c r="P278" s="94"/>
      <c r="Q278" s="94"/>
      <c r="R278" s="95"/>
      <c r="S278" s="94"/>
      <c r="T278" s="96"/>
      <c r="U278" s="94"/>
      <c r="V278" s="97"/>
      <c r="W278" s="94"/>
      <c r="X278" s="98"/>
      <c r="Y278" s="98"/>
      <c r="Z278" s="98"/>
      <c r="AA278" s="98"/>
      <c r="AB278" s="98"/>
      <c r="AC278" s="97"/>
      <c r="AD278" s="99"/>
      <c r="AE278" s="95"/>
      <c r="AF278" s="94"/>
      <c r="AG278" s="89"/>
      <c r="AH278" s="89"/>
      <c r="AI278" s="89"/>
      <c r="AJ278" s="89"/>
      <c r="AK278" s="89"/>
      <c r="AL278" s="89"/>
      <c r="AM278" s="89"/>
      <c r="AN278" s="89"/>
      <c r="AO278" s="89"/>
      <c r="AP278" s="89"/>
      <c r="AQ278" s="89"/>
      <c r="AR278" s="89"/>
      <c r="AS278" s="89"/>
      <c r="AT278" s="89"/>
      <c r="AU278" s="89"/>
      <c r="AV278" s="89"/>
      <c r="AW278" s="100"/>
      <c r="AX278" s="100"/>
      <c r="AY278" s="89"/>
      <c r="AZ278" s="89"/>
      <c r="BA278" s="89"/>
      <c r="BB278" s="89"/>
      <c r="BC278" s="89"/>
      <c r="BD278" s="89"/>
      <c r="BE278" s="89"/>
      <c r="BF278" s="89"/>
      <c r="BG278" s="89"/>
      <c r="BH278" s="89"/>
      <c r="BI278" s="89"/>
      <c r="BJ278" s="89"/>
      <c r="BK278" s="89"/>
      <c r="BL278" s="89"/>
      <c r="BM278" s="89"/>
      <c r="BN278" s="89"/>
      <c r="BO278" s="89"/>
      <c r="BP278" s="89"/>
      <c r="BQ278" s="89"/>
      <c r="BR278" s="89"/>
      <c r="BS278" s="89"/>
    </row>
    <row r="279" spans="1:71" ht="27" customHeight="1" x14ac:dyDescent="0.2">
      <c r="A279" s="93"/>
      <c r="B279" s="89"/>
      <c r="C279" s="89"/>
      <c r="D279" s="89"/>
      <c r="E279" s="89"/>
      <c r="F279" s="89"/>
      <c r="G279" s="89"/>
      <c r="H279" s="94"/>
      <c r="I279" s="94"/>
      <c r="J279" s="94"/>
      <c r="K279" s="94"/>
      <c r="L279" s="94"/>
      <c r="M279" s="94"/>
      <c r="N279" s="94"/>
      <c r="O279" s="94"/>
      <c r="P279" s="94"/>
      <c r="Q279" s="94"/>
      <c r="R279" s="95"/>
      <c r="S279" s="94"/>
      <c r="T279" s="96"/>
      <c r="U279" s="94"/>
      <c r="V279" s="97"/>
      <c r="W279" s="94"/>
      <c r="X279" s="98"/>
      <c r="Y279" s="98"/>
      <c r="Z279" s="98"/>
      <c r="AA279" s="98"/>
      <c r="AB279" s="98"/>
      <c r="AC279" s="97"/>
      <c r="AD279" s="99"/>
      <c r="AE279" s="95"/>
      <c r="AF279" s="94"/>
      <c r="AG279" s="89"/>
      <c r="AH279" s="89"/>
      <c r="AI279" s="89"/>
      <c r="AJ279" s="89"/>
      <c r="AK279" s="89"/>
      <c r="AL279" s="89"/>
      <c r="AM279" s="89"/>
      <c r="AN279" s="89"/>
      <c r="AO279" s="89"/>
      <c r="AP279" s="89"/>
      <c r="AQ279" s="89"/>
      <c r="AR279" s="89"/>
      <c r="AS279" s="89"/>
      <c r="AT279" s="89"/>
      <c r="AU279" s="89"/>
      <c r="AV279" s="89"/>
      <c r="AW279" s="100"/>
      <c r="AX279" s="100"/>
      <c r="AY279" s="89"/>
      <c r="AZ279" s="89"/>
      <c r="BA279" s="89"/>
      <c r="BB279" s="89"/>
      <c r="BC279" s="89"/>
      <c r="BD279" s="89"/>
      <c r="BE279" s="89"/>
      <c r="BF279" s="89"/>
      <c r="BG279" s="89"/>
      <c r="BH279" s="89"/>
      <c r="BI279" s="89"/>
      <c r="BJ279" s="89"/>
      <c r="BK279" s="89"/>
      <c r="BL279" s="89"/>
      <c r="BM279" s="89"/>
      <c r="BN279" s="89"/>
      <c r="BO279" s="89"/>
      <c r="BP279" s="89"/>
      <c r="BQ279" s="89"/>
      <c r="BR279" s="89"/>
      <c r="BS279" s="89"/>
    </row>
    <row r="280" spans="1:71" ht="27" customHeight="1" x14ac:dyDescent="0.2">
      <c r="A280" s="93"/>
      <c r="B280" s="89"/>
      <c r="C280" s="89"/>
      <c r="D280" s="89"/>
      <c r="E280" s="89"/>
      <c r="F280" s="89"/>
      <c r="G280" s="89"/>
      <c r="H280" s="94"/>
      <c r="I280" s="94"/>
      <c r="J280" s="94"/>
      <c r="K280" s="94"/>
      <c r="L280" s="94"/>
      <c r="M280" s="94"/>
      <c r="N280" s="94"/>
      <c r="O280" s="94"/>
      <c r="P280" s="94"/>
      <c r="Q280" s="94"/>
      <c r="R280" s="95"/>
      <c r="S280" s="94"/>
      <c r="T280" s="96"/>
      <c r="U280" s="94"/>
      <c r="V280" s="97"/>
      <c r="W280" s="94"/>
      <c r="X280" s="98"/>
      <c r="Y280" s="98"/>
      <c r="Z280" s="98"/>
      <c r="AA280" s="98"/>
      <c r="AB280" s="98"/>
      <c r="AC280" s="97"/>
      <c r="AD280" s="99"/>
      <c r="AE280" s="95"/>
      <c r="AF280" s="94"/>
      <c r="AG280" s="89"/>
      <c r="AH280" s="89"/>
      <c r="AI280" s="89"/>
      <c r="AJ280" s="89"/>
      <c r="AK280" s="89"/>
      <c r="AL280" s="89"/>
      <c r="AM280" s="89"/>
      <c r="AN280" s="89"/>
      <c r="AO280" s="89"/>
      <c r="AP280" s="89"/>
      <c r="AQ280" s="89"/>
      <c r="AR280" s="89"/>
      <c r="AS280" s="89"/>
      <c r="AT280" s="89"/>
      <c r="AU280" s="89"/>
      <c r="AV280" s="89"/>
      <c r="AW280" s="100"/>
      <c r="AX280" s="100"/>
      <c r="AY280" s="89"/>
      <c r="AZ280" s="89"/>
      <c r="BA280" s="89"/>
      <c r="BB280" s="89"/>
      <c r="BC280" s="89"/>
      <c r="BD280" s="89"/>
      <c r="BE280" s="89"/>
      <c r="BF280" s="89"/>
      <c r="BG280" s="89"/>
      <c r="BH280" s="89"/>
      <c r="BI280" s="89"/>
      <c r="BJ280" s="89"/>
      <c r="BK280" s="89"/>
      <c r="BL280" s="89"/>
      <c r="BM280" s="89"/>
      <c r="BN280" s="89"/>
      <c r="BO280" s="89"/>
      <c r="BP280" s="89"/>
      <c r="BQ280" s="89"/>
      <c r="BR280" s="89"/>
      <c r="BS280" s="89"/>
    </row>
    <row r="281" spans="1:71" ht="27" customHeight="1" x14ac:dyDescent="0.2">
      <c r="A281" s="93"/>
      <c r="B281" s="89"/>
      <c r="C281" s="89"/>
      <c r="D281" s="89"/>
      <c r="E281" s="89"/>
      <c r="F281" s="89"/>
      <c r="G281" s="89"/>
      <c r="H281" s="94"/>
      <c r="I281" s="94"/>
      <c r="J281" s="94"/>
      <c r="K281" s="94"/>
      <c r="L281" s="94"/>
      <c r="M281" s="94"/>
      <c r="N281" s="94"/>
      <c r="O281" s="94"/>
      <c r="P281" s="94"/>
      <c r="Q281" s="94"/>
      <c r="R281" s="95"/>
      <c r="S281" s="94"/>
      <c r="T281" s="96"/>
      <c r="U281" s="94"/>
      <c r="V281" s="97"/>
      <c r="W281" s="94"/>
      <c r="X281" s="98"/>
      <c r="Y281" s="98"/>
      <c r="Z281" s="98"/>
      <c r="AA281" s="98"/>
      <c r="AB281" s="98"/>
      <c r="AC281" s="97"/>
      <c r="AD281" s="99"/>
      <c r="AE281" s="95"/>
      <c r="AF281" s="94"/>
      <c r="AG281" s="89"/>
      <c r="AH281" s="89"/>
      <c r="AI281" s="89"/>
      <c r="AJ281" s="89"/>
      <c r="AK281" s="89"/>
      <c r="AL281" s="89"/>
      <c r="AM281" s="89"/>
      <c r="AN281" s="89"/>
      <c r="AO281" s="89"/>
      <c r="AP281" s="89"/>
      <c r="AQ281" s="89"/>
      <c r="AR281" s="89"/>
      <c r="AS281" s="89"/>
      <c r="AT281" s="89"/>
      <c r="AU281" s="89"/>
      <c r="AV281" s="89"/>
      <c r="AW281" s="100"/>
      <c r="AX281" s="100"/>
      <c r="AY281" s="89"/>
      <c r="AZ281" s="89"/>
      <c r="BA281" s="89"/>
      <c r="BB281" s="89"/>
      <c r="BC281" s="89"/>
      <c r="BD281" s="89"/>
      <c r="BE281" s="89"/>
      <c r="BF281" s="89"/>
      <c r="BG281" s="89"/>
      <c r="BH281" s="89"/>
      <c r="BI281" s="89"/>
      <c r="BJ281" s="89"/>
      <c r="BK281" s="89"/>
      <c r="BL281" s="89"/>
      <c r="BM281" s="89"/>
      <c r="BN281" s="89"/>
      <c r="BO281" s="89"/>
      <c r="BP281" s="89"/>
      <c r="BQ281" s="89"/>
      <c r="BR281" s="89"/>
      <c r="BS281" s="89"/>
    </row>
    <row r="282" spans="1:71" ht="27" customHeight="1" x14ac:dyDescent="0.2">
      <c r="A282" s="93"/>
      <c r="B282" s="89"/>
      <c r="C282" s="89"/>
      <c r="D282" s="89"/>
      <c r="E282" s="89"/>
      <c r="F282" s="89"/>
      <c r="G282" s="89"/>
      <c r="H282" s="94"/>
      <c r="I282" s="94"/>
      <c r="J282" s="94"/>
      <c r="K282" s="94"/>
      <c r="L282" s="94"/>
      <c r="M282" s="94"/>
      <c r="N282" s="94"/>
      <c r="O282" s="94"/>
      <c r="P282" s="94"/>
      <c r="Q282" s="94"/>
      <c r="R282" s="95"/>
      <c r="S282" s="94"/>
      <c r="T282" s="96"/>
      <c r="U282" s="94"/>
      <c r="V282" s="97"/>
      <c r="W282" s="94"/>
      <c r="X282" s="98"/>
      <c r="Y282" s="98"/>
      <c r="Z282" s="98"/>
      <c r="AA282" s="98"/>
      <c r="AB282" s="98"/>
      <c r="AC282" s="97"/>
      <c r="AD282" s="99"/>
      <c r="AE282" s="95"/>
      <c r="AF282" s="94"/>
      <c r="AG282" s="89"/>
      <c r="AH282" s="89"/>
      <c r="AI282" s="89"/>
      <c r="AJ282" s="89"/>
      <c r="AK282" s="89"/>
      <c r="AL282" s="89"/>
      <c r="AM282" s="89"/>
      <c r="AN282" s="89"/>
      <c r="AO282" s="89"/>
      <c r="AP282" s="89"/>
      <c r="AQ282" s="89"/>
      <c r="AR282" s="89"/>
      <c r="AS282" s="89"/>
      <c r="AT282" s="89"/>
      <c r="AU282" s="89"/>
      <c r="AV282" s="89"/>
      <c r="AW282" s="100"/>
      <c r="AX282" s="100"/>
      <c r="AY282" s="89"/>
      <c r="AZ282" s="89"/>
      <c r="BA282" s="89"/>
      <c r="BB282" s="89"/>
      <c r="BC282" s="89"/>
      <c r="BD282" s="89"/>
      <c r="BE282" s="89"/>
      <c r="BF282" s="89"/>
      <c r="BG282" s="89"/>
      <c r="BH282" s="89"/>
      <c r="BI282" s="89"/>
      <c r="BJ282" s="89"/>
      <c r="BK282" s="89"/>
      <c r="BL282" s="89"/>
      <c r="BM282" s="89"/>
      <c r="BN282" s="89"/>
      <c r="BO282" s="89"/>
      <c r="BP282" s="89"/>
      <c r="BQ282" s="89"/>
      <c r="BR282" s="89"/>
      <c r="BS282" s="89"/>
    </row>
    <row r="283" spans="1:71" ht="27" customHeight="1" x14ac:dyDescent="0.2">
      <c r="A283" s="93"/>
      <c r="B283" s="89"/>
      <c r="C283" s="89"/>
      <c r="D283" s="89"/>
      <c r="E283" s="89"/>
      <c r="F283" s="89"/>
      <c r="G283" s="89"/>
      <c r="H283" s="94"/>
      <c r="I283" s="94"/>
      <c r="J283" s="94"/>
      <c r="K283" s="94"/>
      <c r="L283" s="94"/>
      <c r="M283" s="94"/>
      <c r="N283" s="94"/>
      <c r="O283" s="94"/>
      <c r="P283" s="94"/>
      <c r="Q283" s="94"/>
      <c r="R283" s="95"/>
      <c r="S283" s="94"/>
      <c r="T283" s="96"/>
      <c r="U283" s="94"/>
      <c r="V283" s="97"/>
      <c r="W283" s="94"/>
      <c r="X283" s="98"/>
      <c r="Y283" s="98"/>
      <c r="Z283" s="98"/>
      <c r="AA283" s="98"/>
      <c r="AB283" s="98"/>
      <c r="AC283" s="97"/>
      <c r="AD283" s="99"/>
      <c r="AE283" s="95"/>
      <c r="AF283" s="94"/>
      <c r="AG283" s="89"/>
      <c r="AH283" s="89"/>
      <c r="AI283" s="89"/>
      <c r="AJ283" s="89"/>
      <c r="AK283" s="89"/>
      <c r="AL283" s="89"/>
      <c r="AM283" s="89"/>
      <c r="AN283" s="89"/>
      <c r="AO283" s="89"/>
      <c r="AP283" s="89"/>
      <c r="AQ283" s="89"/>
      <c r="AR283" s="89"/>
      <c r="AS283" s="89"/>
      <c r="AT283" s="89"/>
      <c r="AU283" s="89"/>
      <c r="AV283" s="89"/>
      <c r="AW283" s="100"/>
      <c r="AX283" s="100"/>
      <c r="AY283" s="89"/>
      <c r="AZ283" s="89"/>
      <c r="BA283" s="89"/>
      <c r="BB283" s="89"/>
      <c r="BC283" s="89"/>
      <c r="BD283" s="89"/>
      <c r="BE283" s="89"/>
      <c r="BF283" s="89"/>
      <c r="BG283" s="89"/>
      <c r="BH283" s="89"/>
      <c r="BI283" s="89"/>
      <c r="BJ283" s="89"/>
      <c r="BK283" s="89"/>
      <c r="BL283" s="89"/>
      <c r="BM283" s="89"/>
      <c r="BN283" s="89"/>
      <c r="BO283" s="89"/>
      <c r="BP283" s="89"/>
      <c r="BQ283" s="89"/>
      <c r="BR283" s="89"/>
      <c r="BS283" s="89"/>
    </row>
    <row r="284" spans="1:71" ht="27" customHeight="1" x14ac:dyDescent="0.2">
      <c r="A284" s="93"/>
      <c r="B284" s="89"/>
      <c r="C284" s="89"/>
      <c r="D284" s="89"/>
      <c r="E284" s="89"/>
      <c r="F284" s="89"/>
      <c r="G284" s="89"/>
      <c r="H284" s="94"/>
      <c r="I284" s="94"/>
      <c r="J284" s="94"/>
      <c r="K284" s="94"/>
      <c r="L284" s="94"/>
      <c r="M284" s="94"/>
      <c r="N284" s="94"/>
      <c r="O284" s="94"/>
      <c r="P284" s="94"/>
      <c r="Q284" s="94"/>
      <c r="R284" s="95"/>
      <c r="S284" s="94"/>
      <c r="T284" s="96"/>
      <c r="U284" s="94"/>
      <c r="V284" s="97"/>
      <c r="W284" s="94"/>
      <c r="X284" s="98"/>
      <c r="Y284" s="98"/>
      <c r="Z284" s="98"/>
      <c r="AA284" s="98"/>
      <c r="AB284" s="98"/>
      <c r="AC284" s="97"/>
      <c r="AD284" s="99"/>
      <c r="AE284" s="95"/>
      <c r="AF284" s="94"/>
      <c r="AG284" s="89"/>
      <c r="AH284" s="89"/>
      <c r="AI284" s="89"/>
      <c r="AJ284" s="89"/>
      <c r="AK284" s="89"/>
      <c r="AL284" s="89"/>
      <c r="AM284" s="89"/>
      <c r="AN284" s="89"/>
      <c r="AO284" s="89"/>
      <c r="AP284" s="89"/>
      <c r="AQ284" s="89"/>
      <c r="AR284" s="89"/>
      <c r="AS284" s="89"/>
      <c r="AT284" s="89"/>
      <c r="AU284" s="89"/>
      <c r="AV284" s="89"/>
      <c r="AW284" s="100"/>
      <c r="AX284" s="100"/>
      <c r="AY284" s="89"/>
      <c r="AZ284" s="89"/>
      <c r="BA284" s="89"/>
      <c r="BB284" s="89"/>
      <c r="BC284" s="89"/>
      <c r="BD284" s="89"/>
      <c r="BE284" s="89"/>
      <c r="BF284" s="89"/>
      <c r="BG284" s="89"/>
      <c r="BH284" s="89"/>
      <c r="BI284" s="89"/>
      <c r="BJ284" s="89"/>
      <c r="BK284" s="89"/>
      <c r="BL284" s="89"/>
      <c r="BM284" s="89"/>
      <c r="BN284" s="89"/>
      <c r="BO284" s="89"/>
      <c r="BP284" s="89"/>
      <c r="BQ284" s="89"/>
      <c r="BR284" s="89"/>
      <c r="BS284" s="89"/>
    </row>
    <row r="285" spans="1:71" ht="27" customHeight="1" x14ac:dyDescent="0.2">
      <c r="A285" s="93"/>
      <c r="B285" s="89"/>
      <c r="C285" s="89"/>
      <c r="D285" s="89"/>
      <c r="E285" s="89"/>
      <c r="F285" s="89"/>
      <c r="G285" s="89"/>
      <c r="H285" s="94"/>
      <c r="I285" s="94"/>
      <c r="J285" s="94"/>
      <c r="K285" s="94"/>
      <c r="L285" s="94"/>
      <c r="M285" s="94"/>
      <c r="N285" s="94"/>
      <c r="O285" s="94"/>
      <c r="P285" s="94"/>
      <c r="Q285" s="94"/>
      <c r="R285" s="95"/>
      <c r="S285" s="94"/>
      <c r="T285" s="96"/>
      <c r="U285" s="94"/>
      <c r="V285" s="97"/>
      <c r="W285" s="94"/>
      <c r="X285" s="98"/>
      <c r="Y285" s="98"/>
      <c r="Z285" s="98"/>
      <c r="AA285" s="98"/>
      <c r="AB285" s="98"/>
      <c r="AC285" s="97"/>
      <c r="AD285" s="99"/>
      <c r="AE285" s="95"/>
      <c r="AF285" s="94"/>
      <c r="AG285" s="89"/>
      <c r="AH285" s="89"/>
      <c r="AI285" s="89"/>
      <c r="AJ285" s="89"/>
      <c r="AK285" s="89"/>
      <c r="AL285" s="89"/>
      <c r="AM285" s="89"/>
      <c r="AN285" s="89"/>
      <c r="AO285" s="89"/>
      <c r="AP285" s="89"/>
      <c r="AQ285" s="89"/>
      <c r="AR285" s="89"/>
      <c r="AS285" s="89"/>
      <c r="AT285" s="89"/>
      <c r="AU285" s="89"/>
      <c r="AV285" s="89"/>
      <c r="AW285" s="100"/>
      <c r="AX285" s="100"/>
      <c r="AY285" s="89"/>
      <c r="AZ285" s="89"/>
      <c r="BA285" s="89"/>
      <c r="BB285" s="89"/>
      <c r="BC285" s="89"/>
      <c r="BD285" s="89"/>
      <c r="BE285" s="89"/>
      <c r="BF285" s="89"/>
      <c r="BG285" s="89"/>
      <c r="BH285" s="89"/>
      <c r="BI285" s="89"/>
      <c r="BJ285" s="89"/>
      <c r="BK285" s="89"/>
      <c r="BL285" s="89"/>
      <c r="BM285" s="89"/>
      <c r="BN285" s="89"/>
      <c r="BO285" s="89"/>
      <c r="BP285" s="89"/>
      <c r="BQ285" s="89"/>
      <c r="BR285" s="89"/>
      <c r="BS285" s="89"/>
    </row>
    <row r="286" spans="1:71" ht="27" customHeight="1" x14ac:dyDescent="0.2">
      <c r="A286" s="93"/>
      <c r="B286" s="89"/>
      <c r="C286" s="89"/>
      <c r="D286" s="89"/>
      <c r="E286" s="89"/>
      <c r="F286" s="89"/>
      <c r="G286" s="89"/>
      <c r="H286" s="94"/>
      <c r="I286" s="94"/>
      <c r="J286" s="94"/>
      <c r="K286" s="94"/>
      <c r="L286" s="94"/>
      <c r="M286" s="94"/>
      <c r="N286" s="94"/>
      <c r="O286" s="94"/>
      <c r="P286" s="94"/>
      <c r="Q286" s="94"/>
      <c r="R286" s="95"/>
      <c r="S286" s="94"/>
      <c r="T286" s="96"/>
      <c r="U286" s="94"/>
      <c r="V286" s="97"/>
      <c r="W286" s="94"/>
      <c r="X286" s="98"/>
      <c r="Y286" s="98"/>
      <c r="Z286" s="98"/>
      <c r="AA286" s="98"/>
      <c r="AB286" s="98"/>
      <c r="AC286" s="97"/>
      <c r="AD286" s="99"/>
      <c r="AE286" s="95"/>
      <c r="AF286" s="94"/>
      <c r="AG286" s="89"/>
      <c r="AH286" s="89"/>
      <c r="AI286" s="89"/>
      <c r="AJ286" s="89"/>
      <c r="AK286" s="89"/>
      <c r="AL286" s="89"/>
      <c r="AM286" s="89"/>
      <c r="AN286" s="89"/>
      <c r="AO286" s="89"/>
      <c r="AP286" s="89"/>
      <c r="AQ286" s="89"/>
      <c r="AR286" s="89"/>
      <c r="AS286" s="89"/>
      <c r="AT286" s="89"/>
      <c r="AU286" s="89"/>
      <c r="AV286" s="89"/>
      <c r="AW286" s="100"/>
      <c r="AX286" s="100"/>
      <c r="AY286" s="89"/>
      <c r="AZ286" s="89"/>
      <c r="BA286" s="89"/>
      <c r="BB286" s="89"/>
      <c r="BC286" s="89"/>
      <c r="BD286" s="89"/>
      <c r="BE286" s="89"/>
      <c r="BF286" s="89"/>
      <c r="BG286" s="89"/>
      <c r="BH286" s="89"/>
      <c r="BI286" s="89"/>
      <c r="BJ286" s="89"/>
      <c r="BK286" s="89"/>
      <c r="BL286" s="89"/>
      <c r="BM286" s="89"/>
      <c r="BN286" s="89"/>
      <c r="BO286" s="89"/>
      <c r="BP286" s="89"/>
      <c r="BQ286" s="89"/>
      <c r="BR286" s="89"/>
      <c r="BS286" s="89"/>
    </row>
    <row r="287" spans="1:71" ht="27" customHeight="1" x14ac:dyDescent="0.2">
      <c r="A287" s="93"/>
      <c r="B287" s="89"/>
      <c r="C287" s="89"/>
      <c r="D287" s="89"/>
      <c r="E287" s="89"/>
      <c r="F287" s="89"/>
      <c r="G287" s="89"/>
      <c r="H287" s="94"/>
      <c r="I287" s="94"/>
      <c r="J287" s="94"/>
      <c r="K287" s="94"/>
      <c r="L287" s="94"/>
      <c r="M287" s="94"/>
      <c r="N287" s="94"/>
      <c r="O287" s="94"/>
      <c r="P287" s="94"/>
      <c r="Q287" s="94"/>
      <c r="R287" s="95"/>
      <c r="S287" s="94"/>
      <c r="T287" s="96"/>
      <c r="U287" s="94"/>
      <c r="V287" s="97"/>
      <c r="W287" s="94"/>
      <c r="X287" s="98"/>
      <c r="Y287" s="98"/>
      <c r="Z287" s="98"/>
      <c r="AA287" s="98"/>
      <c r="AB287" s="98"/>
      <c r="AC287" s="97"/>
      <c r="AD287" s="99"/>
      <c r="AE287" s="95"/>
      <c r="AF287" s="94"/>
      <c r="AG287" s="89"/>
      <c r="AH287" s="89"/>
      <c r="AI287" s="89"/>
      <c r="AJ287" s="89"/>
      <c r="AK287" s="89"/>
      <c r="AL287" s="89"/>
      <c r="AM287" s="89"/>
      <c r="AN287" s="89"/>
      <c r="AO287" s="89"/>
      <c r="AP287" s="89"/>
      <c r="AQ287" s="89"/>
      <c r="AR287" s="89"/>
      <c r="AS287" s="89"/>
      <c r="AT287" s="89"/>
      <c r="AU287" s="89"/>
      <c r="AV287" s="89"/>
      <c r="AW287" s="100"/>
      <c r="AX287" s="100"/>
      <c r="AY287" s="89"/>
      <c r="AZ287" s="89"/>
      <c r="BA287" s="89"/>
      <c r="BB287" s="89"/>
      <c r="BC287" s="89"/>
      <c r="BD287" s="89"/>
      <c r="BE287" s="89"/>
      <c r="BF287" s="89"/>
      <c r="BG287" s="89"/>
      <c r="BH287" s="89"/>
      <c r="BI287" s="89"/>
      <c r="BJ287" s="89"/>
      <c r="BK287" s="89"/>
      <c r="BL287" s="89"/>
      <c r="BM287" s="89"/>
      <c r="BN287" s="89"/>
      <c r="BO287" s="89"/>
      <c r="BP287" s="89"/>
      <c r="BQ287" s="89"/>
      <c r="BR287" s="89"/>
      <c r="BS287" s="89"/>
    </row>
    <row r="288" spans="1:71" ht="27" customHeight="1" x14ac:dyDescent="0.2">
      <c r="A288" s="93"/>
      <c r="B288" s="89"/>
      <c r="C288" s="89"/>
      <c r="D288" s="89"/>
      <c r="E288" s="89"/>
      <c r="F288" s="89"/>
      <c r="G288" s="89"/>
      <c r="H288" s="94"/>
      <c r="I288" s="94"/>
      <c r="J288" s="94"/>
      <c r="K288" s="94"/>
      <c r="L288" s="94"/>
      <c r="M288" s="94"/>
      <c r="N288" s="94"/>
      <c r="O288" s="94"/>
      <c r="P288" s="94"/>
      <c r="Q288" s="94"/>
      <c r="R288" s="95"/>
      <c r="S288" s="94"/>
      <c r="T288" s="96"/>
      <c r="U288" s="94"/>
      <c r="V288" s="97"/>
      <c r="W288" s="94"/>
      <c r="X288" s="98"/>
      <c r="Y288" s="98"/>
      <c r="Z288" s="98"/>
      <c r="AA288" s="98"/>
      <c r="AB288" s="98"/>
      <c r="AC288" s="97"/>
      <c r="AD288" s="99"/>
      <c r="AE288" s="95"/>
      <c r="AF288" s="94"/>
      <c r="AG288" s="89"/>
      <c r="AH288" s="89"/>
      <c r="AI288" s="89"/>
      <c r="AJ288" s="89"/>
      <c r="AK288" s="89"/>
      <c r="AL288" s="89"/>
      <c r="AM288" s="89"/>
      <c r="AN288" s="89"/>
      <c r="AO288" s="89"/>
      <c r="AP288" s="89"/>
      <c r="AQ288" s="89"/>
      <c r="AR288" s="89"/>
      <c r="AS288" s="89"/>
      <c r="AT288" s="89"/>
      <c r="AU288" s="89"/>
      <c r="AV288" s="89"/>
      <c r="AW288" s="100"/>
      <c r="AX288" s="100"/>
      <c r="AY288" s="89"/>
      <c r="AZ288" s="89"/>
      <c r="BA288" s="89"/>
      <c r="BB288" s="89"/>
      <c r="BC288" s="89"/>
      <c r="BD288" s="89"/>
      <c r="BE288" s="89"/>
      <c r="BF288" s="89"/>
      <c r="BG288" s="89"/>
      <c r="BH288" s="89"/>
      <c r="BI288" s="89"/>
      <c r="BJ288" s="89"/>
      <c r="BK288" s="89"/>
      <c r="BL288" s="89"/>
      <c r="BM288" s="89"/>
      <c r="BN288" s="89"/>
      <c r="BO288" s="89"/>
      <c r="BP288" s="89"/>
      <c r="BQ288" s="89"/>
      <c r="BR288" s="89"/>
      <c r="BS288" s="89"/>
    </row>
    <row r="289" spans="1:71" ht="27" customHeight="1" x14ac:dyDescent="0.2">
      <c r="A289" s="93"/>
      <c r="B289" s="89"/>
      <c r="C289" s="89"/>
      <c r="D289" s="89"/>
      <c r="E289" s="89"/>
      <c r="F289" s="89"/>
      <c r="G289" s="89"/>
      <c r="H289" s="94"/>
      <c r="I289" s="94"/>
      <c r="J289" s="94"/>
      <c r="K289" s="94"/>
      <c r="L289" s="94"/>
      <c r="M289" s="94"/>
      <c r="N289" s="94"/>
      <c r="O289" s="94"/>
      <c r="P289" s="94"/>
      <c r="Q289" s="94"/>
      <c r="R289" s="95"/>
      <c r="S289" s="94"/>
      <c r="T289" s="96"/>
      <c r="U289" s="94"/>
      <c r="V289" s="97"/>
      <c r="W289" s="94"/>
      <c r="X289" s="98"/>
      <c r="Y289" s="98"/>
      <c r="Z289" s="98"/>
      <c r="AA289" s="98"/>
      <c r="AB289" s="98"/>
      <c r="AC289" s="97"/>
      <c r="AD289" s="99"/>
      <c r="AE289" s="95"/>
      <c r="AF289" s="94"/>
      <c r="AG289" s="89"/>
      <c r="AH289" s="89"/>
      <c r="AI289" s="89"/>
      <c r="AJ289" s="89"/>
      <c r="AK289" s="89"/>
      <c r="AL289" s="89"/>
      <c r="AM289" s="89"/>
      <c r="AN289" s="89"/>
      <c r="AO289" s="89"/>
      <c r="AP289" s="89"/>
      <c r="AQ289" s="89"/>
      <c r="AR289" s="89"/>
      <c r="AS289" s="89"/>
      <c r="AT289" s="89"/>
      <c r="AU289" s="89"/>
      <c r="AV289" s="89"/>
      <c r="AW289" s="100"/>
      <c r="AX289" s="100"/>
      <c r="AY289" s="89"/>
      <c r="AZ289" s="89"/>
      <c r="BA289" s="89"/>
      <c r="BB289" s="89"/>
      <c r="BC289" s="89"/>
      <c r="BD289" s="89"/>
      <c r="BE289" s="89"/>
      <c r="BF289" s="89"/>
      <c r="BG289" s="89"/>
      <c r="BH289" s="89"/>
      <c r="BI289" s="89"/>
      <c r="BJ289" s="89"/>
      <c r="BK289" s="89"/>
      <c r="BL289" s="89"/>
      <c r="BM289" s="89"/>
      <c r="BN289" s="89"/>
      <c r="BO289" s="89"/>
      <c r="BP289" s="89"/>
      <c r="BQ289" s="89"/>
      <c r="BR289" s="89"/>
      <c r="BS289" s="89"/>
    </row>
    <row r="290" spans="1:71" ht="27" customHeight="1" x14ac:dyDescent="0.2">
      <c r="A290" s="93"/>
      <c r="B290" s="89"/>
      <c r="C290" s="89"/>
      <c r="D290" s="89"/>
      <c r="E290" s="89"/>
      <c r="F290" s="89"/>
      <c r="G290" s="89"/>
      <c r="H290" s="94"/>
      <c r="I290" s="94"/>
      <c r="J290" s="94"/>
      <c r="K290" s="94"/>
      <c r="L290" s="94"/>
      <c r="M290" s="94"/>
      <c r="N290" s="94"/>
      <c r="O290" s="94"/>
      <c r="P290" s="94"/>
      <c r="Q290" s="94"/>
      <c r="R290" s="95"/>
      <c r="S290" s="94"/>
      <c r="T290" s="96"/>
      <c r="U290" s="94"/>
      <c r="V290" s="97"/>
      <c r="W290" s="94"/>
      <c r="X290" s="98"/>
      <c r="Y290" s="98"/>
      <c r="Z290" s="98"/>
      <c r="AA290" s="98"/>
      <c r="AB290" s="98"/>
      <c r="AC290" s="97"/>
      <c r="AD290" s="99"/>
      <c r="AE290" s="95"/>
      <c r="AF290" s="94"/>
      <c r="AG290" s="89"/>
      <c r="AH290" s="89"/>
      <c r="AI290" s="89"/>
      <c r="AJ290" s="89"/>
      <c r="AK290" s="89"/>
      <c r="AL290" s="89"/>
      <c r="AM290" s="89"/>
      <c r="AN290" s="89"/>
      <c r="AO290" s="89"/>
      <c r="AP290" s="89"/>
      <c r="AQ290" s="89"/>
      <c r="AR290" s="89"/>
      <c r="AS290" s="89"/>
      <c r="AT290" s="89"/>
      <c r="AU290" s="89"/>
      <c r="AV290" s="89"/>
      <c r="AW290" s="100"/>
      <c r="AX290" s="100"/>
      <c r="AY290" s="89"/>
      <c r="AZ290" s="89"/>
      <c r="BA290" s="89"/>
      <c r="BB290" s="89"/>
      <c r="BC290" s="89"/>
      <c r="BD290" s="89"/>
      <c r="BE290" s="89"/>
      <c r="BF290" s="89"/>
      <c r="BG290" s="89"/>
      <c r="BH290" s="89"/>
      <c r="BI290" s="89"/>
      <c r="BJ290" s="89"/>
      <c r="BK290" s="89"/>
      <c r="BL290" s="89"/>
      <c r="BM290" s="89"/>
      <c r="BN290" s="89"/>
      <c r="BO290" s="89"/>
      <c r="BP290" s="89"/>
      <c r="BQ290" s="89"/>
      <c r="BR290" s="89"/>
      <c r="BS290" s="89"/>
    </row>
    <row r="291" spans="1:71" ht="27" customHeight="1" x14ac:dyDescent="0.2">
      <c r="A291" s="93"/>
      <c r="B291" s="89"/>
      <c r="C291" s="89"/>
      <c r="D291" s="89"/>
      <c r="E291" s="89"/>
      <c r="F291" s="89"/>
      <c r="G291" s="89"/>
      <c r="H291" s="94"/>
      <c r="I291" s="94"/>
      <c r="J291" s="94"/>
      <c r="K291" s="94"/>
      <c r="L291" s="94"/>
      <c r="M291" s="94"/>
      <c r="N291" s="94"/>
      <c r="O291" s="94"/>
      <c r="P291" s="94"/>
      <c r="Q291" s="94"/>
      <c r="R291" s="95"/>
      <c r="S291" s="94"/>
      <c r="T291" s="96"/>
      <c r="U291" s="94"/>
      <c r="V291" s="97"/>
      <c r="W291" s="94"/>
      <c r="X291" s="98"/>
      <c r="Y291" s="98"/>
      <c r="Z291" s="98"/>
      <c r="AA291" s="98"/>
      <c r="AB291" s="98"/>
      <c r="AC291" s="97"/>
      <c r="AD291" s="99"/>
      <c r="AE291" s="95"/>
      <c r="AF291" s="94"/>
      <c r="AG291" s="89"/>
      <c r="AH291" s="89"/>
      <c r="AI291" s="89"/>
      <c r="AJ291" s="89"/>
      <c r="AK291" s="89"/>
      <c r="AL291" s="89"/>
      <c r="AM291" s="89"/>
      <c r="AN291" s="89"/>
      <c r="AO291" s="89"/>
      <c r="AP291" s="89"/>
      <c r="AQ291" s="89"/>
      <c r="AR291" s="89"/>
      <c r="AS291" s="89"/>
      <c r="AT291" s="89"/>
      <c r="AU291" s="89"/>
      <c r="AV291" s="89"/>
      <c r="AW291" s="100"/>
      <c r="AX291" s="100"/>
      <c r="AY291" s="89"/>
      <c r="AZ291" s="89"/>
      <c r="BA291" s="89"/>
      <c r="BB291" s="89"/>
      <c r="BC291" s="89"/>
      <c r="BD291" s="89"/>
      <c r="BE291" s="89"/>
      <c r="BF291" s="89"/>
      <c r="BG291" s="89"/>
      <c r="BH291" s="89"/>
      <c r="BI291" s="89"/>
      <c r="BJ291" s="89"/>
      <c r="BK291" s="89"/>
      <c r="BL291" s="89"/>
      <c r="BM291" s="89"/>
      <c r="BN291" s="89"/>
      <c r="BO291" s="89"/>
      <c r="BP291" s="89"/>
      <c r="BQ291" s="89"/>
      <c r="BR291" s="89"/>
      <c r="BS291" s="89"/>
    </row>
    <row r="292" spans="1:71" ht="27" customHeight="1" x14ac:dyDescent="0.2">
      <c r="A292" s="93"/>
      <c r="B292" s="89"/>
      <c r="C292" s="89"/>
      <c r="D292" s="89"/>
      <c r="E292" s="89"/>
      <c r="F292" s="89"/>
      <c r="G292" s="89"/>
      <c r="H292" s="94"/>
      <c r="I292" s="94"/>
      <c r="J292" s="94"/>
      <c r="K292" s="94"/>
      <c r="L292" s="94"/>
      <c r="M292" s="94"/>
      <c r="N292" s="94"/>
      <c r="O292" s="94"/>
      <c r="P292" s="94"/>
      <c r="Q292" s="94"/>
      <c r="R292" s="95"/>
      <c r="S292" s="94"/>
      <c r="T292" s="96"/>
      <c r="U292" s="94"/>
      <c r="V292" s="97"/>
      <c r="W292" s="94"/>
      <c r="X292" s="98"/>
      <c r="Y292" s="98"/>
      <c r="Z292" s="98"/>
      <c r="AA292" s="98"/>
      <c r="AB292" s="98"/>
      <c r="AC292" s="97"/>
      <c r="AD292" s="99"/>
      <c r="AE292" s="95"/>
      <c r="AF292" s="94"/>
      <c r="AG292" s="89"/>
      <c r="AH292" s="89"/>
      <c r="AI292" s="89"/>
      <c r="AJ292" s="89"/>
      <c r="AK292" s="89"/>
      <c r="AL292" s="89"/>
      <c r="AM292" s="89"/>
      <c r="AN292" s="89"/>
      <c r="AO292" s="89"/>
      <c r="AP292" s="89"/>
      <c r="AQ292" s="89"/>
      <c r="AR292" s="89"/>
      <c r="AS292" s="89"/>
      <c r="AT292" s="89"/>
      <c r="AU292" s="89"/>
      <c r="AV292" s="89"/>
      <c r="AW292" s="100"/>
      <c r="AX292" s="100"/>
      <c r="AY292" s="89"/>
      <c r="AZ292" s="89"/>
      <c r="BA292" s="89"/>
      <c r="BB292" s="89"/>
      <c r="BC292" s="89"/>
      <c r="BD292" s="89"/>
      <c r="BE292" s="89"/>
      <c r="BF292" s="89"/>
      <c r="BG292" s="89"/>
      <c r="BH292" s="89"/>
      <c r="BI292" s="89"/>
      <c r="BJ292" s="89"/>
      <c r="BK292" s="89"/>
      <c r="BL292" s="89"/>
      <c r="BM292" s="89"/>
      <c r="BN292" s="89"/>
      <c r="BO292" s="89"/>
      <c r="BP292" s="89"/>
      <c r="BQ292" s="89"/>
      <c r="BR292" s="89"/>
      <c r="BS292" s="89"/>
    </row>
    <row r="293" spans="1:71" ht="27" customHeight="1" x14ac:dyDescent="0.2">
      <c r="A293" s="93"/>
      <c r="B293" s="89"/>
      <c r="C293" s="89"/>
      <c r="D293" s="89"/>
      <c r="E293" s="89"/>
      <c r="F293" s="89"/>
      <c r="G293" s="89"/>
      <c r="H293" s="94"/>
      <c r="I293" s="94"/>
      <c r="J293" s="94"/>
      <c r="K293" s="94"/>
      <c r="L293" s="94"/>
      <c r="M293" s="94"/>
      <c r="N293" s="94"/>
      <c r="O293" s="94"/>
      <c r="P293" s="94"/>
      <c r="Q293" s="94"/>
      <c r="R293" s="95"/>
      <c r="S293" s="94"/>
      <c r="T293" s="96"/>
      <c r="U293" s="94"/>
      <c r="V293" s="97"/>
      <c r="W293" s="94"/>
      <c r="X293" s="98"/>
      <c r="Y293" s="98"/>
      <c r="Z293" s="98"/>
      <c r="AA293" s="98"/>
      <c r="AB293" s="98"/>
      <c r="AC293" s="97"/>
      <c r="AD293" s="99"/>
      <c r="AE293" s="95"/>
      <c r="AF293" s="94"/>
      <c r="AG293" s="89"/>
      <c r="AH293" s="89"/>
      <c r="AI293" s="89"/>
      <c r="AJ293" s="89"/>
      <c r="AK293" s="89"/>
      <c r="AL293" s="89"/>
      <c r="AM293" s="89"/>
      <c r="AN293" s="89"/>
      <c r="AO293" s="89"/>
      <c r="AP293" s="89"/>
      <c r="AQ293" s="89"/>
      <c r="AR293" s="89"/>
      <c r="AS293" s="89"/>
      <c r="AT293" s="89"/>
      <c r="AU293" s="89"/>
      <c r="AV293" s="89"/>
      <c r="AW293" s="100"/>
      <c r="AX293" s="100"/>
      <c r="AY293" s="89"/>
      <c r="AZ293" s="89"/>
      <c r="BA293" s="89"/>
      <c r="BB293" s="89"/>
      <c r="BC293" s="89"/>
      <c r="BD293" s="89"/>
      <c r="BE293" s="89"/>
      <c r="BF293" s="89"/>
      <c r="BG293" s="89"/>
      <c r="BH293" s="89"/>
      <c r="BI293" s="89"/>
      <c r="BJ293" s="89"/>
      <c r="BK293" s="89"/>
      <c r="BL293" s="89"/>
      <c r="BM293" s="89"/>
      <c r="BN293" s="89"/>
      <c r="BO293" s="89"/>
      <c r="BP293" s="89"/>
      <c r="BQ293" s="89"/>
      <c r="BR293" s="89"/>
      <c r="BS293" s="89"/>
    </row>
    <row r="294" spans="1:71" ht="27" customHeight="1" x14ac:dyDescent="0.2">
      <c r="A294" s="93"/>
      <c r="B294" s="89"/>
      <c r="C294" s="89"/>
      <c r="D294" s="89"/>
      <c r="E294" s="89"/>
      <c r="F294" s="89"/>
      <c r="G294" s="89"/>
      <c r="H294" s="94"/>
      <c r="I294" s="94"/>
      <c r="J294" s="94"/>
      <c r="K294" s="94"/>
      <c r="L294" s="94"/>
      <c r="M294" s="94"/>
      <c r="N294" s="94"/>
      <c r="O294" s="94"/>
      <c r="P294" s="94"/>
      <c r="Q294" s="94"/>
      <c r="R294" s="95"/>
      <c r="S294" s="94"/>
      <c r="T294" s="96"/>
      <c r="U294" s="94"/>
      <c r="V294" s="97"/>
      <c r="W294" s="94"/>
      <c r="X294" s="98"/>
      <c r="Y294" s="98"/>
      <c r="Z294" s="98"/>
      <c r="AA294" s="98"/>
      <c r="AB294" s="98"/>
      <c r="AC294" s="97"/>
      <c r="AD294" s="99"/>
      <c r="AE294" s="95"/>
      <c r="AF294" s="94"/>
      <c r="AG294" s="89"/>
      <c r="AH294" s="89"/>
      <c r="AI294" s="89"/>
      <c r="AJ294" s="89"/>
      <c r="AK294" s="89"/>
      <c r="AL294" s="89"/>
      <c r="AM294" s="89"/>
      <c r="AN294" s="89"/>
      <c r="AO294" s="89"/>
      <c r="AP294" s="89"/>
      <c r="AQ294" s="89"/>
      <c r="AR294" s="89"/>
      <c r="AS294" s="89"/>
      <c r="AT294" s="89"/>
      <c r="AU294" s="89"/>
      <c r="AV294" s="89"/>
      <c r="AW294" s="100"/>
      <c r="AX294" s="100"/>
      <c r="AY294" s="89"/>
      <c r="AZ294" s="89"/>
      <c r="BA294" s="89"/>
      <c r="BB294" s="89"/>
      <c r="BC294" s="89"/>
      <c r="BD294" s="89"/>
      <c r="BE294" s="89"/>
      <c r="BF294" s="89"/>
      <c r="BG294" s="89"/>
      <c r="BH294" s="89"/>
      <c r="BI294" s="89"/>
      <c r="BJ294" s="89"/>
      <c r="BK294" s="89"/>
      <c r="BL294" s="89"/>
      <c r="BM294" s="89"/>
      <c r="BN294" s="89"/>
      <c r="BO294" s="89"/>
      <c r="BP294" s="89"/>
      <c r="BQ294" s="89"/>
      <c r="BR294" s="89"/>
      <c r="BS294" s="89"/>
    </row>
    <row r="295" spans="1:71" ht="27" customHeight="1" x14ac:dyDescent="0.2">
      <c r="A295" s="93"/>
      <c r="B295" s="89"/>
      <c r="C295" s="89"/>
      <c r="D295" s="89"/>
      <c r="E295" s="89"/>
      <c r="F295" s="89"/>
      <c r="G295" s="89"/>
      <c r="H295" s="94"/>
      <c r="I295" s="94"/>
      <c r="J295" s="94"/>
      <c r="K295" s="94"/>
      <c r="L295" s="94"/>
      <c r="M295" s="94"/>
      <c r="N295" s="94"/>
      <c r="O295" s="94"/>
      <c r="P295" s="94"/>
      <c r="Q295" s="94"/>
      <c r="R295" s="95"/>
      <c r="S295" s="94"/>
      <c r="T295" s="96"/>
      <c r="U295" s="94"/>
      <c r="V295" s="97"/>
      <c r="W295" s="94"/>
      <c r="X295" s="98"/>
      <c r="Y295" s="98"/>
      <c r="Z295" s="98"/>
      <c r="AA295" s="98"/>
      <c r="AB295" s="98"/>
      <c r="AC295" s="97"/>
      <c r="AD295" s="99"/>
      <c r="AE295" s="95"/>
      <c r="AF295" s="94"/>
      <c r="AG295" s="89"/>
      <c r="AH295" s="89"/>
      <c r="AI295" s="89"/>
      <c r="AJ295" s="89"/>
      <c r="AK295" s="89"/>
      <c r="AL295" s="89"/>
      <c r="AM295" s="89"/>
      <c r="AN295" s="89"/>
      <c r="AO295" s="89"/>
      <c r="AP295" s="89"/>
      <c r="AQ295" s="89"/>
      <c r="AR295" s="89"/>
      <c r="AS295" s="89"/>
      <c r="AT295" s="89"/>
      <c r="AU295" s="89"/>
      <c r="AV295" s="89"/>
      <c r="AW295" s="100"/>
      <c r="AX295" s="100"/>
      <c r="AY295" s="89"/>
      <c r="AZ295" s="89"/>
      <c r="BA295" s="89"/>
      <c r="BB295" s="89"/>
      <c r="BC295" s="89"/>
      <c r="BD295" s="89"/>
      <c r="BE295" s="89"/>
      <c r="BF295" s="89"/>
      <c r="BG295" s="89"/>
      <c r="BH295" s="89"/>
      <c r="BI295" s="89"/>
      <c r="BJ295" s="89"/>
      <c r="BK295" s="89"/>
      <c r="BL295" s="89"/>
      <c r="BM295" s="89"/>
      <c r="BN295" s="89"/>
      <c r="BO295" s="89"/>
      <c r="BP295" s="89"/>
      <c r="BQ295" s="89"/>
      <c r="BR295" s="89"/>
      <c r="BS295" s="89"/>
    </row>
    <row r="296" spans="1:71" ht="27" customHeight="1" x14ac:dyDescent="0.2">
      <c r="A296" s="93"/>
      <c r="B296" s="89"/>
      <c r="C296" s="89"/>
      <c r="D296" s="89"/>
      <c r="E296" s="89"/>
      <c r="F296" s="89"/>
      <c r="G296" s="89"/>
      <c r="H296" s="94"/>
      <c r="I296" s="94"/>
      <c r="J296" s="94"/>
      <c r="K296" s="94"/>
      <c r="L296" s="94"/>
      <c r="M296" s="94"/>
      <c r="N296" s="94"/>
      <c r="O296" s="94"/>
      <c r="P296" s="94"/>
      <c r="Q296" s="94"/>
      <c r="R296" s="95"/>
      <c r="S296" s="94"/>
      <c r="T296" s="96"/>
      <c r="U296" s="94"/>
      <c r="V296" s="97"/>
      <c r="W296" s="94"/>
      <c r="X296" s="98"/>
      <c r="Y296" s="98"/>
      <c r="Z296" s="98"/>
      <c r="AA296" s="98"/>
      <c r="AB296" s="98"/>
      <c r="AC296" s="97"/>
      <c r="AD296" s="99"/>
      <c r="AE296" s="95"/>
      <c r="AF296" s="94"/>
      <c r="AG296" s="89"/>
      <c r="AH296" s="89"/>
      <c r="AI296" s="89"/>
      <c r="AJ296" s="89"/>
      <c r="AK296" s="89"/>
      <c r="AL296" s="89"/>
      <c r="AM296" s="89"/>
      <c r="AN296" s="89"/>
      <c r="AO296" s="89"/>
      <c r="AP296" s="89"/>
      <c r="AQ296" s="89"/>
      <c r="AR296" s="89"/>
      <c r="AS296" s="89"/>
      <c r="AT296" s="89"/>
      <c r="AU296" s="89"/>
      <c r="AV296" s="89"/>
      <c r="AW296" s="100"/>
      <c r="AX296" s="100"/>
      <c r="AY296" s="89"/>
      <c r="AZ296" s="89"/>
      <c r="BA296" s="89"/>
      <c r="BB296" s="89"/>
      <c r="BC296" s="89"/>
      <c r="BD296" s="89"/>
      <c r="BE296" s="89"/>
      <c r="BF296" s="89"/>
      <c r="BG296" s="89"/>
      <c r="BH296" s="89"/>
      <c r="BI296" s="89"/>
      <c r="BJ296" s="89"/>
      <c r="BK296" s="89"/>
      <c r="BL296" s="89"/>
      <c r="BM296" s="89"/>
      <c r="BN296" s="89"/>
      <c r="BO296" s="89"/>
      <c r="BP296" s="89"/>
      <c r="BQ296" s="89"/>
      <c r="BR296" s="89"/>
      <c r="BS296" s="89"/>
    </row>
    <row r="297" spans="1:71" ht="27" customHeight="1" x14ac:dyDescent="0.2">
      <c r="A297" s="93"/>
      <c r="B297" s="89"/>
      <c r="C297" s="89"/>
      <c r="D297" s="89"/>
      <c r="E297" s="89"/>
      <c r="F297" s="89"/>
      <c r="G297" s="89"/>
      <c r="H297" s="94"/>
      <c r="I297" s="94"/>
      <c r="J297" s="94"/>
      <c r="K297" s="94"/>
      <c r="L297" s="94"/>
      <c r="M297" s="94"/>
      <c r="N297" s="94"/>
      <c r="O297" s="94"/>
      <c r="P297" s="94"/>
      <c r="Q297" s="94"/>
      <c r="R297" s="95"/>
      <c r="S297" s="94"/>
      <c r="T297" s="96"/>
      <c r="U297" s="94"/>
      <c r="V297" s="97"/>
      <c r="W297" s="94"/>
      <c r="X297" s="98"/>
      <c r="Y297" s="98"/>
      <c r="Z297" s="98"/>
      <c r="AA297" s="98"/>
      <c r="AB297" s="98"/>
      <c r="AC297" s="97"/>
      <c r="AD297" s="99"/>
      <c r="AE297" s="95"/>
      <c r="AF297" s="94"/>
      <c r="AG297" s="89"/>
      <c r="AH297" s="89"/>
      <c r="AI297" s="89"/>
      <c r="AJ297" s="89"/>
      <c r="AK297" s="89"/>
      <c r="AL297" s="89"/>
      <c r="AM297" s="89"/>
      <c r="AN297" s="89"/>
      <c r="AO297" s="89"/>
      <c r="AP297" s="89"/>
      <c r="AQ297" s="89"/>
      <c r="AR297" s="89"/>
      <c r="AS297" s="89"/>
      <c r="AT297" s="89"/>
      <c r="AU297" s="89"/>
      <c r="AV297" s="89"/>
      <c r="AW297" s="100"/>
      <c r="AX297" s="100"/>
      <c r="AY297" s="89"/>
      <c r="AZ297" s="89"/>
      <c r="BA297" s="89"/>
      <c r="BB297" s="89"/>
      <c r="BC297" s="89"/>
      <c r="BD297" s="89"/>
      <c r="BE297" s="89"/>
      <c r="BF297" s="89"/>
      <c r="BG297" s="89"/>
      <c r="BH297" s="89"/>
      <c r="BI297" s="89"/>
      <c r="BJ297" s="89"/>
      <c r="BK297" s="89"/>
      <c r="BL297" s="89"/>
      <c r="BM297" s="89"/>
      <c r="BN297" s="89"/>
      <c r="BO297" s="89"/>
      <c r="BP297" s="89"/>
      <c r="BQ297" s="89"/>
      <c r="BR297" s="89"/>
      <c r="BS297" s="89"/>
    </row>
    <row r="298" spans="1:71" ht="27" customHeight="1" x14ac:dyDescent="0.2">
      <c r="A298" s="93"/>
      <c r="B298" s="89"/>
      <c r="C298" s="89"/>
      <c r="D298" s="89"/>
      <c r="E298" s="89"/>
      <c r="F298" s="89"/>
      <c r="G298" s="89"/>
      <c r="H298" s="94"/>
      <c r="I298" s="94"/>
      <c r="J298" s="94"/>
      <c r="K298" s="94"/>
      <c r="L298" s="94"/>
      <c r="M298" s="94"/>
      <c r="N298" s="94"/>
      <c r="O298" s="94"/>
      <c r="P298" s="94"/>
      <c r="Q298" s="94"/>
      <c r="R298" s="95"/>
      <c r="S298" s="94"/>
      <c r="T298" s="96"/>
      <c r="U298" s="94"/>
      <c r="V298" s="97"/>
      <c r="W298" s="94"/>
      <c r="X298" s="98"/>
      <c r="Y298" s="98"/>
      <c r="Z298" s="98"/>
      <c r="AA298" s="98"/>
      <c r="AB298" s="98"/>
      <c r="AC298" s="97"/>
      <c r="AD298" s="99"/>
      <c r="AE298" s="95"/>
      <c r="AF298" s="94"/>
      <c r="AG298" s="89"/>
      <c r="AH298" s="89"/>
      <c r="AI298" s="89"/>
      <c r="AJ298" s="89"/>
      <c r="AK298" s="89"/>
      <c r="AL298" s="89"/>
      <c r="AM298" s="89"/>
      <c r="AN298" s="89"/>
      <c r="AO298" s="89"/>
      <c r="AP298" s="89"/>
      <c r="AQ298" s="89"/>
      <c r="AR298" s="89"/>
      <c r="AS298" s="89"/>
      <c r="AT298" s="89"/>
      <c r="AU298" s="89"/>
      <c r="AV298" s="89"/>
      <c r="AW298" s="100"/>
      <c r="AX298" s="100"/>
      <c r="AY298" s="89"/>
      <c r="AZ298" s="89"/>
      <c r="BA298" s="89"/>
      <c r="BB298" s="89"/>
      <c r="BC298" s="89"/>
      <c r="BD298" s="89"/>
      <c r="BE298" s="89"/>
      <c r="BF298" s="89"/>
      <c r="BG298" s="89"/>
      <c r="BH298" s="89"/>
      <c r="BI298" s="89"/>
      <c r="BJ298" s="89"/>
      <c r="BK298" s="89"/>
      <c r="BL298" s="89"/>
      <c r="BM298" s="89"/>
      <c r="BN298" s="89"/>
      <c r="BO298" s="89"/>
      <c r="BP298" s="89"/>
      <c r="BQ298" s="89"/>
      <c r="BR298" s="89"/>
      <c r="BS298" s="89"/>
    </row>
    <row r="299" spans="1:71" ht="27" customHeight="1" x14ac:dyDescent="0.2">
      <c r="A299" s="93"/>
      <c r="B299" s="89"/>
      <c r="C299" s="89"/>
      <c r="D299" s="89"/>
      <c r="E299" s="89"/>
      <c r="F299" s="89"/>
      <c r="G299" s="89"/>
      <c r="H299" s="94"/>
      <c r="I299" s="94"/>
      <c r="J299" s="94"/>
      <c r="K299" s="94"/>
      <c r="L299" s="94"/>
      <c r="M299" s="94"/>
      <c r="N299" s="94"/>
      <c r="O299" s="94"/>
      <c r="P299" s="94"/>
      <c r="Q299" s="94"/>
      <c r="R299" s="95"/>
      <c r="S299" s="94"/>
      <c r="T299" s="96"/>
      <c r="U299" s="94"/>
      <c r="V299" s="97"/>
      <c r="W299" s="94"/>
      <c r="X299" s="98"/>
      <c r="Y299" s="98"/>
      <c r="Z299" s="98"/>
      <c r="AA299" s="98"/>
      <c r="AB299" s="98"/>
      <c r="AC299" s="97"/>
      <c r="AD299" s="99"/>
      <c r="AE299" s="95"/>
      <c r="AF299" s="94"/>
      <c r="AG299" s="89"/>
      <c r="AH299" s="89"/>
      <c r="AI299" s="89"/>
      <c r="AJ299" s="89"/>
      <c r="AK299" s="89"/>
      <c r="AL299" s="89"/>
      <c r="AM299" s="89"/>
      <c r="AN299" s="89"/>
      <c r="AO299" s="89"/>
      <c r="AP299" s="89"/>
      <c r="AQ299" s="89"/>
      <c r="AR299" s="89"/>
      <c r="AS299" s="89"/>
      <c r="AT299" s="89"/>
      <c r="AU299" s="89"/>
      <c r="AV299" s="89"/>
      <c r="AW299" s="100"/>
      <c r="AX299" s="100"/>
      <c r="AY299" s="89"/>
      <c r="AZ299" s="89"/>
      <c r="BA299" s="89"/>
      <c r="BB299" s="89"/>
      <c r="BC299" s="89"/>
      <c r="BD299" s="89"/>
      <c r="BE299" s="89"/>
      <c r="BF299" s="89"/>
      <c r="BG299" s="89"/>
      <c r="BH299" s="89"/>
      <c r="BI299" s="89"/>
      <c r="BJ299" s="89"/>
      <c r="BK299" s="89"/>
      <c r="BL299" s="89"/>
      <c r="BM299" s="89"/>
      <c r="BN299" s="89"/>
      <c r="BO299" s="89"/>
      <c r="BP299" s="89"/>
      <c r="BQ299" s="89"/>
      <c r="BR299" s="89"/>
      <c r="BS299" s="89"/>
    </row>
    <row r="300" spans="1:71" ht="27" customHeight="1" x14ac:dyDescent="0.2">
      <c r="A300" s="93"/>
      <c r="B300" s="89"/>
      <c r="C300" s="89"/>
      <c r="D300" s="89"/>
      <c r="E300" s="89"/>
      <c r="F300" s="89"/>
      <c r="G300" s="89"/>
      <c r="H300" s="94"/>
      <c r="I300" s="94"/>
      <c r="J300" s="94"/>
      <c r="K300" s="94"/>
      <c r="L300" s="94"/>
      <c r="M300" s="94"/>
      <c r="N300" s="94"/>
      <c r="O300" s="94"/>
      <c r="P300" s="94"/>
      <c r="Q300" s="94"/>
      <c r="R300" s="95"/>
      <c r="S300" s="94"/>
      <c r="T300" s="96"/>
      <c r="U300" s="94"/>
      <c r="V300" s="97"/>
      <c r="W300" s="94"/>
      <c r="X300" s="98"/>
      <c r="Y300" s="98"/>
      <c r="Z300" s="98"/>
      <c r="AA300" s="98"/>
      <c r="AB300" s="98"/>
      <c r="AC300" s="97"/>
      <c r="AD300" s="99"/>
      <c r="AE300" s="95"/>
      <c r="AF300" s="94"/>
      <c r="AG300" s="89"/>
      <c r="AH300" s="89"/>
      <c r="AI300" s="89"/>
      <c r="AJ300" s="89"/>
      <c r="AK300" s="89"/>
      <c r="AL300" s="89"/>
      <c r="AM300" s="89"/>
      <c r="AN300" s="89"/>
      <c r="AO300" s="89"/>
      <c r="AP300" s="89"/>
      <c r="AQ300" s="89"/>
      <c r="AR300" s="89"/>
      <c r="AS300" s="89"/>
      <c r="AT300" s="89"/>
      <c r="AU300" s="89"/>
      <c r="AV300" s="89"/>
      <c r="AW300" s="100"/>
      <c r="AX300" s="100"/>
      <c r="AY300" s="89"/>
      <c r="AZ300" s="89"/>
      <c r="BA300" s="89"/>
      <c r="BB300" s="89"/>
      <c r="BC300" s="89"/>
      <c r="BD300" s="89"/>
      <c r="BE300" s="89"/>
      <c r="BF300" s="89"/>
      <c r="BG300" s="89"/>
      <c r="BH300" s="89"/>
      <c r="BI300" s="89"/>
      <c r="BJ300" s="89"/>
      <c r="BK300" s="89"/>
      <c r="BL300" s="89"/>
      <c r="BM300" s="89"/>
      <c r="BN300" s="89"/>
      <c r="BO300" s="89"/>
      <c r="BP300" s="89"/>
      <c r="BQ300" s="89"/>
      <c r="BR300" s="89"/>
      <c r="BS300" s="89"/>
    </row>
    <row r="301" spans="1:71" ht="27" customHeight="1" x14ac:dyDescent="0.2">
      <c r="A301" s="93"/>
      <c r="B301" s="89"/>
      <c r="C301" s="89"/>
      <c r="D301" s="89"/>
      <c r="E301" s="89"/>
      <c r="F301" s="89"/>
      <c r="G301" s="89"/>
      <c r="H301" s="94"/>
      <c r="I301" s="94"/>
      <c r="J301" s="94"/>
      <c r="K301" s="94"/>
      <c r="L301" s="94"/>
      <c r="M301" s="94"/>
      <c r="N301" s="94"/>
      <c r="O301" s="94"/>
      <c r="P301" s="94"/>
      <c r="Q301" s="94"/>
      <c r="R301" s="95"/>
      <c r="S301" s="94"/>
      <c r="T301" s="96"/>
      <c r="U301" s="94"/>
      <c r="V301" s="97"/>
      <c r="W301" s="94"/>
      <c r="X301" s="98"/>
      <c r="Y301" s="98"/>
      <c r="Z301" s="98"/>
      <c r="AA301" s="98"/>
      <c r="AB301" s="98"/>
      <c r="AC301" s="97"/>
      <c r="AD301" s="99"/>
      <c r="AE301" s="95"/>
      <c r="AF301" s="94"/>
      <c r="AG301" s="89"/>
      <c r="AH301" s="89"/>
      <c r="AI301" s="89"/>
      <c r="AJ301" s="89"/>
      <c r="AK301" s="89"/>
      <c r="AL301" s="89"/>
      <c r="AM301" s="89"/>
      <c r="AN301" s="89"/>
      <c r="AO301" s="89"/>
      <c r="AP301" s="89"/>
      <c r="AQ301" s="89"/>
      <c r="AR301" s="89"/>
      <c r="AS301" s="89"/>
      <c r="AT301" s="89"/>
      <c r="AU301" s="89"/>
      <c r="AV301" s="89"/>
      <c r="AW301" s="100"/>
      <c r="AX301" s="100"/>
      <c r="AY301" s="89"/>
      <c r="AZ301" s="89"/>
      <c r="BA301" s="89"/>
      <c r="BB301" s="89"/>
      <c r="BC301" s="89"/>
      <c r="BD301" s="89"/>
      <c r="BE301" s="89"/>
      <c r="BF301" s="89"/>
      <c r="BG301" s="89"/>
      <c r="BH301" s="89"/>
      <c r="BI301" s="89"/>
      <c r="BJ301" s="89"/>
      <c r="BK301" s="89"/>
      <c r="BL301" s="89"/>
      <c r="BM301" s="89"/>
      <c r="BN301" s="89"/>
      <c r="BO301" s="89"/>
      <c r="BP301" s="89"/>
      <c r="BQ301" s="89"/>
      <c r="BR301" s="89"/>
      <c r="BS301" s="89"/>
    </row>
    <row r="302" spans="1:71" ht="27" customHeight="1" x14ac:dyDescent="0.2">
      <c r="A302" s="93"/>
      <c r="B302" s="89"/>
      <c r="C302" s="89"/>
      <c r="D302" s="89"/>
      <c r="E302" s="89"/>
      <c r="F302" s="89"/>
      <c r="G302" s="89"/>
      <c r="H302" s="94"/>
      <c r="I302" s="94"/>
      <c r="J302" s="94"/>
      <c r="K302" s="94"/>
      <c r="L302" s="94"/>
      <c r="M302" s="94"/>
      <c r="N302" s="94"/>
      <c r="O302" s="94"/>
      <c r="P302" s="94"/>
      <c r="Q302" s="94"/>
      <c r="R302" s="95"/>
      <c r="S302" s="94"/>
      <c r="T302" s="96"/>
      <c r="U302" s="94"/>
      <c r="V302" s="97"/>
      <c r="W302" s="94"/>
      <c r="X302" s="98"/>
      <c r="Y302" s="98"/>
      <c r="Z302" s="98"/>
      <c r="AA302" s="98"/>
      <c r="AB302" s="98"/>
      <c r="AC302" s="97"/>
      <c r="AD302" s="99"/>
      <c r="AE302" s="95"/>
      <c r="AF302" s="94"/>
      <c r="AG302" s="89"/>
      <c r="AH302" s="89"/>
      <c r="AI302" s="89"/>
      <c r="AJ302" s="89"/>
      <c r="AK302" s="89"/>
      <c r="AL302" s="89"/>
      <c r="AM302" s="89"/>
      <c r="AN302" s="89"/>
      <c r="AO302" s="89"/>
      <c r="AP302" s="89"/>
      <c r="AQ302" s="89"/>
      <c r="AR302" s="89"/>
      <c r="AS302" s="89"/>
      <c r="AT302" s="89"/>
      <c r="AU302" s="89"/>
      <c r="AV302" s="89"/>
      <c r="AW302" s="100"/>
      <c r="AX302" s="100"/>
      <c r="AY302" s="89"/>
      <c r="AZ302" s="89"/>
      <c r="BA302" s="89"/>
      <c r="BB302" s="89"/>
      <c r="BC302" s="89"/>
      <c r="BD302" s="89"/>
      <c r="BE302" s="89"/>
      <c r="BF302" s="89"/>
      <c r="BG302" s="89"/>
      <c r="BH302" s="89"/>
      <c r="BI302" s="89"/>
      <c r="BJ302" s="89"/>
      <c r="BK302" s="89"/>
      <c r="BL302" s="89"/>
      <c r="BM302" s="89"/>
      <c r="BN302" s="89"/>
      <c r="BO302" s="89"/>
      <c r="BP302" s="89"/>
      <c r="BQ302" s="89"/>
      <c r="BR302" s="89"/>
      <c r="BS302" s="89"/>
    </row>
    <row r="303" spans="1:71" ht="27" customHeight="1" x14ac:dyDescent="0.2">
      <c r="A303" s="93"/>
      <c r="B303" s="89"/>
      <c r="C303" s="89"/>
      <c r="D303" s="89"/>
      <c r="E303" s="89"/>
      <c r="F303" s="89"/>
      <c r="G303" s="89"/>
      <c r="H303" s="94"/>
      <c r="I303" s="94"/>
      <c r="J303" s="94"/>
      <c r="K303" s="94"/>
      <c r="L303" s="94"/>
      <c r="M303" s="94"/>
      <c r="N303" s="94"/>
      <c r="O303" s="94"/>
      <c r="P303" s="94"/>
      <c r="Q303" s="94"/>
      <c r="R303" s="95"/>
      <c r="S303" s="94"/>
      <c r="T303" s="96"/>
      <c r="U303" s="94"/>
      <c r="V303" s="97"/>
      <c r="W303" s="94"/>
      <c r="X303" s="98"/>
      <c r="Y303" s="98"/>
      <c r="Z303" s="98"/>
      <c r="AA303" s="98"/>
      <c r="AB303" s="98"/>
      <c r="AC303" s="97"/>
      <c r="AD303" s="99"/>
      <c r="AE303" s="95"/>
      <c r="AF303" s="94"/>
      <c r="AG303" s="89"/>
      <c r="AH303" s="89"/>
      <c r="AI303" s="89"/>
      <c r="AJ303" s="89"/>
      <c r="AK303" s="89"/>
      <c r="AL303" s="89"/>
      <c r="AM303" s="89"/>
      <c r="AN303" s="89"/>
      <c r="AO303" s="89"/>
      <c r="AP303" s="89"/>
      <c r="AQ303" s="89"/>
      <c r="AR303" s="89"/>
      <c r="AS303" s="89"/>
      <c r="AT303" s="89"/>
      <c r="AU303" s="89"/>
      <c r="AV303" s="89"/>
      <c r="AW303" s="100"/>
      <c r="AX303" s="100"/>
      <c r="AY303" s="89"/>
      <c r="AZ303" s="89"/>
      <c r="BA303" s="89"/>
      <c r="BB303" s="89"/>
      <c r="BC303" s="89"/>
      <c r="BD303" s="89"/>
      <c r="BE303" s="89"/>
      <c r="BF303" s="89"/>
      <c r="BG303" s="89"/>
      <c r="BH303" s="89"/>
      <c r="BI303" s="89"/>
      <c r="BJ303" s="89"/>
      <c r="BK303" s="89"/>
      <c r="BL303" s="89"/>
      <c r="BM303" s="89"/>
      <c r="BN303" s="89"/>
      <c r="BO303" s="89"/>
      <c r="BP303" s="89"/>
      <c r="BQ303" s="89"/>
      <c r="BR303" s="89"/>
      <c r="BS303" s="89"/>
    </row>
    <row r="304" spans="1:71" ht="27" customHeight="1" x14ac:dyDescent="0.2">
      <c r="A304" s="93"/>
      <c r="B304" s="89"/>
      <c r="C304" s="89"/>
      <c r="D304" s="89"/>
      <c r="E304" s="89"/>
      <c r="F304" s="89"/>
      <c r="G304" s="89"/>
      <c r="H304" s="94"/>
      <c r="I304" s="94"/>
      <c r="J304" s="94"/>
      <c r="K304" s="94"/>
      <c r="L304" s="94"/>
      <c r="M304" s="94"/>
      <c r="N304" s="94"/>
      <c r="O304" s="94"/>
      <c r="P304" s="94"/>
      <c r="Q304" s="94"/>
      <c r="R304" s="95"/>
      <c r="S304" s="94"/>
      <c r="T304" s="96"/>
      <c r="U304" s="94"/>
      <c r="V304" s="97"/>
      <c r="W304" s="94"/>
      <c r="X304" s="98"/>
      <c r="Y304" s="98"/>
      <c r="Z304" s="98"/>
      <c r="AA304" s="98"/>
      <c r="AB304" s="98"/>
      <c r="AC304" s="97"/>
      <c r="AD304" s="99"/>
      <c r="AE304" s="95"/>
      <c r="AF304" s="94"/>
      <c r="AG304" s="89"/>
      <c r="AH304" s="89"/>
      <c r="AI304" s="89"/>
      <c r="AJ304" s="89"/>
      <c r="AK304" s="89"/>
      <c r="AL304" s="89"/>
      <c r="AM304" s="89"/>
      <c r="AN304" s="89"/>
      <c r="AO304" s="89"/>
      <c r="AP304" s="89"/>
      <c r="AQ304" s="89"/>
      <c r="AR304" s="89"/>
      <c r="AS304" s="89"/>
      <c r="AT304" s="89"/>
      <c r="AU304" s="89"/>
      <c r="AV304" s="89"/>
      <c r="AW304" s="100"/>
      <c r="AX304" s="100"/>
      <c r="AY304" s="89"/>
      <c r="AZ304" s="89"/>
      <c r="BA304" s="89"/>
      <c r="BB304" s="89"/>
      <c r="BC304" s="89"/>
      <c r="BD304" s="89"/>
      <c r="BE304" s="89"/>
      <c r="BF304" s="89"/>
      <c r="BG304" s="89"/>
      <c r="BH304" s="89"/>
      <c r="BI304" s="89"/>
      <c r="BJ304" s="89"/>
      <c r="BK304" s="89"/>
      <c r="BL304" s="89"/>
      <c r="BM304" s="89"/>
      <c r="BN304" s="89"/>
      <c r="BO304" s="89"/>
      <c r="BP304" s="89"/>
      <c r="BQ304" s="89"/>
      <c r="BR304" s="89"/>
      <c r="BS304" s="89"/>
    </row>
    <row r="305" spans="1:71" ht="27" customHeight="1" x14ac:dyDescent="0.2">
      <c r="A305" s="93"/>
      <c r="B305" s="89"/>
      <c r="C305" s="89"/>
      <c r="D305" s="89"/>
      <c r="E305" s="89"/>
      <c r="F305" s="89"/>
      <c r="G305" s="89"/>
      <c r="H305" s="94"/>
      <c r="I305" s="94"/>
      <c r="J305" s="94"/>
      <c r="K305" s="94"/>
      <c r="L305" s="94"/>
      <c r="M305" s="94"/>
      <c r="N305" s="94"/>
      <c r="O305" s="94"/>
      <c r="P305" s="94"/>
      <c r="Q305" s="94"/>
      <c r="R305" s="95"/>
      <c r="S305" s="94"/>
      <c r="T305" s="96"/>
      <c r="U305" s="94"/>
      <c r="V305" s="97"/>
      <c r="W305" s="94"/>
      <c r="X305" s="98"/>
      <c r="Y305" s="98"/>
      <c r="Z305" s="98"/>
      <c r="AA305" s="98"/>
      <c r="AB305" s="98"/>
      <c r="AC305" s="97"/>
      <c r="AD305" s="99"/>
      <c r="AE305" s="95"/>
      <c r="AF305" s="94"/>
      <c r="AG305" s="89"/>
      <c r="AH305" s="89"/>
      <c r="AI305" s="89"/>
      <c r="AJ305" s="89"/>
      <c r="AK305" s="89"/>
      <c r="AL305" s="89"/>
      <c r="AM305" s="89"/>
      <c r="AN305" s="89"/>
      <c r="AO305" s="89"/>
      <c r="AP305" s="89"/>
      <c r="AQ305" s="89"/>
      <c r="AR305" s="89"/>
      <c r="AS305" s="89"/>
      <c r="AT305" s="89"/>
      <c r="AU305" s="89"/>
      <c r="AV305" s="89"/>
      <c r="AW305" s="100"/>
      <c r="AX305" s="100"/>
      <c r="AY305" s="89"/>
      <c r="AZ305" s="89"/>
      <c r="BA305" s="89"/>
      <c r="BB305" s="89"/>
      <c r="BC305" s="89"/>
      <c r="BD305" s="89"/>
      <c r="BE305" s="89"/>
      <c r="BF305" s="89"/>
      <c r="BG305" s="89"/>
      <c r="BH305" s="89"/>
      <c r="BI305" s="89"/>
      <c r="BJ305" s="89"/>
      <c r="BK305" s="89"/>
      <c r="BL305" s="89"/>
      <c r="BM305" s="89"/>
      <c r="BN305" s="89"/>
      <c r="BO305" s="89"/>
      <c r="BP305" s="89"/>
      <c r="BQ305" s="89"/>
      <c r="BR305" s="89"/>
      <c r="BS305" s="89"/>
    </row>
    <row r="306" spans="1:71" ht="27" customHeight="1" x14ac:dyDescent="0.2">
      <c r="A306" s="93"/>
      <c r="B306" s="89"/>
      <c r="C306" s="89"/>
      <c r="D306" s="89"/>
      <c r="E306" s="89"/>
      <c r="F306" s="89"/>
      <c r="G306" s="89"/>
      <c r="H306" s="94"/>
      <c r="I306" s="94"/>
      <c r="J306" s="94"/>
      <c r="K306" s="94"/>
      <c r="L306" s="94"/>
      <c r="M306" s="94"/>
      <c r="N306" s="94"/>
      <c r="O306" s="94"/>
      <c r="P306" s="94"/>
      <c r="Q306" s="94"/>
      <c r="R306" s="95"/>
      <c r="S306" s="94"/>
      <c r="T306" s="96"/>
      <c r="U306" s="94"/>
      <c r="V306" s="97"/>
      <c r="W306" s="94"/>
      <c r="X306" s="98"/>
      <c r="Y306" s="98"/>
      <c r="Z306" s="98"/>
      <c r="AA306" s="98"/>
      <c r="AB306" s="98"/>
      <c r="AC306" s="97"/>
      <c r="AD306" s="99"/>
      <c r="AE306" s="95"/>
      <c r="AF306" s="94"/>
      <c r="AG306" s="89"/>
      <c r="AH306" s="89"/>
      <c r="AI306" s="89"/>
      <c r="AJ306" s="89"/>
      <c r="AK306" s="89"/>
      <c r="AL306" s="89"/>
      <c r="AM306" s="89"/>
      <c r="AN306" s="89"/>
      <c r="AO306" s="89"/>
      <c r="AP306" s="89"/>
      <c r="AQ306" s="89"/>
      <c r="AR306" s="89"/>
      <c r="AS306" s="89"/>
      <c r="AT306" s="89"/>
      <c r="AU306" s="89"/>
      <c r="AV306" s="89"/>
      <c r="AW306" s="100"/>
      <c r="AX306" s="100"/>
      <c r="AY306" s="89"/>
      <c r="AZ306" s="89"/>
      <c r="BA306" s="89"/>
      <c r="BB306" s="89"/>
      <c r="BC306" s="89"/>
      <c r="BD306" s="89"/>
      <c r="BE306" s="89"/>
      <c r="BF306" s="89"/>
      <c r="BG306" s="89"/>
      <c r="BH306" s="89"/>
      <c r="BI306" s="89"/>
      <c r="BJ306" s="89"/>
      <c r="BK306" s="89"/>
      <c r="BL306" s="89"/>
      <c r="BM306" s="89"/>
      <c r="BN306" s="89"/>
      <c r="BO306" s="89"/>
      <c r="BP306" s="89"/>
      <c r="BQ306" s="89"/>
      <c r="BR306" s="89"/>
      <c r="BS306" s="89"/>
    </row>
    <row r="307" spans="1:71" ht="27" customHeight="1" x14ac:dyDescent="0.2">
      <c r="A307" s="93"/>
      <c r="B307" s="89"/>
      <c r="C307" s="89"/>
      <c r="D307" s="89"/>
      <c r="E307" s="89"/>
      <c r="F307" s="89"/>
      <c r="G307" s="89"/>
      <c r="H307" s="94"/>
      <c r="I307" s="94"/>
      <c r="J307" s="94"/>
      <c r="K307" s="94"/>
      <c r="L307" s="94"/>
      <c r="M307" s="94"/>
      <c r="N307" s="94"/>
      <c r="O307" s="94"/>
      <c r="P307" s="94"/>
      <c r="Q307" s="94"/>
      <c r="R307" s="95"/>
      <c r="S307" s="94"/>
      <c r="T307" s="96"/>
      <c r="U307" s="94"/>
      <c r="V307" s="97"/>
      <c r="W307" s="94"/>
      <c r="X307" s="98"/>
      <c r="Y307" s="98"/>
      <c r="Z307" s="98"/>
      <c r="AA307" s="98"/>
      <c r="AB307" s="98"/>
      <c r="AC307" s="97"/>
      <c r="AD307" s="99"/>
      <c r="AE307" s="95"/>
      <c r="AF307" s="94"/>
      <c r="AG307" s="89"/>
      <c r="AH307" s="89"/>
      <c r="AI307" s="89"/>
      <c r="AJ307" s="89"/>
      <c r="AK307" s="89"/>
      <c r="AL307" s="89"/>
      <c r="AM307" s="89"/>
      <c r="AN307" s="89"/>
      <c r="AO307" s="89"/>
      <c r="AP307" s="89"/>
      <c r="AQ307" s="89"/>
      <c r="AR307" s="89"/>
      <c r="AS307" s="89"/>
      <c r="AT307" s="89"/>
      <c r="AU307" s="89"/>
      <c r="AV307" s="89"/>
      <c r="AW307" s="100"/>
      <c r="AX307" s="100"/>
      <c r="AY307" s="89"/>
      <c r="AZ307" s="89"/>
      <c r="BA307" s="89"/>
      <c r="BB307" s="89"/>
      <c r="BC307" s="89"/>
      <c r="BD307" s="89"/>
      <c r="BE307" s="89"/>
      <c r="BF307" s="89"/>
      <c r="BG307" s="89"/>
      <c r="BH307" s="89"/>
      <c r="BI307" s="89"/>
      <c r="BJ307" s="89"/>
      <c r="BK307" s="89"/>
      <c r="BL307" s="89"/>
      <c r="BM307" s="89"/>
      <c r="BN307" s="89"/>
      <c r="BO307" s="89"/>
      <c r="BP307" s="89"/>
      <c r="BQ307" s="89"/>
      <c r="BR307" s="89"/>
      <c r="BS307" s="89"/>
    </row>
    <row r="308" spans="1:71" ht="27" customHeight="1" x14ac:dyDescent="0.2">
      <c r="A308" s="93"/>
      <c r="B308" s="89"/>
      <c r="C308" s="89"/>
      <c r="D308" s="89"/>
      <c r="E308" s="89"/>
      <c r="F308" s="89"/>
      <c r="G308" s="89"/>
      <c r="H308" s="94"/>
      <c r="I308" s="94"/>
      <c r="J308" s="94"/>
      <c r="K308" s="94"/>
      <c r="L308" s="94"/>
      <c r="M308" s="94"/>
      <c r="N308" s="94"/>
      <c r="O308" s="94"/>
      <c r="P308" s="94"/>
      <c r="Q308" s="94"/>
      <c r="R308" s="95"/>
      <c r="S308" s="94"/>
      <c r="T308" s="96"/>
      <c r="U308" s="94"/>
      <c r="V308" s="97"/>
      <c r="W308" s="94"/>
      <c r="X308" s="98"/>
      <c r="Y308" s="98"/>
      <c r="Z308" s="98"/>
      <c r="AA308" s="98"/>
      <c r="AB308" s="98"/>
      <c r="AC308" s="97"/>
      <c r="AD308" s="99"/>
      <c r="AE308" s="95"/>
      <c r="AF308" s="94"/>
      <c r="AG308" s="89"/>
      <c r="AH308" s="89"/>
      <c r="AI308" s="89"/>
      <c r="AJ308" s="89"/>
      <c r="AK308" s="89"/>
      <c r="AL308" s="89"/>
      <c r="AM308" s="89"/>
      <c r="AN308" s="89"/>
      <c r="AO308" s="89"/>
      <c r="AP308" s="89"/>
      <c r="AQ308" s="89"/>
      <c r="AR308" s="89"/>
      <c r="AS308" s="89"/>
      <c r="AT308" s="89"/>
      <c r="AU308" s="89"/>
      <c r="AV308" s="89"/>
      <c r="AW308" s="100"/>
      <c r="AX308" s="100"/>
      <c r="AY308" s="89"/>
      <c r="AZ308" s="89"/>
      <c r="BA308" s="89"/>
      <c r="BB308" s="89"/>
      <c r="BC308" s="89"/>
      <c r="BD308" s="89"/>
      <c r="BE308" s="89"/>
      <c r="BF308" s="89"/>
      <c r="BG308" s="89"/>
      <c r="BH308" s="89"/>
      <c r="BI308" s="89"/>
      <c r="BJ308" s="89"/>
      <c r="BK308" s="89"/>
      <c r="BL308" s="89"/>
      <c r="BM308" s="89"/>
      <c r="BN308" s="89"/>
      <c r="BO308" s="89"/>
      <c r="BP308" s="89"/>
      <c r="BQ308" s="89"/>
      <c r="BR308" s="89"/>
      <c r="BS308" s="89"/>
    </row>
    <row r="309" spans="1:71" ht="27" customHeight="1" x14ac:dyDescent="0.2">
      <c r="A309" s="93"/>
      <c r="B309" s="89"/>
      <c r="C309" s="89"/>
      <c r="D309" s="89"/>
      <c r="E309" s="89"/>
      <c r="F309" s="89"/>
      <c r="G309" s="89"/>
      <c r="H309" s="94"/>
      <c r="I309" s="94"/>
      <c r="J309" s="94"/>
      <c r="K309" s="94"/>
      <c r="L309" s="94"/>
      <c r="M309" s="94"/>
      <c r="N309" s="94"/>
      <c r="O309" s="94"/>
      <c r="P309" s="94"/>
      <c r="Q309" s="94"/>
      <c r="R309" s="95"/>
      <c r="S309" s="94"/>
      <c r="T309" s="96"/>
      <c r="U309" s="94"/>
      <c r="V309" s="97"/>
      <c r="W309" s="94"/>
      <c r="X309" s="98"/>
      <c r="Y309" s="98"/>
      <c r="Z309" s="98"/>
      <c r="AA309" s="98"/>
      <c r="AB309" s="98"/>
      <c r="AC309" s="97"/>
      <c r="AD309" s="99"/>
      <c r="AE309" s="95"/>
      <c r="AF309" s="94"/>
      <c r="AG309" s="89"/>
      <c r="AH309" s="89"/>
      <c r="AI309" s="89"/>
      <c r="AJ309" s="89"/>
      <c r="AK309" s="89"/>
      <c r="AL309" s="89"/>
      <c r="AM309" s="89"/>
      <c r="AN309" s="89"/>
      <c r="AO309" s="89"/>
      <c r="AP309" s="89"/>
      <c r="AQ309" s="89"/>
      <c r="AR309" s="89"/>
      <c r="AS309" s="89"/>
      <c r="AT309" s="89"/>
      <c r="AU309" s="89"/>
      <c r="AV309" s="89"/>
      <c r="AW309" s="100"/>
      <c r="AX309" s="100"/>
      <c r="AY309" s="89"/>
      <c r="AZ309" s="89"/>
      <c r="BA309" s="89"/>
      <c r="BB309" s="89"/>
      <c r="BC309" s="89"/>
      <c r="BD309" s="89"/>
      <c r="BE309" s="89"/>
      <c r="BF309" s="89"/>
      <c r="BG309" s="89"/>
      <c r="BH309" s="89"/>
      <c r="BI309" s="89"/>
      <c r="BJ309" s="89"/>
      <c r="BK309" s="89"/>
      <c r="BL309" s="89"/>
      <c r="BM309" s="89"/>
      <c r="BN309" s="89"/>
      <c r="BO309" s="89"/>
      <c r="BP309" s="89"/>
      <c r="BQ309" s="89"/>
      <c r="BR309" s="89"/>
      <c r="BS309" s="89"/>
    </row>
    <row r="310" spans="1:71" ht="27" customHeight="1" x14ac:dyDescent="0.2">
      <c r="A310" s="93"/>
      <c r="B310" s="89"/>
      <c r="C310" s="89"/>
      <c r="D310" s="89"/>
      <c r="E310" s="89"/>
      <c r="F310" s="89"/>
      <c r="G310" s="89"/>
      <c r="H310" s="94"/>
      <c r="I310" s="94"/>
      <c r="J310" s="94"/>
      <c r="K310" s="94"/>
      <c r="L310" s="94"/>
      <c r="M310" s="94"/>
      <c r="N310" s="94"/>
      <c r="O310" s="94"/>
      <c r="P310" s="94"/>
      <c r="Q310" s="94"/>
      <c r="R310" s="95"/>
      <c r="S310" s="94"/>
      <c r="T310" s="96"/>
      <c r="U310" s="94"/>
      <c r="V310" s="97"/>
      <c r="W310" s="94"/>
      <c r="X310" s="98"/>
      <c r="Y310" s="98"/>
      <c r="Z310" s="98"/>
      <c r="AA310" s="98"/>
      <c r="AB310" s="98"/>
      <c r="AC310" s="97"/>
      <c r="AD310" s="99"/>
      <c r="AE310" s="95"/>
      <c r="AF310" s="94"/>
      <c r="AG310" s="89"/>
      <c r="AH310" s="89"/>
      <c r="AI310" s="89"/>
      <c r="AJ310" s="89"/>
      <c r="AK310" s="89"/>
      <c r="AL310" s="89"/>
      <c r="AM310" s="89"/>
      <c r="AN310" s="89"/>
      <c r="AO310" s="89"/>
      <c r="AP310" s="89"/>
      <c r="AQ310" s="89"/>
      <c r="AR310" s="89"/>
      <c r="AS310" s="89"/>
      <c r="AT310" s="89"/>
      <c r="AU310" s="89"/>
      <c r="AV310" s="89"/>
      <c r="AW310" s="100"/>
      <c r="AX310" s="100"/>
      <c r="AY310" s="89"/>
      <c r="AZ310" s="89"/>
      <c r="BA310" s="89"/>
      <c r="BB310" s="89"/>
      <c r="BC310" s="89"/>
      <c r="BD310" s="89"/>
      <c r="BE310" s="89"/>
      <c r="BF310" s="89"/>
      <c r="BG310" s="89"/>
      <c r="BH310" s="89"/>
      <c r="BI310" s="89"/>
      <c r="BJ310" s="89"/>
      <c r="BK310" s="89"/>
      <c r="BL310" s="89"/>
      <c r="BM310" s="89"/>
      <c r="BN310" s="89"/>
      <c r="BO310" s="89"/>
      <c r="BP310" s="89"/>
      <c r="BQ310" s="89"/>
      <c r="BR310" s="89"/>
      <c r="BS310" s="89"/>
    </row>
    <row r="311" spans="1:71" ht="27" customHeight="1" x14ac:dyDescent="0.2">
      <c r="A311" s="93"/>
      <c r="B311" s="89"/>
      <c r="C311" s="89"/>
      <c r="D311" s="89"/>
      <c r="E311" s="89"/>
      <c r="F311" s="89"/>
      <c r="G311" s="89"/>
      <c r="H311" s="94"/>
      <c r="I311" s="94"/>
      <c r="J311" s="94"/>
      <c r="K311" s="94"/>
      <c r="L311" s="94"/>
      <c r="M311" s="94"/>
      <c r="N311" s="94"/>
      <c r="O311" s="94"/>
      <c r="P311" s="94"/>
      <c r="Q311" s="94"/>
      <c r="R311" s="95"/>
      <c r="S311" s="94"/>
      <c r="T311" s="96"/>
      <c r="U311" s="94"/>
      <c r="V311" s="97"/>
      <c r="W311" s="94"/>
      <c r="X311" s="98"/>
      <c r="Y311" s="98"/>
      <c r="Z311" s="98"/>
      <c r="AA311" s="98"/>
      <c r="AB311" s="98"/>
      <c r="AC311" s="97"/>
      <c r="AD311" s="99"/>
      <c r="AE311" s="95"/>
      <c r="AF311" s="94"/>
      <c r="AG311" s="89"/>
      <c r="AH311" s="89"/>
      <c r="AI311" s="89"/>
      <c r="AJ311" s="89"/>
      <c r="AK311" s="89"/>
      <c r="AL311" s="89"/>
      <c r="AM311" s="89"/>
      <c r="AN311" s="89"/>
      <c r="AO311" s="89"/>
      <c r="AP311" s="89"/>
      <c r="AQ311" s="89"/>
      <c r="AR311" s="89"/>
      <c r="AS311" s="89"/>
      <c r="AT311" s="89"/>
      <c r="AU311" s="89"/>
      <c r="AV311" s="89"/>
      <c r="AW311" s="100"/>
      <c r="AX311" s="100"/>
      <c r="AY311" s="89"/>
      <c r="AZ311" s="89"/>
      <c r="BA311" s="89"/>
      <c r="BB311" s="89"/>
      <c r="BC311" s="89"/>
      <c r="BD311" s="89"/>
      <c r="BE311" s="89"/>
      <c r="BF311" s="89"/>
      <c r="BG311" s="89"/>
      <c r="BH311" s="89"/>
      <c r="BI311" s="89"/>
      <c r="BJ311" s="89"/>
      <c r="BK311" s="89"/>
      <c r="BL311" s="89"/>
      <c r="BM311" s="89"/>
      <c r="BN311" s="89"/>
      <c r="BO311" s="89"/>
      <c r="BP311" s="89"/>
      <c r="BQ311" s="89"/>
      <c r="BR311" s="89"/>
      <c r="BS311" s="89"/>
    </row>
    <row r="312" spans="1:71" ht="27" customHeight="1" x14ac:dyDescent="0.2">
      <c r="A312" s="93"/>
      <c r="B312" s="89"/>
      <c r="C312" s="89"/>
      <c r="D312" s="89"/>
      <c r="E312" s="89"/>
      <c r="F312" s="89"/>
      <c r="G312" s="89"/>
      <c r="H312" s="94"/>
      <c r="I312" s="94"/>
      <c r="J312" s="94"/>
      <c r="K312" s="94"/>
      <c r="L312" s="94"/>
      <c r="M312" s="94"/>
      <c r="N312" s="94"/>
      <c r="O312" s="94"/>
      <c r="P312" s="94"/>
      <c r="Q312" s="94"/>
      <c r="R312" s="95"/>
      <c r="S312" s="94"/>
      <c r="T312" s="96"/>
      <c r="U312" s="94"/>
      <c r="V312" s="97"/>
      <c r="W312" s="94"/>
      <c r="X312" s="98"/>
      <c r="Y312" s="98"/>
      <c r="Z312" s="98"/>
      <c r="AA312" s="98"/>
      <c r="AB312" s="98"/>
      <c r="AC312" s="97"/>
      <c r="AD312" s="99"/>
      <c r="AE312" s="95"/>
      <c r="AF312" s="94"/>
      <c r="AG312" s="89"/>
      <c r="AH312" s="89"/>
      <c r="AI312" s="89"/>
      <c r="AJ312" s="89"/>
      <c r="AK312" s="89"/>
      <c r="AL312" s="89"/>
      <c r="AM312" s="89"/>
      <c r="AN312" s="89"/>
      <c r="AO312" s="89"/>
      <c r="AP312" s="89"/>
      <c r="AQ312" s="89"/>
      <c r="AR312" s="89"/>
      <c r="AS312" s="89"/>
      <c r="AT312" s="89"/>
      <c r="AU312" s="89"/>
      <c r="AV312" s="89"/>
      <c r="AW312" s="100"/>
      <c r="AX312" s="100"/>
      <c r="AY312" s="89"/>
      <c r="AZ312" s="89"/>
      <c r="BA312" s="89"/>
      <c r="BB312" s="89"/>
      <c r="BC312" s="89"/>
      <c r="BD312" s="89"/>
      <c r="BE312" s="89"/>
      <c r="BF312" s="89"/>
      <c r="BG312" s="89"/>
      <c r="BH312" s="89"/>
      <c r="BI312" s="89"/>
      <c r="BJ312" s="89"/>
      <c r="BK312" s="89"/>
      <c r="BL312" s="89"/>
      <c r="BM312" s="89"/>
      <c r="BN312" s="89"/>
      <c r="BO312" s="89"/>
      <c r="BP312" s="89"/>
      <c r="BQ312" s="89"/>
      <c r="BR312" s="89"/>
      <c r="BS312" s="89"/>
    </row>
    <row r="313" spans="1:71" ht="27" customHeight="1" x14ac:dyDescent="0.2">
      <c r="A313" s="93"/>
      <c r="B313" s="89"/>
      <c r="C313" s="89"/>
      <c r="D313" s="89"/>
      <c r="E313" s="89"/>
      <c r="F313" s="89"/>
      <c r="G313" s="89"/>
      <c r="H313" s="94"/>
      <c r="I313" s="94"/>
      <c r="J313" s="94"/>
      <c r="K313" s="94"/>
      <c r="L313" s="94"/>
      <c r="M313" s="94"/>
      <c r="N313" s="94"/>
      <c r="O313" s="94"/>
      <c r="P313" s="94"/>
      <c r="Q313" s="94"/>
      <c r="R313" s="95"/>
      <c r="S313" s="94"/>
      <c r="T313" s="96"/>
      <c r="U313" s="94"/>
      <c r="V313" s="97"/>
      <c r="W313" s="94"/>
      <c r="X313" s="98"/>
      <c r="Y313" s="98"/>
      <c r="Z313" s="98"/>
      <c r="AA313" s="98"/>
      <c r="AB313" s="98"/>
      <c r="AC313" s="97"/>
      <c r="AD313" s="99"/>
      <c r="AE313" s="95"/>
      <c r="AF313" s="94"/>
      <c r="AG313" s="89"/>
      <c r="AH313" s="89"/>
      <c r="AI313" s="89"/>
      <c r="AJ313" s="89"/>
      <c r="AK313" s="89"/>
      <c r="AL313" s="89"/>
      <c r="AM313" s="89"/>
      <c r="AN313" s="89"/>
      <c r="AO313" s="89"/>
      <c r="AP313" s="89"/>
      <c r="AQ313" s="89"/>
      <c r="AR313" s="89"/>
      <c r="AS313" s="89"/>
      <c r="AT313" s="89"/>
      <c r="AU313" s="89"/>
      <c r="AV313" s="89"/>
      <c r="AW313" s="100"/>
      <c r="AX313" s="100"/>
      <c r="AY313" s="89"/>
      <c r="AZ313" s="89"/>
      <c r="BA313" s="89"/>
      <c r="BB313" s="89"/>
      <c r="BC313" s="89"/>
      <c r="BD313" s="89"/>
      <c r="BE313" s="89"/>
      <c r="BF313" s="89"/>
      <c r="BG313" s="89"/>
      <c r="BH313" s="89"/>
      <c r="BI313" s="89"/>
      <c r="BJ313" s="89"/>
      <c r="BK313" s="89"/>
      <c r="BL313" s="89"/>
      <c r="BM313" s="89"/>
      <c r="BN313" s="89"/>
      <c r="BO313" s="89"/>
      <c r="BP313" s="89"/>
      <c r="BQ313" s="89"/>
      <c r="BR313" s="89"/>
      <c r="BS313" s="89"/>
    </row>
    <row r="314" spans="1:71" ht="27" customHeight="1" x14ac:dyDescent="0.2">
      <c r="A314" s="93"/>
      <c r="B314" s="89"/>
      <c r="C314" s="89"/>
      <c r="D314" s="89"/>
      <c r="E314" s="89"/>
      <c r="F314" s="89"/>
      <c r="G314" s="89"/>
      <c r="H314" s="94"/>
      <c r="I314" s="94"/>
      <c r="J314" s="94"/>
      <c r="K314" s="94"/>
      <c r="L314" s="94"/>
      <c r="M314" s="94"/>
      <c r="N314" s="94"/>
      <c r="O314" s="94"/>
      <c r="P314" s="94"/>
      <c r="Q314" s="94"/>
      <c r="R314" s="95"/>
      <c r="S314" s="94"/>
      <c r="T314" s="96"/>
      <c r="U314" s="94"/>
      <c r="V314" s="97"/>
      <c r="W314" s="94"/>
      <c r="X314" s="98"/>
      <c r="Y314" s="98"/>
      <c r="Z314" s="98"/>
      <c r="AA314" s="98"/>
      <c r="AB314" s="98"/>
      <c r="AC314" s="97"/>
      <c r="AD314" s="99"/>
      <c r="AE314" s="95"/>
      <c r="AF314" s="94"/>
      <c r="AG314" s="89"/>
      <c r="AH314" s="89"/>
      <c r="AI314" s="89"/>
      <c r="AJ314" s="89"/>
      <c r="AK314" s="89"/>
      <c r="AL314" s="89"/>
      <c r="AM314" s="89"/>
      <c r="AN314" s="89"/>
      <c r="AO314" s="89"/>
      <c r="AP314" s="89"/>
      <c r="AQ314" s="89"/>
      <c r="AR314" s="89"/>
      <c r="AS314" s="89"/>
      <c r="AT314" s="89"/>
      <c r="AU314" s="89"/>
      <c r="AV314" s="89"/>
      <c r="AW314" s="100"/>
      <c r="AX314" s="100"/>
      <c r="AY314" s="89"/>
      <c r="AZ314" s="89"/>
      <c r="BA314" s="89"/>
      <c r="BB314" s="89"/>
      <c r="BC314" s="89"/>
      <c r="BD314" s="89"/>
      <c r="BE314" s="89"/>
      <c r="BF314" s="89"/>
      <c r="BG314" s="89"/>
      <c r="BH314" s="89"/>
      <c r="BI314" s="89"/>
      <c r="BJ314" s="89"/>
      <c r="BK314" s="89"/>
      <c r="BL314" s="89"/>
      <c r="BM314" s="89"/>
      <c r="BN314" s="89"/>
      <c r="BO314" s="89"/>
      <c r="BP314" s="89"/>
      <c r="BQ314" s="89"/>
      <c r="BR314" s="89"/>
      <c r="BS314" s="89"/>
    </row>
    <row r="315" spans="1:71" ht="27" customHeight="1" x14ac:dyDescent="0.2">
      <c r="A315" s="93"/>
      <c r="B315" s="89"/>
      <c r="C315" s="89"/>
      <c r="D315" s="89"/>
      <c r="E315" s="89"/>
      <c r="F315" s="89"/>
      <c r="G315" s="89"/>
      <c r="H315" s="94"/>
      <c r="I315" s="94"/>
      <c r="J315" s="94"/>
      <c r="K315" s="94"/>
      <c r="L315" s="94"/>
      <c r="M315" s="94"/>
      <c r="N315" s="94"/>
      <c r="O315" s="94"/>
      <c r="P315" s="94"/>
      <c r="Q315" s="94"/>
      <c r="R315" s="95"/>
      <c r="S315" s="94"/>
      <c r="T315" s="96"/>
      <c r="U315" s="94"/>
      <c r="V315" s="97"/>
      <c r="W315" s="94"/>
      <c r="X315" s="98"/>
      <c r="Y315" s="98"/>
      <c r="Z315" s="98"/>
      <c r="AA315" s="98"/>
      <c r="AB315" s="98"/>
      <c r="AC315" s="97"/>
      <c r="AD315" s="99"/>
      <c r="AE315" s="95"/>
      <c r="AF315" s="94"/>
      <c r="AG315" s="89"/>
      <c r="AH315" s="89"/>
      <c r="AI315" s="89"/>
      <c r="AJ315" s="89"/>
      <c r="AK315" s="89"/>
      <c r="AL315" s="89"/>
      <c r="AM315" s="89"/>
      <c r="AN315" s="89"/>
      <c r="AO315" s="89"/>
      <c r="AP315" s="89"/>
      <c r="AQ315" s="89"/>
      <c r="AR315" s="89"/>
      <c r="AS315" s="89"/>
      <c r="AT315" s="89"/>
      <c r="AU315" s="89"/>
      <c r="AV315" s="89"/>
      <c r="AW315" s="100"/>
      <c r="AX315" s="100"/>
      <c r="AY315" s="89"/>
      <c r="AZ315" s="89"/>
      <c r="BA315" s="89"/>
      <c r="BB315" s="89"/>
      <c r="BC315" s="89"/>
      <c r="BD315" s="89"/>
      <c r="BE315" s="89"/>
      <c r="BF315" s="89"/>
      <c r="BG315" s="89"/>
      <c r="BH315" s="89"/>
      <c r="BI315" s="89"/>
      <c r="BJ315" s="89"/>
      <c r="BK315" s="89"/>
      <c r="BL315" s="89"/>
      <c r="BM315" s="89"/>
      <c r="BN315" s="89"/>
      <c r="BO315" s="89"/>
      <c r="BP315" s="89"/>
      <c r="BQ315" s="89"/>
      <c r="BR315" s="89"/>
      <c r="BS315" s="89"/>
    </row>
    <row r="316" spans="1:71" ht="27" customHeight="1" x14ac:dyDescent="0.2">
      <c r="A316" s="93"/>
      <c r="B316" s="89"/>
      <c r="C316" s="89"/>
      <c r="D316" s="89"/>
      <c r="E316" s="89"/>
      <c r="F316" s="89"/>
      <c r="G316" s="89"/>
      <c r="H316" s="94"/>
      <c r="I316" s="94"/>
      <c r="J316" s="94"/>
      <c r="K316" s="94"/>
      <c r="L316" s="94"/>
      <c r="M316" s="94"/>
      <c r="N316" s="94"/>
      <c r="O316" s="94"/>
      <c r="P316" s="94"/>
      <c r="Q316" s="94"/>
      <c r="R316" s="95"/>
      <c r="S316" s="94"/>
      <c r="T316" s="96"/>
      <c r="U316" s="94"/>
      <c r="V316" s="97"/>
      <c r="W316" s="94"/>
      <c r="X316" s="98"/>
      <c r="Y316" s="98"/>
      <c r="Z316" s="98"/>
      <c r="AA316" s="98"/>
      <c r="AB316" s="98"/>
      <c r="AC316" s="97"/>
      <c r="AD316" s="99"/>
      <c r="AE316" s="95"/>
      <c r="AF316" s="94"/>
      <c r="AG316" s="89"/>
      <c r="AH316" s="89"/>
      <c r="AI316" s="89"/>
      <c r="AJ316" s="89"/>
      <c r="AK316" s="89"/>
      <c r="AL316" s="89"/>
      <c r="AM316" s="89"/>
      <c r="AN316" s="89"/>
      <c r="AO316" s="89"/>
      <c r="AP316" s="89"/>
      <c r="AQ316" s="89"/>
      <c r="AR316" s="89"/>
      <c r="AS316" s="89"/>
      <c r="AT316" s="89"/>
      <c r="AU316" s="89"/>
      <c r="AV316" s="89"/>
      <c r="AW316" s="100"/>
      <c r="AX316" s="100"/>
      <c r="AY316" s="89"/>
      <c r="AZ316" s="89"/>
      <c r="BA316" s="89"/>
      <c r="BB316" s="89"/>
      <c r="BC316" s="89"/>
      <c r="BD316" s="89"/>
      <c r="BE316" s="89"/>
      <c r="BF316" s="89"/>
      <c r="BG316" s="89"/>
      <c r="BH316" s="89"/>
      <c r="BI316" s="89"/>
      <c r="BJ316" s="89"/>
      <c r="BK316" s="89"/>
      <c r="BL316" s="89"/>
      <c r="BM316" s="89"/>
      <c r="BN316" s="89"/>
      <c r="BO316" s="89"/>
      <c r="BP316" s="89"/>
      <c r="BQ316" s="89"/>
      <c r="BR316" s="89"/>
      <c r="BS316" s="89"/>
    </row>
    <row r="317" spans="1:71" ht="27" customHeight="1" x14ac:dyDescent="0.2">
      <c r="A317" s="93"/>
      <c r="B317" s="89"/>
      <c r="C317" s="89"/>
      <c r="D317" s="89"/>
      <c r="E317" s="89"/>
      <c r="F317" s="89"/>
      <c r="G317" s="89"/>
      <c r="H317" s="94"/>
      <c r="I317" s="94"/>
      <c r="J317" s="94"/>
      <c r="K317" s="94"/>
      <c r="L317" s="94"/>
      <c r="M317" s="94"/>
      <c r="N317" s="94"/>
      <c r="O317" s="94"/>
      <c r="P317" s="94"/>
      <c r="Q317" s="94"/>
      <c r="R317" s="95"/>
      <c r="S317" s="94"/>
      <c r="T317" s="96"/>
      <c r="U317" s="94"/>
      <c r="V317" s="97"/>
      <c r="W317" s="94"/>
      <c r="X317" s="98"/>
      <c r="Y317" s="98"/>
      <c r="Z317" s="98"/>
      <c r="AA317" s="98"/>
      <c r="AB317" s="98"/>
      <c r="AC317" s="97"/>
      <c r="AD317" s="99"/>
      <c r="AE317" s="95"/>
      <c r="AF317" s="94"/>
      <c r="AG317" s="89"/>
      <c r="AH317" s="89"/>
      <c r="AI317" s="89"/>
      <c r="AJ317" s="89"/>
      <c r="AK317" s="89"/>
      <c r="AL317" s="89"/>
      <c r="AM317" s="89"/>
      <c r="AN317" s="89"/>
      <c r="AO317" s="89"/>
      <c r="AP317" s="89"/>
      <c r="AQ317" s="89"/>
      <c r="AR317" s="89"/>
      <c r="AS317" s="89"/>
      <c r="AT317" s="89"/>
      <c r="AU317" s="89"/>
      <c r="AV317" s="89"/>
      <c r="AW317" s="100"/>
      <c r="AX317" s="100"/>
      <c r="AY317" s="89"/>
      <c r="AZ317" s="89"/>
      <c r="BA317" s="89"/>
      <c r="BB317" s="89"/>
      <c r="BC317" s="89"/>
      <c r="BD317" s="89"/>
      <c r="BE317" s="89"/>
      <c r="BF317" s="89"/>
      <c r="BG317" s="89"/>
      <c r="BH317" s="89"/>
      <c r="BI317" s="89"/>
      <c r="BJ317" s="89"/>
      <c r="BK317" s="89"/>
      <c r="BL317" s="89"/>
      <c r="BM317" s="89"/>
      <c r="BN317" s="89"/>
      <c r="BO317" s="89"/>
      <c r="BP317" s="89"/>
      <c r="BQ317" s="89"/>
      <c r="BR317" s="89"/>
      <c r="BS317" s="89"/>
    </row>
    <row r="318" spans="1:71" ht="27" customHeight="1" x14ac:dyDescent="0.2">
      <c r="A318" s="93"/>
      <c r="B318" s="89"/>
      <c r="C318" s="89"/>
      <c r="D318" s="89"/>
      <c r="E318" s="89"/>
      <c r="F318" s="89"/>
      <c r="G318" s="89"/>
      <c r="H318" s="94"/>
      <c r="I318" s="94"/>
      <c r="J318" s="94"/>
      <c r="K318" s="94"/>
      <c r="L318" s="94"/>
      <c r="M318" s="94"/>
      <c r="N318" s="94"/>
      <c r="O318" s="94"/>
      <c r="P318" s="94"/>
      <c r="Q318" s="94"/>
      <c r="R318" s="95"/>
      <c r="S318" s="94"/>
      <c r="T318" s="96"/>
      <c r="U318" s="94"/>
      <c r="V318" s="97"/>
      <c r="W318" s="94"/>
      <c r="X318" s="98"/>
      <c r="Y318" s="98"/>
      <c r="Z318" s="98"/>
      <c r="AA318" s="98"/>
      <c r="AB318" s="98"/>
      <c r="AC318" s="97"/>
      <c r="AD318" s="99"/>
      <c r="AE318" s="95"/>
      <c r="AF318" s="94"/>
      <c r="AG318" s="89"/>
      <c r="AH318" s="89"/>
      <c r="AI318" s="89"/>
      <c r="AJ318" s="89"/>
      <c r="AK318" s="89"/>
      <c r="AL318" s="89"/>
      <c r="AM318" s="89"/>
      <c r="AN318" s="89"/>
      <c r="AO318" s="89"/>
      <c r="AP318" s="89"/>
      <c r="AQ318" s="89"/>
      <c r="AR318" s="89"/>
      <c r="AS318" s="89"/>
      <c r="AT318" s="89"/>
      <c r="AU318" s="89"/>
      <c r="AV318" s="89"/>
      <c r="AW318" s="100"/>
      <c r="AX318" s="100"/>
      <c r="AY318" s="89"/>
      <c r="AZ318" s="89"/>
      <c r="BA318" s="89"/>
      <c r="BB318" s="89"/>
      <c r="BC318" s="89"/>
      <c r="BD318" s="89"/>
      <c r="BE318" s="89"/>
      <c r="BF318" s="89"/>
      <c r="BG318" s="89"/>
      <c r="BH318" s="89"/>
      <c r="BI318" s="89"/>
      <c r="BJ318" s="89"/>
      <c r="BK318" s="89"/>
      <c r="BL318" s="89"/>
      <c r="BM318" s="89"/>
      <c r="BN318" s="89"/>
      <c r="BO318" s="89"/>
      <c r="BP318" s="89"/>
      <c r="BQ318" s="89"/>
      <c r="BR318" s="89"/>
      <c r="BS318" s="89"/>
    </row>
    <row r="319" spans="1:71" ht="27" customHeight="1" x14ac:dyDescent="0.2">
      <c r="A319" s="93"/>
      <c r="B319" s="89"/>
      <c r="C319" s="89"/>
      <c r="D319" s="89"/>
      <c r="E319" s="89"/>
      <c r="F319" s="89"/>
      <c r="G319" s="89"/>
      <c r="H319" s="94"/>
      <c r="I319" s="94"/>
      <c r="J319" s="94"/>
      <c r="K319" s="94"/>
      <c r="L319" s="94"/>
      <c r="M319" s="94"/>
      <c r="N319" s="94"/>
      <c r="O319" s="94"/>
      <c r="P319" s="94"/>
      <c r="Q319" s="94"/>
      <c r="R319" s="95"/>
      <c r="S319" s="94"/>
      <c r="T319" s="96"/>
      <c r="U319" s="94"/>
      <c r="V319" s="97"/>
      <c r="W319" s="94"/>
      <c r="X319" s="98"/>
      <c r="Y319" s="98"/>
      <c r="Z319" s="98"/>
      <c r="AA319" s="98"/>
      <c r="AB319" s="98"/>
      <c r="AC319" s="97"/>
      <c r="AD319" s="99"/>
      <c r="AE319" s="95"/>
      <c r="AF319" s="94"/>
      <c r="AG319" s="89"/>
      <c r="AH319" s="89"/>
      <c r="AI319" s="89"/>
      <c r="AJ319" s="89"/>
      <c r="AK319" s="89"/>
      <c r="AL319" s="89"/>
      <c r="AM319" s="89"/>
      <c r="AN319" s="89"/>
      <c r="AO319" s="89"/>
      <c r="AP319" s="89"/>
      <c r="AQ319" s="89"/>
      <c r="AR319" s="89"/>
      <c r="AS319" s="89"/>
      <c r="AT319" s="89"/>
      <c r="AU319" s="89"/>
      <c r="AV319" s="89"/>
      <c r="AW319" s="100"/>
      <c r="AX319" s="100"/>
      <c r="AY319" s="89"/>
      <c r="AZ319" s="89"/>
      <c r="BA319" s="89"/>
      <c r="BB319" s="89"/>
      <c r="BC319" s="89"/>
      <c r="BD319" s="89"/>
      <c r="BE319" s="89"/>
      <c r="BF319" s="89"/>
      <c r="BG319" s="89"/>
      <c r="BH319" s="89"/>
      <c r="BI319" s="89"/>
      <c r="BJ319" s="89"/>
      <c r="BK319" s="89"/>
      <c r="BL319" s="89"/>
      <c r="BM319" s="89"/>
      <c r="BN319" s="89"/>
      <c r="BO319" s="89"/>
      <c r="BP319" s="89"/>
      <c r="BQ319" s="89"/>
      <c r="BR319" s="89"/>
      <c r="BS319" s="89"/>
    </row>
    <row r="320" spans="1:71" ht="27" customHeight="1" x14ac:dyDescent="0.2">
      <c r="A320" s="93"/>
      <c r="B320" s="89"/>
      <c r="C320" s="89"/>
      <c r="D320" s="89"/>
      <c r="E320" s="89"/>
      <c r="F320" s="89"/>
      <c r="G320" s="89"/>
      <c r="H320" s="94"/>
      <c r="I320" s="94"/>
      <c r="J320" s="94"/>
      <c r="K320" s="94"/>
      <c r="L320" s="94"/>
      <c r="M320" s="94"/>
      <c r="N320" s="94"/>
      <c r="O320" s="94"/>
      <c r="P320" s="94"/>
      <c r="Q320" s="94"/>
      <c r="R320" s="95"/>
      <c r="S320" s="94"/>
      <c r="T320" s="96"/>
      <c r="U320" s="94"/>
      <c r="V320" s="97"/>
      <c r="W320" s="94"/>
      <c r="X320" s="98"/>
      <c r="Y320" s="98"/>
      <c r="Z320" s="98"/>
      <c r="AA320" s="98"/>
      <c r="AB320" s="98"/>
      <c r="AC320" s="97"/>
      <c r="AD320" s="99"/>
      <c r="AE320" s="95"/>
      <c r="AF320" s="94"/>
      <c r="AG320" s="89"/>
      <c r="AH320" s="89"/>
      <c r="AI320" s="89"/>
      <c r="AJ320" s="89"/>
      <c r="AK320" s="89"/>
      <c r="AL320" s="89"/>
      <c r="AM320" s="89"/>
      <c r="AN320" s="89"/>
      <c r="AO320" s="89"/>
      <c r="AP320" s="89"/>
      <c r="AQ320" s="89"/>
      <c r="AR320" s="89"/>
      <c r="AS320" s="89"/>
      <c r="AT320" s="89"/>
      <c r="AU320" s="89"/>
      <c r="AV320" s="89"/>
      <c r="AW320" s="100"/>
      <c r="AX320" s="100"/>
      <c r="AY320" s="89"/>
      <c r="AZ320" s="89"/>
      <c r="BA320" s="89"/>
      <c r="BB320" s="89"/>
      <c r="BC320" s="89"/>
      <c r="BD320" s="89"/>
      <c r="BE320" s="89"/>
      <c r="BF320" s="89"/>
      <c r="BG320" s="89"/>
      <c r="BH320" s="89"/>
      <c r="BI320" s="89"/>
      <c r="BJ320" s="89"/>
      <c r="BK320" s="89"/>
      <c r="BL320" s="89"/>
      <c r="BM320" s="89"/>
      <c r="BN320" s="89"/>
      <c r="BO320" s="89"/>
      <c r="BP320" s="89"/>
      <c r="BQ320" s="89"/>
      <c r="BR320" s="89"/>
      <c r="BS320" s="89"/>
    </row>
    <row r="321" spans="1:71" ht="27" customHeight="1" x14ac:dyDescent="0.2">
      <c r="A321" s="93"/>
      <c r="B321" s="89"/>
      <c r="C321" s="89"/>
      <c r="D321" s="89"/>
      <c r="E321" s="89"/>
      <c r="F321" s="89"/>
      <c r="G321" s="89"/>
      <c r="H321" s="94"/>
      <c r="I321" s="94"/>
      <c r="J321" s="94"/>
      <c r="K321" s="94"/>
      <c r="L321" s="94"/>
      <c r="M321" s="94"/>
      <c r="N321" s="94"/>
      <c r="O321" s="94"/>
      <c r="P321" s="94"/>
      <c r="Q321" s="94"/>
      <c r="R321" s="95"/>
      <c r="S321" s="94"/>
      <c r="T321" s="96"/>
      <c r="U321" s="94"/>
      <c r="V321" s="97"/>
      <c r="W321" s="94"/>
      <c r="X321" s="98"/>
      <c r="Y321" s="98"/>
      <c r="Z321" s="98"/>
      <c r="AA321" s="98"/>
      <c r="AB321" s="98"/>
      <c r="AC321" s="97"/>
      <c r="AD321" s="99"/>
      <c r="AE321" s="95"/>
      <c r="AF321" s="94"/>
      <c r="AG321" s="89"/>
      <c r="AH321" s="89"/>
      <c r="AI321" s="89"/>
      <c r="AJ321" s="89"/>
      <c r="AK321" s="89"/>
      <c r="AL321" s="89"/>
      <c r="AM321" s="89"/>
      <c r="AN321" s="89"/>
      <c r="AO321" s="89"/>
      <c r="AP321" s="89"/>
      <c r="AQ321" s="89"/>
      <c r="AR321" s="89"/>
      <c r="AS321" s="89"/>
      <c r="AT321" s="89"/>
      <c r="AU321" s="89"/>
      <c r="AV321" s="89"/>
      <c r="AW321" s="100"/>
      <c r="AX321" s="100"/>
      <c r="AY321" s="89"/>
      <c r="AZ321" s="89"/>
      <c r="BA321" s="89"/>
      <c r="BB321" s="89"/>
      <c r="BC321" s="89"/>
      <c r="BD321" s="89"/>
      <c r="BE321" s="89"/>
      <c r="BF321" s="89"/>
      <c r="BG321" s="89"/>
      <c r="BH321" s="89"/>
      <c r="BI321" s="89"/>
      <c r="BJ321" s="89"/>
      <c r="BK321" s="89"/>
      <c r="BL321" s="89"/>
      <c r="BM321" s="89"/>
      <c r="BN321" s="89"/>
      <c r="BO321" s="89"/>
      <c r="BP321" s="89"/>
      <c r="BQ321" s="89"/>
      <c r="BR321" s="89"/>
      <c r="BS321" s="89"/>
    </row>
    <row r="322" spans="1:71" ht="27" customHeight="1" x14ac:dyDescent="0.2">
      <c r="A322" s="93"/>
      <c r="B322" s="89"/>
      <c r="C322" s="89"/>
      <c r="D322" s="89"/>
      <c r="E322" s="89"/>
      <c r="F322" s="89"/>
      <c r="G322" s="89"/>
      <c r="H322" s="94"/>
      <c r="I322" s="94"/>
      <c r="J322" s="94"/>
      <c r="K322" s="94"/>
      <c r="L322" s="94"/>
      <c r="M322" s="94"/>
      <c r="N322" s="94"/>
      <c r="O322" s="94"/>
      <c r="P322" s="94"/>
      <c r="Q322" s="94"/>
      <c r="R322" s="95"/>
      <c r="S322" s="94"/>
      <c r="T322" s="96"/>
      <c r="U322" s="94"/>
      <c r="V322" s="97"/>
      <c r="W322" s="94"/>
      <c r="X322" s="98"/>
      <c r="Y322" s="98"/>
      <c r="Z322" s="98"/>
      <c r="AA322" s="98"/>
      <c r="AB322" s="98"/>
      <c r="AC322" s="97"/>
      <c r="AD322" s="99"/>
      <c r="AE322" s="95"/>
      <c r="AF322" s="94"/>
      <c r="AG322" s="89"/>
      <c r="AH322" s="89"/>
      <c r="AI322" s="89"/>
      <c r="AJ322" s="89"/>
      <c r="AK322" s="89"/>
      <c r="AL322" s="89"/>
      <c r="AM322" s="89"/>
      <c r="AN322" s="89"/>
      <c r="AO322" s="89"/>
      <c r="AP322" s="89"/>
      <c r="AQ322" s="89"/>
      <c r="AR322" s="89"/>
      <c r="AS322" s="89"/>
      <c r="AT322" s="89"/>
      <c r="AU322" s="89"/>
      <c r="AV322" s="89"/>
      <c r="AW322" s="100"/>
      <c r="AX322" s="100"/>
      <c r="AY322" s="89"/>
      <c r="AZ322" s="89"/>
      <c r="BA322" s="89"/>
      <c r="BB322" s="89"/>
      <c r="BC322" s="89"/>
      <c r="BD322" s="89"/>
      <c r="BE322" s="89"/>
      <c r="BF322" s="89"/>
      <c r="BG322" s="89"/>
      <c r="BH322" s="89"/>
      <c r="BI322" s="89"/>
      <c r="BJ322" s="89"/>
      <c r="BK322" s="89"/>
      <c r="BL322" s="89"/>
      <c r="BM322" s="89"/>
      <c r="BN322" s="89"/>
      <c r="BO322" s="89"/>
      <c r="BP322" s="89"/>
      <c r="BQ322" s="89"/>
      <c r="BR322" s="89"/>
      <c r="BS322" s="89"/>
    </row>
    <row r="323" spans="1:71" ht="27" customHeight="1" x14ac:dyDescent="0.2">
      <c r="A323" s="93"/>
      <c r="B323" s="89"/>
      <c r="C323" s="89"/>
      <c r="D323" s="89"/>
      <c r="E323" s="89"/>
      <c r="F323" s="89"/>
      <c r="G323" s="89"/>
      <c r="H323" s="94"/>
      <c r="I323" s="94"/>
      <c r="J323" s="94"/>
      <c r="K323" s="94"/>
      <c r="L323" s="94"/>
      <c r="M323" s="94"/>
      <c r="N323" s="94"/>
      <c r="O323" s="94"/>
      <c r="P323" s="94"/>
      <c r="Q323" s="94"/>
      <c r="R323" s="95"/>
      <c r="S323" s="94"/>
      <c r="T323" s="96"/>
      <c r="U323" s="94"/>
      <c r="V323" s="97"/>
      <c r="W323" s="94"/>
      <c r="X323" s="98"/>
      <c r="Y323" s="98"/>
      <c r="Z323" s="98"/>
      <c r="AA323" s="98"/>
      <c r="AB323" s="98"/>
      <c r="AC323" s="97"/>
      <c r="AD323" s="99"/>
      <c r="AE323" s="95"/>
      <c r="AF323" s="94"/>
      <c r="AG323" s="89"/>
      <c r="AH323" s="89"/>
      <c r="AI323" s="89"/>
      <c r="AJ323" s="89"/>
      <c r="AK323" s="89"/>
      <c r="AL323" s="89"/>
      <c r="AM323" s="89"/>
      <c r="AN323" s="89"/>
      <c r="AO323" s="89"/>
      <c r="AP323" s="89"/>
      <c r="AQ323" s="89"/>
      <c r="AR323" s="89"/>
      <c r="AS323" s="89"/>
      <c r="AT323" s="89"/>
      <c r="AU323" s="89"/>
      <c r="AV323" s="89"/>
      <c r="AW323" s="100"/>
      <c r="AX323" s="100"/>
      <c r="AY323" s="89"/>
      <c r="AZ323" s="89"/>
      <c r="BA323" s="89"/>
      <c r="BB323" s="89"/>
      <c r="BC323" s="89"/>
      <c r="BD323" s="89"/>
      <c r="BE323" s="89"/>
      <c r="BF323" s="89"/>
      <c r="BG323" s="89"/>
      <c r="BH323" s="89"/>
      <c r="BI323" s="89"/>
      <c r="BJ323" s="89"/>
      <c r="BK323" s="89"/>
      <c r="BL323" s="89"/>
      <c r="BM323" s="89"/>
      <c r="BN323" s="89"/>
      <c r="BO323" s="89"/>
      <c r="BP323" s="89"/>
      <c r="BQ323" s="89"/>
      <c r="BR323" s="89"/>
      <c r="BS323" s="89"/>
    </row>
    <row r="324" spans="1:71" ht="27" customHeight="1" x14ac:dyDescent="0.2">
      <c r="A324" s="93"/>
      <c r="B324" s="89"/>
      <c r="C324" s="89"/>
      <c r="D324" s="89"/>
      <c r="E324" s="89"/>
      <c r="F324" s="89"/>
      <c r="G324" s="89"/>
      <c r="H324" s="94"/>
      <c r="I324" s="94"/>
      <c r="J324" s="94"/>
      <c r="K324" s="94"/>
      <c r="L324" s="94"/>
      <c r="M324" s="94"/>
      <c r="N324" s="94"/>
      <c r="O324" s="94"/>
      <c r="P324" s="94"/>
      <c r="Q324" s="94"/>
      <c r="R324" s="95"/>
      <c r="S324" s="94"/>
      <c r="T324" s="96"/>
      <c r="U324" s="94"/>
      <c r="V324" s="97"/>
      <c r="W324" s="94"/>
      <c r="X324" s="98"/>
      <c r="Y324" s="98"/>
      <c r="Z324" s="98"/>
      <c r="AA324" s="98"/>
      <c r="AB324" s="98"/>
      <c r="AC324" s="97"/>
      <c r="AD324" s="99"/>
      <c r="AE324" s="95"/>
      <c r="AF324" s="94"/>
      <c r="AG324" s="89"/>
      <c r="AH324" s="89"/>
      <c r="AI324" s="89"/>
      <c r="AJ324" s="89"/>
      <c r="AK324" s="89"/>
      <c r="AL324" s="89"/>
      <c r="AM324" s="89"/>
      <c r="AN324" s="89"/>
      <c r="AO324" s="89"/>
      <c r="AP324" s="89"/>
      <c r="AQ324" s="89"/>
      <c r="AR324" s="89"/>
      <c r="AS324" s="89"/>
      <c r="AT324" s="89"/>
      <c r="AU324" s="89"/>
      <c r="AV324" s="89"/>
      <c r="AW324" s="100"/>
      <c r="AX324" s="100"/>
      <c r="AY324" s="89"/>
      <c r="AZ324" s="89"/>
      <c r="BA324" s="89"/>
      <c r="BB324" s="89"/>
      <c r="BC324" s="89"/>
      <c r="BD324" s="89"/>
      <c r="BE324" s="89"/>
      <c r="BF324" s="89"/>
      <c r="BG324" s="89"/>
      <c r="BH324" s="89"/>
      <c r="BI324" s="89"/>
      <c r="BJ324" s="89"/>
      <c r="BK324" s="89"/>
      <c r="BL324" s="89"/>
      <c r="BM324" s="89"/>
      <c r="BN324" s="89"/>
      <c r="BO324" s="89"/>
      <c r="BP324" s="89"/>
      <c r="BQ324" s="89"/>
      <c r="BR324" s="89"/>
      <c r="BS324" s="89"/>
    </row>
    <row r="325" spans="1:71" ht="27" customHeight="1" x14ac:dyDescent="0.2">
      <c r="A325" s="93"/>
      <c r="B325" s="89"/>
      <c r="C325" s="89"/>
      <c r="D325" s="89"/>
      <c r="E325" s="89"/>
      <c r="F325" s="89"/>
      <c r="G325" s="89"/>
      <c r="H325" s="94"/>
      <c r="I325" s="94"/>
      <c r="J325" s="94"/>
      <c r="K325" s="94"/>
      <c r="L325" s="94"/>
      <c r="M325" s="94"/>
      <c r="N325" s="94"/>
      <c r="O325" s="94"/>
      <c r="P325" s="94"/>
      <c r="Q325" s="94"/>
      <c r="R325" s="95"/>
      <c r="S325" s="94"/>
      <c r="T325" s="96"/>
      <c r="U325" s="94"/>
      <c r="V325" s="97"/>
      <c r="W325" s="94"/>
      <c r="X325" s="98"/>
      <c r="Y325" s="98"/>
      <c r="Z325" s="98"/>
      <c r="AA325" s="98"/>
      <c r="AB325" s="98"/>
      <c r="AC325" s="97"/>
      <c r="AD325" s="99"/>
      <c r="AE325" s="95"/>
      <c r="AF325" s="94"/>
      <c r="AG325" s="89"/>
      <c r="AH325" s="89"/>
      <c r="AI325" s="89"/>
      <c r="AJ325" s="89"/>
      <c r="AK325" s="89"/>
      <c r="AL325" s="89"/>
      <c r="AM325" s="89"/>
      <c r="AN325" s="89"/>
      <c r="AO325" s="89"/>
      <c r="AP325" s="89"/>
      <c r="AQ325" s="89"/>
      <c r="AR325" s="89"/>
      <c r="AS325" s="89"/>
      <c r="AT325" s="89"/>
      <c r="AU325" s="89"/>
      <c r="AV325" s="89"/>
      <c r="AW325" s="100"/>
      <c r="AX325" s="100"/>
      <c r="AY325" s="89"/>
      <c r="AZ325" s="89"/>
      <c r="BA325" s="89"/>
      <c r="BB325" s="89"/>
      <c r="BC325" s="89"/>
      <c r="BD325" s="89"/>
      <c r="BE325" s="89"/>
      <c r="BF325" s="89"/>
      <c r="BG325" s="89"/>
      <c r="BH325" s="89"/>
      <c r="BI325" s="89"/>
      <c r="BJ325" s="89"/>
      <c r="BK325" s="89"/>
      <c r="BL325" s="89"/>
      <c r="BM325" s="89"/>
      <c r="BN325" s="89"/>
      <c r="BO325" s="89"/>
      <c r="BP325" s="89"/>
      <c r="BQ325" s="89"/>
      <c r="BR325" s="89"/>
      <c r="BS325" s="89"/>
    </row>
    <row r="326" spans="1:71" ht="27" customHeight="1" x14ac:dyDescent="0.2">
      <c r="A326" s="93"/>
      <c r="B326" s="89"/>
      <c r="C326" s="89"/>
      <c r="D326" s="89"/>
      <c r="E326" s="89"/>
      <c r="F326" s="89"/>
      <c r="G326" s="89"/>
      <c r="H326" s="94"/>
      <c r="I326" s="94"/>
      <c r="J326" s="94"/>
      <c r="K326" s="94"/>
      <c r="L326" s="94"/>
      <c r="M326" s="94"/>
      <c r="N326" s="94"/>
      <c r="O326" s="94"/>
      <c r="P326" s="94"/>
      <c r="Q326" s="94"/>
      <c r="R326" s="95"/>
      <c r="S326" s="94"/>
      <c r="T326" s="96"/>
      <c r="U326" s="94"/>
      <c r="V326" s="97"/>
      <c r="W326" s="94"/>
      <c r="X326" s="98"/>
      <c r="Y326" s="98"/>
      <c r="Z326" s="98"/>
      <c r="AA326" s="98"/>
      <c r="AB326" s="98"/>
      <c r="AC326" s="97"/>
      <c r="AD326" s="99"/>
      <c r="AE326" s="95"/>
      <c r="AF326" s="94"/>
      <c r="AG326" s="89"/>
      <c r="AH326" s="89"/>
      <c r="AI326" s="89"/>
      <c r="AJ326" s="89"/>
      <c r="AK326" s="89"/>
      <c r="AL326" s="89"/>
      <c r="AM326" s="89"/>
      <c r="AN326" s="89"/>
      <c r="AO326" s="89"/>
      <c r="AP326" s="89"/>
      <c r="AQ326" s="89"/>
      <c r="AR326" s="89"/>
      <c r="AS326" s="89"/>
      <c r="AT326" s="89"/>
      <c r="AU326" s="89"/>
      <c r="AV326" s="89"/>
      <c r="AW326" s="100"/>
      <c r="AX326" s="100"/>
      <c r="AY326" s="89"/>
      <c r="AZ326" s="89"/>
      <c r="BA326" s="89"/>
      <c r="BB326" s="89"/>
      <c r="BC326" s="89"/>
      <c r="BD326" s="89"/>
      <c r="BE326" s="89"/>
      <c r="BF326" s="89"/>
      <c r="BG326" s="89"/>
      <c r="BH326" s="89"/>
      <c r="BI326" s="89"/>
      <c r="BJ326" s="89"/>
      <c r="BK326" s="89"/>
      <c r="BL326" s="89"/>
      <c r="BM326" s="89"/>
      <c r="BN326" s="89"/>
      <c r="BO326" s="89"/>
      <c r="BP326" s="89"/>
      <c r="BQ326" s="89"/>
      <c r="BR326" s="89"/>
      <c r="BS326" s="89"/>
    </row>
    <row r="327" spans="1:71" ht="27" customHeight="1" x14ac:dyDescent="0.2">
      <c r="A327" s="93"/>
      <c r="B327" s="89"/>
      <c r="C327" s="89"/>
      <c r="D327" s="89"/>
      <c r="E327" s="89"/>
      <c r="F327" s="89"/>
      <c r="G327" s="89"/>
      <c r="H327" s="94"/>
      <c r="I327" s="94"/>
      <c r="J327" s="94"/>
      <c r="K327" s="94"/>
      <c r="L327" s="94"/>
      <c r="M327" s="94"/>
      <c r="N327" s="94"/>
      <c r="O327" s="94"/>
      <c r="P327" s="94"/>
      <c r="Q327" s="94"/>
      <c r="R327" s="95"/>
      <c r="S327" s="94"/>
      <c r="T327" s="96"/>
      <c r="U327" s="94"/>
      <c r="V327" s="97"/>
      <c r="W327" s="94"/>
      <c r="X327" s="98"/>
      <c r="Y327" s="98"/>
      <c r="Z327" s="98"/>
      <c r="AA327" s="98"/>
      <c r="AB327" s="98"/>
      <c r="AC327" s="97"/>
      <c r="AD327" s="99"/>
      <c r="AE327" s="95"/>
      <c r="AF327" s="94"/>
      <c r="AG327" s="89"/>
      <c r="AH327" s="89"/>
      <c r="AI327" s="89"/>
      <c r="AJ327" s="89"/>
      <c r="AK327" s="89"/>
      <c r="AL327" s="89"/>
      <c r="AM327" s="89"/>
      <c r="AN327" s="89"/>
      <c r="AO327" s="89"/>
      <c r="AP327" s="89"/>
      <c r="AQ327" s="89"/>
      <c r="AR327" s="89"/>
      <c r="AS327" s="89"/>
      <c r="AT327" s="89"/>
      <c r="AU327" s="89"/>
      <c r="AV327" s="89"/>
      <c r="AW327" s="100"/>
      <c r="AX327" s="100"/>
      <c r="AY327" s="89"/>
      <c r="AZ327" s="89"/>
      <c r="BA327" s="89"/>
      <c r="BB327" s="89"/>
      <c r="BC327" s="89"/>
      <c r="BD327" s="89"/>
      <c r="BE327" s="89"/>
      <c r="BF327" s="89"/>
      <c r="BG327" s="89"/>
      <c r="BH327" s="89"/>
      <c r="BI327" s="89"/>
      <c r="BJ327" s="89"/>
      <c r="BK327" s="89"/>
      <c r="BL327" s="89"/>
      <c r="BM327" s="89"/>
      <c r="BN327" s="89"/>
      <c r="BO327" s="89"/>
      <c r="BP327" s="89"/>
      <c r="BQ327" s="89"/>
      <c r="BR327" s="89"/>
      <c r="BS327" s="89"/>
    </row>
    <row r="328" spans="1:71" ht="27" customHeight="1" x14ac:dyDescent="0.2">
      <c r="A328" s="93"/>
      <c r="B328" s="89"/>
      <c r="C328" s="89"/>
      <c r="D328" s="89"/>
      <c r="E328" s="89"/>
      <c r="F328" s="89"/>
      <c r="G328" s="89"/>
      <c r="H328" s="94"/>
      <c r="I328" s="94"/>
      <c r="J328" s="94"/>
      <c r="K328" s="94"/>
      <c r="L328" s="94"/>
      <c r="M328" s="94"/>
      <c r="N328" s="94"/>
      <c r="O328" s="94"/>
      <c r="P328" s="94"/>
      <c r="Q328" s="94"/>
      <c r="R328" s="95"/>
      <c r="S328" s="94"/>
      <c r="T328" s="96"/>
      <c r="U328" s="94"/>
      <c r="V328" s="97"/>
      <c r="W328" s="94"/>
      <c r="X328" s="98"/>
      <c r="Y328" s="98"/>
      <c r="Z328" s="98"/>
      <c r="AA328" s="98"/>
      <c r="AB328" s="98"/>
      <c r="AC328" s="97"/>
      <c r="AD328" s="99"/>
      <c r="AE328" s="95"/>
      <c r="AF328" s="94"/>
      <c r="AG328" s="89"/>
      <c r="AH328" s="89"/>
      <c r="AI328" s="89"/>
      <c r="AJ328" s="89"/>
      <c r="AK328" s="89"/>
      <c r="AL328" s="89"/>
      <c r="AM328" s="89"/>
      <c r="AN328" s="89"/>
      <c r="AO328" s="89"/>
      <c r="AP328" s="89"/>
      <c r="AQ328" s="89"/>
      <c r="AR328" s="89"/>
      <c r="AS328" s="89"/>
      <c r="AT328" s="89"/>
      <c r="AU328" s="89"/>
      <c r="AV328" s="89"/>
      <c r="AW328" s="100"/>
      <c r="AX328" s="100"/>
      <c r="AY328" s="89"/>
      <c r="AZ328" s="89"/>
      <c r="BA328" s="89"/>
      <c r="BB328" s="89"/>
      <c r="BC328" s="89"/>
      <c r="BD328" s="89"/>
      <c r="BE328" s="89"/>
      <c r="BF328" s="89"/>
      <c r="BG328" s="89"/>
      <c r="BH328" s="89"/>
      <c r="BI328" s="89"/>
      <c r="BJ328" s="89"/>
      <c r="BK328" s="89"/>
      <c r="BL328" s="89"/>
      <c r="BM328" s="89"/>
      <c r="BN328" s="89"/>
      <c r="BO328" s="89"/>
      <c r="BP328" s="89"/>
      <c r="BQ328" s="89"/>
      <c r="BR328" s="89"/>
      <c r="BS328" s="89"/>
    </row>
    <row r="329" spans="1:71" ht="27" customHeight="1" x14ac:dyDescent="0.2">
      <c r="A329" s="93"/>
      <c r="B329" s="89"/>
      <c r="C329" s="89"/>
      <c r="D329" s="89"/>
      <c r="E329" s="89"/>
      <c r="F329" s="89"/>
      <c r="G329" s="89"/>
      <c r="H329" s="94"/>
      <c r="I329" s="94"/>
      <c r="J329" s="94"/>
      <c r="K329" s="94"/>
      <c r="L329" s="94"/>
      <c r="M329" s="94"/>
      <c r="N329" s="94"/>
      <c r="O329" s="94"/>
      <c r="P329" s="94"/>
      <c r="Q329" s="94"/>
      <c r="R329" s="95"/>
      <c r="S329" s="94"/>
      <c r="T329" s="96"/>
      <c r="U329" s="94"/>
      <c r="V329" s="97"/>
      <c r="W329" s="94"/>
      <c r="X329" s="98"/>
      <c r="Y329" s="98"/>
      <c r="Z329" s="98"/>
      <c r="AA329" s="98"/>
      <c r="AB329" s="98"/>
      <c r="AC329" s="97"/>
      <c r="AD329" s="99"/>
      <c r="AE329" s="95"/>
      <c r="AF329" s="94"/>
      <c r="AG329" s="89"/>
      <c r="AH329" s="89"/>
      <c r="AI329" s="89"/>
      <c r="AJ329" s="89"/>
      <c r="AK329" s="89"/>
      <c r="AL329" s="89"/>
      <c r="AM329" s="89"/>
      <c r="AN329" s="89"/>
      <c r="AO329" s="89"/>
      <c r="AP329" s="89"/>
      <c r="AQ329" s="89"/>
      <c r="AR329" s="89"/>
      <c r="AS329" s="89"/>
      <c r="AT329" s="89"/>
      <c r="AU329" s="89"/>
      <c r="AV329" s="89"/>
      <c r="AW329" s="100"/>
      <c r="AX329" s="100"/>
      <c r="AY329" s="89"/>
      <c r="AZ329" s="89"/>
      <c r="BA329" s="89"/>
      <c r="BB329" s="89"/>
      <c r="BC329" s="89"/>
      <c r="BD329" s="89"/>
      <c r="BE329" s="89"/>
      <c r="BF329" s="89"/>
      <c r="BG329" s="89"/>
      <c r="BH329" s="89"/>
      <c r="BI329" s="89"/>
      <c r="BJ329" s="89"/>
      <c r="BK329" s="89"/>
      <c r="BL329" s="89"/>
      <c r="BM329" s="89"/>
      <c r="BN329" s="89"/>
      <c r="BO329" s="89"/>
      <c r="BP329" s="89"/>
      <c r="BQ329" s="89"/>
      <c r="BR329" s="89"/>
      <c r="BS329" s="89"/>
    </row>
    <row r="330" spans="1:71" ht="27" customHeight="1" x14ac:dyDescent="0.2">
      <c r="A330" s="93"/>
      <c r="B330" s="89"/>
      <c r="C330" s="89"/>
      <c r="D330" s="89"/>
      <c r="E330" s="89"/>
      <c r="F330" s="89"/>
      <c r="G330" s="89"/>
      <c r="H330" s="94"/>
      <c r="I330" s="94"/>
      <c r="J330" s="94"/>
      <c r="K330" s="94"/>
      <c r="L330" s="94"/>
      <c r="M330" s="94"/>
      <c r="N330" s="94"/>
      <c r="O330" s="94"/>
      <c r="P330" s="94"/>
      <c r="Q330" s="94"/>
      <c r="R330" s="95"/>
      <c r="S330" s="94"/>
      <c r="T330" s="96"/>
      <c r="U330" s="94"/>
      <c r="V330" s="97"/>
      <c r="W330" s="94"/>
      <c r="X330" s="98"/>
      <c r="Y330" s="98"/>
      <c r="Z330" s="98"/>
      <c r="AA330" s="98"/>
      <c r="AB330" s="98"/>
      <c r="AC330" s="97"/>
      <c r="AD330" s="99"/>
      <c r="AE330" s="95"/>
      <c r="AF330" s="94"/>
      <c r="AG330" s="89"/>
      <c r="AH330" s="89"/>
      <c r="AI330" s="89"/>
      <c r="AJ330" s="89"/>
      <c r="AK330" s="89"/>
      <c r="AL330" s="89"/>
      <c r="AM330" s="89"/>
      <c r="AN330" s="89"/>
      <c r="AO330" s="89"/>
      <c r="AP330" s="89"/>
      <c r="AQ330" s="89"/>
      <c r="AR330" s="89"/>
      <c r="AS330" s="89"/>
      <c r="AT330" s="89"/>
      <c r="AU330" s="89"/>
      <c r="AV330" s="89"/>
      <c r="AW330" s="100"/>
      <c r="AX330" s="100"/>
      <c r="AY330" s="89"/>
      <c r="AZ330" s="89"/>
      <c r="BA330" s="89"/>
      <c r="BB330" s="89"/>
      <c r="BC330" s="89"/>
      <c r="BD330" s="89"/>
      <c r="BE330" s="89"/>
      <c r="BF330" s="89"/>
      <c r="BG330" s="89"/>
      <c r="BH330" s="89"/>
      <c r="BI330" s="89"/>
      <c r="BJ330" s="89"/>
      <c r="BK330" s="89"/>
      <c r="BL330" s="89"/>
      <c r="BM330" s="89"/>
      <c r="BN330" s="89"/>
      <c r="BO330" s="89"/>
      <c r="BP330" s="89"/>
      <c r="BQ330" s="89"/>
      <c r="BR330" s="89"/>
      <c r="BS330" s="89"/>
    </row>
    <row r="331" spans="1:71" ht="27" customHeight="1" x14ac:dyDescent="0.2">
      <c r="A331" s="93"/>
      <c r="B331" s="89"/>
      <c r="C331" s="89"/>
      <c r="D331" s="89"/>
      <c r="E331" s="89"/>
      <c r="F331" s="89"/>
      <c r="G331" s="89"/>
      <c r="H331" s="94"/>
      <c r="I331" s="94"/>
      <c r="J331" s="94"/>
      <c r="K331" s="94"/>
      <c r="L331" s="94"/>
      <c r="M331" s="94"/>
      <c r="N331" s="94"/>
      <c r="O331" s="94"/>
      <c r="P331" s="94"/>
      <c r="Q331" s="94"/>
      <c r="R331" s="95"/>
      <c r="S331" s="94"/>
      <c r="T331" s="96"/>
      <c r="U331" s="94"/>
      <c r="V331" s="97"/>
      <c r="W331" s="94"/>
      <c r="X331" s="98"/>
      <c r="Y331" s="98"/>
      <c r="Z331" s="98"/>
      <c r="AA331" s="98"/>
      <c r="AB331" s="98"/>
      <c r="AC331" s="97"/>
      <c r="AD331" s="99"/>
      <c r="AE331" s="95"/>
      <c r="AF331" s="94"/>
      <c r="AG331" s="89"/>
      <c r="AH331" s="89"/>
      <c r="AI331" s="89"/>
      <c r="AJ331" s="89"/>
      <c r="AK331" s="89"/>
      <c r="AL331" s="89"/>
      <c r="AM331" s="89"/>
      <c r="AN331" s="89"/>
      <c r="AO331" s="89"/>
      <c r="AP331" s="89"/>
      <c r="AQ331" s="89"/>
      <c r="AR331" s="89"/>
      <c r="AS331" s="89"/>
      <c r="AT331" s="89"/>
      <c r="AU331" s="89"/>
      <c r="AV331" s="89"/>
      <c r="AW331" s="100"/>
      <c r="AX331" s="100"/>
      <c r="AY331" s="89"/>
      <c r="AZ331" s="89"/>
      <c r="BA331" s="89"/>
      <c r="BB331" s="89"/>
      <c r="BC331" s="89"/>
      <c r="BD331" s="89"/>
      <c r="BE331" s="89"/>
      <c r="BF331" s="89"/>
      <c r="BG331" s="89"/>
      <c r="BH331" s="89"/>
      <c r="BI331" s="89"/>
      <c r="BJ331" s="89"/>
      <c r="BK331" s="89"/>
      <c r="BL331" s="89"/>
      <c r="BM331" s="89"/>
      <c r="BN331" s="89"/>
      <c r="BO331" s="89"/>
      <c r="BP331" s="89"/>
      <c r="BQ331" s="89"/>
      <c r="BR331" s="89"/>
      <c r="BS331" s="89"/>
    </row>
    <row r="332" spans="1:71" ht="27" customHeight="1" x14ac:dyDescent="0.2">
      <c r="A332" s="93"/>
      <c r="B332" s="89"/>
      <c r="C332" s="89"/>
      <c r="D332" s="89"/>
      <c r="E332" s="89"/>
      <c r="F332" s="89"/>
      <c r="G332" s="89"/>
      <c r="H332" s="94"/>
      <c r="I332" s="94"/>
      <c r="J332" s="94"/>
      <c r="K332" s="94"/>
      <c r="L332" s="94"/>
      <c r="M332" s="94"/>
      <c r="N332" s="94"/>
      <c r="O332" s="94"/>
      <c r="P332" s="94"/>
      <c r="Q332" s="94"/>
      <c r="R332" s="95"/>
      <c r="S332" s="94"/>
      <c r="T332" s="96"/>
      <c r="U332" s="94"/>
      <c r="V332" s="97"/>
      <c r="W332" s="94"/>
      <c r="X332" s="98"/>
      <c r="Y332" s="98"/>
      <c r="Z332" s="98"/>
      <c r="AA332" s="98"/>
      <c r="AB332" s="98"/>
      <c r="AC332" s="97"/>
      <c r="AD332" s="99"/>
      <c r="AE332" s="95"/>
      <c r="AF332" s="94"/>
      <c r="AG332" s="89"/>
      <c r="AH332" s="89"/>
      <c r="AI332" s="89"/>
      <c r="AJ332" s="89"/>
      <c r="AK332" s="89"/>
      <c r="AL332" s="89"/>
      <c r="AM332" s="89"/>
      <c r="AN332" s="89"/>
      <c r="AO332" s="89"/>
      <c r="AP332" s="89"/>
      <c r="AQ332" s="89"/>
      <c r="AR332" s="89"/>
      <c r="AS332" s="89"/>
      <c r="AT332" s="89"/>
      <c r="AU332" s="89"/>
      <c r="AV332" s="89"/>
      <c r="AW332" s="100"/>
      <c r="AX332" s="100"/>
      <c r="AY332" s="89"/>
      <c r="AZ332" s="89"/>
      <c r="BA332" s="89"/>
      <c r="BB332" s="89"/>
      <c r="BC332" s="89"/>
      <c r="BD332" s="89"/>
      <c r="BE332" s="89"/>
      <c r="BF332" s="89"/>
      <c r="BG332" s="89"/>
      <c r="BH332" s="89"/>
      <c r="BI332" s="89"/>
      <c r="BJ332" s="89"/>
      <c r="BK332" s="89"/>
      <c r="BL332" s="89"/>
      <c r="BM332" s="89"/>
      <c r="BN332" s="89"/>
      <c r="BO332" s="89"/>
      <c r="BP332" s="89"/>
      <c r="BQ332" s="89"/>
      <c r="BR332" s="89"/>
      <c r="BS332" s="89"/>
    </row>
    <row r="333" spans="1:71" ht="27" customHeight="1" x14ac:dyDescent="0.2">
      <c r="A333" s="93"/>
      <c r="B333" s="89"/>
      <c r="C333" s="89"/>
      <c r="D333" s="89"/>
      <c r="E333" s="89"/>
      <c r="F333" s="89"/>
      <c r="G333" s="89"/>
      <c r="H333" s="94"/>
      <c r="I333" s="94"/>
      <c r="J333" s="94"/>
      <c r="K333" s="94"/>
      <c r="L333" s="94"/>
      <c r="M333" s="94"/>
      <c r="N333" s="94"/>
      <c r="O333" s="94"/>
      <c r="P333" s="94"/>
      <c r="Q333" s="94"/>
      <c r="R333" s="95"/>
      <c r="S333" s="94"/>
      <c r="T333" s="96"/>
      <c r="U333" s="94"/>
      <c r="V333" s="97"/>
      <c r="W333" s="94"/>
      <c r="X333" s="98"/>
      <c r="Y333" s="98"/>
      <c r="Z333" s="98"/>
      <c r="AA333" s="98"/>
      <c r="AB333" s="98"/>
      <c r="AC333" s="97"/>
      <c r="AD333" s="99"/>
      <c r="AE333" s="95"/>
      <c r="AF333" s="94"/>
      <c r="AG333" s="89"/>
      <c r="AH333" s="89"/>
      <c r="AI333" s="89"/>
      <c r="AJ333" s="89"/>
      <c r="AK333" s="89"/>
      <c r="AL333" s="89"/>
      <c r="AM333" s="89"/>
      <c r="AN333" s="89"/>
      <c r="AO333" s="89"/>
      <c r="AP333" s="89"/>
      <c r="AQ333" s="89"/>
      <c r="AR333" s="89"/>
      <c r="AS333" s="89"/>
      <c r="AT333" s="89"/>
      <c r="AU333" s="89"/>
      <c r="AV333" s="89"/>
      <c r="AW333" s="100"/>
      <c r="AX333" s="100"/>
      <c r="AY333" s="89"/>
      <c r="AZ333" s="89"/>
      <c r="BA333" s="89"/>
      <c r="BB333" s="89"/>
      <c r="BC333" s="89"/>
      <c r="BD333" s="89"/>
      <c r="BE333" s="89"/>
      <c r="BF333" s="89"/>
      <c r="BG333" s="89"/>
      <c r="BH333" s="89"/>
      <c r="BI333" s="89"/>
      <c r="BJ333" s="89"/>
      <c r="BK333" s="89"/>
      <c r="BL333" s="89"/>
      <c r="BM333" s="89"/>
      <c r="BN333" s="89"/>
      <c r="BO333" s="89"/>
      <c r="BP333" s="89"/>
      <c r="BQ333" s="89"/>
      <c r="BR333" s="89"/>
      <c r="BS333" s="89"/>
    </row>
    <row r="334" spans="1:71" ht="27" customHeight="1" x14ac:dyDescent="0.2">
      <c r="A334" s="93"/>
      <c r="B334" s="89"/>
      <c r="C334" s="89"/>
      <c r="D334" s="89"/>
      <c r="E334" s="89"/>
      <c r="F334" s="89"/>
      <c r="G334" s="89"/>
      <c r="H334" s="94"/>
      <c r="I334" s="94"/>
      <c r="J334" s="94"/>
      <c r="K334" s="94"/>
      <c r="L334" s="94"/>
      <c r="M334" s="94"/>
      <c r="N334" s="94"/>
      <c r="O334" s="94"/>
      <c r="P334" s="94"/>
      <c r="Q334" s="94"/>
      <c r="R334" s="95"/>
      <c r="S334" s="94"/>
      <c r="T334" s="96"/>
      <c r="U334" s="94"/>
      <c r="V334" s="97"/>
      <c r="W334" s="94"/>
      <c r="X334" s="98"/>
      <c r="Y334" s="98"/>
      <c r="Z334" s="98"/>
      <c r="AA334" s="98"/>
      <c r="AB334" s="98"/>
      <c r="AC334" s="97"/>
      <c r="AD334" s="99"/>
      <c r="AE334" s="95"/>
      <c r="AF334" s="94"/>
      <c r="AG334" s="89"/>
      <c r="AH334" s="89"/>
      <c r="AI334" s="89"/>
      <c r="AJ334" s="89"/>
      <c r="AK334" s="89"/>
      <c r="AL334" s="89"/>
      <c r="AM334" s="89"/>
      <c r="AN334" s="89"/>
      <c r="AO334" s="89"/>
      <c r="AP334" s="89"/>
      <c r="AQ334" s="89"/>
      <c r="AR334" s="89"/>
      <c r="AS334" s="89"/>
      <c r="AT334" s="89"/>
      <c r="AU334" s="89"/>
      <c r="AV334" s="89"/>
      <c r="AW334" s="100"/>
      <c r="AX334" s="100"/>
      <c r="AY334" s="89"/>
      <c r="AZ334" s="89"/>
      <c r="BA334" s="89"/>
      <c r="BB334" s="89"/>
      <c r="BC334" s="89"/>
      <c r="BD334" s="89"/>
      <c r="BE334" s="89"/>
      <c r="BF334" s="89"/>
      <c r="BG334" s="89"/>
      <c r="BH334" s="89"/>
      <c r="BI334" s="89"/>
      <c r="BJ334" s="89"/>
      <c r="BK334" s="89"/>
      <c r="BL334" s="89"/>
      <c r="BM334" s="89"/>
      <c r="BN334" s="89"/>
      <c r="BO334" s="89"/>
      <c r="BP334" s="89"/>
      <c r="BQ334" s="89"/>
      <c r="BR334" s="89"/>
      <c r="BS334" s="89"/>
    </row>
    <row r="335" spans="1:71" ht="27" customHeight="1" x14ac:dyDescent="0.2">
      <c r="A335" s="93"/>
      <c r="B335" s="89"/>
      <c r="C335" s="89"/>
      <c r="D335" s="89"/>
      <c r="E335" s="89"/>
      <c r="F335" s="89"/>
      <c r="G335" s="89"/>
      <c r="H335" s="94"/>
      <c r="I335" s="94"/>
      <c r="J335" s="94"/>
      <c r="K335" s="94"/>
      <c r="L335" s="94"/>
      <c r="M335" s="94"/>
      <c r="N335" s="94"/>
      <c r="O335" s="94"/>
      <c r="P335" s="94"/>
      <c r="Q335" s="94"/>
      <c r="R335" s="95"/>
      <c r="S335" s="94"/>
      <c r="T335" s="96"/>
      <c r="U335" s="94"/>
      <c r="V335" s="97"/>
      <c r="W335" s="94"/>
      <c r="X335" s="98"/>
      <c r="Y335" s="98"/>
      <c r="Z335" s="98"/>
      <c r="AA335" s="98"/>
      <c r="AB335" s="98"/>
      <c r="AC335" s="97"/>
      <c r="AD335" s="99"/>
      <c r="AE335" s="95"/>
      <c r="AF335" s="94"/>
      <c r="AG335" s="89"/>
      <c r="AH335" s="89"/>
      <c r="AI335" s="89"/>
      <c r="AJ335" s="89"/>
      <c r="AK335" s="89"/>
      <c r="AL335" s="89"/>
      <c r="AM335" s="89"/>
      <c r="AN335" s="89"/>
      <c r="AO335" s="89"/>
      <c r="AP335" s="89"/>
      <c r="AQ335" s="89"/>
      <c r="AR335" s="89"/>
      <c r="AS335" s="89"/>
      <c r="AT335" s="89"/>
      <c r="AU335" s="89"/>
      <c r="AV335" s="89"/>
      <c r="AW335" s="100"/>
      <c r="AX335" s="100"/>
      <c r="AY335" s="89"/>
      <c r="AZ335" s="89"/>
      <c r="BA335" s="89"/>
      <c r="BB335" s="89"/>
      <c r="BC335" s="89"/>
      <c r="BD335" s="89"/>
      <c r="BE335" s="89"/>
      <c r="BF335" s="89"/>
      <c r="BG335" s="89"/>
      <c r="BH335" s="89"/>
      <c r="BI335" s="89"/>
      <c r="BJ335" s="89"/>
      <c r="BK335" s="89"/>
      <c r="BL335" s="89"/>
      <c r="BM335" s="89"/>
      <c r="BN335" s="89"/>
      <c r="BO335" s="89"/>
      <c r="BP335" s="89"/>
      <c r="BQ335" s="89"/>
      <c r="BR335" s="89"/>
      <c r="BS335" s="89"/>
    </row>
    <row r="336" spans="1:71" ht="27" customHeight="1" x14ac:dyDescent="0.2">
      <c r="A336" s="93"/>
      <c r="B336" s="89"/>
      <c r="C336" s="89"/>
      <c r="D336" s="89"/>
      <c r="E336" s="89"/>
      <c r="F336" s="89"/>
      <c r="G336" s="89"/>
      <c r="H336" s="94"/>
      <c r="I336" s="94"/>
      <c r="J336" s="94"/>
      <c r="K336" s="94"/>
      <c r="L336" s="94"/>
      <c r="M336" s="94"/>
      <c r="N336" s="94"/>
      <c r="O336" s="94"/>
      <c r="P336" s="94"/>
      <c r="Q336" s="94"/>
      <c r="R336" s="95"/>
      <c r="S336" s="94"/>
      <c r="T336" s="96"/>
      <c r="U336" s="94"/>
      <c r="V336" s="97"/>
      <c r="W336" s="94"/>
      <c r="X336" s="98"/>
      <c r="Y336" s="98"/>
      <c r="Z336" s="98"/>
      <c r="AA336" s="98"/>
      <c r="AB336" s="98"/>
      <c r="AC336" s="97"/>
      <c r="AD336" s="99"/>
      <c r="AE336" s="95"/>
      <c r="AF336" s="94"/>
      <c r="AG336" s="89"/>
      <c r="AH336" s="89"/>
      <c r="AI336" s="89"/>
      <c r="AJ336" s="89"/>
      <c r="AK336" s="89"/>
      <c r="AL336" s="89"/>
      <c r="AM336" s="89"/>
      <c r="AN336" s="89"/>
      <c r="AO336" s="89"/>
      <c r="AP336" s="89"/>
      <c r="AQ336" s="89"/>
      <c r="AR336" s="89"/>
      <c r="AS336" s="89"/>
      <c r="AT336" s="89"/>
      <c r="AU336" s="89"/>
      <c r="AV336" s="89"/>
      <c r="AW336" s="100"/>
      <c r="AX336" s="100"/>
      <c r="AY336" s="89"/>
      <c r="AZ336" s="89"/>
      <c r="BA336" s="89"/>
      <c r="BB336" s="89"/>
      <c r="BC336" s="89"/>
      <c r="BD336" s="89"/>
      <c r="BE336" s="89"/>
      <c r="BF336" s="89"/>
      <c r="BG336" s="89"/>
      <c r="BH336" s="89"/>
      <c r="BI336" s="89"/>
      <c r="BJ336" s="89"/>
      <c r="BK336" s="89"/>
      <c r="BL336" s="89"/>
      <c r="BM336" s="89"/>
      <c r="BN336" s="89"/>
      <c r="BO336" s="89"/>
      <c r="BP336" s="89"/>
      <c r="BQ336" s="89"/>
      <c r="BR336" s="89"/>
      <c r="BS336" s="89"/>
    </row>
    <row r="337" spans="1:71" ht="27" customHeight="1" x14ac:dyDescent="0.2">
      <c r="A337" s="93"/>
      <c r="B337" s="89"/>
      <c r="C337" s="89"/>
      <c r="D337" s="89"/>
      <c r="E337" s="89"/>
      <c r="F337" s="89"/>
      <c r="G337" s="89"/>
      <c r="H337" s="94"/>
      <c r="I337" s="94"/>
      <c r="J337" s="94"/>
      <c r="K337" s="94"/>
      <c r="L337" s="94"/>
      <c r="M337" s="94"/>
      <c r="N337" s="94"/>
      <c r="O337" s="94"/>
      <c r="P337" s="94"/>
      <c r="Q337" s="94"/>
      <c r="R337" s="95"/>
      <c r="S337" s="94"/>
      <c r="T337" s="96"/>
      <c r="U337" s="94"/>
      <c r="V337" s="97"/>
      <c r="W337" s="94"/>
      <c r="X337" s="98"/>
      <c r="Y337" s="98"/>
      <c r="Z337" s="98"/>
      <c r="AA337" s="98"/>
      <c r="AB337" s="98"/>
      <c r="AC337" s="97"/>
      <c r="AD337" s="99"/>
      <c r="AE337" s="95"/>
      <c r="AF337" s="94"/>
      <c r="AG337" s="89"/>
      <c r="AH337" s="89"/>
      <c r="AI337" s="89"/>
      <c r="AJ337" s="89"/>
      <c r="AK337" s="89"/>
      <c r="AL337" s="89"/>
      <c r="AM337" s="89"/>
      <c r="AN337" s="89"/>
      <c r="AO337" s="89"/>
      <c r="AP337" s="89"/>
      <c r="AQ337" s="89"/>
      <c r="AR337" s="89"/>
      <c r="AS337" s="89"/>
      <c r="AT337" s="89"/>
      <c r="AU337" s="89"/>
      <c r="AV337" s="89"/>
      <c r="AW337" s="100"/>
      <c r="AX337" s="100"/>
      <c r="AY337" s="89"/>
      <c r="AZ337" s="89"/>
      <c r="BA337" s="89"/>
      <c r="BB337" s="89"/>
      <c r="BC337" s="89"/>
      <c r="BD337" s="89"/>
      <c r="BE337" s="89"/>
      <c r="BF337" s="89"/>
      <c r="BG337" s="89"/>
      <c r="BH337" s="89"/>
      <c r="BI337" s="89"/>
      <c r="BJ337" s="89"/>
      <c r="BK337" s="89"/>
      <c r="BL337" s="89"/>
      <c r="BM337" s="89"/>
      <c r="BN337" s="89"/>
      <c r="BO337" s="89"/>
      <c r="BP337" s="89"/>
      <c r="BQ337" s="89"/>
      <c r="BR337" s="89"/>
      <c r="BS337" s="89"/>
    </row>
    <row r="338" spans="1:71" ht="27" customHeight="1" x14ac:dyDescent="0.2">
      <c r="A338" s="93"/>
      <c r="B338" s="89"/>
      <c r="C338" s="89"/>
      <c r="D338" s="89"/>
      <c r="E338" s="89"/>
      <c r="F338" s="89"/>
      <c r="G338" s="89"/>
      <c r="H338" s="94"/>
      <c r="I338" s="94"/>
      <c r="J338" s="94"/>
      <c r="K338" s="94"/>
      <c r="L338" s="94"/>
      <c r="M338" s="94"/>
      <c r="N338" s="94"/>
      <c r="O338" s="94"/>
      <c r="P338" s="94"/>
      <c r="Q338" s="94"/>
      <c r="R338" s="95"/>
      <c r="S338" s="94"/>
      <c r="T338" s="96"/>
      <c r="U338" s="94"/>
      <c r="V338" s="97"/>
      <c r="W338" s="94"/>
      <c r="X338" s="98"/>
      <c r="Y338" s="98"/>
      <c r="Z338" s="98"/>
      <c r="AA338" s="98"/>
      <c r="AB338" s="98"/>
      <c r="AC338" s="97"/>
      <c r="AD338" s="99"/>
      <c r="AE338" s="95"/>
      <c r="AF338" s="94"/>
      <c r="AG338" s="89"/>
      <c r="AH338" s="89"/>
      <c r="AI338" s="89"/>
      <c r="AJ338" s="89"/>
      <c r="AK338" s="89"/>
      <c r="AL338" s="89"/>
      <c r="AM338" s="89"/>
      <c r="AN338" s="89"/>
      <c r="AO338" s="89"/>
      <c r="AP338" s="89"/>
      <c r="AQ338" s="89"/>
      <c r="AR338" s="89"/>
      <c r="AS338" s="89"/>
      <c r="AT338" s="89"/>
      <c r="AU338" s="89"/>
      <c r="AV338" s="89"/>
      <c r="AW338" s="100"/>
      <c r="AX338" s="100"/>
      <c r="AY338" s="89"/>
      <c r="AZ338" s="89"/>
      <c r="BA338" s="89"/>
      <c r="BB338" s="89"/>
      <c r="BC338" s="89"/>
      <c r="BD338" s="89"/>
      <c r="BE338" s="89"/>
      <c r="BF338" s="89"/>
      <c r="BG338" s="89"/>
      <c r="BH338" s="89"/>
      <c r="BI338" s="89"/>
      <c r="BJ338" s="89"/>
      <c r="BK338" s="89"/>
      <c r="BL338" s="89"/>
      <c r="BM338" s="89"/>
      <c r="BN338" s="89"/>
      <c r="BO338" s="89"/>
      <c r="BP338" s="89"/>
      <c r="BQ338" s="89"/>
      <c r="BR338" s="89"/>
      <c r="BS338" s="89"/>
    </row>
    <row r="339" spans="1:71" ht="27" customHeight="1" x14ac:dyDescent="0.2">
      <c r="A339" s="93"/>
      <c r="B339" s="89"/>
      <c r="C339" s="89"/>
      <c r="D339" s="89"/>
      <c r="E339" s="89"/>
      <c r="F339" s="89"/>
      <c r="G339" s="89"/>
      <c r="H339" s="94"/>
      <c r="I339" s="94"/>
      <c r="J339" s="94"/>
      <c r="K339" s="94"/>
      <c r="L339" s="94"/>
      <c r="M339" s="94"/>
      <c r="N339" s="94"/>
      <c r="O339" s="94"/>
      <c r="P339" s="94"/>
      <c r="Q339" s="94"/>
      <c r="R339" s="95"/>
      <c r="S339" s="94"/>
      <c r="T339" s="96"/>
      <c r="U339" s="94"/>
      <c r="V339" s="97"/>
      <c r="W339" s="94"/>
      <c r="X339" s="98"/>
      <c r="Y339" s="98"/>
      <c r="Z339" s="98"/>
      <c r="AA339" s="98"/>
      <c r="AB339" s="98"/>
      <c r="AC339" s="97"/>
      <c r="AD339" s="99"/>
      <c r="AE339" s="95"/>
      <c r="AF339" s="94"/>
      <c r="AG339" s="89"/>
      <c r="AH339" s="89"/>
      <c r="AI339" s="89"/>
      <c r="AJ339" s="89"/>
      <c r="AK339" s="89"/>
      <c r="AL339" s="89"/>
      <c r="AM339" s="89"/>
      <c r="AN339" s="89"/>
      <c r="AO339" s="89"/>
      <c r="AP339" s="89"/>
      <c r="AQ339" s="89"/>
      <c r="AR339" s="89"/>
      <c r="AS339" s="89"/>
      <c r="AT339" s="89"/>
      <c r="AU339" s="89"/>
      <c r="AV339" s="89"/>
      <c r="AW339" s="100"/>
      <c r="AX339" s="100"/>
      <c r="AY339" s="89"/>
      <c r="AZ339" s="89"/>
      <c r="BA339" s="89"/>
      <c r="BB339" s="89"/>
      <c r="BC339" s="89"/>
      <c r="BD339" s="89"/>
      <c r="BE339" s="89"/>
      <c r="BF339" s="89"/>
      <c r="BG339" s="89"/>
      <c r="BH339" s="89"/>
      <c r="BI339" s="89"/>
      <c r="BJ339" s="89"/>
      <c r="BK339" s="89"/>
      <c r="BL339" s="89"/>
      <c r="BM339" s="89"/>
      <c r="BN339" s="89"/>
      <c r="BO339" s="89"/>
      <c r="BP339" s="89"/>
      <c r="BQ339" s="89"/>
      <c r="BR339" s="89"/>
      <c r="BS339" s="89"/>
    </row>
    <row r="340" spans="1:71" ht="27" customHeight="1" x14ac:dyDescent="0.2">
      <c r="A340" s="93"/>
      <c r="B340" s="89"/>
      <c r="C340" s="89"/>
      <c r="D340" s="89"/>
      <c r="E340" s="89"/>
      <c r="F340" s="89"/>
      <c r="G340" s="89"/>
      <c r="H340" s="94"/>
      <c r="I340" s="94"/>
      <c r="J340" s="94"/>
      <c r="K340" s="94"/>
      <c r="L340" s="94"/>
      <c r="M340" s="94"/>
      <c r="N340" s="94"/>
      <c r="O340" s="94"/>
      <c r="P340" s="94"/>
      <c r="Q340" s="94"/>
      <c r="R340" s="95"/>
      <c r="S340" s="94"/>
      <c r="T340" s="96"/>
      <c r="U340" s="94"/>
      <c r="V340" s="97"/>
      <c r="W340" s="94"/>
      <c r="X340" s="98"/>
      <c r="Y340" s="98"/>
      <c r="Z340" s="98"/>
      <c r="AA340" s="98"/>
      <c r="AB340" s="98"/>
      <c r="AC340" s="97"/>
      <c r="AD340" s="99"/>
      <c r="AE340" s="95"/>
      <c r="AF340" s="94"/>
      <c r="AG340" s="89"/>
      <c r="AH340" s="89"/>
      <c r="AI340" s="89"/>
      <c r="AJ340" s="89"/>
      <c r="AK340" s="89"/>
      <c r="AL340" s="89"/>
      <c r="AM340" s="89"/>
      <c r="AN340" s="89"/>
      <c r="AO340" s="89"/>
      <c r="AP340" s="89"/>
      <c r="AQ340" s="89"/>
      <c r="AR340" s="89"/>
      <c r="AS340" s="89"/>
      <c r="AT340" s="89"/>
      <c r="AU340" s="89"/>
      <c r="AV340" s="89"/>
      <c r="AW340" s="100"/>
      <c r="AX340" s="100"/>
      <c r="AY340" s="89"/>
      <c r="AZ340" s="89"/>
      <c r="BA340" s="89"/>
      <c r="BB340" s="89"/>
      <c r="BC340" s="89"/>
      <c r="BD340" s="89"/>
      <c r="BE340" s="89"/>
      <c r="BF340" s="89"/>
      <c r="BG340" s="89"/>
      <c r="BH340" s="89"/>
      <c r="BI340" s="89"/>
      <c r="BJ340" s="89"/>
      <c r="BK340" s="89"/>
      <c r="BL340" s="89"/>
      <c r="BM340" s="89"/>
      <c r="BN340" s="89"/>
      <c r="BO340" s="89"/>
      <c r="BP340" s="89"/>
      <c r="BQ340" s="89"/>
      <c r="BR340" s="89"/>
      <c r="BS340" s="89"/>
    </row>
    <row r="341" spans="1:71" ht="27" customHeight="1" x14ac:dyDescent="0.2">
      <c r="A341" s="93"/>
      <c r="B341" s="89"/>
      <c r="C341" s="89"/>
      <c r="D341" s="89"/>
      <c r="E341" s="89"/>
      <c r="F341" s="89"/>
      <c r="G341" s="89"/>
      <c r="H341" s="94"/>
      <c r="I341" s="94"/>
      <c r="J341" s="94"/>
      <c r="K341" s="94"/>
      <c r="L341" s="94"/>
      <c r="M341" s="94"/>
      <c r="N341" s="94"/>
      <c r="O341" s="94"/>
      <c r="P341" s="94"/>
      <c r="Q341" s="94"/>
      <c r="R341" s="95"/>
      <c r="S341" s="94"/>
      <c r="T341" s="96"/>
      <c r="U341" s="94"/>
      <c r="V341" s="97"/>
      <c r="W341" s="94"/>
      <c r="X341" s="98"/>
      <c r="Y341" s="98"/>
      <c r="Z341" s="98"/>
      <c r="AA341" s="98"/>
      <c r="AB341" s="98"/>
      <c r="AC341" s="97"/>
      <c r="AD341" s="99"/>
      <c r="AE341" s="95"/>
      <c r="AF341" s="94"/>
      <c r="AG341" s="89"/>
      <c r="AH341" s="89"/>
      <c r="AI341" s="89"/>
      <c r="AJ341" s="89"/>
      <c r="AK341" s="89"/>
      <c r="AL341" s="89"/>
      <c r="AM341" s="89"/>
      <c r="AN341" s="89"/>
      <c r="AO341" s="89"/>
      <c r="AP341" s="89"/>
      <c r="AQ341" s="89"/>
      <c r="AR341" s="89"/>
      <c r="AS341" s="89"/>
      <c r="AT341" s="89"/>
      <c r="AU341" s="89"/>
      <c r="AV341" s="89"/>
      <c r="AW341" s="100"/>
      <c r="AX341" s="100"/>
      <c r="AY341" s="89"/>
      <c r="AZ341" s="89"/>
      <c r="BA341" s="89"/>
      <c r="BB341" s="89"/>
      <c r="BC341" s="89"/>
      <c r="BD341" s="89"/>
      <c r="BE341" s="89"/>
      <c r="BF341" s="89"/>
      <c r="BG341" s="89"/>
      <c r="BH341" s="89"/>
      <c r="BI341" s="89"/>
      <c r="BJ341" s="89"/>
      <c r="BK341" s="89"/>
      <c r="BL341" s="89"/>
      <c r="BM341" s="89"/>
      <c r="BN341" s="89"/>
      <c r="BO341" s="89"/>
      <c r="BP341" s="89"/>
      <c r="BQ341" s="89"/>
      <c r="BR341" s="89"/>
      <c r="BS341" s="89"/>
    </row>
    <row r="342" spans="1:71" ht="27" customHeight="1" x14ac:dyDescent="0.2">
      <c r="A342" s="93"/>
      <c r="B342" s="89"/>
      <c r="C342" s="89"/>
      <c r="D342" s="89"/>
      <c r="E342" s="89"/>
      <c r="F342" s="89"/>
      <c r="G342" s="89"/>
      <c r="H342" s="94"/>
      <c r="I342" s="94"/>
      <c r="J342" s="94"/>
      <c r="K342" s="94"/>
      <c r="L342" s="94"/>
      <c r="M342" s="94"/>
      <c r="N342" s="94"/>
      <c r="O342" s="94"/>
      <c r="P342" s="94"/>
      <c r="Q342" s="94"/>
      <c r="R342" s="95"/>
      <c r="S342" s="94"/>
      <c r="T342" s="96"/>
      <c r="U342" s="94"/>
      <c r="V342" s="97"/>
      <c r="W342" s="94"/>
      <c r="X342" s="98"/>
      <c r="Y342" s="98"/>
      <c r="Z342" s="98"/>
      <c r="AA342" s="98"/>
      <c r="AB342" s="98"/>
      <c r="AC342" s="97"/>
      <c r="AD342" s="99"/>
      <c r="AE342" s="95"/>
      <c r="AF342" s="94"/>
      <c r="AG342" s="89"/>
      <c r="AH342" s="89"/>
      <c r="AI342" s="89"/>
      <c r="AJ342" s="89"/>
      <c r="AK342" s="89"/>
      <c r="AL342" s="89"/>
      <c r="AM342" s="89"/>
      <c r="AN342" s="89"/>
      <c r="AO342" s="89"/>
      <c r="AP342" s="89"/>
      <c r="AQ342" s="89"/>
      <c r="AR342" s="89"/>
      <c r="AS342" s="89"/>
      <c r="AT342" s="89"/>
      <c r="AU342" s="89"/>
      <c r="AV342" s="89"/>
      <c r="AW342" s="100"/>
      <c r="AX342" s="100"/>
      <c r="AY342" s="89"/>
      <c r="AZ342" s="89"/>
      <c r="BA342" s="89"/>
      <c r="BB342" s="89"/>
      <c r="BC342" s="89"/>
      <c r="BD342" s="89"/>
      <c r="BE342" s="89"/>
      <c r="BF342" s="89"/>
      <c r="BG342" s="89"/>
      <c r="BH342" s="89"/>
      <c r="BI342" s="89"/>
      <c r="BJ342" s="89"/>
      <c r="BK342" s="89"/>
      <c r="BL342" s="89"/>
      <c r="BM342" s="89"/>
      <c r="BN342" s="89"/>
      <c r="BO342" s="89"/>
      <c r="BP342" s="89"/>
      <c r="BQ342" s="89"/>
      <c r="BR342" s="89"/>
      <c r="BS342" s="89"/>
    </row>
    <row r="343" spans="1:71" ht="27" customHeight="1" x14ac:dyDescent="0.2">
      <c r="A343" s="93"/>
      <c r="B343" s="89"/>
      <c r="C343" s="89"/>
      <c r="D343" s="89"/>
      <c r="E343" s="89"/>
      <c r="F343" s="89"/>
      <c r="G343" s="89"/>
      <c r="H343" s="94"/>
      <c r="I343" s="94"/>
      <c r="J343" s="94"/>
      <c r="K343" s="94"/>
      <c r="L343" s="94"/>
      <c r="M343" s="94"/>
      <c r="N343" s="94"/>
      <c r="O343" s="94"/>
      <c r="P343" s="94"/>
      <c r="Q343" s="94"/>
      <c r="R343" s="95"/>
      <c r="S343" s="94"/>
      <c r="T343" s="96"/>
      <c r="U343" s="94"/>
      <c r="V343" s="97"/>
      <c r="W343" s="94"/>
      <c r="X343" s="98"/>
      <c r="Y343" s="98"/>
      <c r="Z343" s="98"/>
      <c r="AA343" s="98"/>
      <c r="AB343" s="98"/>
      <c r="AC343" s="97"/>
      <c r="AD343" s="99"/>
      <c r="AE343" s="95"/>
      <c r="AF343" s="94"/>
      <c r="AG343" s="89"/>
      <c r="AH343" s="89"/>
      <c r="AI343" s="89"/>
      <c r="AJ343" s="89"/>
      <c r="AK343" s="89"/>
      <c r="AL343" s="89"/>
      <c r="AM343" s="89"/>
      <c r="AN343" s="89"/>
      <c r="AO343" s="89"/>
      <c r="AP343" s="89"/>
      <c r="AQ343" s="89"/>
      <c r="AR343" s="89"/>
      <c r="AS343" s="89"/>
      <c r="AT343" s="89"/>
      <c r="AU343" s="89"/>
      <c r="AV343" s="89"/>
      <c r="AW343" s="100"/>
      <c r="AX343" s="100"/>
      <c r="AY343" s="89"/>
      <c r="AZ343" s="89"/>
      <c r="BA343" s="89"/>
      <c r="BB343" s="89"/>
      <c r="BC343" s="89"/>
      <c r="BD343" s="89"/>
      <c r="BE343" s="89"/>
      <c r="BF343" s="89"/>
      <c r="BG343" s="89"/>
      <c r="BH343" s="89"/>
      <c r="BI343" s="89"/>
      <c r="BJ343" s="89"/>
      <c r="BK343" s="89"/>
      <c r="BL343" s="89"/>
      <c r="BM343" s="89"/>
      <c r="BN343" s="89"/>
      <c r="BO343" s="89"/>
      <c r="BP343" s="89"/>
      <c r="BQ343" s="89"/>
      <c r="BR343" s="89"/>
      <c r="BS343" s="89"/>
    </row>
    <row r="344" spans="1:71" ht="27" customHeight="1" x14ac:dyDescent="0.2">
      <c r="A344" s="93"/>
      <c r="B344" s="89"/>
      <c r="C344" s="89"/>
      <c r="D344" s="89"/>
      <c r="E344" s="89"/>
      <c r="F344" s="89"/>
      <c r="G344" s="89"/>
      <c r="H344" s="94"/>
      <c r="I344" s="94"/>
      <c r="J344" s="94"/>
      <c r="K344" s="94"/>
      <c r="L344" s="94"/>
      <c r="M344" s="94"/>
      <c r="N344" s="94"/>
      <c r="O344" s="94"/>
      <c r="P344" s="94"/>
      <c r="Q344" s="94"/>
      <c r="R344" s="95"/>
      <c r="S344" s="94"/>
      <c r="T344" s="96"/>
      <c r="U344" s="94"/>
      <c r="V344" s="97"/>
      <c r="W344" s="94"/>
      <c r="X344" s="98"/>
      <c r="Y344" s="98"/>
      <c r="Z344" s="98"/>
      <c r="AA344" s="98"/>
      <c r="AB344" s="98"/>
      <c r="AC344" s="97"/>
      <c r="AD344" s="99"/>
      <c r="AE344" s="95"/>
      <c r="AF344" s="94"/>
      <c r="AG344" s="89"/>
      <c r="AH344" s="89"/>
      <c r="AI344" s="89"/>
      <c r="AJ344" s="89"/>
      <c r="AK344" s="89"/>
      <c r="AL344" s="89"/>
      <c r="AM344" s="89"/>
      <c r="AN344" s="89"/>
      <c r="AO344" s="89"/>
      <c r="AP344" s="89"/>
      <c r="AQ344" s="89"/>
      <c r="AR344" s="89"/>
      <c r="AS344" s="89"/>
      <c r="AT344" s="89"/>
      <c r="AU344" s="89"/>
      <c r="AV344" s="89"/>
      <c r="AW344" s="100"/>
      <c r="AX344" s="100"/>
      <c r="AY344" s="89"/>
      <c r="AZ344" s="89"/>
      <c r="BA344" s="89"/>
      <c r="BB344" s="89"/>
      <c r="BC344" s="89"/>
      <c r="BD344" s="89"/>
      <c r="BE344" s="89"/>
      <c r="BF344" s="89"/>
      <c r="BG344" s="89"/>
      <c r="BH344" s="89"/>
      <c r="BI344" s="89"/>
      <c r="BJ344" s="89"/>
      <c r="BK344" s="89"/>
      <c r="BL344" s="89"/>
      <c r="BM344" s="89"/>
      <c r="BN344" s="89"/>
      <c r="BO344" s="89"/>
      <c r="BP344" s="89"/>
      <c r="BQ344" s="89"/>
      <c r="BR344" s="89"/>
      <c r="BS344" s="89"/>
    </row>
    <row r="345" spans="1:71" ht="27" customHeight="1" x14ac:dyDescent="0.2">
      <c r="A345" s="93"/>
      <c r="B345" s="89"/>
      <c r="C345" s="89"/>
      <c r="D345" s="89"/>
      <c r="E345" s="89"/>
      <c r="F345" s="89"/>
      <c r="G345" s="89"/>
      <c r="H345" s="94"/>
      <c r="I345" s="94"/>
      <c r="J345" s="94"/>
      <c r="K345" s="94"/>
      <c r="L345" s="94"/>
      <c r="M345" s="94"/>
      <c r="N345" s="94"/>
      <c r="O345" s="94"/>
      <c r="P345" s="94"/>
      <c r="Q345" s="94"/>
      <c r="R345" s="95"/>
      <c r="S345" s="94"/>
      <c r="T345" s="96"/>
      <c r="U345" s="94"/>
      <c r="V345" s="97"/>
      <c r="W345" s="94"/>
      <c r="X345" s="98"/>
      <c r="Y345" s="98"/>
      <c r="Z345" s="98"/>
      <c r="AA345" s="98"/>
      <c r="AB345" s="98"/>
      <c r="AC345" s="97"/>
      <c r="AD345" s="99"/>
      <c r="AE345" s="95"/>
      <c r="AF345" s="94"/>
      <c r="AG345" s="89"/>
      <c r="AH345" s="89"/>
      <c r="AI345" s="89"/>
      <c r="AJ345" s="89"/>
      <c r="AK345" s="89"/>
      <c r="AL345" s="89"/>
      <c r="AM345" s="89"/>
      <c r="AN345" s="89"/>
      <c r="AO345" s="89"/>
      <c r="AP345" s="89"/>
      <c r="AQ345" s="89"/>
      <c r="AR345" s="89"/>
      <c r="AS345" s="89"/>
      <c r="AT345" s="89"/>
      <c r="AU345" s="89"/>
      <c r="AV345" s="89"/>
      <c r="AW345" s="100"/>
      <c r="AX345" s="100"/>
      <c r="AY345" s="89"/>
      <c r="AZ345" s="89"/>
      <c r="BA345" s="89"/>
      <c r="BB345" s="89"/>
      <c r="BC345" s="89"/>
      <c r="BD345" s="89"/>
      <c r="BE345" s="89"/>
      <c r="BF345" s="89"/>
      <c r="BG345" s="89"/>
      <c r="BH345" s="89"/>
      <c r="BI345" s="89"/>
      <c r="BJ345" s="89"/>
      <c r="BK345" s="89"/>
      <c r="BL345" s="89"/>
      <c r="BM345" s="89"/>
      <c r="BN345" s="89"/>
      <c r="BO345" s="89"/>
      <c r="BP345" s="89"/>
      <c r="BQ345" s="89"/>
      <c r="BR345" s="89"/>
      <c r="BS345" s="89"/>
    </row>
    <row r="346" spans="1:71" ht="27" customHeight="1" x14ac:dyDescent="0.2">
      <c r="A346" s="93"/>
      <c r="B346" s="89"/>
      <c r="C346" s="89"/>
      <c r="D346" s="89"/>
      <c r="E346" s="89"/>
      <c r="F346" s="89"/>
      <c r="G346" s="89"/>
      <c r="H346" s="94"/>
      <c r="I346" s="94"/>
      <c r="J346" s="94"/>
      <c r="K346" s="94"/>
      <c r="L346" s="94"/>
      <c r="M346" s="94"/>
      <c r="N346" s="94"/>
      <c r="O346" s="94"/>
      <c r="P346" s="94"/>
      <c r="Q346" s="94"/>
      <c r="R346" s="95"/>
      <c r="S346" s="94"/>
      <c r="T346" s="96"/>
      <c r="U346" s="94"/>
      <c r="V346" s="97"/>
      <c r="W346" s="94"/>
      <c r="X346" s="98"/>
      <c r="Y346" s="98"/>
      <c r="Z346" s="98"/>
      <c r="AA346" s="98"/>
      <c r="AB346" s="98"/>
      <c r="AC346" s="97"/>
      <c r="AD346" s="99"/>
      <c r="AE346" s="95"/>
      <c r="AF346" s="94"/>
      <c r="AG346" s="89"/>
      <c r="AH346" s="89"/>
      <c r="AI346" s="89"/>
      <c r="AJ346" s="89"/>
      <c r="AK346" s="89"/>
      <c r="AL346" s="89"/>
      <c r="AM346" s="89"/>
      <c r="AN346" s="89"/>
      <c r="AO346" s="89"/>
      <c r="AP346" s="89"/>
      <c r="AQ346" s="89"/>
      <c r="AR346" s="89"/>
      <c r="AS346" s="89"/>
      <c r="AT346" s="89"/>
      <c r="AU346" s="89"/>
      <c r="AV346" s="89"/>
      <c r="AW346" s="100"/>
      <c r="AX346" s="100"/>
      <c r="AY346" s="89"/>
      <c r="AZ346" s="89"/>
      <c r="BA346" s="89"/>
      <c r="BB346" s="89"/>
      <c r="BC346" s="89"/>
      <c r="BD346" s="89"/>
      <c r="BE346" s="89"/>
      <c r="BF346" s="89"/>
      <c r="BG346" s="89"/>
      <c r="BH346" s="89"/>
      <c r="BI346" s="89"/>
      <c r="BJ346" s="89"/>
      <c r="BK346" s="89"/>
      <c r="BL346" s="89"/>
      <c r="BM346" s="89"/>
      <c r="BN346" s="89"/>
      <c r="BO346" s="89"/>
      <c r="BP346" s="89"/>
      <c r="BQ346" s="89"/>
      <c r="BR346" s="89"/>
      <c r="BS346" s="89"/>
    </row>
    <row r="347" spans="1:71" ht="27" customHeight="1" x14ac:dyDescent="0.2">
      <c r="A347" s="93"/>
      <c r="B347" s="89"/>
      <c r="C347" s="89"/>
      <c r="D347" s="89"/>
      <c r="E347" s="89"/>
      <c r="F347" s="89"/>
      <c r="G347" s="89"/>
      <c r="H347" s="94"/>
      <c r="I347" s="94"/>
      <c r="J347" s="94"/>
      <c r="K347" s="94"/>
      <c r="L347" s="94"/>
      <c r="M347" s="94"/>
      <c r="N347" s="94"/>
      <c r="O347" s="94"/>
      <c r="P347" s="94"/>
      <c r="Q347" s="94"/>
      <c r="R347" s="95"/>
      <c r="S347" s="94"/>
      <c r="T347" s="96"/>
      <c r="U347" s="94"/>
      <c r="V347" s="97"/>
      <c r="W347" s="94"/>
      <c r="X347" s="98"/>
      <c r="Y347" s="98"/>
      <c r="Z347" s="98"/>
      <c r="AA347" s="98"/>
      <c r="AB347" s="98"/>
      <c r="AC347" s="97"/>
      <c r="AD347" s="99"/>
      <c r="AE347" s="95"/>
      <c r="AF347" s="94"/>
      <c r="AG347" s="89"/>
      <c r="AH347" s="89"/>
      <c r="AI347" s="89"/>
      <c r="AJ347" s="89"/>
      <c r="AK347" s="89"/>
      <c r="AL347" s="89"/>
      <c r="AM347" s="89"/>
      <c r="AN347" s="89"/>
      <c r="AO347" s="89"/>
      <c r="AP347" s="89"/>
      <c r="AQ347" s="89"/>
      <c r="AR347" s="89"/>
      <c r="AS347" s="89"/>
      <c r="AT347" s="89"/>
      <c r="AU347" s="89"/>
      <c r="AV347" s="89"/>
      <c r="AW347" s="100"/>
      <c r="AX347" s="100"/>
      <c r="AY347" s="89"/>
      <c r="AZ347" s="89"/>
      <c r="BA347" s="89"/>
      <c r="BB347" s="89"/>
      <c r="BC347" s="89"/>
      <c r="BD347" s="89"/>
      <c r="BE347" s="89"/>
      <c r="BF347" s="89"/>
      <c r="BG347" s="89"/>
      <c r="BH347" s="89"/>
      <c r="BI347" s="89"/>
      <c r="BJ347" s="89"/>
      <c r="BK347" s="89"/>
      <c r="BL347" s="89"/>
      <c r="BM347" s="89"/>
      <c r="BN347" s="89"/>
      <c r="BO347" s="89"/>
      <c r="BP347" s="89"/>
      <c r="BQ347" s="89"/>
      <c r="BR347" s="89"/>
      <c r="BS347" s="89"/>
    </row>
    <row r="348" spans="1:71" ht="27" customHeight="1" x14ac:dyDescent="0.2">
      <c r="A348" s="93"/>
      <c r="B348" s="89"/>
      <c r="C348" s="89"/>
      <c r="D348" s="89"/>
      <c r="E348" s="89"/>
      <c r="F348" s="89"/>
      <c r="G348" s="89"/>
      <c r="H348" s="94"/>
      <c r="I348" s="94"/>
      <c r="J348" s="94"/>
      <c r="K348" s="94"/>
      <c r="L348" s="94"/>
      <c r="M348" s="94"/>
      <c r="N348" s="94"/>
      <c r="O348" s="94"/>
      <c r="P348" s="94"/>
      <c r="Q348" s="94"/>
      <c r="R348" s="95"/>
      <c r="S348" s="94"/>
      <c r="T348" s="96"/>
      <c r="U348" s="94"/>
      <c r="V348" s="97"/>
      <c r="W348" s="94"/>
      <c r="X348" s="98"/>
      <c r="Y348" s="98"/>
      <c r="Z348" s="98"/>
      <c r="AA348" s="98"/>
      <c r="AB348" s="98"/>
      <c r="AC348" s="97"/>
      <c r="AD348" s="99"/>
      <c r="AE348" s="95"/>
      <c r="AF348" s="94"/>
      <c r="AG348" s="89"/>
      <c r="AH348" s="89"/>
      <c r="AI348" s="89"/>
      <c r="AJ348" s="89"/>
      <c r="AK348" s="89"/>
      <c r="AL348" s="89"/>
      <c r="AM348" s="89"/>
      <c r="AN348" s="89"/>
      <c r="AO348" s="89"/>
      <c r="AP348" s="89"/>
      <c r="AQ348" s="89"/>
      <c r="AR348" s="89"/>
      <c r="AS348" s="89"/>
      <c r="AT348" s="89"/>
      <c r="AU348" s="89"/>
      <c r="AV348" s="89"/>
      <c r="AW348" s="100"/>
      <c r="AX348" s="100"/>
      <c r="AY348" s="89"/>
      <c r="AZ348" s="89"/>
      <c r="BA348" s="89"/>
      <c r="BB348" s="89"/>
      <c r="BC348" s="89"/>
      <c r="BD348" s="89"/>
      <c r="BE348" s="89"/>
      <c r="BF348" s="89"/>
      <c r="BG348" s="89"/>
      <c r="BH348" s="89"/>
      <c r="BI348" s="89"/>
      <c r="BJ348" s="89"/>
      <c r="BK348" s="89"/>
      <c r="BL348" s="89"/>
      <c r="BM348" s="89"/>
      <c r="BN348" s="89"/>
      <c r="BO348" s="89"/>
      <c r="BP348" s="89"/>
      <c r="BQ348" s="89"/>
      <c r="BR348" s="89"/>
      <c r="BS348" s="89"/>
    </row>
    <row r="349" spans="1:71" ht="27" customHeight="1" x14ac:dyDescent="0.2">
      <c r="A349" s="93"/>
      <c r="B349" s="89"/>
      <c r="C349" s="89"/>
      <c r="D349" s="89"/>
      <c r="E349" s="89"/>
      <c r="F349" s="89"/>
      <c r="G349" s="89"/>
      <c r="H349" s="94"/>
      <c r="I349" s="94"/>
      <c r="J349" s="94"/>
      <c r="K349" s="94"/>
      <c r="L349" s="94"/>
      <c r="M349" s="94"/>
      <c r="N349" s="94"/>
      <c r="O349" s="94"/>
      <c r="P349" s="94"/>
      <c r="Q349" s="94"/>
      <c r="R349" s="95"/>
      <c r="S349" s="94"/>
      <c r="T349" s="96"/>
      <c r="U349" s="94"/>
      <c r="V349" s="97"/>
      <c r="W349" s="94"/>
      <c r="X349" s="98"/>
      <c r="Y349" s="98"/>
      <c r="Z349" s="98"/>
      <c r="AA349" s="98"/>
      <c r="AB349" s="98"/>
      <c r="AC349" s="97"/>
      <c r="AD349" s="99"/>
      <c r="AE349" s="95"/>
      <c r="AF349" s="94"/>
      <c r="AG349" s="89"/>
      <c r="AH349" s="89"/>
      <c r="AI349" s="89"/>
      <c r="AJ349" s="89"/>
      <c r="AK349" s="89"/>
      <c r="AL349" s="89"/>
      <c r="AM349" s="89"/>
      <c r="AN349" s="89"/>
      <c r="AO349" s="89"/>
      <c r="AP349" s="89"/>
      <c r="AQ349" s="89"/>
      <c r="AR349" s="89"/>
      <c r="AS349" s="89"/>
      <c r="AT349" s="89"/>
      <c r="AU349" s="89"/>
      <c r="AV349" s="89"/>
      <c r="AW349" s="100"/>
      <c r="AX349" s="100"/>
      <c r="AY349" s="89"/>
      <c r="AZ349" s="89"/>
      <c r="BA349" s="89"/>
      <c r="BB349" s="89"/>
      <c r="BC349" s="89"/>
      <c r="BD349" s="89"/>
      <c r="BE349" s="89"/>
      <c r="BF349" s="89"/>
      <c r="BG349" s="89"/>
      <c r="BH349" s="89"/>
      <c r="BI349" s="89"/>
      <c r="BJ349" s="89"/>
      <c r="BK349" s="89"/>
      <c r="BL349" s="89"/>
      <c r="BM349" s="89"/>
      <c r="BN349" s="89"/>
      <c r="BO349" s="89"/>
      <c r="BP349" s="89"/>
      <c r="BQ349" s="89"/>
      <c r="BR349" s="89"/>
      <c r="BS349" s="89"/>
    </row>
    <row r="350" spans="1:71" ht="27" customHeight="1" x14ac:dyDescent="0.2">
      <c r="A350" s="93"/>
      <c r="B350" s="89"/>
      <c r="C350" s="89"/>
      <c r="D350" s="89"/>
      <c r="E350" s="89"/>
      <c r="F350" s="89"/>
      <c r="G350" s="89"/>
      <c r="H350" s="94"/>
      <c r="I350" s="94"/>
      <c r="J350" s="94"/>
      <c r="K350" s="94"/>
      <c r="L350" s="94"/>
      <c r="M350" s="94"/>
      <c r="N350" s="94"/>
      <c r="O350" s="94"/>
      <c r="P350" s="94"/>
      <c r="Q350" s="94"/>
      <c r="R350" s="95"/>
      <c r="S350" s="94"/>
      <c r="T350" s="96"/>
      <c r="U350" s="94"/>
      <c r="V350" s="97"/>
      <c r="W350" s="94"/>
      <c r="X350" s="98"/>
      <c r="Y350" s="98"/>
      <c r="Z350" s="98"/>
      <c r="AA350" s="98"/>
      <c r="AB350" s="98"/>
      <c r="AC350" s="97"/>
      <c r="AD350" s="99"/>
      <c r="AE350" s="95"/>
      <c r="AF350" s="94"/>
      <c r="AG350" s="89"/>
      <c r="AH350" s="89"/>
      <c r="AI350" s="89"/>
      <c r="AJ350" s="89"/>
      <c r="AK350" s="89"/>
      <c r="AL350" s="89"/>
      <c r="AM350" s="89"/>
      <c r="AN350" s="89"/>
      <c r="AO350" s="89"/>
      <c r="AP350" s="89"/>
      <c r="AQ350" s="89"/>
      <c r="AR350" s="89"/>
      <c r="AS350" s="89"/>
      <c r="AT350" s="89"/>
      <c r="AU350" s="89"/>
      <c r="AV350" s="89"/>
      <c r="AW350" s="100"/>
      <c r="AX350" s="100"/>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1" ht="27" customHeight="1" x14ac:dyDescent="0.2">
      <c r="A351" s="93"/>
      <c r="B351" s="89"/>
      <c r="C351" s="89"/>
      <c r="D351" s="89"/>
      <c r="E351" s="89"/>
      <c r="F351" s="89"/>
      <c r="G351" s="89"/>
      <c r="H351" s="94"/>
      <c r="I351" s="94"/>
      <c r="J351" s="94"/>
      <c r="K351" s="94"/>
      <c r="L351" s="94"/>
      <c r="M351" s="94"/>
      <c r="N351" s="94"/>
      <c r="O351" s="94"/>
      <c r="P351" s="94"/>
      <c r="Q351" s="94"/>
      <c r="R351" s="95"/>
      <c r="S351" s="94"/>
      <c r="T351" s="96"/>
      <c r="U351" s="94"/>
      <c r="V351" s="97"/>
      <c r="W351" s="94"/>
      <c r="X351" s="98"/>
      <c r="Y351" s="98"/>
      <c r="Z351" s="98"/>
      <c r="AA351" s="98"/>
      <c r="AB351" s="98"/>
      <c r="AC351" s="97"/>
      <c r="AD351" s="99"/>
      <c r="AE351" s="95"/>
      <c r="AF351" s="94"/>
      <c r="AG351" s="89"/>
      <c r="AH351" s="89"/>
      <c r="AI351" s="89"/>
      <c r="AJ351" s="89"/>
      <c r="AK351" s="89"/>
      <c r="AL351" s="89"/>
      <c r="AM351" s="89"/>
      <c r="AN351" s="89"/>
      <c r="AO351" s="89"/>
      <c r="AP351" s="89"/>
      <c r="AQ351" s="89"/>
      <c r="AR351" s="89"/>
      <c r="AS351" s="89"/>
      <c r="AT351" s="89"/>
      <c r="AU351" s="89"/>
      <c r="AV351" s="89"/>
      <c r="AW351" s="100"/>
      <c r="AX351" s="100"/>
      <c r="AY351" s="89"/>
      <c r="AZ351" s="89"/>
      <c r="BA351" s="89"/>
      <c r="BB351" s="89"/>
      <c r="BC351" s="89"/>
      <c r="BD351" s="89"/>
      <c r="BE351" s="89"/>
      <c r="BF351" s="89"/>
      <c r="BG351" s="89"/>
      <c r="BH351" s="89"/>
      <c r="BI351" s="89"/>
      <c r="BJ351" s="89"/>
      <c r="BK351" s="89"/>
      <c r="BL351" s="89"/>
      <c r="BM351" s="89"/>
      <c r="BN351" s="89"/>
      <c r="BO351" s="89"/>
      <c r="BP351" s="89"/>
      <c r="BQ351" s="89"/>
      <c r="BR351" s="89"/>
      <c r="BS351" s="89"/>
    </row>
    <row r="352" spans="1:71" ht="27" customHeight="1" x14ac:dyDescent="0.2">
      <c r="A352" s="93"/>
      <c r="B352" s="89"/>
      <c r="C352" s="89"/>
      <c r="D352" s="89"/>
      <c r="E352" s="89"/>
      <c r="F352" s="89"/>
      <c r="G352" s="89"/>
      <c r="H352" s="94"/>
      <c r="I352" s="94"/>
      <c r="J352" s="94"/>
      <c r="K352" s="94"/>
      <c r="L352" s="94"/>
      <c r="M352" s="94"/>
      <c r="N352" s="94"/>
      <c r="O352" s="94"/>
      <c r="P352" s="94"/>
      <c r="Q352" s="94"/>
      <c r="R352" s="95"/>
      <c r="S352" s="94"/>
      <c r="T352" s="96"/>
      <c r="U352" s="94"/>
      <c r="V352" s="97"/>
      <c r="W352" s="94"/>
      <c r="X352" s="98"/>
      <c r="Y352" s="98"/>
      <c r="Z352" s="98"/>
      <c r="AA352" s="98"/>
      <c r="AB352" s="98"/>
      <c r="AC352" s="97"/>
      <c r="AD352" s="99"/>
      <c r="AE352" s="95"/>
      <c r="AF352" s="94"/>
      <c r="AG352" s="89"/>
      <c r="AH352" s="89"/>
      <c r="AI352" s="89"/>
      <c r="AJ352" s="89"/>
      <c r="AK352" s="89"/>
      <c r="AL352" s="89"/>
      <c r="AM352" s="89"/>
      <c r="AN352" s="89"/>
      <c r="AO352" s="89"/>
      <c r="AP352" s="89"/>
      <c r="AQ352" s="89"/>
      <c r="AR352" s="89"/>
      <c r="AS352" s="89"/>
      <c r="AT352" s="89"/>
      <c r="AU352" s="89"/>
      <c r="AV352" s="89"/>
      <c r="AW352" s="100"/>
      <c r="AX352" s="100"/>
      <c r="AY352" s="89"/>
      <c r="AZ352" s="89"/>
      <c r="BA352" s="89"/>
      <c r="BB352" s="89"/>
      <c r="BC352" s="89"/>
      <c r="BD352" s="89"/>
      <c r="BE352" s="89"/>
      <c r="BF352" s="89"/>
      <c r="BG352" s="89"/>
      <c r="BH352" s="89"/>
      <c r="BI352" s="89"/>
      <c r="BJ352" s="89"/>
      <c r="BK352" s="89"/>
      <c r="BL352" s="89"/>
      <c r="BM352" s="89"/>
      <c r="BN352" s="89"/>
      <c r="BO352" s="89"/>
      <c r="BP352" s="89"/>
      <c r="BQ352" s="89"/>
      <c r="BR352" s="89"/>
      <c r="BS352" s="89"/>
    </row>
    <row r="353" spans="1:71" ht="27" customHeight="1" x14ac:dyDescent="0.2">
      <c r="A353" s="93"/>
      <c r="B353" s="89"/>
      <c r="C353" s="89"/>
      <c r="D353" s="89"/>
      <c r="E353" s="89"/>
      <c r="F353" s="89"/>
      <c r="G353" s="89"/>
      <c r="H353" s="94"/>
      <c r="I353" s="94"/>
      <c r="J353" s="94"/>
      <c r="K353" s="94"/>
      <c r="L353" s="94"/>
      <c r="M353" s="94"/>
      <c r="N353" s="94"/>
      <c r="O353" s="94"/>
      <c r="P353" s="94"/>
      <c r="Q353" s="94"/>
      <c r="R353" s="95"/>
      <c r="S353" s="94"/>
      <c r="T353" s="96"/>
      <c r="U353" s="94"/>
      <c r="V353" s="97"/>
      <c r="W353" s="94"/>
      <c r="X353" s="98"/>
      <c r="Y353" s="98"/>
      <c r="Z353" s="98"/>
      <c r="AA353" s="98"/>
      <c r="AB353" s="98"/>
      <c r="AC353" s="97"/>
      <c r="AD353" s="99"/>
      <c r="AE353" s="95"/>
      <c r="AF353" s="94"/>
      <c r="AG353" s="89"/>
      <c r="AH353" s="89"/>
      <c r="AI353" s="89"/>
      <c r="AJ353" s="89"/>
      <c r="AK353" s="89"/>
      <c r="AL353" s="89"/>
      <c r="AM353" s="89"/>
      <c r="AN353" s="89"/>
      <c r="AO353" s="89"/>
      <c r="AP353" s="89"/>
      <c r="AQ353" s="89"/>
      <c r="AR353" s="89"/>
      <c r="AS353" s="89"/>
      <c r="AT353" s="89"/>
      <c r="AU353" s="89"/>
      <c r="AV353" s="89"/>
      <c r="AW353" s="100"/>
      <c r="AX353" s="100"/>
      <c r="AY353" s="89"/>
      <c r="AZ353" s="89"/>
      <c r="BA353" s="89"/>
      <c r="BB353" s="89"/>
      <c r="BC353" s="89"/>
      <c r="BD353" s="89"/>
      <c r="BE353" s="89"/>
      <c r="BF353" s="89"/>
      <c r="BG353" s="89"/>
      <c r="BH353" s="89"/>
      <c r="BI353" s="89"/>
      <c r="BJ353" s="89"/>
      <c r="BK353" s="89"/>
      <c r="BL353" s="89"/>
      <c r="BM353" s="89"/>
      <c r="BN353" s="89"/>
      <c r="BO353" s="89"/>
      <c r="BP353" s="89"/>
      <c r="BQ353" s="89"/>
      <c r="BR353" s="89"/>
      <c r="BS353" s="89"/>
    </row>
    <row r="354" spans="1:71" ht="27" customHeight="1" x14ac:dyDescent="0.2">
      <c r="A354" s="93"/>
      <c r="B354" s="89"/>
      <c r="C354" s="89"/>
      <c r="D354" s="89"/>
      <c r="E354" s="89"/>
      <c r="F354" s="89"/>
      <c r="G354" s="89"/>
      <c r="H354" s="94"/>
      <c r="I354" s="94"/>
      <c r="J354" s="94"/>
      <c r="K354" s="94"/>
      <c r="L354" s="94"/>
      <c r="M354" s="94"/>
      <c r="N354" s="94"/>
      <c r="O354" s="94"/>
      <c r="P354" s="94"/>
      <c r="Q354" s="94"/>
      <c r="R354" s="95"/>
      <c r="S354" s="94"/>
      <c r="T354" s="96"/>
      <c r="U354" s="94"/>
      <c r="V354" s="97"/>
      <c r="W354" s="94"/>
      <c r="X354" s="98"/>
      <c r="Y354" s="98"/>
      <c r="Z354" s="98"/>
      <c r="AA354" s="98"/>
      <c r="AB354" s="98"/>
      <c r="AC354" s="97"/>
      <c r="AD354" s="99"/>
      <c r="AE354" s="95"/>
      <c r="AF354" s="94"/>
      <c r="AG354" s="89"/>
      <c r="AH354" s="89"/>
      <c r="AI354" s="89"/>
      <c r="AJ354" s="89"/>
      <c r="AK354" s="89"/>
      <c r="AL354" s="89"/>
      <c r="AM354" s="89"/>
      <c r="AN354" s="89"/>
      <c r="AO354" s="89"/>
      <c r="AP354" s="89"/>
      <c r="AQ354" s="89"/>
      <c r="AR354" s="89"/>
      <c r="AS354" s="89"/>
      <c r="AT354" s="89"/>
      <c r="AU354" s="89"/>
      <c r="AV354" s="89"/>
      <c r="AW354" s="100"/>
      <c r="AX354" s="100"/>
      <c r="AY354" s="89"/>
      <c r="AZ354" s="89"/>
      <c r="BA354" s="89"/>
      <c r="BB354" s="89"/>
      <c r="BC354" s="89"/>
      <c r="BD354" s="89"/>
      <c r="BE354" s="89"/>
      <c r="BF354" s="89"/>
      <c r="BG354" s="89"/>
      <c r="BH354" s="89"/>
      <c r="BI354" s="89"/>
      <c r="BJ354" s="89"/>
      <c r="BK354" s="89"/>
      <c r="BL354" s="89"/>
      <c r="BM354" s="89"/>
      <c r="BN354" s="89"/>
      <c r="BO354" s="89"/>
      <c r="BP354" s="89"/>
      <c r="BQ354" s="89"/>
      <c r="BR354" s="89"/>
      <c r="BS354" s="89"/>
    </row>
    <row r="355" spans="1:71" ht="27" customHeight="1" x14ac:dyDescent="0.2">
      <c r="A355" s="93"/>
      <c r="B355" s="89"/>
      <c r="C355" s="89"/>
      <c r="D355" s="89"/>
      <c r="E355" s="89"/>
      <c r="F355" s="89"/>
      <c r="G355" s="89"/>
      <c r="H355" s="94"/>
      <c r="I355" s="94"/>
      <c r="J355" s="94"/>
      <c r="K355" s="94"/>
      <c r="L355" s="94"/>
      <c r="M355" s="94"/>
      <c r="N355" s="94"/>
      <c r="O355" s="94"/>
      <c r="P355" s="94"/>
      <c r="Q355" s="94"/>
      <c r="R355" s="95"/>
      <c r="S355" s="94"/>
      <c r="T355" s="96"/>
      <c r="U355" s="94"/>
      <c r="V355" s="97"/>
      <c r="W355" s="94"/>
      <c r="X355" s="98"/>
      <c r="Y355" s="98"/>
      <c r="Z355" s="98"/>
      <c r="AA355" s="98"/>
      <c r="AB355" s="98"/>
      <c r="AC355" s="97"/>
      <c r="AD355" s="99"/>
      <c r="AE355" s="95"/>
      <c r="AF355" s="94"/>
      <c r="AG355" s="89"/>
      <c r="AH355" s="89"/>
      <c r="AI355" s="89"/>
      <c r="AJ355" s="89"/>
      <c r="AK355" s="89"/>
      <c r="AL355" s="89"/>
      <c r="AM355" s="89"/>
      <c r="AN355" s="89"/>
      <c r="AO355" s="89"/>
      <c r="AP355" s="89"/>
      <c r="AQ355" s="89"/>
      <c r="AR355" s="89"/>
      <c r="AS355" s="89"/>
      <c r="AT355" s="89"/>
      <c r="AU355" s="89"/>
      <c r="AV355" s="89"/>
      <c r="AW355" s="100"/>
      <c r="AX355" s="100"/>
      <c r="AY355" s="89"/>
      <c r="AZ355" s="89"/>
      <c r="BA355" s="89"/>
      <c r="BB355" s="89"/>
      <c r="BC355" s="89"/>
      <c r="BD355" s="89"/>
      <c r="BE355" s="89"/>
      <c r="BF355" s="89"/>
      <c r="BG355" s="89"/>
      <c r="BH355" s="89"/>
      <c r="BI355" s="89"/>
      <c r="BJ355" s="89"/>
      <c r="BK355" s="89"/>
      <c r="BL355" s="89"/>
      <c r="BM355" s="89"/>
      <c r="BN355" s="89"/>
      <c r="BO355" s="89"/>
      <c r="BP355" s="89"/>
      <c r="BQ355" s="89"/>
      <c r="BR355" s="89"/>
      <c r="BS355" s="89"/>
    </row>
    <row r="356" spans="1:71" ht="27" customHeight="1" x14ac:dyDescent="0.2">
      <c r="A356" s="93"/>
      <c r="B356" s="89"/>
      <c r="C356" s="89"/>
      <c r="D356" s="89"/>
      <c r="E356" s="89"/>
      <c r="F356" s="89"/>
      <c r="G356" s="89"/>
      <c r="H356" s="94"/>
      <c r="I356" s="94"/>
      <c r="J356" s="94"/>
      <c r="K356" s="94"/>
      <c r="L356" s="94"/>
      <c r="M356" s="94"/>
      <c r="N356" s="94"/>
      <c r="O356" s="94"/>
      <c r="P356" s="94"/>
      <c r="Q356" s="94"/>
      <c r="R356" s="95"/>
      <c r="S356" s="94"/>
      <c r="T356" s="96"/>
      <c r="U356" s="94"/>
      <c r="V356" s="97"/>
      <c r="W356" s="94"/>
      <c r="X356" s="98"/>
      <c r="Y356" s="98"/>
      <c r="Z356" s="98"/>
      <c r="AA356" s="98"/>
      <c r="AB356" s="98"/>
      <c r="AC356" s="97"/>
      <c r="AD356" s="99"/>
      <c r="AE356" s="95"/>
      <c r="AF356" s="94"/>
      <c r="AG356" s="89"/>
      <c r="AH356" s="89"/>
      <c r="AI356" s="89"/>
      <c r="AJ356" s="89"/>
      <c r="AK356" s="89"/>
      <c r="AL356" s="89"/>
      <c r="AM356" s="89"/>
      <c r="AN356" s="89"/>
      <c r="AO356" s="89"/>
      <c r="AP356" s="89"/>
      <c r="AQ356" s="89"/>
      <c r="AR356" s="89"/>
      <c r="AS356" s="89"/>
      <c r="AT356" s="89"/>
      <c r="AU356" s="89"/>
      <c r="AV356" s="89"/>
      <c r="AW356" s="100"/>
      <c r="AX356" s="100"/>
      <c r="AY356" s="89"/>
      <c r="AZ356" s="89"/>
      <c r="BA356" s="89"/>
      <c r="BB356" s="89"/>
      <c r="BC356" s="89"/>
      <c r="BD356" s="89"/>
      <c r="BE356" s="89"/>
      <c r="BF356" s="89"/>
      <c r="BG356" s="89"/>
      <c r="BH356" s="89"/>
      <c r="BI356" s="89"/>
      <c r="BJ356" s="89"/>
      <c r="BK356" s="89"/>
      <c r="BL356" s="89"/>
      <c r="BM356" s="89"/>
      <c r="BN356" s="89"/>
      <c r="BO356" s="89"/>
      <c r="BP356" s="89"/>
      <c r="BQ356" s="89"/>
      <c r="BR356" s="89"/>
      <c r="BS356" s="89"/>
    </row>
    <row r="357" spans="1:71" ht="27" customHeight="1" x14ac:dyDescent="0.2">
      <c r="A357" s="93"/>
      <c r="B357" s="89"/>
      <c r="C357" s="89"/>
      <c r="D357" s="89"/>
      <c r="E357" s="89"/>
      <c r="F357" s="89"/>
      <c r="G357" s="89"/>
      <c r="H357" s="94"/>
      <c r="I357" s="94"/>
      <c r="J357" s="94"/>
      <c r="K357" s="94"/>
      <c r="L357" s="94"/>
      <c r="M357" s="94"/>
      <c r="N357" s="94"/>
      <c r="O357" s="94"/>
      <c r="P357" s="94"/>
      <c r="Q357" s="94"/>
      <c r="R357" s="95"/>
      <c r="S357" s="94"/>
      <c r="T357" s="96"/>
      <c r="U357" s="94"/>
      <c r="V357" s="97"/>
      <c r="W357" s="94"/>
      <c r="X357" s="98"/>
      <c r="Y357" s="98"/>
      <c r="Z357" s="98"/>
      <c r="AA357" s="98"/>
      <c r="AB357" s="98"/>
      <c r="AC357" s="97"/>
      <c r="AD357" s="99"/>
      <c r="AE357" s="95"/>
      <c r="AF357" s="94"/>
      <c r="AG357" s="89"/>
      <c r="AH357" s="89"/>
      <c r="AI357" s="89"/>
      <c r="AJ357" s="89"/>
      <c r="AK357" s="89"/>
      <c r="AL357" s="89"/>
      <c r="AM357" s="89"/>
      <c r="AN357" s="89"/>
      <c r="AO357" s="89"/>
      <c r="AP357" s="89"/>
      <c r="AQ357" s="89"/>
      <c r="AR357" s="89"/>
      <c r="AS357" s="89"/>
      <c r="AT357" s="89"/>
      <c r="AU357" s="89"/>
      <c r="AV357" s="89"/>
      <c r="AW357" s="100"/>
      <c r="AX357" s="100"/>
      <c r="AY357" s="89"/>
      <c r="AZ357" s="89"/>
      <c r="BA357" s="89"/>
      <c r="BB357" s="89"/>
      <c r="BC357" s="89"/>
      <c r="BD357" s="89"/>
      <c r="BE357" s="89"/>
      <c r="BF357" s="89"/>
      <c r="BG357" s="89"/>
      <c r="BH357" s="89"/>
      <c r="BI357" s="89"/>
      <c r="BJ357" s="89"/>
      <c r="BK357" s="89"/>
      <c r="BL357" s="89"/>
      <c r="BM357" s="89"/>
      <c r="BN357" s="89"/>
      <c r="BO357" s="89"/>
      <c r="BP357" s="89"/>
      <c r="BQ357" s="89"/>
      <c r="BR357" s="89"/>
      <c r="BS357" s="89"/>
    </row>
    <row r="358" spans="1:71" ht="27" customHeight="1" x14ac:dyDescent="0.2">
      <c r="A358" s="93"/>
      <c r="B358" s="89"/>
      <c r="C358" s="89"/>
      <c r="D358" s="89"/>
      <c r="E358" s="89"/>
      <c r="F358" s="89"/>
      <c r="G358" s="89"/>
      <c r="H358" s="94"/>
      <c r="I358" s="94"/>
      <c r="J358" s="94"/>
      <c r="K358" s="94"/>
      <c r="L358" s="94"/>
      <c r="M358" s="94"/>
      <c r="N358" s="94"/>
      <c r="O358" s="94"/>
      <c r="P358" s="94"/>
      <c r="Q358" s="94"/>
      <c r="R358" s="95"/>
      <c r="S358" s="94"/>
      <c r="T358" s="96"/>
      <c r="U358" s="94"/>
      <c r="V358" s="97"/>
      <c r="W358" s="94"/>
      <c r="X358" s="98"/>
      <c r="Y358" s="98"/>
      <c r="Z358" s="98"/>
      <c r="AA358" s="98"/>
      <c r="AB358" s="98"/>
      <c r="AC358" s="97"/>
      <c r="AD358" s="99"/>
      <c r="AE358" s="95"/>
      <c r="AF358" s="94"/>
      <c r="AG358" s="89"/>
      <c r="AH358" s="89"/>
      <c r="AI358" s="89"/>
      <c r="AJ358" s="89"/>
      <c r="AK358" s="89"/>
      <c r="AL358" s="89"/>
      <c r="AM358" s="89"/>
      <c r="AN358" s="89"/>
      <c r="AO358" s="89"/>
      <c r="AP358" s="89"/>
      <c r="AQ358" s="89"/>
      <c r="AR358" s="89"/>
      <c r="AS358" s="89"/>
      <c r="AT358" s="89"/>
      <c r="AU358" s="89"/>
      <c r="AV358" s="89"/>
      <c r="AW358" s="100"/>
      <c r="AX358" s="100"/>
      <c r="AY358" s="89"/>
      <c r="AZ358" s="89"/>
      <c r="BA358" s="89"/>
      <c r="BB358" s="89"/>
      <c r="BC358" s="89"/>
      <c r="BD358" s="89"/>
      <c r="BE358" s="89"/>
      <c r="BF358" s="89"/>
      <c r="BG358" s="89"/>
      <c r="BH358" s="89"/>
      <c r="BI358" s="89"/>
      <c r="BJ358" s="89"/>
      <c r="BK358" s="89"/>
      <c r="BL358" s="89"/>
      <c r="BM358" s="89"/>
      <c r="BN358" s="89"/>
      <c r="BO358" s="89"/>
      <c r="BP358" s="89"/>
      <c r="BQ358" s="89"/>
      <c r="BR358" s="89"/>
      <c r="BS358" s="89"/>
    </row>
    <row r="359" spans="1:71" ht="27" customHeight="1" x14ac:dyDescent="0.2">
      <c r="A359" s="93"/>
      <c r="B359" s="89"/>
      <c r="C359" s="89"/>
      <c r="D359" s="89"/>
      <c r="E359" s="89"/>
      <c r="F359" s="89"/>
      <c r="G359" s="89"/>
      <c r="H359" s="94"/>
      <c r="I359" s="94"/>
      <c r="J359" s="94"/>
      <c r="K359" s="94"/>
      <c r="L359" s="94"/>
      <c r="M359" s="94"/>
      <c r="N359" s="94"/>
      <c r="O359" s="94"/>
      <c r="P359" s="94"/>
      <c r="Q359" s="94"/>
      <c r="R359" s="95"/>
      <c r="S359" s="94"/>
      <c r="T359" s="96"/>
      <c r="U359" s="94"/>
      <c r="V359" s="97"/>
      <c r="W359" s="94"/>
      <c r="X359" s="98"/>
      <c r="Y359" s="98"/>
      <c r="Z359" s="98"/>
      <c r="AA359" s="98"/>
      <c r="AB359" s="98"/>
      <c r="AC359" s="97"/>
      <c r="AD359" s="99"/>
      <c r="AE359" s="95"/>
      <c r="AF359" s="94"/>
      <c r="AG359" s="89"/>
      <c r="AH359" s="89"/>
      <c r="AI359" s="89"/>
      <c r="AJ359" s="89"/>
      <c r="AK359" s="89"/>
      <c r="AL359" s="89"/>
      <c r="AM359" s="89"/>
      <c r="AN359" s="89"/>
      <c r="AO359" s="89"/>
      <c r="AP359" s="89"/>
      <c r="AQ359" s="89"/>
      <c r="AR359" s="89"/>
      <c r="AS359" s="89"/>
      <c r="AT359" s="89"/>
      <c r="AU359" s="89"/>
      <c r="AV359" s="89"/>
      <c r="AW359" s="100"/>
      <c r="AX359" s="100"/>
      <c r="AY359" s="89"/>
      <c r="AZ359" s="89"/>
      <c r="BA359" s="89"/>
      <c r="BB359" s="89"/>
      <c r="BC359" s="89"/>
      <c r="BD359" s="89"/>
      <c r="BE359" s="89"/>
      <c r="BF359" s="89"/>
      <c r="BG359" s="89"/>
      <c r="BH359" s="89"/>
      <c r="BI359" s="89"/>
      <c r="BJ359" s="89"/>
      <c r="BK359" s="89"/>
      <c r="BL359" s="89"/>
      <c r="BM359" s="89"/>
      <c r="BN359" s="89"/>
      <c r="BO359" s="89"/>
      <c r="BP359" s="89"/>
      <c r="BQ359" s="89"/>
      <c r="BR359" s="89"/>
      <c r="BS359" s="89"/>
    </row>
    <row r="360" spans="1:71" ht="27" customHeight="1" x14ac:dyDescent="0.2">
      <c r="A360" s="93"/>
      <c r="B360" s="89"/>
      <c r="C360" s="89"/>
      <c r="D360" s="89"/>
      <c r="E360" s="89"/>
      <c r="F360" s="89"/>
      <c r="G360" s="89"/>
      <c r="H360" s="94"/>
      <c r="I360" s="94"/>
      <c r="J360" s="94"/>
      <c r="K360" s="94"/>
      <c r="L360" s="94"/>
      <c r="M360" s="94"/>
      <c r="N360" s="94"/>
      <c r="O360" s="94"/>
      <c r="P360" s="94"/>
      <c r="Q360" s="94"/>
      <c r="R360" s="95"/>
      <c r="S360" s="94"/>
      <c r="T360" s="96"/>
      <c r="U360" s="94"/>
      <c r="V360" s="97"/>
      <c r="W360" s="94"/>
      <c r="X360" s="98"/>
      <c r="Y360" s="98"/>
      <c r="Z360" s="98"/>
      <c r="AA360" s="98"/>
      <c r="AB360" s="98"/>
      <c r="AC360" s="97"/>
      <c r="AD360" s="99"/>
      <c r="AE360" s="95"/>
      <c r="AF360" s="94"/>
      <c r="AG360" s="89"/>
      <c r="AH360" s="89"/>
      <c r="AI360" s="89"/>
      <c r="AJ360" s="89"/>
      <c r="AK360" s="89"/>
      <c r="AL360" s="89"/>
      <c r="AM360" s="89"/>
      <c r="AN360" s="89"/>
      <c r="AO360" s="89"/>
      <c r="AP360" s="89"/>
      <c r="AQ360" s="89"/>
      <c r="AR360" s="89"/>
      <c r="AS360" s="89"/>
      <c r="AT360" s="89"/>
      <c r="AU360" s="89"/>
      <c r="AV360" s="89"/>
      <c r="AW360" s="100"/>
      <c r="AX360" s="100"/>
      <c r="AY360" s="89"/>
      <c r="AZ360" s="89"/>
      <c r="BA360" s="89"/>
      <c r="BB360" s="89"/>
      <c r="BC360" s="89"/>
      <c r="BD360" s="89"/>
      <c r="BE360" s="89"/>
      <c r="BF360" s="89"/>
      <c r="BG360" s="89"/>
      <c r="BH360" s="89"/>
      <c r="BI360" s="89"/>
      <c r="BJ360" s="89"/>
      <c r="BK360" s="89"/>
      <c r="BL360" s="89"/>
      <c r="BM360" s="89"/>
      <c r="BN360" s="89"/>
      <c r="BO360" s="89"/>
      <c r="BP360" s="89"/>
      <c r="BQ360" s="89"/>
      <c r="BR360" s="89"/>
      <c r="BS360" s="89"/>
    </row>
    <row r="361" spans="1:71" ht="27" customHeight="1" x14ac:dyDescent="0.2">
      <c r="A361" s="93"/>
      <c r="B361" s="89"/>
      <c r="C361" s="89"/>
      <c r="D361" s="89"/>
      <c r="E361" s="89"/>
      <c r="F361" s="89"/>
      <c r="G361" s="89"/>
      <c r="H361" s="94"/>
      <c r="I361" s="94"/>
      <c r="J361" s="94"/>
      <c r="K361" s="94"/>
      <c r="L361" s="94"/>
      <c r="M361" s="94"/>
      <c r="N361" s="94"/>
      <c r="O361" s="94"/>
      <c r="P361" s="94"/>
      <c r="Q361" s="94"/>
      <c r="R361" s="95"/>
      <c r="S361" s="94"/>
      <c r="T361" s="96"/>
      <c r="U361" s="94"/>
      <c r="V361" s="97"/>
      <c r="W361" s="94"/>
      <c r="X361" s="98"/>
      <c r="Y361" s="98"/>
      <c r="Z361" s="98"/>
      <c r="AA361" s="98"/>
      <c r="AB361" s="98"/>
      <c r="AC361" s="97"/>
      <c r="AD361" s="99"/>
      <c r="AE361" s="95"/>
      <c r="AF361" s="94"/>
      <c r="AG361" s="89"/>
      <c r="AH361" s="89"/>
      <c r="AI361" s="89"/>
      <c r="AJ361" s="89"/>
      <c r="AK361" s="89"/>
      <c r="AL361" s="89"/>
      <c r="AM361" s="89"/>
      <c r="AN361" s="89"/>
      <c r="AO361" s="89"/>
      <c r="AP361" s="89"/>
      <c r="AQ361" s="89"/>
      <c r="AR361" s="89"/>
      <c r="AS361" s="89"/>
      <c r="AT361" s="89"/>
      <c r="AU361" s="89"/>
      <c r="AV361" s="89"/>
      <c r="AW361" s="100"/>
      <c r="AX361" s="100"/>
      <c r="AY361" s="89"/>
      <c r="AZ361" s="89"/>
      <c r="BA361" s="89"/>
      <c r="BB361" s="89"/>
      <c r="BC361" s="89"/>
      <c r="BD361" s="89"/>
      <c r="BE361" s="89"/>
      <c r="BF361" s="89"/>
      <c r="BG361" s="89"/>
      <c r="BH361" s="89"/>
      <c r="BI361" s="89"/>
      <c r="BJ361" s="89"/>
      <c r="BK361" s="89"/>
      <c r="BL361" s="89"/>
      <c r="BM361" s="89"/>
      <c r="BN361" s="89"/>
      <c r="BO361" s="89"/>
      <c r="BP361" s="89"/>
      <c r="BQ361" s="89"/>
      <c r="BR361" s="89"/>
      <c r="BS361" s="89"/>
    </row>
    <row r="362" spans="1:71" ht="27" customHeight="1" x14ac:dyDescent="0.2">
      <c r="A362" s="93"/>
      <c r="B362" s="89"/>
      <c r="C362" s="89"/>
      <c r="D362" s="89"/>
      <c r="E362" s="89"/>
      <c r="F362" s="89"/>
      <c r="G362" s="89"/>
      <c r="H362" s="94"/>
      <c r="I362" s="94"/>
      <c r="J362" s="94"/>
      <c r="K362" s="94"/>
      <c r="L362" s="94"/>
      <c r="M362" s="94"/>
      <c r="N362" s="94"/>
      <c r="O362" s="94"/>
      <c r="P362" s="94"/>
      <c r="Q362" s="94"/>
      <c r="R362" s="95"/>
      <c r="S362" s="94"/>
      <c r="T362" s="96"/>
      <c r="U362" s="94"/>
      <c r="V362" s="97"/>
      <c r="W362" s="94"/>
      <c r="X362" s="98"/>
      <c r="Y362" s="98"/>
      <c r="Z362" s="98"/>
      <c r="AA362" s="98"/>
      <c r="AB362" s="98"/>
      <c r="AC362" s="97"/>
      <c r="AD362" s="99"/>
      <c r="AE362" s="95"/>
      <c r="AF362" s="94"/>
      <c r="AG362" s="89"/>
      <c r="AH362" s="89"/>
      <c r="AI362" s="89"/>
      <c r="AJ362" s="89"/>
      <c r="AK362" s="89"/>
      <c r="AL362" s="89"/>
      <c r="AM362" s="89"/>
      <c r="AN362" s="89"/>
      <c r="AO362" s="89"/>
      <c r="AP362" s="89"/>
      <c r="AQ362" s="89"/>
      <c r="AR362" s="89"/>
      <c r="AS362" s="89"/>
      <c r="AT362" s="89"/>
      <c r="AU362" s="89"/>
      <c r="AV362" s="89"/>
      <c r="AW362" s="100"/>
      <c r="AX362" s="100"/>
      <c r="AY362" s="89"/>
      <c r="AZ362" s="89"/>
      <c r="BA362" s="89"/>
      <c r="BB362" s="89"/>
      <c r="BC362" s="89"/>
      <c r="BD362" s="89"/>
      <c r="BE362" s="89"/>
      <c r="BF362" s="89"/>
      <c r="BG362" s="89"/>
      <c r="BH362" s="89"/>
      <c r="BI362" s="89"/>
      <c r="BJ362" s="89"/>
      <c r="BK362" s="89"/>
      <c r="BL362" s="89"/>
      <c r="BM362" s="89"/>
      <c r="BN362" s="89"/>
      <c r="BO362" s="89"/>
      <c r="BP362" s="89"/>
      <c r="BQ362" s="89"/>
      <c r="BR362" s="89"/>
      <c r="BS362" s="89"/>
    </row>
    <row r="363" spans="1:71" ht="27" customHeight="1" x14ac:dyDescent="0.2">
      <c r="A363" s="93"/>
      <c r="B363" s="89"/>
      <c r="C363" s="89"/>
      <c r="D363" s="89"/>
      <c r="E363" s="89"/>
      <c r="F363" s="89"/>
      <c r="G363" s="89"/>
      <c r="H363" s="94"/>
      <c r="I363" s="94"/>
      <c r="J363" s="94"/>
      <c r="K363" s="94"/>
      <c r="L363" s="94"/>
      <c r="M363" s="94"/>
      <c r="N363" s="94"/>
      <c r="O363" s="94"/>
      <c r="P363" s="94"/>
      <c r="Q363" s="94"/>
      <c r="R363" s="95"/>
      <c r="S363" s="94"/>
      <c r="T363" s="96"/>
      <c r="U363" s="94"/>
      <c r="V363" s="97"/>
      <c r="W363" s="94"/>
      <c r="X363" s="98"/>
      <c r="Y363" s="98"/>
      <c r="Z363" s="98"/>
      <c r="AA363" s="98"/>
      <c r="AB363" s="98"/>
      <c r="AC363" s="97"/>
      <c r="AD363" s="99"/>
      <c r="AE363" s="95"/>
      <c r="AF363" s="94"/>
      <c r="AG363" s="89"/>
      <c r="AH363" s="89"/>
      <c r="AI363" s="89"/>
      <c r="AJ363" s="89"/>
      <c r="AK363" s="89"/>
      <c r="AL363" s="89"/>
      <c r="AM363" s="89"/>
      <c r="AN363" s="89"/>
      <c r="AO363" s="89"/>
      <c r="AP363" s="89"/>
      <c r="AQ363" s="89"/>
      <c r="AR363" s="89"/>
      <c r="AS363" s="89"/>
      <c r="AT363" s="89"/>
      <c r="AU363" s="89"/>
      <c r="AV363" s="89"/>
      <c r="AW363" s="100"/>
      <c r="AX363" s="100"/>
      <c r="AY363" s="89"/>
      <c r="AZ363" s="89"/>
      <c r="BA363" s="89"/>
      <c r="BB363" s="89"/>
      <c r="BC363" s="89"/>
      <c r="BD363" s="89"/>
      <c r="BE363" s="89"/>
      <c r="BF363" s="89"/>
      <c r="BG363" s="89"/>
      <c r="BH363" s="89"/>
      <c r="BI363" s="89"/>
      <c r="BJ363" s="89"/>
      <c r="BK363" s="89"/>
      <c r="BL363" s="89"/>
      <c r="BM363" s="89"/>
      <c r="BN363" s="89"/>
      <c r="BO363" s="89"/>
      <c r="BP363" s="89"/>
      <c r="BQ363" s="89"/>
      <c r="BR363" s="89"/>
      <c r="BS363" s="89"/>
    </row>
    <row r="364" spans="1:71" ht="27" customHeight="1" x14ac:dyDescent="0.2">
      <c r="A364" s="93"/>
      <c r="B364" s="89"/>
      <c r="C364" s="89"/>
      <c r="D364" s="89"/>
      <c r="E364" s="89"/>
      <c r="F364" s="89"/>
      <c r="G364" s="89"/>
      <c r="H364" s="94"/>
      <c r="I364" s="94"/>
      <c r="J364" s="94"/>
      <c r="K364" s="94"/>
      <c r="L364" s="94"/>
      <c r="M364" s="94"/>
      <c r="N364" s="94"/>
      <c r="O364" s="94"/>
      <c r="P364" s="94"/>
      <c r="Q364" s="94"/>
      <c r="R364" s="95"/>
      <c r="S364" s="94"/>
      <c r="T364" s="96"/>
      <c r="U364" s="94"/>
      <c r="V364" s="97"/>
      <c r="W364" s="94"/>
      <c r="X364" s="98"/>
      <c r="Y364" s="98"/>
      <c r="Z364" s="98"/>
      <c r="AA364" s="98"/>
      <c r="AB364" s="98"/>
      <c r="AC364" s="97"/>
      <c r="AD364" s="99"/>
      <c r="AE364" s="95"/>
      <c r="AF364" s="94"/>
      <c r="AG364" s="89"/>
      <c r="AH364" s="89"/>
      <c r="AI364" s="89"/>
      <c r="AJ364" s="89"/>
      <c r="AK364" s="89"/>
      <c r="AL364" s="89"/>
      <c r="AM364" s="89"/>
      <c r="AN364" s="89"/>
      <c r="AO364" s="89"/>
      <c r="AP364" s="89"/>
      <c r="AQ364" s="89"/>
      <c r="AR364" s="89"/>
      <c r="AS364" s="89"/>
      <c r="AT364" s="89"/>
      <c r="AU364" s="89"/>
      <c r="AV364" s="89"/>
      <c r="AW364" s="100"/>
      <c r="AX364" s="100"/>
      <c r="AY364" s="89"/>
      <c r="AZ364" s="89"/>
      <c r="BA364" s="89"/>
      <c r="BB364" s="89"/>
      <c r="BC364" s="89"/>
      <c r="BD364" s="89"/>
      <c r="BE364" s="89"/>
      <c r="BF364" s="89"/>
      <c r="BG364" s="89"/>
      <c r="BH364" s="89"/>
      <c r="BI364" s="89"/>
      <c r="BJ364" s="89"/>
      <c r="BK364" s="89"/>
      <c r="BL364" s="89"/>
      <c r="BM364" s="89"/>
      <c r="BN364" s="89"/>
      <c r="BO364" s="89"/>
      <c r="BP364" s="89"/>
      <c r="BQ364" s="89"/>
      <c r="BR364" s="89"/>
      <c r="BS364" s="89"/>
    </row>
    <row r="365" spans="1:71" ht="27" customHeight="1" x14ac:dyDescent="0.2">
      <c r="A365" s="93"/>
      <c r="B365" s="89"/>
      <c r="C365" s="89"/>
      <c r="D365" s="89"/>
      <c r="E365" s="89"/>
      <c r="F365" s="89"/>
      <c r="G365" s="89"/>
      <c r="H365" s="94"/>
      <c r="I365" s="94"/>
      <c r="J365" s="94"/>
      <c r="K365" s="94"/>
      <c r="L365" s="94"/>
      <c r="M365" s="94"/>
      <c r="N365" s="94"/>
      <c r="O365" s="94"/>
      <c r="P365" s="94"/>
      <c r="Q365" s="94"/>
      <c r="R365" s="95"/>
      <c r="S365" s="94"/>
      <c r="T365" s="96"/>
      <c r="U365" s="94"/>
      <c r="V365" s="97"/>
      <c r="W365" s="94"/>
      <c r="X365" s="98"/>
      <c r="Y365" s="98"/>
      <c r="Z365" s="98"/>
      <c r="AA365" s="98"/>
      <c r="AB365" s="98"/>
      <c r="AC365" s="97"/>
      <c r="AD365" s="99"/>
      <c r="AE365" s="95"/>
      <c r="AF365" s="94"/>
      <c r="AG365" s="89"/>
      <c r="AH365" s="89"/>
      <c r="AI365" s="89"/>
      <c r="AJ365" s="89"/>
      <c r="AK365" s="89"/>
      <c r="AL365" s="89"/>
      <c r="AM365" s="89"/>
      <c r="AN365" s="89"/>
      <c r="AO365" s="89"/>
      <c r="AP365" s="89"/>
      <c r="AQ365" s="89"/>
      <c r="AR365" s="89"/>
      <c r="AS365" s="89"/>
      <c r="AT365" s="89"/>
      <c r="AU365" s="89"/>
      <c r="AV365" s="89"/>
      <c r="AW365" s="100"/>
      <c r="AX365" s="100"/>
      <c r="AY365" s="89"/>
      <c r="AZ365" s="89"/>
      <c r="BA365" s="89"/>
      <c r="BB365" s="89"/>
      <c r="BC365" s="89"/>
      <c r="BD365" s="89"/>
      <c r="BE365" s="89"/>
      <c r="BF365" s="89"/>
      <c r="BG365" s="89"/>
      <c r="BH365" s="89"/>
      <c r="BI365" s="89"/>
      <c r="BJ365" s="89"/>
      <c r="BK365" s="89"/>
      <c r="BL365" s="89"/>
      <c r="BM365" s="89"/>
      <c r="BN365" s="89"/>
      <c r="BO365" s="89"/>
      <c r="BP365" s="89"/>
      <c r="BQ365" s="89"/>
      <c r="BR365" s="89"/>
      <c r="BS365" s="89"/>
    </row>
    <row r="366" spans="1:71" ht="27" customHeight="1" x14ac:dyDescent="0.2">
      <c r="A366" s="93"/>
      <c r="B366" s="89"/>
      <c r="C366" s="89"/>
      <c r="D366" s="89"/>
      <c r="E366" s="89"/>
      <c r="F366" s="89"/>
      <c r="G366" s="89"/>
      <c r="H366" s="94"/>
      <c r="I366" s="94"/>
      <c r="J366" s="94"/>
      <c r="K366" s="94"/>
      <c r="L366" s="94"/>
      <c r="M366" s="94"/>
      <c r="N366" s="94"/>
      <c r="O366" s="94"/>
      <c r="P366" s="94"/>
      <c r="Q366" s="94"/>
      <c r="R366" s="95"/>
      <c r="S366" s="94"/>
      <c r="T366" s="96"/>
      <c r="U366" s="94"/>
      <c r="V366" s="97"/>
      <c r="W366" s="94"/>
      <c r="X366" s="98"/>
      <c r="Y366" s="98"/>
      <c r="Z366" s="98"/>
      <c r="AA366" s="98"/>
      <c r="AB366" s="98"/>
      <c r="AC366" s="97"/>
      <c r="AD366" s="99"/>
      <c r="AE366" s="95"/>
      <c r="AF366" s="94"/>
      <c r="AG366" s="89"/>
      <c r="AH366" s="89"/>
      <c r="AI366" s="89"/>
      <c r="AJ366" s="89"/>
      <c r="AK366" s="89"/>
      <c r="AL366" s="89"/>
      <c r="AM366" s="89"/>
      <c r="AN366" s="89"/>
      <c r="AO366" s="89"/>
      <c r="AP366" s="89"/>
      <c r="AQ366" s="89"/>
      <c r="AR366" s="89"/>
      <c r="AS366" s="89"/>
      <c r="AT366" s="89"/>
      <c r="AU366" s="89"/>
      <c r="AV366" s="89"/>
      <c r="AW366" s="100"/>
      <c r="AX366" s="100"/>
      <c r="AY366" s="89"/>
      <c r="AZ366" s="89"/>
      <c r="BA366" s="89"/>
      <c r="BB366" s="89"/>
      <c r="BC366" s="89"/>
      <c r="BD366" s="89"/>
      <c r="BE366" s="89"/>
      <c r="BF366" s="89"/>
      <c r="BG366" s="89"/>
      <c r="BH366" s="89"/>
      <c r="BI366" s="89"/>
      <c r="BJ366" s="89"/>
      <c r="BK366" s="89"/>
      <c r="BL366" s="89"/>
      <c r="BM366" s="89"/>
      <c r="BN366" s="89"/>
      <c r="BO366" s="89"/>
      <c r="BP366" s="89"/>
      <c r="BQ366" s="89"/>
      <c r="BR366" s="89"/>
      <c r="BS366" s="89"/>
    </row>
    <row r="367" spans="1:71" ht="27" customHeight="1" x14ac:dyDescent="0.2">
      <c r="A367" s="93"/>
      <c r="B367" s="89"/>
      <c r="C367" s="89"/>
      <c r="D367" s="89"/>
      <c r="E367" s="89"/>
      <c r="F367" s="89"/>
      <c r="G367" s="89"/>
      <c r="H367" s="94"/>
      <c r="I367" s="94"/>
      <c r="J367" s="94"/>
      <c r="K367" s="94"/>
      <c r="L367" s="94"/>
      <c r="M367" s="94"/>
      <c r="N367" s="94"/>
      <c r="O367" s="94"/>
      <c r="P367" s="94"/>
      <c r="Q367" s="94"/>
      <c r="R367" s="95"/>
      <c r="S367" s="94"/>
      <c r="T367" s="96"/>
      <c r="U367" s="94"/>
      <c r="V367" s="97"/>
      <c r="W367" s="94"/>
      <c r="X367" s="98"/>
      <c r="Y367" s="98"/>
      <c r="Z367" s="98"/>
      <c r="AA367" s="98"/>
      <c r="AB367" s="98"/>
      <c r="AC367" s="97"/>
      <c r="AD367" s="99"/>
      <c r="AE367" s="95"/>
      <c r="AF367" s="94"/>
      <c r="AG367" s="89"/>
      <c r="AH367" s="89"/>
      <c r="AI367" s="89"/>
      <c r="AJ367" s="89"/>
      <c r="AK367" s="89"/>
      <c r="AL367" s="89"/>
      <c r="AM367" s="89"/>
      <c r="AN367" s="89"/>
      <c r="AO367" s="89"/>
      <c r="AP367" s="89"/>
      <c r="AQ367" s="89"/>
      <c r="AR367" s="89"/>
      <c r="AS367" s="89"/>
      <c r="AT367" s="89"/>
      <c r="AU367" s="89"/>
      <c r="AV367" s="89"/>
      <c r="AW367" s="100"/>
      <c r="AX367" s="100"/>
      <c r="AY367" s="89"/>
      <c r="AZ367" s="89"/>
      <c r="BA367" s="89"/>
      <c r="BB367" s="89"/>
      <c r="BC367" s="89"/>
      <c r="BD367" s="89"/>
      <c r="BE367" s="89"/>
      <c r="BF367" s="89"/>
      <c r="BG367" s="89"/>
      <c r="BH367" s="89"/>
      <c r="BI367" s="89"/>
      <c r="BJ367" s="89"/>
      <c r="BK367" s="89"/>
      <c r="BL367" s="89"/>
      <c r="BM367" s="89"/>
      <c r="BN367" s="89"/>
      <c r="BO367" s="89"/>
      <c r="BP367" s="89"/>
      <c r="BQ367" s="89"/>
      <c r="BR367" s="89"/>
      <c r="BS367" s="89"/>
    </row>
    <row r="368" spans="1:71" ht="27" customHeight="1" x14ac:dyDescent="0.2">
      <c r="A368" s="93"/>
      <c r="B368" s="89"/>
      <c r="C368" s="89"/>
      <c r="D368" s="89"/>
      <c r="E368" s="89"/>
      <c r="F368" s="89"/>
      <c r="G368" s="89"/>
      <c r="H368" s="94"/>
      <c r="I368" s="94"/>
      <c r="J368" s="94"/>
      <c r="K368" s="94"/>
      <c r="L368" s="94"/>
      <c r="M368" s="94"/>
      <c r="N368" s="94"/>
      <c r="O368" s="94"/>
      <c r="P368" s="94"/>
      <c r="Q368" s="94"/>
      <c r="R368" s="95"/>
      <c r="S368" s="94"/>
      <c r="T368" s="96"/>
      <c r="U368" s="94"/>
      <c r="V368" s="97"/>
      <c r="W368" s="94"/>
      <c r="X368" s="98"/>
      <c r="Y368" s="98"/>
      <c r="Z368" s="98"/>
      <c r="AA368" s="98"/>
      <c r="AB368" s="98"/>
      <c r="AC368" s="97"/>
      <c r="AD368" s="99"/>
      <c r="AE368" s="95"/>
      <c r="AF368" s="94"/>
      <c r="AG368" s="89"/>
      <c r="AH368" s="89"/>
      <c r="AI368" s="89"/>
      <c r="AJ368" s="89"/>
      <c r="AK368" s="89"/>
      <c r="AL368" s="89"/>
      <c r="AM368" s="89"/>
      <c r="AN368" s="89"/>
      <c r="AO368" s="89"/>
      <c r="AP368" s="89"/>
      <c r="AQ368" s="89"/>
      <c r="AR368" s="89"/>
      <c r="AS368" s="89"/>
      <c r="AT368" s="89"/>
      <c r="AU368" s="89"/>
      <c r="AV368" s="89"/>
      <c r="AW368" s="100"/>
      <c r="AX368" s="100"/>
      <c r="AY368" s="89"/>
      <c r="AZ368" s="89"/>
      <c r="BA368" s="89"/>
      <c r="BB368" s="89"/>
      <c r="BC368" s="89"/>
      <c r="BD368" s="89"/>
      <c r="BE368" s="89"/>
      <c r="BF368" s="89"/>
      <c r="BG368" s="89"/>
      <c r="BH368" s="89"/>
      <c r="BI368" s="89"/>
      <c r="BJ368" s="89"/>
      <c r="BK368" s="89"/>
      <c r="BL368" s="89"/>
      <c r="BM368" s="89"/>
      <c r="BN368" s="89"/>
      <c r="BO368" s="89"/>
      <c r="BP368" s="89"/>
      <c r="BQ368" s="89"/>
      <c r="BR368" s="89"/>
      <c r="BS368" s="89"/>
    </row>
    <row r="369" spans="1:71" ht="27" customHeight="1" x14ac:dyDescent="0.2">
      <c r="A369" s="93"/>
      <c r="B369" s="89"/>
      <c r="C369" s="89"/>
      <c r="D369" s="89"/>
      <c r="E369" s="89"/>
      <c r="F369" s="89"/>
      <c r="G369" s="89"/>
      <c r="H369" s="94"/>
      <c r="I369" s="94"/>
      <c r="J369" s="94"/>
      <c r="K369" s="94"/>
      <c r="L369" s="94"/>
      <c r="M369" s="94"/>
      <c r="N369" s="94"/>
      <c r="O369" s="94"/>
      <c r="P369" s="94"/>
      <c r="Q369" s="94"/>
      <c r="R369" s="95"/>
      <c r="S369" s="94"/>
      <c r="T369" s="96"/>
      <c r="U369" s="94"/>
      <c r="V369" s="97"/>
      <c r="W369" s="94"/>
      <c r="X369" s="98"/>
      <c r="Y369" s="98"/>
      <c r="Z369" s="98"/>
      <c r="AA369" s="98"/>
      <c r="AB369" s="98"/>
      <c r="AC369" s="97"/>
      <c r="AD369" s="99"/>
      <c r="AE369" s="95"/>
      <c r="AF369" s="94"/>
      <c r="AG369" s="89"/>
      <c r="AH369" s="89"/>
      <c r="AI369" s="89"/>
      <c r="AJ369" s="89"/>
      <c r="AK369" s="89"/>
      <c r="AL369" s="89"/>
      <c r="AM369" s="89"/>
      <c r="AN369" s="89"/>
      <c r="AO369" s="89"/>
      <c r="AP369" s="89"/>
      <c r="AQ369" s="89"/>
      <c r="AR369" s="89"/>
      <c r="AS369" s="89"/>
      <c r="AT369" s="89"/>
      <c r="AU369" s="89"/>
      <c r="AV369" s="89"/>
      <c r="AW369" s="100"/>
      <c r="AX369" s="100"/>
      <c r="AY369" s="89"/>
      <c r="AZ369" s="89"/>
      <c r="BA369" s="89"/>
      <c r="BB369" s="89"/>
      <c r="BC369" s="89"/>
      <c r="BD369" s="89"/>
      <c r="BE369" s="89"/>
      <c r="BF369" s="89"/>
      <c r="BG369" s="89"/>
      <c r="BH369" s="89"/>
      <c r="BI369" s="89"/>
      <c r="BJ369" s="89"/>
      <c r="BK369" s="89"/>
      <c r="BL369" s="89"/>
      <c r="BM369" s="89"/>
      <c r="BN369" s="89"/>
      <c r="BO369" s="89"/>
      <c r="BP369" s="89"/>
      <c r="BQ369" s="89"/>
      <c r="BR369" s="89"/>
      <c r="BS369" s="89"/>
    </row>
    <row r="370" spans="1:71" ht="27" customHeight="1" x14ac:dyDescent="0.2">
      <c r="A370" s="93"/>
      <c r="B370" s="89"/>
      <c r="C370" s="89"/>
      <c r="D370" s="89"/>
      <c r="E370" s="89"/>
      <c r="F370" s="89"/>
      <c r="G370" s="89"/>
      <c r="H370" s="94"/>
      <c r="I370" s="94"/>
      <c r="J370" s="94"/>
      <c r="K370" s="94"/>
      <c r="L370" s="94"/>
      <c r="M370" s="94"/>
      <c r="N370" s="94"/>
      <c r="O370" s="94"/>
      <c r="P370" s="94"/>
      <c r="Q370" s="94"/>
      <c r="R370" s="95"/>
      <c r="S370" s="94"/>
      <c r="T370" s="96"/>
      <c r="U370" s="94"/>
      <c r="V370" s="97"/>
      <c r="W370" s="94"/>
      <c r="X370" s="98"/>
      <c r="Y370" s="98"/>
      <c r="Z370" s="98"/>
      <c r="AA370" s="98"/>
      <c r="AB370" s="98"/>
      <c r="AC370" s="97"/>
      <c r="AD370" s="99"/>
      <c r="AE370" s="95"/>
      <c r="AF370" s="94"/>
      <c r="AG370" s="89"/>
      <c r="AH370" s="89"/>
      <c r="AI370" s="89"/>
      <c r="AJ370" s="89"/>
      <c r="AK370" s="89"/>
      <c r="AL370" s="89"/>
      <c r="AM370" s="89"/>
      <c r="AN370" s="89"/>
      <c r="AO370" s="89"/>
      <c r="AP370" s="89"/>
      <c r="AQ370" s="89"/>
      <c r="AR370" s="89"/>
      <c r="AS370" s="89"/>
      <c r="AT370" s="89"/>
      <c r="AU370" s="89"/>
      <c r="AV370" s="89"/>
      <c r="AW370" s="100"/>
      <c r="AX370" s="100"/>
      <c r="AY370" s="89"/>
      <c r="AZ370" s="89"/>
      <c r="BA370" s="89"/>
      <c r="BB370" s="89"/>
      <c r="BC370" s="89"/>
      <c r="BD370" s="89"/>
      <c r="BE370" s="89"/>
      <c r="BF370" s="89"/>
      <c r="BG370" s="89"/>
      <c r="BH370" s="89"/>
      <c r="BI370" s="89"/>
      <c r="BJ370" s="89"/>
      <c r="BK370" s="89"/>
      <c r="BL370" s="89"/>
      <c r="BM370" s="89"/>
      <c r="BN370" s="89"/>
      <c r="BO370" s="89"/>
      <c r="BP370" s="89"/>
      <c r="BQ370" s="89"/>
      <c r="BR370" s="89"/>
      <c r="BS370" s="89"/>
    </row>
    <row r="371" spans="1:71" ht="27" customHeight="1" x14ac:dyDescent="0.2">
      <c r="A371" s="93"/>
      <c r="B371" s="89"/>
      <c r="C371" s="89"/>
      <c r="D371" s="89"/>
      <c r="E371" s="89"/>
      <c r="F371" s="89"/>
      <c r="G371" s="89"/>
      <c r="H371" s="94"/>
      <c r="I371" s="94"/>
      <c r="J371" s="94"/>
      <c r="K371" s="94"/>
      <c r="L371" s="94"/>
      <c r="M371" s="94"/>
      <c r="N371" s="94"/>
      <c r="O371" s="94"/>
      <c r="P371" s="94"/>
      <c r="Q371" s="94"/>
      <c r="R371" s="95"/>
      <c r="S371" s="94"/>
      <c r="T371" s="96"/>
      <c r="U371" s="94"/>
      <c r="V371" s="97"/>
      <c r="W371" s="94"/>
      <c r="X371" s="98"/>
      <c r="Y371" s="98"/>
      <c r="Z371" s="98"/>
      <c r="AA371" s="98"/>
      <c r="AB371" s="98"/>
      <c r="AC371" s="97"/>
      <c r="AD371" s="99"/>
      <c r="AE371" s="95"/>
      <c r="AF371" s="94"/>
      <c r="AG371" s="89"/>
      <c r="AH371" s="89"/>
      <c r="AI371" s="89"/>
      <c r="AJ371" s="89"/>
      <c r="AK371" s="89"/>
      <c r="AL371" s="89"/>
      <c r="AM371" s="89"/>
      <c r="AN371" s="89"/>
      <c r="AO371" s="89"/>
      <c r="AP371" s="89"/>
      <c r="AQ371" s="89"/>
      <c r="AR371" s="89"/>
      <c r="AS371" s="89"/>
      <c r="AT371" s="89"/>
      <c r="AU371" s="89"/>
      <c r="AV371" s="89"/>
      <c r="AW371" s="100"/>
      <c r="AX371" s="100"/>
      <c r="AY371" s="89"/>
      <c r="AZ371" s="89"/>
      <c r="BA371" s="89"/>
      <c r="BB371" s="89"/>
      <c r="BC371" s="89"/>
      <c r="BD371" s="89"/>
      <c r="BE371" s="89"/>
      <c r="BF371" s="89"/>
      <c r="BG371" s="89"/>
      <c r="BH371" s="89"/>
      <c r="BI371" s="89"/>
      <c r="BJ371" s="89"/>
      <c r="BK371" s="89"/>
      <c r="BL371" s="89"/>
      <c r="BM371" s="89"/>
      <c r="BN371" s="89"/>
      <c r="BO371" s="89"/>
      <c r="BP371" s="89"/>
      <c r="BQ371" s="89"/>
      <c r="BR371" s="89"/>
      <c r="BS371" s="89"/>
    </row>
    <row r="372" spans="1:71" ht="27" customHeight="1" x14ac:dyDescent="0.2">
      <c r="A372" s="93"/>
      <c r="B372" s="89"/>
      <c r="C372" s="89"/>
      <c r="D372" s="89"/>
      <c r="E372" s="89"/>
      <c r="F372" s="89"/>
      <c r="G372" s="89"/>
      <c r="H372" s="94"/>
      <c r="I372" s="94"/>
      <c r="J372" s="94"/>
      <c r="K372" s="94"/>
      <c r="L372" s="94"/>
      <c r="M372" s="94"/>
      <c r="N372" s="94"/>
      <c r="O372" s="94"/>
      <c r="P372" s="94"/>
      <c r="Q372" s="94"/>
      <c r="R372" s="95"/>
      <c r="S372" s="94"/>
      <c r="T372" s="96"/>
      <c r="U372" s="94"/>
      <c r="V372" s="97"/>
      <c r="W372" s="94"/>
      <c r="X372" s="98"/>
      <c r="Y372" s="98"/>
      <c r="Z372" s="98"/>
      <c r="AA372" s="98"/>
      <c r="AB372" s="98"/>
      <c r="AC372" s="97"/>
      <c r="AD372" s="99"/>
      <c r="AE372" s="95"/>
      <c r="AF372" s="94"/>
      <c r="AG372" s="89"/>
      <c r="AH372" s="89"/>
      <c r="AI372" s="89"/>
      <c r="AJ372" s="89"/>
      <c r="AK372" s="89"/>
      <c r="AL372" s="89"/>
      <c r="AM372" s="89"/>
      <c r="AN372" s="89"/>
      <c r="AO372" s="89"/>
      <c r="AP372" s="89"/>
      <c r="AQ372" s="89"/>
      <c r="AR372" s="89"/>
      <c r="AS372" s="89"/>
      <c r="AT372" s="89"/>
      <c r="AU372" s="89"/>
      <c r="AV372" s="89"/>
      <c r="AW372" s="100"/>
      <c r="AX372" s="100"/>
      <c r="AY372" s="89"/>
      <c r="AZ372" s="89"/>
      <c r="BA372" s="89"/>
      <c r="BB372" s="89"/>
      <c r="BC372" s="89"/>
      <c r="BD372" s="89"/>
      <c r="BE372" s="89"/>
      <c r="BF372" s="89"/>
      <c r="BG372" s="89"/>
      <c r="BH372" s="89"/>
      <c r="BI372" s="89"/>
      <c r="BJ372" s="89"/>
      <c r="BK372" s="89"/>
      <c r="BL372" s="89"/>
      <c r="BM372" s="89"/>
      <c r="BN372" s="89"/>
      <c r="BO372" s="89"/>
      <c r="BP372" s="89"/>
      <c r="BQ372" s="89"/>
      <c r="BR372" s="89"/>
      <c r="BS372" s="89"/>
    </row>
    <row r="373" spans="1:71" ht="27" customHeight="1" x14ac:dyDescent="0.2">
      <c r="A373" s="93"/>
      <c r="B373" s="89"/>
      <c r="C373" s="89"/>
      <c r="D373" s="89"/>
      <c r="E373" s="89"/>
      <c r="F373" s="89"/>
      <c r="G373" s="89"/>
      <c r="H373" s="94"/>
      <c r="I373" s="94"/>
      <c r="J373" s="94"/>
      <c r="K373" s="94"/>
      <c r="L373" s="94"/>
      <c r="M373" s="94"/>
      <c r="N373" s="94"/>
      <c r="O373" s="94"/>
      <c r="P373" s="94"/>
      <c r="Q373" s="94"/>
      <c r="R373" s="95"/>
      <c r="S373" s="94"/>
      <c r="T373" s="96"/>
      <c r="U373" s="94"/>
      <c r="V373" s="97"/>
      <c r="W373" s="94"/>
      <c r="X373" s="98"/>
      <c r="Y373" s="98"/>
      <c r="Z373" s="98"/>
      <c r="AA373" s="98"/>
      <c r="AB373" s="98"/>
      <c r="AC373" s="97"/>
      <c r="AD373" s="99"/>
      <c r="AE373" s="95"/>
      <c r="AF373" s="94"/>
      <c r="AG373" s="89"/>
      <c r="AH373" s="89"/>
      <c r="AI373" s="89"/>
      <c r="AJ373" s="89"/>
      <c r="AK373" s="89"/>
      <c r="AL373" s="89"/>
      <c r="AM373" s="89"/>
      <c r="AN373" s="89"/>
      <c r="AO373" s="89"/>
      <c r="AP373" s="89"/>
      <c r="AQ373" s="89"/>
      <c r="AR373" s="89"/>
      <c r="AS373" s="89"/>
      <c r="AT373" s="89"/>
      <c r="AU373" s="89"/>
      <c r="AV373" s="89"/>
      <c r="AW373" s="100"/>
      <c r="AX373" s="100"/>
      <c r="AY373" s="89"/>
      <c r="AZ373" s="89"/>
      <c r="BA373" s="89"/>
      <c r="BB373" s="89"/>
      <c r="BC373" s="89"/>
      <c r="BD373" s="89"/>
      <c r="BE373" s="89"/>
      <c r="BF373" s="89"/>
      <c r="BG373" s="89"/>
      <c r="BH373" s="89"/>
      <c r="BI373" s="89"/>
      <c r="BJ373" s="89"/>
      <c r="BK373" s="89"/>
      <c r="BL373" s="89"/>
      <c r="BM373" s="89"/>
      <c r="BN373" s="89"/>
      <c r="BO373" s="89"/>
      <c r="BP373" s="89"/>
      <c r="BQ373" s="89"/>
      <c r="BR373" s="89"/>
      <c r="BS373" s="89"/>
    </row>
    <row r="374" spans="1:71" ht="27" customHeight="1" x14ac:dyDescent="0.2">
      <c r="A374" s="93"/>
      <c r="B374" s="89"/>
      <c r="C374" s="89"/>
      <c r="D374" s="89"/>
      <c r="E374" s="89"/>
      <c r="F374" s="89"/>
      <c r="G374" s="89"/>
      <c r="H374" s="94"/>
      <c r="I374" s="94"/>
      <c r="J374" s="94"/>
      <c r="K374" s="94"/>
      <c r="L374" s="94"/>
      <c r="M374" s="94"/>
      <c r="N374" s="94"/>
      <c r="O374" s="94"/>
      <c r="P374" s="94"/>
      <c r="Q374" s="94"/>
      <c r="R374" s="95"/>
      <c r="S374" s="94"/>
      <c r="T374" s="96"/>
      <c r="U374" s="94"/>
      <c r="V374" s="97"/>
      <c r="W374" s="94"/>
      <c r="X374" s="98"/>
      <c r="Y374" s="98"/>
      <c r="Z374" s="98"/>
      <c r="AA374" s="98"/>
      <c r="AB374" s="98"/>
      <c r="AC374" s="97"/>
      <c r="AD374" s="99"/>
      <c r="AE374" s="95"/>
      <c r="AF374" s="94"/>
      <c r="AG374" s="89"/>
      <c r="AH374" s="89"/>
      <c r="AI374" s="89"/>
      <c r="AJ374" s="89"/>
      <c r="AK374" s="89"/>
      <c r="AL374" s="89"/>
      <c r="AM374" s="89"/>
      <c r="AN374" s="89"/>
      <c r="AO374" s="89"/>
      <c r="AP374" s="89"/>
      <c r="AQ374" s="89"/>
      <c r="AR374" s="89"/>
      <c r="AS374" s="89"/>
      <c r="AT374" s="89"/>
      <c r="AU374" s="89"/>
      <c r="AV374" s="89"/>
      <c r="AW374" s="100"/>
      <c r="AX374" s="100"/>
      <c r="AY374" s="89"/>
      <c r="AZ374" s="89"/>
      <c r="BA374" s="89"/>
      <c r="BB374" s="89"/>
      <c r="BC374" s="89"/>
      <c r="BD374" s="89"/>
      <c r="BE374" s="89"/>
      <c r="BF374" s="89"/>
      <c r="BG374" s="89"/>
      <c r="BH374" s="89"/>
      <c r="BI374" s="89"/>
      <c r="BJ374" s="89"/>
      <c r="BK374" s="89"/>
      <c r="BL374" s="89"/>
      <c r="BM374" s="89"/>
      <c r="BN374" s="89"/>
      <c r="BO374" s="89"/>
      <c r="BP374" s="89"/>
      <c r="BQ374" s="89"/>
      <c r="BR374" s="89"/>
      <c r="BS374" s="89"/>
    </row>
    <row r="375" spans="1:71" ht="27" customHeight="1" x14ac:dyDescent="0.2">
      <c r="A375" s="93"/>
      <c r="B375" s="89"/>
      <c r="C375" s="89"/>
      <c r="D375" s="89"/>
      <c r="E375" s="89"/>
      <c r="F375" s="89"/>
      <c r="G375" s="89"/>
      <c r="H375" s="94"/>
      <c r="I375" s="94"/>
      <c r="J375" s="94"/>
      <c r="K375" s="94"/>
      <c r="L375" s="94"/>
      <c r="M375" s="94"/>
      <c r="N375" s="94"/>
      <c r="O375" s="94"/>
      <c r="P375" s="94"/>
      <c r="Q375" s="94"/>
      <c r="R375" s="95"/>
      <c r="S375" s="94"/>
      <c r="T375" s="96"/>
      <c r="U375" s="94"/>
      <c r="V375" s="97"/>
      <c r="W375" s="94"/>
      <c r="X375" s="98"/>
      <c r="Y375" s="98"/>
      <c r="Z375" s="98"/>
      <c r="AA375" s="98"/>
      <c r="AB375" s="98"/>
      <c r="AC375" s="97"/>
      <c r="AD375" s="99"/>
      <c r="AE375" s="95"/>
      <c r="AF375" s="94"/>
      <c r="AG375" s="89"/>
      <c r="AH375" s="89"/>
      <c r="AI375" s="89"/>
      <c r="AJ375" s="89"/>
      <c r="AK375" s="89"/>
      <c r="AL375" s="89"/>
      <c r="AM375" s="89"/>
      <c r="AN375" s="89"/>
      <c r="AO375" s="89"/>
      <c r="AP375" s="89"/>
      <c r="AQ375" s="89"/>
      <c r="AR375" s="89"/>
      <c r="AS375" s="89"/>
      <c r="AT375" s="89"/>
      <c r="AU375" s="89"/>
      <c r="AV375" s="89"/>
      <c r="AW375" s="100"/>
      <c r="AX375" s="100"/>
      <c r="AY375" s="89"/>
      <c r="AZ375" s="89"/>
      <c r="BA375" s="89"/>
      <c r="BB375" s="89"/>
      <c r="BC375" s="89"/>
      <c r="BD375" s="89"/>
      <c r="BE375" s="89"/>
      <c r="BF375" s="89"/>
      <c r="BG375" s="89"/>
      <c r="BH375" s="89"/>
      <c r="BI375" s="89"/>
      <c r="BJ375" s="89"/>
      <c r="BK375" s="89"/>
      <c r="BL375" s="89"/>
      <c r="BM375" s="89"/>
      <c r="BN375" s="89"/>
      <c r="BO375" s="89"/>
      <c r="BP375" s="89"/>
      <c r="BQ375" s="89"/>
      <c r="BR375" s="89"/>
      <c r="BS375" s="89"/>
    </row>
    <row r="376" spans="1:71" ht="27" customHeight="1" x14ac:dyDescent="0.2">
      <c r="A376" s="93"/>
      <c r="B376" s="89"/>
      <c r="C376" s="89"/>
      <c r="D376" s="89"/>
      <c r="E376" s="89"/>
      <c r="F376" s="89"/>
      <c r="G376" s="89"/>
      <c r="H376" s="94"/>
      <c r="I376" s="94"/>
      <c r="J376" s="94"/>
      <c r="K376" s="94"/>
      <c r="L376" s="94"/>
      <c r="M376" s="94"/>
      <c r="N376" s="94"/>
      <c r="O376" s="94"/>
      <c r="P376" s="94"/>
      <c r="Q376" s="94"/>
      <c r="R376" s="95"/>
      <c r="S376" s="94"/>
      <c r="T376" s="96"/>
      <c r="U376" s="94"/>
      <c r="V376" s="97"/>
      <c r="W376" s="94"/>
      <c r="X376" s="98"/>
      <c r="Y376" s="98"/>
      <c r="Z376" s="98"/>
      <c r="AA376" s="98"/>
      <c r="AB376" s="98"/>
      <c r="AC376" s="97"/>
      <c r="AD376" s="99"/>
      <c r="AE376" s="95"/>
      <c r="AF376" s="94"/>
      <c r="AG376" s="89"/>
      <c r="AH376" s="89"/>
      <c r="AI376" s="89"/>
      <c r="AJ376" s="89"/>
      <c r="AK376" s="89"/>
      <c r="AL376" s="89"/>
      <c r="AM376" s="89"/>
      <c r="AN376" s="89"/>
      <c r="AO376" s="89"/>
      <c r="AP376" s="89"/>
      <c r="AQ376" s="89"/>
      <c r="AR376" s="89"/>
      <c r="AS376" s="89"/>
      <c r="AT376" s="89"/>
      <c r="AU376" s="89"/>
      <c r="AV376" s="89"/>
      <c r="AW376" s="100"/>
      <c r="AX376" s="100"/>
      <c r="AY376" s="89"/>
      <c r="AZ376" s="89"/>
      <c r="BA376" s="89"/>
      <c r="BB376" s="89"/>
      <c r="BC376" s="89"/>
      <c r="BD376" s="89"/>
      <c r="BE376" s="89"/>
      <c r="BF376" s="89"/>
      <c r="BG376" s="89"/>
      <c r="BH376" s="89"/>
      <c r="BI376" s="89"/>
      <c r="BJ376" s="89"/>
      <c r="BK376" s="89"/>
      <c r="BL376" s="89"/>
      <c r="BM376" s="89"/>
      <c r="BN376" s="89"/>
      <c r="BO376" s="89"/>
      <c r="BP376" s="89"/>
      <c r="BQ376" s="89"/>
      <c r="BR376" s="89"/>
      <c r="BS376" s="89"/>
    </row>
    <row r="377" spans="1:71" ht="27" customHeight="1" x14ac:dyDescent="0.2">
      <c r="A377" s="93"/>
      <c r="B377" s="89"/>
      <c r="C377" s="89"/>
      <c r="D377" s="89"/>
      <c r="E377" s="89"/>
      <c r="F377" s="89"/>
      <c r="G377" s="89"/>
      <c r="H377" s="94"/>
      <c r="I377" s="94"/>
      <c r="J377" s="94"/>
      <c r="K377" s="94"/>
      <c r="L377" s="94"/>
      <c r="M377" s="94"/>
      <c r="N377" s="94"/>
      <c r="O377" s="94"/>
      <c r="P377" s="94"/>
      <c r="Q377" s="94"/>
      <c r="R377" s="95"/>
      <c r="S377" s="94"/>
      <c r="T377" s="96"/>
      <c r="U377" s="94"/>
      <c r="V377" s="97"/>
      <c r="W377" s="94"/>
      <c r="X377" s="98"/>
      <c r="Y377" s="98"/>
      <c r="Z377" s="98"/>
      <c r="AA377" s="98"/>
      <c r="AB377" s="98"/>
      <c r="AC377" s="97"/>
      <c r="AD377" s="99"/>
      <c r="AE377" s="95"/>
      <c r="AF377" s="94"/>
      <c r="AG377" s="89"/>
      <c r="AH377" s="89"/>
      <c r="AI377" s="89"/>
      <c r="AJ377" s="89"/>
      <c r="AK377" s="89"/>
      <c r="AL377" s="89"/>
      <c r="AM377" s="89"/>
      <c r="AN377" s="89"/>
      <c r="AO377" s="89"/>
      <c r="AP377" s="89"/>
      <c r="AQ377" s="89"/>
      <c r="AR377" s="89"/>
      <c r="AS377" s="89"/>
      <c r="AT377" s="89"/>
      <c r="AU377" s="89"/>
      <c r="AV377" s="89"/>
      <c r="AW377" s="100"/>
      <c r="AX377" s="100"/>
      <c r="AY377" s="89"/>
      <c r="AZ377" s="89"/>
      <c r="BA377" s="89"/>
      <c r="BB377" s="89"/>
      <c r="BC377" s="89"/>
      <c r="BD377" s="89"/>
      <c r="BE377" s="89"/>
      <c r="BF377" s="89"/>
      <c r="BG377" s="89"/>
      <c r="BH377" s="89"/>
      <c r="BI377" s="89"/>
      <c r="BJ377" s="89"/>
      <c r="BK377" s="89"/>
      <c r="BL377" s="89"/>
      <c r="BM377" s="89"/>
      <c r="BN377" s="89"/>
      <c r="BO377" s="89"/>
      <c r="BP377" s="89"/>
      <c r="BQ377" s="89"/>
      <c r="BR377" s="89"/>
      <c r="BS377" s="89"/>
    </row>
    <row r="378" spans="1:71" ht="27" customHeight="1" x14ac:dyDescent="0.2">
      <c r="A378" s="93"/>
      <c r="B378" s="89"/>
      <c r="C378" s="89"/>
      <c r="D378" s="89"/>
      <c r="E378" s="89"/>
      <c r="F378" s="89"/>
      <c r="G378" s="89"/>
      <c r="H378" s="94"/>
      <c r="I378" s="94"/>
      <c r="J378" s="94"/>
      <c r="K378" s="94"/>
      <c r="L378" s="94"/>
      <c r="M378" s="94"/>
      <c r="N378" s="94"/>
      <c r="O378" s="94"/>
      <c r="P378" s="94"/>
      <c r="Q378" s="94"/>
      <c r="R378" s="95"/>
      <c r="S378" s="94"/>
      <c r="T378" s="96"/>
      <c r="U378" s="94"/>
      <c r="V378" s="97"/>
      <c r="W378" s="94"/>
      <c r="X378" s="98"/>
      <c r="Y378" s="98"/>
      <c r="Z378" s="98"/>
      <c r="AA378" s="98"/>
      <c r="AB378" s="98"/>
      <c r="AC378" s="97"/>
      <c r="AD378" s="99"/>
      <c r="AE378" s="95"/>
      <c r="AF378" s="94"/>
      <c r="AG378" s="89"/>
      <c r="AH378" s="89"/>
      <c r="AI378" s="89"/>
      <c r="AJ378" s="89"/>
      <c r="AK378" s="89"/>
      <c r="AL378" s="89"/>
      <c r="AM378" s="89"/>
      <c r="AN378" s="89"/>
      <c r="AO378" s="89"/>
      <c r="AP378" s="89"/>
      <c r="AQ378" s="89"/>
      <c r="AR378" s="89"/>
      <c r="AS378" s="89"/>
      <c r="AT378" s="89"/>
      <c r="AU378" s="89"/>
      <c r="AV378" s="89"/>
      <c r="AW378" s="100"/>
      <c r="AX378" s="100"/>
      <c r="AY378" s="89"/>
      <c r="AZ378" s="89"/>
      <c r="BA378" s="89"/>
      <c r="BB378" s="89"/>
      <c r="BC378" s="89"/>
      <c r="BD378" s="89"/>
      <c r="BE378" s="89"/>
      <c r="BF378" s="89"/>
      <c r="BG378" s="89"/>
      <c r="BH378" s="89"/>
      <c r="BI378" s="89"/>
      <c r="BJ378" s="89"/>
      <c r="BK378" s="89"/>
      <c r="BL378" s="89"/>
      <c r="BM378" s="89"/>
      <c r="BN378" s="89"/>
      <c r="BO378" s="89"/>
      <c r="BP378" s="89"/>
      <c r="BQ378" s="89"/>
      <c r="BR378" s="89"/>
      <c r="BS378" s="89"/>
    </row>
    <row r="379" spans="1:71" ht="27" customHeight="1" x14ac:dyDescent="0.2">
      <c r="A379" s="93"/>
      <c r="B379" s="89"/>
      <c r="C379" s="89"/>
      <c r="D379" s="89"/>
      <c r="E379" s="89"/>
      <c r="F379" s="89"/>
      <c r="G379" s="89"/>
      <c r="H379" s="94"/>
      <c r="I379" s="94"/>
      <c r="J379" s="94"/>
      <c r="K379" s="94"/>
      <c r="L379" s="94"/>
      <c r="M379" s="94"/>
      <c r="N379" s="94"/>
      <c r="O379" s="94"/>
      <c r="P379" s="94"/>
      <c r="Q379" s="94"/>
      <c r="R379" s="95"/>
      <c r="S379" s="94"/>
      <c r="T379" s="96"/>
      <c r="U379" s="94"/>
      <c r="V379" s="97"/>
      <c r="W379" s="94"/>
      <c r="X379" s="98"/>
      <c r="Y379" s="98"/>
      <c r="Z379" s="98"/>
      <c r="AA379" s="98"/>
      <c r="AB379" s="98"/>
      <c r="AC379" s="97"/>
      <c r="AD379" s="99"/>
      <c r="AE379" s="95"/>
      <c r="AF379" s="94"/>
      <c r="AG379" s="89"/>
      <c r="AH379" s="89"/>
      <c r="AI379" s="89"/>
      <c r="AJ379" s="89"/>
      <c r="AK379" s="89"/>
      <c r="AL379" s="89"/>
      <c r="AM379" s="89"/>
      <c r="AN379" s="89"/>
      <c r="AO379" s="89"/>
      <c r="AP379" s="89"/>
      <c r="AQ379" s="89"/>
      <c r="AR379" s="89"/>
      <c r="AS379" s="89"/>
      <c r="AT379" s="89"/>
      <c r="AU379" s="89"/>
      <c r="AV379" s="89"/>
      <c r="AW379" s="100"/>
      <c r="AX379" s="100"/>
      <c r="AY379" s="89"/>
      <c r="AZ379" s="89"/>
      <c r="BA379" s="89"/>
      <c r="BB379" s="89"/>
      <c r="BC379" s="89"/>
      <c r="BD379" s="89"/>
      <c r="BE379" s="89"/>
      <c r="BF379" s="89"/>
      <c r="BG379" s="89"/>
      <c r="BH379" s="89"/>
      <c r="BI379" s="89"/>
      <c r="BJ379" s="89"/>
      <c r="BK379" s="89"/>
      <c r="BL379" s="89"/>
      <c r="BM379" s="89"/>
      <c r="BN379" s="89"/>
      <c r="BO379" s="89"/>
      <c r="BP379" s="89"/>
      <c r="BQ379" s="89"/>
      <c r="BR379" s="89"/>
      <c r="BS379" s="89"/>
    </row>
    <row r="380" spans="1:71" ht="27" customHeight="1" x14ac:dyDescent="0.2">
      <c r="A380" s="93"/>
      <c r="B380" s="89"/>
      <c r="C380" s="89"/>
      <c r="D380" s="89"/>
      <c r="E380" s="89"/>
      <c r="F380" s="89"/>
      <c r="G380" s="89"/>
      <c r="H380" s="94"/>
      <c r="I380" s="94"/>
      <c r="J380" s="94"/>
      <c r="K380" s="94"/>
      <c r="L380" s="94"/>
      <c r="M380" s="94"/>
      <c r="N380" s="94"/>
      <c r="O380" s="94"/>
      <c r="P380" s="94"/>
      <c r="Q380" s="94"/>
      <c r="R380" s="95"/>
      <c r="S380" s="94"/>
      <c r="T380" s="96"/>
      <c r="U380" s="94"/>
      <c r="V380" s="97"/>
      <c r="W380" s="94"/>
      <c r="X380" s="98"/>
      <c r="Y380" s="98"/>
      <c r="Z380" s="98"/>
      <c r="AA380" s="98"/>
      <c r="AB380" s="98"/>
      <c r="AC380" s="97"/>
      <c r="AD380" s="99"/>
      <c r="AE380" s="95"/>
      <c r="AF380" s="94"/>
      <c r="AG380" s="89"/>
      <c r="AH380" s="89"/>
      <c r="AI380" s="89"/>
      <c r="AJ380" s="89"/>
      <c r="AK380" s="89"/>
      <c r="AL380" s="89"/>
      <c r="AM380" s="89"/>
      <c r="AN380" s="89"/>
      <c r="AO380" s="89"/>
      <c r="AP380" s="89"/>
      <c r="AQ380" s="89"/>
      <c r="AR380" s="89"/>
      <c r="AS380" s="89"/>
      <c r="AT380" s="89"/>
      <c r="AU380" s="89"/>
      <c r="AV380" s="89"/>
      <c r="AW380" s="100"/>
      <c r="AX380" s="100"/>
      <c r="AY380" s="89"/>
      <c r="AZ380" s="89"/>
      <c r="BA380" s="89"/>
      <c r="BB380" s="89"/>
      <c r="BC380" s="89"/>
      <c r="BD380" s="89"/>
      <c r="BE380" s="89"/>
      <c r="BF380" s="89"/>
      <c r="BG380" s="89"/>
      <c r="BH380" s="89"/>
      <c r="BI380" s="89"/>
      <c r="BJ380" s="89"/>
      <c r="BK380" s="89"/>
      <c r="BL380" s="89"/>
      <c r="BM380" s="89"/>
      <c r="BN380" s="89"/>
      <c r="BO380" s="89"/>
      <c r="BP380" s="89"/>
      <c r="BQ380" s="89"/>
      <c r="BR380" s="89"/>
      <c r="BS380" s="89"/>
    </row>
    <row r="381" spans="1:71" ht="27" customHeight="1" x14ac:dyDescent="0.2">
      <c r="A381" s="93"/>
      <c r="B381" s="89"/>
      <c r="C381" s="89"/>
      <c r="D381" s="89"/>
      <c r="E381" s="89"/>
      <c r="F381" s="89"/>
      <c r="G381" s="89"/>
      <c r="H381" s="94"/>
      <c r="I381" s="94"/>
      <c r="J381" s="94"/>
      <c r="K381" s="94"/>
      <c r="L381" s="94"/>
      <c r="M381" s="94"/>
      <c r="N381" s="94"/>
      <c r="O381" s="94"/>
      <c r="P381" s="94"/>
      <c r="Q381" s="94"/>
      <c r="R381" s="95"/>
      <c r="S381" s="94"/>
      <c r="T381" s="96"/>
      <c r="U381" s="94"/>
      <c r="V381" s="97"/>
      <c r="W381" s="94"/>
      <c r="X381" s="98"/>
      <c r="Y381" s="98"/>
      <c r="Z381" s="98"/>
      <c r="AA381" s="98"/>
      <c r="AB381" s="98"/>
      <c r="AC381" s="97"/>
      <c r="AD381" s="99"/>
      <c r="AE381" s="95"/>
      <c r="AF381" s="94"/>
      <c r="AG381" s="89"/>
      <c r="AH381" s="89"/>
      <c r="AI381" s="89"/>
      <c r="AJ381" s="89"/>
      <c r="AK381" s="89"/>
      <c r="AL381" s="89"/>
      <c r="AM381" s="89"/>
      <c r="AN381" s="89"/>
      <c r="AO381" s="89"/>
      <c r="AP381" s="89"/>
      <c r="AQ381" s="89"/>
      <c r="AR381" s="89"/>
      <c r="AS381" s="89"/>
      <c r="AT381" s="89"/>
      <c r="AU381" s="89"/>
      <c r="AV381" s="89"/>
      <c r="AW381" s="100"/>
      <c r="AX381" s="100"/>
      <c r="AY381" s="89"/>
      <c r="AZ381" s="89"/>
      <c r="BA381" s="89"/>
      <c r="BB381" s="89"/>
      <c r="BC381" s="89"/>
      <c r="BD381" s="89"/>
      <c r="BE381" s="89"/>
      <c r="BF381" s="89"/>
      <c r="BG381" s="89"/>
      <c r="BH381" s="89"/>
      <c r="BI381" s="89"/>
      <c r="BJ381" s="89"/>
      <c r="BK381" s="89"/>
      <c r="BL381" s="89"/>
      <c r="BM381" s="89"/>
      <c r="BN381" s="89"/>
      <c r="BO381" s="89"/>
      <c r="BP381" s="89"/>
      <c r="BQ381" s="89"/>
      <c r="BR381" s="89"/>
      <c r="BS381" s="89"/>
    </row>
    <row r="382" spans="1:71" ht="27" customHeight="1" x14ac:dyDescent="0.2">
      <c r="A382" s="93"/>
      <c r="B382" s="89"/>
      <c r="C382" s="89"/>
      <c r="D382" s="89"/>
      <c r="E382" s="89"/>
      <c r="F382" s="89"/>
      <c r="G382" s="89"/>
      <c r="H382" s="94"/>
      <c r="I382" s="94"/>
      <c r="J382" s="94"/>
      <c r="K382" s="94"/>
      <c r="L382" s="94"/>
      <c r="M382" s="94"/>
      <c r="N382" s="94"/>
      <c r="O382" s="94"/>
      <c r="P382" s="94"/>
      <c r="Q382" s="94"/>
      <c r="R382" s="95"/>
      <c r="S382" s="94"/>
      <c r="T382" s="96"/>
      <c r="U382" s="94"/>
      <c r="V382" s="97"/>
      <c r="W382" s="94"/>
      <c r="X382" s="98"/>
      <c r="Y382" s="98"/>
      <c r="Z382" s="98"/>
      <c r="AA382" s="98"/>
      <c r="AB382" s="98"/>
      <c r="AC382" s="97"/>
      <c r="AD382" s="99"/>
      <c r="AE382" s="95"/>
      <c r="AF382" s="94"/>
      <c r="AG382" s="89"/>
      <c r="AH382" s="89"/>
      <c r="AI382" s="89"/>
      <c r="AJ382" s="89"/>
      <c r="AK382" s="89"/>
      <c r="AL382" s="89"/>
      <c r="AM382" s="89"/>
      <c r="AN382" s="89"/>
      <c r="AO382" s="89"/>
      <c r="AP382" s="89"/>
      <c r="AQ382" s="89"/>
      <c r="AR382" s="89"/>
      <c r="AS382" s="89"/>
      <c r="AT382" s="89"/>
      <c r="AU382" s="89"/>
      <c r="AV382" s="89"/>
      <c r="AW382" s="100"/>
      <c r="AX382" s="100"/>
      <c r="AY382" s="89"/>
      <c r="AZ382" s="89"/>
      <c r="BA382" s="89"/>
      <c r="BB382" s="89"/>
      <c r="BC382" s="89"/>
      <c r="BD382" s="89"/>
      <c r="BE382" s="89"/>
      <c r="BF382" s="89"/>
      <c r="BG382" s="89"/>
      <c r="BH382" s="89"/>
      <c r="BI382" s="89"/>
      <c r="BJ382" s="89"/>
      <c r="BK382" s="89"/>
      <c r="BL382" s="89"/>
      <c r="BM382" s="89"/>
      <c r="BN382" s="89"/>
      <c r="BO382" s="89"/>
      <c r="BP382" s="89"/>
      <c r="BQ382" s="89"/>
      <c r="BR382" s="89"/>
      <c r="BS382" s="89"/>
    </row>
    <row r="383" spans="1:71" ht="27" customHeight="1" x14ac:dyDescent="0.2">
      <c r="A383" s="93"/>
      <c r="B383" s="89"/>
      <c r="C383" s="89"/>
      <c r="D383" s="89"/>
      <c r="E383" s="89"/>
      <c r="F383" s="89"/>
      <c r="G383" s="89"/>
      <c r="H383" s="94"/>
      <c r="I383" s="94"/>
      <c r="J383" s="94"/>
      <c r="K383" s="94"/>
      <c r="L383" s="94"/>
      <c r="M383" s="94"/>
      <c r="N383" s="94"/>
      <c r="O383" s="94"/>
      <c r="P383" s="94"/>
      <c r="Q383" s="94"/>
      <c r="R383" s="95"/>
      <c r="S383" s="94"/>
      <c r="T383" s="96"/>
      <c r="U383" s="94"/>
      <c r="V383" s="97"/>
      <c r="W383" s="94"/>
      <c r="X383" s="98"/>
      <c r="Y383" s="98"/>
      <c r="Z383" s="98"/>
      <c r="AA383" s="98"/>
      <c r="AB383" s="98"/>
      <c r="AC383" s="97"/>
      <c r="AD383" s="99"/>
      <c r="AE383" s="95"/>
      <c r="AF383" s="94"/>
      <c r="AG383" s="89"/>
      <c r="AH383" s="89"/>
      <c r="AI383" s="89"/>
      <c r="AJ383" s="89"/>
      <c r="AK383" s="89"/>
      <c r="AL383" s="89"/>
      <c r="AM383" s="89"/>
      <c r="AN383" s="89"/>
      <c r="AO383" s="89"/>
      <c r="AP383" s="89"/>
      <c r="AQ383" s="89"/>
      <c r="AR383" s="89"/>
      <c r="AS383" s="89"/>
      <c r="AT383" s="89"/>
      <c r="AU383" s="89"/>
      <c r="AV383" s="89"/>
      <c r="AW383" s="100"/>
      <c r="AX383" s="100"/>
      <c r="AY383" s="89"/>
      <c r="AZ383" s="89"/>
      <c r="BA383" s="89"/>
      <c r="BB383" s="89"/>
      <c r="BC383" s="89"/>
      <c r="BD383" s="89"/>
      <c r="BE383" s="89"/>
      <c r="BF383" s="89"/>
      <c r="BG383" s="89"/>
      <c r="BH383" s="89"/>
      <c r="BI383" s="89"/>
      <c r="BJ383" s="89"/>
      <c r="BK383" s="89"/>
      <c r="BL383" s="89"/>
      <c r="BM383" s="89"/>
      <c r="BN383" s="89"/>
      <c r="BO383" s="89"/>
      <c r="BP383" s="89"/>
      <c r="BQ383" s="89"/>
      <c r="BR383" s="89"/>
      <c r="BS383" s="89"/>
    </row>
    <row r="384" spans="1:71" ht="27" customHeight="1" x14ac:dyDescent="0.2">
      <c r="A384" s="93"/>
      <c r="B384" s="89"/>
      <c r="C384" s="89"/>
      <c r="D384" s="89"/>
      <c r="E384" s="89"/>
      <c r="F384" s="89"/>
      <c r="G384" s="89"/>
      <c r="H384" s="94"/>
      <c r="I384" s="94"/>
      <c r="J384" s="94"/>
      <c r="K384" s="94"/>
      <c r="L384" s="94"/>
      <c r="M384" s="94"/>
      <c r="N384" s="94"/>
      <c r="O384" s="94"/>
      <c r="P384" s="94"/>
      <c r="Q384" s="94"/>
      <c r="R384" s="95"/>
      <c r="S384" s="94"/>
      <c r="T384" s="96"/>
      <c r="U384" s="94"/>
      <c r="V384" s="97"/>
      <c r="W384" s="94"/>
      <c r="X384" s="98"/>
      <c r="Y384" s="98"/>
      <c r="Z384" s="98"/>
      <c r="AA384" s="98"/>
      <c r="AB384" s="98"/>
      <c r="AC384" s="97"/>
      <c r="AD384" s="99"/>
      <c r="AE384" s="95"/>
      <c r="AF384" s="94"/>
      <c r="AG384" s="89"/>
      <c r="AH384" s="89"/>
      <c r="AI384" s="89"/>
      <c r="AJ384" s="89"/>
      <c r="AK384" s="89"/>
      <c r="AL384" s="89"/>
      <c r="AM384" s="89"/>
      <c r="AN384" s="89"/>
      <c r="AO384" s="89"/>
      <c r="AP384" s="89"/>
      <c r="AQ384" s="89"/>
      <c r="AR384" s="89"/>
      <c r="AS384" s="89"/>
      <c r="AT384" s="89"/>
      <c r="AU384" s="89"/>
      <c r="AV384" s="89"/>
      <c r="AW384" s="100"/>
      <c r="AX384" s="100"/>
      <c r="AY384" s="89"/>
      <c r="AZ384" s="89"/>
      <c r="BA384" s="89"/>
      <c r="BB384" s="89"/>
      <c r="BC384" s="89"/>
      <c r="BD384" s="89"/>
      <c r="BE384" s="89"/>
      <c r="BF384" s="89"/>
      <c r="BG384" s="89"/>
      <c r="BH384" s="89"/>
      <c r="BI384" s="89"/>
      <c r="BJ384" s="89"/>
      <c r="BK384" s="89"/>
      <c r="BL384" s="89"/>
      <c r="BM384" s="89"/>
      <c r="BN384" s="89"/>
      <c r="BO384" s="89"/>
      <c r="BP384" s="89"/>
      <c r="BQ384" s="89"/>
      <c r="BR384" s="89"/>
      <c r="BS384" s="89"/>
    </row>
    <row r="385" spans="1:71" ht="27" customHeight="1" x14ac:dyDescent="0.2">
      <c r="A385" s="93"/>
      <c r="B385" s="89"/>
      <c r="C385" s="89"/>
      <c r="D385" s="89"/>
      <c r="E385" s="89"/>
      <c r="F385" s="89"/>
      <c r="G385" s="89"/>
      <c r="H385" s="94"/>
      <c r="I385" s="94"/>
      <c r="J385" s="94"/>
      <c r="K385" s="94"/>
      <c r="L385" s="94"/>
      <c r="M385" s="94"/>
      <c r="N385" s="94"/>
      <c r="O385" s="94"/>
      <c r="P385" s="94"/>
      <c r="Q385" s="94"/>
      <c r="R385" s="95"/>
      <c r="S385" s="94"/>
      <c r="T385" s="96"/>
      <c r="U385" s="94"/>
      <c r="V385" s="97"/>
      <c r="W385" s="94"/>
      <c r="X385" s="98"/>
      <c r="Y385" s="98"/>
      <c r="Z385" s="98"/>
      <c r="AA385" s="98"/>
      <c r="AB385" s="98"/>
      <c r="AC385" s="97"/>
      <c r="AD385" s="99"/>
      <c r="AE385" s="95"/>
      <c r="AF385" s="94"/>
      <c r="AG385" s="89"/>
      <c r="AH385" s="89"/>
      <c r="AI385" s="89"/>
      <c r="AJ385" s="89"/>
      <c r="AK385" s="89"/>
      <c r="AL385" s="89"/>
      <c r="AM385" s="89"/>
      <c r="AN385" s="89"/>
      <c r="AO385" s="89"/>
      <c r="AP385" s="89"/>
      <c r="AQ385" s="89"/>
      <c r="AR385" s="89"/>
      <c r="AS385" s="89"/>
      <c r="AT385" s="89"/>
      <c r="AU385" s="89"/>
      <c r="AV385" s="89"/>
      <c r="AW385" s="100"/>
      <c r="AX385" s="100"/>
      <c r="AY385" s="89"/>
      <c r="AZ385" s="89"/>
      <c r="BA385" s="89"/>
      <c r="BB385" s="89"/>
      <c r="BC385" s="89"/>
      <c r="BD385" s="89"/>
      <c r="BE385" s="89"/>
      <c r="BF385" s="89"/>
      <c r="BG385" s="89"/>
      <c r="BH385" s="89"/>
      <c r="BI385" s="89"/>
      <c r="BJ385" s="89"/>
      <c r="BK385" s="89"/>
      <c r="BL385" s="89"/>
      <c r="BM385" s="89"/>
      <c r="BN385" s="89"/>
      <c r="BO385" s="89"/>
      <c r="BP385" s="89"/>
      <c r="BQ385" s="89"/>
      <c r="BR385" s="89"/>
      <c r="BS385" s="89"/>
    </row>
    <row r="386" spans="1:71" ht="27" customHeight="1" x14ac:dyDescent="0.2">
      <c r="A386" s="93"/>
      <c r="B386" s="89"/>
      <c r="C386" s="89"/>
      <c r="D386" s="89"/>
      <c r="E386" s="89"/>
      <c r="F386" s="89"/>
      <c r="G386" s="89"/>
      <c r="H386" s="94"/>
      <c r="I386" s="94"/>
      <c r="J386" s="94"/>
      <c r="K386" s="94"/>
      <c r="L386" s="94"/>
      <c r="M386" s="94"/>
      <c r="N386" s="94"/>
      <c r="O386" s="94"/>
      <c r="P386" s="94"/>
      <c r="Q386" s="94"/>
      <c r="R386" s="95"/>
      <c r="S386" s="94"/>
      <c r="T386" s="96"/>
      <c r="U386" s="94"/>
      <c r="V386" s="97"/>
      <c r="W386" s="94"/>
      <c r="X386" s="98"/>
      <c r="Y386" s="98"/>
      <c r="Z386" s="98"/>
      <c r="AA386" s="98"/>
      <c r="AB386" s="98"/>
      <c r="AC386" s="97"/>
      <c r="AD386" s="99"/>
      <c r="AE386" s="95"/>
      <c r="AF386" s="94"/>
      <c r="AG386" s="89"/>
      <c r="AH386" s="89"/>
      <c r="AI386" s="89"/>
      <c r="AJ386" s="89"/>
      <c r="AK386" s="89"/>
      <c r="AL386" s="89"/>
      <c r="AM386" s="89"/>
      <c r="AN386" s="89"/>
      <c r="AO386" s="89"/>
      <c r="AP386" s="89"/>
      <c r="AQ386" s="89"/>
      <c r="AR386" s="89"/>
      <c r="AS386" s="89"/>
      <c r="AT386" s="89"/>
      <c r="AU386" s="89"/>
      <c r="AV386" s="89"/>
      <c r="AW386" s="100"/>
      <c r="AX386" s="100"/>
      <c r="AY386" s="89"/>
      <c r="AZ386" s="89"/>
      <c r="BA386" s="89"/>
      <c r="BB386" s="89"/>
      <c r="BC386" s="89"/>
      <c r="BD386" s="89"/>
      <c r="BE386" s="89"/>
      <c r="BF386" s="89"/>
      <c r="BG386" s="89"/>
      <c r="BH386" s="89"/>
      <c r="BI386" s="89"/>
      <c r="BJ386" s="89"/>
      <c r="BK386" s="89"/>
      <c r="BL386" s="89"/>
      <c r="BM386" s="89"/>
      <c r="BN386" s="89"/>
      <c r="BO386" s="89"/>
      <c r="BP386" s="89"/>
      <c r="BQ386" s="89"/>
      <c r="BR386" s="89"/>
      <c r="BS386" s="89"/>
    </row>
    <row r="387" spans="1:71" ht="27" customHeight="1" x14ac:dyDescent="0.2">
      <c r="A387" s="93"/>
      <c r="B387" s="89"/>
      <c r="C387" s="89"/>
      <c r="D387" s="89"/>
      <c r="E387" s="89"/>
      <c r="F387" s="89"/>
      <c r="G387" s="89"/>
      <c r="H387" s="94"/>
      <c r="I387" s="94"/>
      <c r="J387" s="94"/>
      <c r="K387" s="94"/>
      <c r="L387" s="94"/>
      <c r="M387" s="94"/>
      <c r="N387" s="94"/>
      <c r="O387" s="94"/>
      <c r="P387" s="94"/>
      <c r="Q387" s="94"/>
      <c r="R387" s="95"/>
      <c r="S387" s="94"/>
      <c r="T387" s="96"/>
      <c r="U387" s="94"/>
      <c r="V387" s="97"/>
      <c r="W387" s="94"/>
      <c r="X387" s="98"/>
      <c r="Y387" s="98"/>
      <c r="Z387" s="98"/>
      <c r="AA387" s="98"/>
      <c r="AB387" s="98"/>
      <c r="AC387" s="97"/>
      <c r="AD387" s="99"/>
      <c r="AE387" s="95"/>
      <c r="AF387" s="94"/>
      <c r="AG387" s="89"/>
      <c r="AH387" s="89"/>
      <c r="AI387" s="89"/>
      <c r="AJ387" s="89"/>
      <c r="AK387" s="89"/>
      <c r="AL387" s="89"/>
      <c r="AM387" s="89"/>
      <c r="AN387" s="89"/>
      <c r="AO387" s="89"/>
      <c r="AP387" s="89"/>
      <c r="AQ387" s="89"/>
      <c r="AR387" s="89"/>
      <c r="AS387" s="89"/>
      <c r="AT387" s="89"/>
      <c r="AU387" s="89"/>
      <c r="AV387" s="89"/>
      <c r="AW387" s="100"/>
      <c r="AX387" s="100"/>
      <c r="AY387" s="89"/>
      <c r="AZ387" s="89"/>
      <c r="BA387" s="89"/>
      <c r="BB387" s="89"/>
      <c r="BC387" s="89"/>
      <c r="BD387" s="89"/>
      <c r="BE387" s="89"/>
      <c r="BF387" s="89"/>
      <c r="BG387" s="89"/>
      <c r="BH387" s="89"/>
      <c r="BI387" s="89"/>
      <c r="BJ387" s="89"/>
      <c r="BK387" s="89"/>
      <c r="BL387" s="89"/>
      <c r="BM387" s="89"/>
      <c r="BN387" s="89"/>
      <c r="BO387" s="89"/>
      <c r="BP387" s="89"/>
      <c r="BQ387" s="89"/>
      <c r="BR387" s="89"/>
      <c r="BS387" s="89"/>
    </row>
    <row r="388" spans="1:71" ht="27" customHeight="1" x14ac:dyDescent="0.2">
      <c r="A388" s="93"/>
      <c r="B388" s="89"/>
      <c r="C388" s="89"/>
      <c r="D388" s="89"/>
      <c r="E388" s="89"/>
      <c r="F388" s="89"/>
      <c r="G388" s="89"/>
      <c r="H388" s="94"/>
      <c r="I388" s="94"/>
      <c r="J388" s="94"/>
      <c r="K388" s="94"/>
      <c r="L388" s="94"/>
      <c r="M388" s="94"/>
      <c r="N388" s="94"/>
      <c r="O388" s="94"/>
      <c r="P388" s="94"/>
      <c r="Q388" s="94"/>
      <c r="R388" s="95"/>
      <c r="S388" s="94"/>
      <c r="T388" s="96"/>
      <c r="U388" s="94"/>
      <c r="V388" s="97"/>
      <c r="W388" s="94"/>
      <c r="X388" s="98"/>
      <c r="Y388" s="98"/>
      <c r="Z388" s="98"/>
      <c r="AA388" s="98"/>
      <c r="AB388" s="98"/>
      <c r="AC388" s="97"/>
      <c r="AD388" s="99"/>
      <c r="AE388" s="95"/>
      <c r="AF388" s="94"/>
      <c r="AG388" s="89"/>
      <c r="AH388" s="89"/>
      <c r="AI388" s="89"/>
      <c r="AJ388" s="89"/>
      <c r="AK388" s="89"/>
      <c r="AL388" s="89"/>
      <c r="AM388" s="89"/>
      <c r="AN388" s="89"/>
      <c r="AO388" s="89"/>
      <c r="AP388" s="89"/>
      <c r="AQ388" s="89"/>
      <c r="AR388" s="89"/>
      <c r="AS388" s="89"/>
      <c r="AT388" s="89"/>
      <c r="AU388" s="89"/>
      <c r="AV388" s="89"/>
      <c r="AW388" s="100"/>
      <c r="AX388" s="100"/>
      <c r="AY388" s="89"/>
      <c r="AZ388" s="89"/>
      <c r="BA388" s="89"/>
      <c r="BB388" s="89"/>
      <c r="BC388" s="89"/>
      <c r="BD388" s="89"/>
      <c r="BE388" s="89"/>
      <c r="BF388" s="89"/>
      <c r="BG388" s="89"/>
      <c r="BH388" s="89"/>
      <c r="BI388" s="89"/>
      <c r="BJ388" s="89"/>
      <c r="BK388" s="89"/>
      <c r="BL388" s="89"/>
      <c r="BM388" s="89"/>
      <c r="BN388" s="89"/>
      <c r="BO388" s="89"/>
      <c r="BP388" s="89"/>
      <c r="BQ388" s="89"/>
      <c r="BR388" s="89"/>
      <c r="BS388" s="89"/>
    </row>
    <row r="389" spans="1:71" ht="27" customHeight="1" x14ac:dyDescent="0.2">
      <c r="A389" s="93"/>
      <c r="B389" s="89"/>
      <c r="C389" s="89"/>
      <c r="D389" s="89"/>
      <c r="E389" s="89"/>
      <c r="F389" s="89"/>
      <c r="G389" s="89"/>
      <c r="H389" s="94"/>
      <c r="I389" s="94"/>
      <c r="J389" s="94"/>
      <c r="K389" s="94"/>
      <c r="L389" s="94"/>
      <c r="M389" s="94"/>
      <c r="N389" s="94"/>
      <c r="O389" s="94"/>
      <c r="P389" s="94"/>
      <c r="Q389" s="94"/>
      <c r="R389" s="95"/>
      <c r="S389" s="94"/>
      <c r="T389" s="96"/>
      <c r="U389" s="94"/>
      <c r="V389" s="97"/>
      <c r="W389" s="94"/>
      <c r="X389" s="98"/>
      <c r="Y389" s="98"/>
      <c r="Z389" s="98"/>
      <c r="AA389" s="98"/>
      <c r="AB389" s="98"/>
      <c r="AC389" s="97"/>
      <c r="AD389" s="99"/>
      <c r="AE389" s="95"/>
      <c r="AF389" s="94"/>
      <c r="AG389" s="89"/>
      <c r="AH389" s="89"/>
      <c r="AI389" s="89"/>
      <c r="AJ389" s="89"/>
      <c r="AK389" s="89"/>
      <c r="AL389" s="89"/>
      <c r="AM389" s="89"/>
      <c r="AN389" s="89"/>
      <c r="AO389" s="89"/>
      <c r="AP389" s="89"/>
      <c r="AQ389" s="89"/>
      <c r="AR389" s="89"/>
      <c r="AS389" s="89"/>
      <c r="AT389" s="89"/>
      <c r="AU389" s="89"/>
      <c r="AV389" s="89"/>
      <c r="AW389" s="100"/>
      <c r="AX389" s="100"/>
      <c r="AY389" s="89"/>
      <c r="AZ389" s="89"/>
      <c r="BA389" s="89"/>
      <c r="BB389" s="89"/>
      <c r="BC389" s="89"/>
      <c r="BD389" s="89"/>
      <c r="BE389" s="89"/>
      <c r="BF389" s="89"/>
      <c r="BG389" s="89"/>
      <c r="BH389" s="89"/>
      <c r="BI389" s="89"/>
      <c r="BJ389" s="89"/>
      <c r="BK389" s="89"/>
      <c r="BL389" s="89"/>
      <c r="BM389" s="89"/>
      <c r="BN389" s="89"/>
      <c r="BO389" s="89"/>
      <c r="BP389" s="89"/>
      <c r="BQ389" s="89"/>
      <c r="BR389" s="89"/>
      <c r="BS389" s="89"/>
    </row>
    <row r="390" spans="1:71" ht="27" customHeight="1" x14ac:dyDescent="0.2">
      <c r="A390" s="93"/>
      <c r="B390" s="89"/>
      <c r="C390" s="89"/>
      <c r="D390" s="89"/>
      <c r="E390" s="89"/>
      <c r="F390" s="89"/>
      <c r="G390" s="89"/>
      <c r="H390" s="94"/>
      <c r="I390" s="94"/>
      <c r="J390" s="94"/>
      <c r="K390" s="94"/>
      <c r="L390" s="94"/>
      <c r="M390" s="94"/>
      <c r="N390" s="94"/>
      <c r="O390" s="94"/>
      <c r="P390" s="94"/>
      <c r="Q390" s="94"/>
      <c r="R390" s="95"/>
      <c r="S390" s="94"/>
      <c r="T390" s="96"/>
      <c r="U390" s="94"/>
      <c r="V390" s="97"/>
      <c r="W390" s="94"/>
      <c r="X390" s="98"/>
      <c r="Y390" s="98"/>
      <c r="Z390" s="98"/>
      <c r="AA390" s="98"/>
      <c r="AB390" s="98"/>
      <c r="AC390" s="97"/>
      <c r="AD390" s="99"/>
      <c r="AE390" s="95"/>
      <c r="AF390" s="94"/>
      <c r="AG390" s="89"/>
      <c r="AH390" s="89"/>
      <c r="AI390" s="89"/>
      <c r="AJ390" s="89"/>
      <c r="AK390" s="89"/>
      <c r="AL390" s="89"/>
      <c r="AM390" s="89"/>
      <c r="AN390" s="89"/>
      <c r="AO390" s="89"/>
      <c r="AP390" s="89"/>
      <c r="AQ390" s="89"/>
      <c r="AR390" s="89"/>
      <c r="AS390" s="89"/>
      <c r="AT390" s="89"/>
      <c r="AU390" s="89"/>
      <c r="AV390" s="89"/>
      <c r="AW390" s="100"/>
      <c r="AX390" s="100"/>
      <c r="AY390" s="89"/>
      <c r="AZ390" s="89"/>
      <c r="BA390" s="89"/>
      <c r="BB390" s="89"/>
      <c r="BC390" s="89"/>
      <c r="BD390" s="89"/>
      <c r="BE390" s="89"/>
      <c r="BF390" s="89"/>
      <c r="BG390" s="89"/>
      <c r="BH390" s="89"/>
      <c r="BI390" s="89"/>
      <c r="BJ390" s="89"/>
      <c r="BK390" s="89"/>
      <c r="BL390" s="89"/>
      <c r="BM390" s="89"/>
      <c r="BN390" s="89"/>
      <c r="BO390" s="89"/>
      <c r="BP390" s="89"/>
      <c r="BQ390" s="89"/>
      <c r="BR390" s="89"/>
      <c r="BS390" s="89"/>
    </row>
    <row r="391" spans="1:71" ht="27" customHeight="1" x14ac:dyDescent="0.2">
      <c r="A391" s="93"/>
      <c r="B391" s="89"/>
      <c r="C391" s="89"/>
      <c r="D391" s="89"/>
      <c r="E391" s="89"/>
      <c r="F391" s="89"/>
      <c r="G391" s="89"/>
      <c r="H391" s="94"/>
      <c r="I391" s="94"/>
      <c r="J391" s="94"/>
      <c r="K391" s="94"/>
      <c r="L391" s="94"/>
      <c r="M391" s="94"/>
      <c r="N391" s="94"/>
      <c r="O391" s="94"/>
      <c r="P391" s="94"/>
      <c r="Q391" s="94"/>
      <c r="R391" s="95"/>
      <c r="S391" s="94"/>
      <c r="T391" s="96"/>
      <c r="U391" s="94"/>
      <c r="V391" s="97"/>
      <c r="W391" s="94"/>
      <c r="X391" s="98"/>
      <c r="Y391" s="98"/>
      <c r="Z391" s="98"/>
      <c r="AA391" s="98"/>
      <c r="AB391" s="98"/>
      <c r="AC391" s="97"/>
      <c r="AD391" s="99"/>
      <c r="AE391" s="95"/>
      <c r="AF391" s="94"/>
      <c r="AG391" s="89"/>
      <c r="AH391" s="89"/>
      <c r="AI391" s="89"/>
      <c r="AJ391" s="89"/>
      <c r="AK391" s="89"/>
      <c r="AL391" s="89"/>
      <c r="AM391" s="89"/>
      <c r="AN391" s="89"/>
      <c r="AO391" s="89"/>
      <c r="AP391" s="89"/>
      <c r="AQ391" s="89"/>
      <c r="AR391" s="89"/>
      <c r="AS391" s="89"/>
      <c r="AT391" s="89"/>
      <c r="AU391" s="89"/>
      <c r="AV391" s="89"/>
      <c r="AW391" s="100"/>
      <c r="AX391" s="100"/>
      <c r="AY391" s="89"/>
      <c r="AZ391" s="89"/>
      <c r="BA391" s="89"/>
      <c r="BB391" s="89"/>
      <c r="BC391" s="89"/>
      <c r="BD391" s="89"/>
      <c r="BE391" s="89"/>
      <c r="BF391" s="89"/>
      <c r="BG391" s="89"/>
      <c r="BH391" s="89"/>
      <c r="BI391" s="89"/>
      <c r="BJ391" s="89"/>
      <c r="BK391" s="89"/>
      <c r="BL391" s="89"/>
      <c r="BM391" s="89"/>
      <c r="BN391" s="89"/>
      <c r="BO391" s="89"/>
      <c r="BP391" s="89"/>
      <c r="BQ391" s="89"/>
      <c r="BR391" s="89"/>
      <c r="BS391" s="89"/>
    </row>
    <row r="392" spans="1:71" ht="27" customHeight="1" x14ac:dyDescent="0.2">
      <c r="A392" s="93"/>
      <c r="B392" s="89"/>
      <c r="C392" s="89"/>
      <c r="D392" s="89"/>
      <c r="E392" s="89"/>
      <c r="F392" s="89"/>
      <c r="G392" s="89"/>
      <c r="H392" s="94"/>
      <c r="I392" s="94"/>
      <c r="J392" s="94"/>
      <c r="K392" s="94"/>
      <c r="L392" s="94"/>
      <c r="M392" s="94"/>
      <c r="N392" s="94"/>
      <c r="O392" s="94"/>
      <c r="P392" s="94"/>
      <c r="Q392" s="94"/>
      <c r="R392" s="95"/>
      <c r="S392" s="94"/>
      <c r="T392" s="96"/>
      <c r="U392" s="94"/>
      <c r="V392" s="97"/>
      <c r="W392" s="94"/>
      <c r="X392" s="98"/>
      <c r="Y392" s="98"/>
      <c r="Z392" s="98"/>
      <c r="AA392" s="98"/>
      <c r="AB392" s="98"/>
      <c r="AC392" s="97"/>
      <c r="AD392" s="99"/>
      <c r="AE392" s="95"/>
      <c r="AF392" s="94"/>
      <c r="AG392" s="89"/>
      <c r="AH392" s="89"/>
      <c r="AI392" s="89"/>
      <c r="AJ392" s="89"/>
      <c r="AK392" s="89"/>
      <c r="AL392" s="89"/>
      <c r="AM392" s="89"/>
      <c r="AN392" s="89"/>
      <c r="AO392" s="89"/>
      <c r="AP392" s="89"/>
      <c r="AQ392" s="89"/>
      <c r="AR392" s="89"/>
      <c r="AS392" s="89"/>
      <c r="AT392" s="89"/>
      <c r="AU392" s="89"/>
      <c r="AV392" s="89"/>
      <c r="AW392" s="100"/>
      <c r="AX392" s="100"/>
      <c r="AY392" s="89"/>
      <c r="AZ392" s="89"/>
      <c r="BA392" s="89"/>
      <c r="BB392" s="89"/>
      <c r="BC392" s="89"/>
      <c r="BD392" s="89"/>
      <c r="BE392" s="89"/>
      <c r="BF392" s="89"/>
      <c r="BG392" s="89"/>
      <c r="BH392" s="89"/>
      <c r="BI392" s="89"/>
      <c r="BJ392" s="89"/>
      <c r="BK392" s="89"/>
      <c r="BL392" s="89"/>
      <c r="BM392" s="89"/>
      <c r="BN392" s="89"/>
      <c r="BO392" s="89"/>
      <c r="BP392" s="89"/>
      <c r="BQ392" s="89"/>
      <c r="BR392" s="89"/>
      <c r="BS392" s="89"/>
    </row>
    <row r="393" spans="1:71" ht="27" customHeight="1" x14ac:dyDescent="0.2">
      <c r="A393" s="93"/>
      <c r="B393" s="89"/>
      <c r="C393" s="89"/>
      <c r="D393" s="89"/>
      <c r="E393" s="89"/>
      <c r="F393" s="89"/>
      <c r="G393" s="89"/>
      <c r="H393" s="94"/>
      <c r="I393" s="94"/>
      <c r="J393" s="94"/>
      <c r="K393" s="94"/>
      <c r="L393" s="94"/>
      <c r="M393" s="94"/>
      <c r="N393" s="94"/>
      <c r="O393" s="94"/>
      <c r="P393" s="94"/>
      <c r="Q393" s="94"/>
      <c r="R393" s="95"/>
      <c r="S393" s="94"/>
      <c r="T393" s="96"/>
      <c r="U393" s="94"/>
      <c r="V393" s="97"/>
      <c r="W393" s="94"/>
      <c r="X393" s="98"/>
      <c r="Y393" s="98"/>
      <c r="Z393" s="98"/>
      <c r="AA393" s="98"/>
      <c r="AB393" s="98"/>
      <c r="AC393" s="97"/>
      <c r="AD393" s="99"/>
      <c r="AE393" s="95"/>
      <c r="AF393" s="94"/>
      <c r="AG393" s="89"/>
      <c r="AH393" s="89"/>
      <c r="AI393" s="89"/>
      <c r="AJ393" s="89"/>
      <c r="AK393" s="89"/>
      <c r="AL393" s="89"/>
      <c r="AM393" s="89"/>
      <c r="AN393" s="89"/>
      <c r="AO393" s="89"/>
      <c r="AP393" s="89"/>
      <c r="AQ393" s="89"/>
      <c r="AR393" s="89"/>
      <c r="AS393" s="89"/>
      <c r="AT393" s="89"/>
      <c r="AU393" s="89"/>
      <c r="AV393" s="89"/>
      <c r="AW393" s="100"/>
      <c r="AX393" s="100"/>
      <c r="AY393" s="89"/>
      <c r="AZ393" s="89"/>
      <c r="BA393" s="89"/>
      <c r="BB393" s="89"/>
      <c r="BC393" s="89"/>
      <c r="BD393" s="89"/>
      <c r="BE393" s="89"/>
      <c r="BF393" s="89"/>
      <c r="BG393" s="89"/>
      <c r="BH393" s="89"/>
      <c r="BI393" s="89"/>
      <c r="BJ393" s="89"/>
      <c r="BK393" s="89"/>
      <c r="BL393" s="89"/>
      <c r="BM393" s="89"/>
      <c r="BN393" s="89"/>
      <c r="BO393" s="89"/>
      <c r="BP393" s="89"/>
      <c r="BQ393" s="89"/>
      <c r="BR393" s="89"/>
      <c r="BS393" s="89"/>
    </row>
    <row r="394" spans="1:71" ht="27" customHeight="1" x14ac:dyDescent="0.2">
      <c r="A394" s="93"/>
      <c r="B394" s="89"/>
      <c r="C394" s="89"/>
      <c r="D394" s="89"/>
      <c r="E394" s="89"/>
      <c r="F394" s="89"/>
      <c r="G394" s="89"/>
      <c r="H394" s="94"/>
      <c r="I394" s="94"/>
      <c r="J394" s="94"/>
      <c r="K394" s="94"/>
      <c r="L394" s="94"/>
      <c r="M394" s="94"/>
      <c r="N394" s="94"/>
      <c r="O394" s="94"/>
      <c r="P394" s="94"/>
      <c r="Q394" s="94"/>
      <c r="R394" s="95"/>
      <c r="S394" s="94"/>
      <c r="T394" s="96"/>
      <c r="U394" s="94"/>
      <c r="V394" s="97"/>
      <c r="W394" s="94"/>
      <c r="X394" s="98"/>
      <c r="Y394" s="98"/>
      <c r="Z394" s="98"/>
      <c r="AA394" s="98"/>
      <c r="AB394" s="98"/>
      <c r="AC394" s="97"/>
      <c r="AD394" s="99"/>
      <c r="AE394" s="95"/>
      <c r="AF394" s="94"/>
      <c r="AG394" s="89"/>
      <c r="AH394" s="89"/>
      <c r="AI394" s="89"/>
      <c r="AJ394" s="89"/>
      <c r="AK394" s="89"/>
      <c r="AL394" s="89"/>
      <c r="AM394" s="89"/>
      <c r="AN394" s="89"/>
      <c r="AO394" s="89"/>
      <c r="AP394" s="89"/>
      <c r="AQ394" s="89"/>
      <c r="AR394" s="89"/>
      <c r="AS394" s="89"/>
      <c r="AT394" s="89"/>
      <c r="AU394" s="89"/>
      <c r="AV394" s="89"/>
      <c r="AW394" s="100"/>
      <c r="AX394" s="100"/>
      <c r="AY394" s="89"/>
      <c r="AZ394" s="89"/>
      <c r="BA394" s="89"/>
      <c r="BB394" s="89"/>
      <c r="BC394" s="89"/>
      <c r="BD394" s="89"/>
      <c r="BE394" s="89"/>
      <c r="BF394" s="89"/>
      <c r="BG394" s="89"/>
      <c r="BH394" s="89"/>
      <c r="BI394" s="89"/>
      <c r="BJ394" s="89"/>
      <c r="BK394" s="89"/>
      <c r="BL394" s="89"/>
      <c r="BM394" s="89"/>
      <c r="BN394" s="89"/>
      <c r="BO394" s="89"/>
      <c r="BP394" s="89"/>
      <c r="BQ394" s="89"/>
      <c r="BR394" s="89"/>
      <c r="BS394" s="89"/>
    </row>
    <row r="395" spans="1:71" ht="27" customHeight="1" x14ac:dyDescent="0.2">
      <c r="A395" s="93"/>
      <c r="B395" s="89"/>
      <c r="C395" s="89"/>
      <c r="D395" s="89"/>
      <c r="E395" s="89"/>
      <c r="F395" s="89"/>
      <c r="G395" s="89"/>
      <c r="H395" s="94"/>
      <c r="I395" s="94"/>
      <c r="J395" s="94"/>
      <c r="K395" s="94"/>
      <c r="L395" s="94"/>
      <c r="M395" s="94"/>
      <c r="N395" s="94"/>
      <c r="O395" s="94"/>
      <c r="P395" s="94"/>
      <c r="Q395" s="94"/>
      <c r="R395" s="95"/>
      <c r="S395" s="94"/>
      <c r="T395" s="96"/>
      <c r="U395" s="94"/>
      <c r="V395" s="97"/>
      <c r="W395" s="94"/>
      <c r="X395" s="98"/>
      <c r="Y395" s="98"/>
      <c r="Z395" s="98"/>
      <c r="AA395" s="98"/>
      <c r="AB395" s="98"/>
      <c r="AC395" s="97"/>
      <c r="AD395" s="99"/>
      <c r="AE395" s="95"/>
      <c r="AF395" s="94"/>
      <c r="AG395" s="89"/>
      <c r="AH395" s="89"/>
      <c r="AI395" s="89"/>
      <c r="AJ395" s="89"/>
      <c r="AK395" s="89"/>
      <c r="AL395" s="89"/>
      <c r="AM395" s="89"/>
      <c r="AN395" s="89"/>
      <c r="AO395" s="89"/>
      <c r="AP395" s="89"/>
      <c r="AQ395" s="89"/>
      <c r="AR395" s="89"/>
      <c r="AS395" s="89"/>
      <c r="AT395" s="89"/>
      <c r="AU395" s="89"/>
      <c r="AV395" s="89"/>
      <c r="AW395" s="100"/>
      <c r="AX395" s="100"/>
      <c r="AY395" s="89"/>
      <c r="AZ395" s="89"/>
      <c r="BA395" s="89"/>
      <c r="BB395" s="89"/>
      <c r="BC395" s="89"/>
      <c r="BD395" s="89"/>
      <c r="BE395" s="89"/>
      <c r="BF395" s="89"/>
      <c r="BG395" s="89"/>
      <c r="BH395" s="89"/>
      <c r="BI395" s="89"/>
      <c r="BJ395" s="89"/>
      <c r="BK395" s="89"/>
      <c r="BL395" s="89"/>
      <c r="BM395" s="89"/>
      <c r="BN395" s="89"/>
      <c r="BO395" s="89"/>
      <c r="BP395" s="89"/>
      <c r="BQ395" s="89"/>
      <c r="BR395" s="89"/>
      <c r="BS395" s="89"/>
    </row>
    <row r="396" spans="1:71" ht="27" customHeight="1" x14ac:dyDescent="0.2">
      <c r="A396" s="93"/>
      <c r="B396" s="89"/>
      <c r="C396" s="89"/>
      <c r="D396" s="89"/>
      <c r="E396" s="89"/>
      <c r="F396" s="89"/>
      <c r="G396" s="89"/>
      <c r="H396" s="94"/>
      <c r="I396" s="94"/>
      <c r="J396" s="94"/>
      <c r="K396" s="94"/>
      <c r="L396" s="94"/>
      <c r="M396" s="94"/>
      <c r="N396" s="94"/>
      <c r="O396" s="94"/>
      <c r="P396" s="94"/>
      <c r="Q396" s="94"/>
      <c r="R396" s="95"/>
      <c r="S396" s="94"/>
      <c r="T396" s="96"/>
      <c r="U396" s="94"/>
      <c r="V396" s="97"/>
      <c r="W396" s="94"/>
      <c r="X396" s="98"/>
      <c r="Y396" s="98"/>
      <c r="Z396" s="98"/>
      <c r="AA396" s="98"/>
      <c r="AB396" s="98"/>
      <c r="AC396" s="97"/>
      <c r="AD396" s="99"/>
      <c r="AE396" s="95"/>
      <c r="AF396" s="94"/>
      <c r="AG396" s="89"/>
      <c r="AH396" s="89"/>
      <c r="AI396" s="89"/>
      <c r="AJ396" s="89"/>
      <c r="AK396" s="89"/>
      <c r="AL396" s="89"/>
      <c r="AM396" s="89"/>
      <c r="AN396" s="89"/>
      <c r="AO396" s="89"/>
      <c r="AP396" s="89"/>
      <c r="AQ396" s="89"/>
      <c r="AR396" s="89"/>
      <c r="AS396" s="89"/>
      <c r="AT396" s="89"/>
      <c r="AU396" s="89"/>
      <c r="AV396" s="89"/>
      <c r="AW396" s="100"/>
      <c r="AX396" s="100"/>
      <c r="AY396" s="89"/>
      <c r="AZ396" s="89"/>
      <c r="BA396" s="89"/>
      <c r="BB396" s="89"/>
      <c r="BC396" s="89"/>
      <c r="BD396" s="89"/>
      <c r="BE396" s="89"/>
      <c r="BF396" s="89"/>
      <c r="BG396" s="89"/>
      <c r="BH396" s="89"/>
      <c r="BI396" s="89"/>
      <c r="BJ396" s="89"/>
      <c r="BK396" s="89"/>
      <c r="BL396" s="89"/>
      <c r="BM396" s="89"/>
      <c r="BN396" s="89"/>
      <c r="BO396" s="89"/>
      <c r="BP396" s="89"/>
      <c r="BQ396" s="89"/>
      <c r="BR396" s="89"/>
      <c r="BS396" s="89"/>
    </row>
    <row r="397" spans="1:71" ht="27" customHeight="1" x14ac:dyDescent="0.2">
      <c r="A397" s="93"/>
      <c r="B397" s="89"/>
      <c r="C397" s="89"/>
      <c r="D397" s="89"/>
      <c r="E397" s="89"/>
      <c r="F397" s="89"/>
      <c r="G397" s="89"/>
      <c r="H397" s="94"/>
      <c r="I397" s="94"/>
      <c r="J397" s="94"/>
      <c r="K397" s="94"/>
      <c r="L397" s="94"/>
      <c r="M397" s="94"/>
      <c r="N397" s="94"/>
      <c r="O397" s="94"/>
      <c r="P397" s="94"/>
      <c r="Q397" s="94"/>
      <c r="R397" s="95"/>
      <c r="S397" s="94"/>
      <c r="T397" s="96"/>
      <c r="U397" s="94"/>
      <c r="V397" s="97"/>
      <c r="W397" s="94"/>
      <c r="X397" s="98"/>
      <c r="Y397" s="98"/>
      <c r="Z397" s="98"/>
      <c r="AA397" s="98"/>
      <c r="AB397" s="98"/>
      <c r="AC397" s="97"/>
      <c r="AD397" s="99"/>
      <c r="AE397" s="95"/>
      <c r="AF397" s="94"/>
      <c r="AG397" s="89"/>
      <c r="AH397" s="89"/>
      <c r="AI397" s="89"/>
      <c r="AJ397" s="89"/>
      <c r="AK397" s="89"/>
      <c r="AL397" s="89"/>
      <c r="AM397" s="89"/>
      <c r="AN397" s="89"/>
      <c r="AO397" s="89"/>
      <c r="AP397" s="89"/>
      <c r="AQ397" s="89"/>
      <c r="AR397" s="89"/>
      <c r="AS397" s="89"/>
      <c r="AT397" s="89"/>
      <c r="AU397" s="89"/>
      <c r="AV397" s="89"/>
      <c r="AW397" s="100"/>
      <c r="AX397" s="100"/>
      <c r="AY397" s="89"/>
      <c r="AZ397" s="89"/>
      <c r="BA397" s="89"/>
      <c r="BB397" s="89"/>
      <c r="BC397" s="89"/>
      <c r="BD397" s="89"/>
      <c r="BE397" s="89"/>
      <c r="BF397" s="89"/>
      <c r="BG397" s="89"/>
      <c r="BH397" s="89"/>
      <c r="BI397" s="89"/>
      <c r="BJ397" s="89"/>
      <c r="BK397" s="89"/>
      <c r="BL397" s="89"/>
      <c r="BM397" s="89"/>
      <c r="BN397" s="89"/>
      <c r="BO397" s="89"/>
      <c r="BP397" s="89"/>
      <c r="BQ397" s="89"/>
      <c r="BR397" s="89"/>
      <c r="BS397" s="89"/>
    </row>
    <row r="398" spans="1:71" ht="27" customHeight="1" x14ac:dyDescent="0.2">
      <c r="A398" s="93"/>
      <c r="B398" s="89"/>
      <c r="C398" s="89"/>
      <c r="D398" s="89"/>
      <c r="E398" s="89"/>
      <c r="F398" s="89"/>
      <c r="G398" s="89"/>
      <c r="H398" s="94"/>
      <c r="I398" s="94"/>
      <c r="J398" s="94"/>
      <c r="K398" s="94"/>
      <c r="L398" s="94"/>
      <c r="M398" s="94"/>
      <c r="N398" s="94"/>
      <c r="O398" s="94"/>
      <c r="P398" s="94"/>
      <c r="Q398" s="94"/>
      <c r="R398" s="95"/>
      <c r="S398" s="94"/>
      <c r="T398" s="96"/>
      <c r="U398" s="94"/>
      <c r="V398" s="97"/>
      <c r="W398" s="94"/>
      <c r="X398" s="98"/>
      <c r="Y398" s="98"/>
      <c r="Z398" s="98"/>
      <c r="AA398" s="98"/>
      <c r="AB398" s="98"/>
      <c r="AC398" s="97"/>
      <c r="AD398" s="99"/>
      <c r="AE398" s="95"/>
      <c r="AF398" s="94"/>
      <c r="AG398" s="89"/>
      <c r="AH398" s="89"/>
      <c r="AI398" s="89"/>
      <c r="AJ398" s="89"/>
      <c r="AK398" s="89"/>
      <c r="AL398" s="89"/>
      <c r="AM398" s="89"/>
      <c r="AN398" s="89"/>
      <c r="AO398" s="89"/>
      <c r="AP398" s="89"/>
      <c r="AQ398" s="89"/>
      <c r="AR398" s="89"/>
      <c r="AS398" s="89"/>
      <c r="AT398" s="89"/>
      <c r="AU398" s="89"/>
      <c r="AV398" s="89"/>
      <c r="AW398" s="100"/>
      <c r="AX398" s="100"/>
      <c r="AY398" s="89"/>
      <c r="AZ398" s="89"/>
      <c r="BA398" s="89"/>
      <c r="BB398" s="89"/>
      <c r="BC398" s="89"/>
      <c r="BD398" s="89"/>
      <c r="BE398" s="89"/>
      <c r="BF398" s="89"/>
      <c r="BG398" s="89"/>
      <c r="BH398" s="89"/>
      <c r="BI398" s="89"/>
      <c r="BJ398" s="89"/>
      <c r="BK398" s="89"/>
      <c r="BL398" s="89"/>
      <c r="BM398" s="89"/>
      <c r="BN398" s="89"/>
      <c r="BO398" s="89"/>
      <c r="BP398" s="89"/>
      <c r="BQ398" s="89"/>
      <c r="BR398" s="89"/>
      <c r="BS398" s="89"/>
    </row>
    <row r="399" spans="1:71" ht="27" customHeight="1" x14ac:dyDescent="0.2">
      <c r="A399" s="93"/>
      <c r="B399" s="89"/>
      <c r="C399" s="89"/>
      <c r="D399" s="89"/>
      <c r="E399" s="89"/>
      <c r="F399" s="89"/>
      <c r="G399" s="89"/>
      <c r="H399" s="94"/>
      <c r="I399" s="94"/>
      <c r="J399" s="94"/>
      <c r="K399" s="94"/>
      <c r="L399" s="94"/>
      <c r="M399" s="94"/>
      <c r="N399" s="94"/>
      <c r="O399" s="94"/>
      <c r="P399" s="94"/>
      <c r="Q399" s="94"/>
      <c r="R399" s="95"/>
      <c r="S399" s="94"/>
      <c r="T399" s="96"/>
      <c r="U399" s="94"/>
      <c r="V399" s="97"/>
      <c r="W399" s="94"/>
      <c r="X399" s="98"/>
      <c r="Y399" s="98"/>
      <c r="Z399" s="98"/>
      <c r="AA399" s="98"/>
      <c r="AB399" s="98"/>
      <c r="AC399" s="97"/>
      <c r="AD399" s="99"/>
      <c r="AE399" s="95"/>
      <c r="AF399" s="94"/>
      <c r="AG399" s="89"/>
      <c r="AH399" s="89"/>
      <c r="AI399" s="89"/>
      <c r="AJ399" s="89"/>
      <c r="AK399" s="89"/>
      <c r="AL399" s="89"/>
      <c r="AM399" s="89"/>
      <c r="AN399" s="89"/>
      <c r="AO399" s="89"/>
      <c r="AP399" s="89"/>
      <c r="AQ399" s="89"/>
      <c r="AR399" s="89"/>
      <c r="AS399" s="89"/>
      <c r="AT399" s="89"/>
      <c r="AU399" s="89"/>
      <c r="AV399" s="89"/>
      <c r="AW399" s="100"/>
      <c r="AX399" s="100"/>
      <c r="AY399" s="89"/>
      <c r="AZ399" s="89"/>
      <c r="BA399" s="89"/>
      <c r="BB399" s="89"/>
      <c r="BC399" s="89"/>
      <c r="BD399" s="89"/>
      <c r="BE399" s="89"/>
      <c r="BF399" s="89"/>
      <c r="BG399" s="89"/>
      <c r="BH399" s="89"/>
      <c r="BI399" s="89"/>
      <c r="BJ399" s="89"/>
      <c r="BK399" s="89"/>
      <c r="BL399" s="89"/>
      <c r="BM399" s="89"/>
      <c r="BN399" s="89"/>
      <c r="BO399" s="89"/>
      <c r="BP399" s="89"/>
      <c r="BQ399" s="89"/>
      <c r="BR399" s="89"/>
      <c r="BS399" s="89"/>
    </row>
    <row r="400" spans="1:71" ht="27" customHeight="1" x14ac:dyDescent="0.2">
      <c r="A400" s="93"/>
      <c r="B400" s="89"/>
      <c r="C400" s="89"/>
      <c r="D400" s="89"/>
      <c r="E400" s="89"/>
      <c r="F400" s="89"/>
      <c r="G400" s="89"/>
      <c r="H400" s="94"/>
      <c r="I400" s="94"/>
      <c r="J400" s="94"/>
      <c r="K400" s="94"/>
      <c r="L400" s="94"/>
      <c r="M400" s="94"/>
      <c r="N400" s="94"/>
      <c r="O400" s="94"/>
      <c r="P400" s="94"/>
      <c r="Q400" s="94"/>
      <c r="R400" s="95"/>
      <c r="S400" s="94"/>
      <c r="T400" s="96"/>
      <c r="U400" s="94"/>
      <c r="V400" s="97"/>
      <c r="W400" s="94"/>
      <c r="X400" s="98"/>
      <c r="Y400" s="98"/>
      <c r="Z400" s="98"/>
      <c r="AA400" s="98"/>
      <c r="AB400" s="98"/>
      <c r="AC400" s="97"/>
      <c r="AD400" s="99"/>
      <c r="AE400" s="95"/>
      <c r="AF400" s="94"/>
      <c r="AG400" s="89"/>
      <c r="AH400" s="89"/>
      <c r="AI400" s="89"/>
      <c r="AJ400" s="89"/>
      <c r="AK400" s="89"/>
      <c r="AL400" s="89"/>
      <c r="AM400" s="89"/>
      <c r="AN400" s="89"/>
      <c r="AO400" s="89"/>
      <c r="AP400" s="89"/>
      <c r="AQ400" s="89"/>
      <c r="AR400" s="89"/>
      <c r="AS400" s="89"/>
      <c r="AT400" s="89"/>
      <c r="AU400" s="89"/>
      <c r="AV400" s="89"/>
      <c r="AW400" s="100"/>
      <c r="AX400" s="100"/>
      <c r="AY400" s="89"/>
      <c r="AZ400" s="89"/>
      <c r="BA400" s="89"/>
      <c r="BB400" s="89"/>
      <c r="BC400" s="89"/>
      <c r="BD400" s="89"/>
      <c r="BE400" s="89"/>
      <c r="BF400" s="89"/>
      <c r="BG400" s="89"/>
      <c r="BH400" s="89"/>
      <c r="BI400" s="89"/>
      <c r="BJ400" s="89"/>
      <c r="BK400" s="89"/>
      <c r="BL400" s="89"/>
      <c r="BM400" s="89"/>
      <c r="BN400" s="89"/>
      <c r="BO400" s="89"/>
      <c r="BP400" s="89"/>
      <c r="BQ400" s="89"/>
      <c r="BR400" s="89"/>
      <c r="BS400" s="89"/>
    </row>
    <row r="401" spans="1:71" ht="27" customHeight="1" x14ac:dyDescent="0.2">
      <c r="A401" s="93"/>
      <c r="B401" s="89"/>
      <c r="C401" s="89"/>
      <c r="D401" s="89"/>
      <c r="E401" s="89"/>
      <c r="F401" s="89"/>
      <c r="G401" s="89"/>
      <c r="H401" s="94"/>
      <c r="I401" s="94"/>
      <c r="J401" s="94"/>
      <c r="K401" s="94"/>
      <c r="L401" s="94"/>
      <c r="M401" s="94"/>
      <c r="N401" s="94"/>
      <c r="O401" s="94"/>
      <c r="P401" s="94"/>
      <c r="Q401" s="94"/>
      <c r="R401" s="95"/>
      <c r="S401" s="94"/>
      <c r="T401" s="96"/>
      <c r="U401" s="94"/>
      <c r="V401" s="97"/>
      <c r="W401" s="94"/>
      <c r="X401" s="98"/>
      <c r="Y401" s="98"/>
      <c r="Z401" s="98"/>
      <c r="AA401" s="98"/>
      <c r="AB401" s="98"/>
      <c r="AC401" s="97"/>
      <c r="AD401" s="99"/>
      <c r="AE401" s="95"/>
      <c r="AF401" s="94"/>
      <c r="AG401" s="89"/>
      <c r="AH401" s="89"/>
      <c r="AI401" s="89"/>
      <c r="AJ401" s="89"/>
      <c r="AK401" s="89"/>
      <c r="AL401" s="89"/>
      <c r="AM401" s="89"/>
      <c r="AN401" s="89"/>
      <c r="AO401" s="89"/>
      <c r="AP401" s="89"/>
      <c r="AQ401" s="89"/>
      <c r="AR401" s="89"/>
      <c r="AS401" s="89"/>
      <c r="AT401" s="89"/>
      <c r="AU401" s="89"/>
      <c r="AV401" s="89"/>
      <c r="AW401" s="100"/>
      <c r="AX401" s="100"/>
      <c r="AY401" s="89"/>
      <c r="AZ401" s="89"/>
      <c r="BA401" s="89"/>
      <c r="BB401" s="89"/>
      <c r="BC401" s="89"/>
      <c r="BD401" s="89"/>
      <c r="BE401" s="89"/>
      <c r="BF401" s="89"/>
      <c r="BG401" s="89"/>
      <c r="BH401" s="89"/>
      <c r="BI401" s="89"/>
      <c r="BJ401" s="89"/>
      <c r="BK401" s="89"/>
      <c r="BL401" s="89"/>
      <c r="BM401" s="89"/>
      <c r="BN401" s="89"/>
      <c r="BO401" s="89"/>
      <c r="BP401" s="89"/>
      <c r="BQ401" s="89"/>
      <c r="BR401" s="89"/>
      <c r="BS401" s="89"/>
    </row>
    <row r="402" spans="1:71" ht="27" customHeight="1" x14ac:dyDescent="0.2">
      <c r="A402" s="93"/>
      <c r="B402" s="89"/>
      <c r="C402" s="89"/>
      <c r="D402" s="89"/>
      <c r="E402" s="89"/>
      <c r="F402" s="89"/>
      <c r="G402" s="89"/>
      <c r="H402" s="94"/>
      <c r="I402" s="94"/>
      <c r="J402" s="94"/>
      <c r="K402" s="94"/>
      <c r="L402" s="94"/>
      <c r="M402" s="94"/>
      <c r="N402" s="94"/>
      <c r="O402" s="94"/>
      <c r="P402" s="94"/>
      <c r="Q402" s="94"/>
      <c r="R402" s="95"/>
      <c r="S402" s="94"/>
      <c r="T402" s="96"/>
      <c r="U402" s="94"/>
      <c r="V402" s="97"/>
      <c r="W402" s="94"/>
      <c r="X402" s="98"/>
      <c r="Y402" s="98"/>
      <c r="Z402" s="98"/>
      <c r="AA402" s="98"/>
      <c r="AB402" s="98"/>
      <c r="AC402" s="97"/>
      <c r="AD402" s="99"/>
      <c r="AE402" s="95"/>
      <c r="AF402" s="94"/>
      <c r="AG402" s="89"/>
      <c r="AH402" s="89"/>
      <c r="AI402" s="89"/>
      <c r="AJ402" s="89"/>
      <c r="AK402" s="89"/>
      <c r="AL402" s="89"/>
      <c r="AM402" s="89"/>
      <c r="AN402" s="89"/>
      <c r="AO402" s="89"/>
      <c r="AP402" s="89"/>
      <c r="AQ402" s="89"/>
      <c r="AR402" s="89"/>
      <c r="AS402" s="89"/>
      <c r="AT402" s="89"/>
      <c r="AU402" s="89"/>
      <c r="AV402" s="89"/>
      <c r="AW402" s="100"/>
      <c r="AX402" s="100"/>
      <c r="AY402" s="89"/>
      <c r="AZ402" s="89"/>
      <c r="BA402" s="89"/>
      <c r="BB402" s="89"/>
      <c r="BC402" s="89"/>
      <c r="BD402" s="89"/>
      <c r="BE402" s="89"/>
      <c r="BF402" s="89"/>
      <c r="BG402" s="89"/>
      <c r="BH402" s="89"/>
      <c r="BI402" s="89"/>
      <c r="BJ402" s="89"/>
      <c r="BK402" s="89"/>
      <c r="BL402" s="89"/>
      <c r="BM402" s="89"/>
      <c r="BN402" s="89"/>
      <c r="BO402" s="89"/>
      <c r="BP402" s="89"/>
      <c r="BQ402" s="89"/>
      <c r="BR402" s="89"/>
      <c r="BS402" s="89"/>
    </row>
    <row r="403" spans="1:71" ht="27" customHeight="1" x14ac:dyDescent="0.2">
      <c r="A403" s="93"/>
      <c r="B403" s="89"/>
      <c r="C403" s="89"/>
      <c r="D403" s="89"/>
      <c r="E403" s="89"/>
      <c r="F403" s="89"/>
      <c r="G403" s="89"/>
      <c r="H403" s="94"/>
      <c r="I403" s="94"/>
      <c r="J403" s="94"/>
      <c r="K403" s="94"/>
      <c r="L403" s="94"/>
      <c r="M403" s="94"/>
      <c r="N403" s="94"/>
      <c r="O403" s="94"/>
      <c r="P403" s="94"/>
      <c r="Q403" s="94"/>
      <c r="R403" s="95"/>
      <c r="S403" s="94"/>
      <c r="T403" s="96"/>
      <c r="U403" s="94"/>
      <c r="V403" s="97"/>
      <c r="W403" s="94"/>
      <c r="X403" s="98"/>
      <c r="Y403" s="98"/>
      <c r="Z403" s="98"/>
      <c r="AA403" s="98"/>
      <c r="AB403" s="98"/>
      <c r="AC403" s="97"/>
      <c r="AD403" s="99"/>
      <c r="AE403" s="95"/>
      <c r="AF403" s="94"/>
      <c r="AG403" s="89"/>
      <c r="AH403" s="89"/>
      <c r="AI403" s="89"/>
      <c r="AJ403" s="89"/>
      <c r="AK403" s="89"/>
      <c r="AL403" s="89"/>
      <c r="AM403" s="89"/>
      <c r="AN403" s="89"/>
      <c r="AO403" s="89"/>
      <c r="AP403" s="89"/>
      <c r="AQ403" s="89"/>
      <c r="AR403" s="89"/>
      <c r="AS403" s="89"/>
      <c r="AT403" s="89"/>
      <c r="AU403" s="89"/>
      <c r="AV403" s="89"/>
      <c r="AW403" s="100"/>
      <c r="AX403" s="100"/>
      <c r="AY403" s="89"/>
      <c r="AZ403" s="89"/>
      <c r="BA403" s="89"/>
      <c r="BB403" s="89"/>
      <c r="BC403" s="89"/>
      <c r="BD403" s="89"/>
      <c r="BE403" s="89"/>
      <c r="BF403" s="89"/>
      <c r="BG403" s="89"/>
      <c r="BH403" s="89"/>
      <c r="BI403" s="89"/>
      <c r="BJ403" s="89"/>
      <c r="BK403" s="89"/>
      <c r="BL403" s="89"/>
      <c r="BM403" s="89"/>
      <c r="BN403" s="89"/>
      <c r="BO403" s="89"/>
      <c r="BP403" s="89"/>
      <c r="BQ403" s="89"/>
      <c r="BR403" s="89"/>
      <c r="BS403" s="89"/>
    </row>
    <row r="404" spans="1:71" ht="27" customHeight="1" x14ac:dyDescent="0.2">
      <c r="A404" s="93"/>
      <c r="B404" s="89"/>
      <c r="C404" s="89"/>
      <c r="D404" s="89"/>
      <c r="E404" s="89"/>
      <c r="F404" s="89"/>
      <c r="G404" s="89"/>
      <c r="H404" s="94"/>
      <c r="I404" s="94"/>
      <c r="J404" s="94"/>
      <c r="K404" s="94"/>
      <c r="L404" s="94"/>
      <c r="M404" s="94"/>
      <c r="N404" s="94"/>
      <c r="O404" s="94"/>
      <c r="P404" s="94"/>
      <c r="Q404" s="94"/>
      <c r="R404" s="95"/>
      <c r="S404" s="94"/>
      <c r="T404" s="96"/>
      <c r="U404" s="94"/>
      <c r="V404" s="97"/>
      <c r="W404" s="94"/>
      <c r="X404" s="98"/>
      <c r="Y404" s="98"/>
      <c r="Z404" s="98"/>
      <c r="AA404" s="98"/>
      <c r="AB404" s="98"/>
      <c r="AC404" s="97"/>
      <c r="AD404" s="99"/>
      <c r="AE404" s="95"/>
      <c r="AF404" s="94"/>
      <c r="AG404" s="89"/>
      <c r="AH404" s="89"/>
      <c r="AI404" s="89"/>
      <c r="AJ404" s="89"/>
      <c r="AK404" s="89"/>
      <c r="AL404" s="89"/>
      <c r="AM404" s="89"/>
      <c r="AN404" s="89"/>
      <c r="AO404" s="89"/>
      <c r="AP404" s="89"/>
      <c r="AQ404" s="89"/>
      <c r="AR404" s="89"/>
      <c r="AS404" s="89"/>
      <c r="AT404" s="89"/>
      <c r="AU404" s="89"/>
      <c r="AV404" s="89"/>
      <c r="AW404" s="100"/>
      <c r="AX404" s="100"/>
      <c r="AY404" s="89"/>
      <c r="AZ404" s="89"/>
      <c r="BA404" s="89"/>
      <c r="BB404" s="89"/>
      <c r="BC404" s="89"/>
      <c r="BD404" s="89"/>
      <c r="BE404" s="89"/>
      <c r="BF404" s="89"/>
      <c r="BG404" s="89"/>
      <c r="BH404" s="89"/>
      <c r="BI404" s="89"/>
      <c r="BJ404" s="89"/>
      <c r="BK404" s="89"/>
      <c r="BL404" s="89"/>
      <c r="BM404" s="89"/>
      <c r="BN404" s="89"/>
      <c r="BO404" s="89"/>
      <c r="BP404" s="89"/>
      <c r="BQ404" s="89"/>
      <c r="BR404" s="89"/>
      <c r="BS404" s="89"/>
    </row>
    <row r="405" spans="1:71" ht="27" customHeight="1" x14ac:dyDescent="0.2">
      <c r="A405" s="93"/>
      <c r="B405" s="89"/>
      <c r="C405" s="89"/>
      <c r="D405" s="89"/>
      <c r="E405" s="89"/>
      <c r="F405" s="89"/>
      <c r="G405" s="89"/>
      <c r="H405" s="94"/>
      <c r="I405" s="94"/>
      <c r="J405" s="94"/>
      <c r="K405" s="94"/>
      <c r="L405" s="94"/>
      <c r="M405" s="94"/>
      <c r="N405" s="94"/>
      <c r="O405" s="94"/>
      <c r="P405" s="94"/>
      <c r="Q405" s="94"/>
      <c r="R405" s="95"/>
      <c r="S405" s="94"/>
      <c r="T405" s="96"/>
      <c r="U405" s="94"/>
      <c r="V405" s="97"/>
      <c r="W405" s="94"/>
      <c r="X405" s="98"/>
      <c r="Y405" s="98"/>
      <c r="Z405" s="98"/>
      <c r="AA405" s="98"/>
      <c r="AB405" s="98"/>
      <c r="AC405" s="97"/>
      <c r="AD405" s="99"/>
      <c r="AE405" s="95"/>
      <c r="AF405" s="94"/>
      <c r="AG405" s="89"/>
      <c r="AH405" s="89"/>
      <c r="AI405" s="89"/>
      <c r="AJ405" s="89"/>
      <c r="AK405" s="89"/>
      <c r="AL405" s="89"/>
      <c r="AM405" s="89"/>
      <c r="AN405" s="89"/>
      <c r="AO405" s="89"/>
      <c r="AP405" s="89"/>
      <c r="AQ405" s="89"/>
      <c r="AR405" s="89"/>
      <c r="AS405" s="89"/>
      <c r="AT405" s="89"/>
      <c r="AU405" s="89"/>
      <c r="AV405" s="89"/>
      <c r="AW405" s="100"/>
      <c r="AX405" s="100"/>
      <c r="AY405" s="89"/>
      <c r="AZ405" s="89"/>
      <c r="BA405" s="89"/>
      <c r="BB405" s="89"/>
      <c r="BC405" s="89"/>
      <c r="BD405" s="89"/>
      <c r="BE405" s="89"/>
      <c r="BF405" s="89"/>
      <c r="BG405" s="89"/>
      <c r="BH405" s="89"/>
      <c r="BI405" s="89"/>
      <c r="BJ405" s="89"/>
      <c r="BK405" s="89"/>
      <c r="BL405" s="89"/>
      <c r="BM405" s="89"/>
      <c r="BN405" s="89"/>
      <c r="BO405" s="89"/>
      <c r="BP405" s="89"/>
      <c r="BQ405" s="89"/>
      <c r="BR405" s="89"/>
      <c r="BS405" s="89"/>
    </row>
    <row r="406" spans="1:71" ht="27" customHeight="1" x14ac:dyDescent="0.2">
      <c r="A406" s="93"/>
      <c r="B406" s="89"/>
      <c r="C406" s="89"/>
      <c r="D406" s="89"/>
      <c r="E406" s="89"/>
      <c r="F406" s="89"/>
      <c r="G406" s="89"/>
      <c r="H406" s="94"/>
      <c r="I406" s="94"/>
      <c r="J406" s="94"/>
      <c r="K406" s="94"/>
      <c r="L406" s="94"/>
      <c r="M406" s="94"/>
      <c r="N406" s="94"/>
      <c r="O406" s="94"/>
      <c r="P406" s="94"/>
      <c r="Q406" s="94"/>
      <c r="R406" s="95"/>
      <c r="S406" s="94"/>
      <c r="T406" s="96"/>
      <c r="U406" s="94"/>
      <c r="V406" s="97"/>
      <c r="W406" s="94"/>
      <c r="X406" s="98"/>
      <c r="Y406" s="98"/>
      <c r="Z406" s="98"/>
      <c r="AA406" s="98"/>
      <c r="AB406" s="98"/>
      <c r="AC406" s="97"/>
      <c r="AD406" s="99"/>
      <c r="AE406" s="95"/>
      <c r="AF406" s="94"/>
      <c r="AG406" s="89"/>
      <c r="AH406" s="89"/>
      <c r="AI406" s="89"/>
      <c r="AJ406" s="89"/>
      <c r="AK406" s="89"/>
      <c r="AL406" s="89"/>
      <c r="AM406" s="89"/>
      <c r="AN406" s="89"/>
      <c r="AO406" s="89"/>
      <c r="AP406" s="89"/>
      <c r="AQ406" s="89"/>
      <c r="AR406" s="89"/>
      <c r="AS406" s="89"/>
      <c r="AT406" s="89"/>
      <c r="AU406" s="89"/>
      <c r="AV406" s="89"/>
      <c r="AW406" s="100"/>
      <c r="AX406" s="100"/>
      <c r="AY406" s="89"/>
      <c r="AZ406" s="89"/>
      <c r="BA406" s="89"/>
      <c r="BB406" s="89"/>
      <c r="BC406" s="89"/>
      <c r="BD406" s="89"/>
      <c r="BE406" s="89"/>
      <c r="BF406" s="89"/>
      <c r="BG406" s="89"/>
      <c r="BH406" s="89"/>
      <c r="BI406" s="89"/>
      <c r="BJ406" s="89"/>
      <c r="BK406" s="89"/>
      <c r="BL406" s="89"/>
      <c r="BM406" s="89"/>
      <c r="BN406" s="89"/>
      <c r="BO406" s="89"/>
      <c r="BP406" s="89"/>
      <c r="BQ406" s="89"/>
      <c r="BR406" s="89"/>
      <c r="BS406" s="89"/>
    </row>
    <row r="407" spans="1:71" ht="27" customHeight="1" x14ac:dyDescent="0.2">
      <c r="A407" s="93"/>
      <c r="B407" s="89"/>
      <c r="C407" s="89"/>
      <c r="D407" s="89"/>
      <c r="E407" s="89"/>
      <c r="F407" s="89"/>
      <c r="G407" s="89"/>
      <c r="H407" s="94"/>
      <c r="I407" s="94"/>
      <c r="J407" s="94"/>
      <c r="K407" s="94"/>
      <c r="L407" s="94"/>
      <c r="M407" s="94"/>
      <c r="N407" s="94"/>
      <c r="O407" s="94"/>
      <c r="P407" s="94"/>
      <c r="Q407" s="94"/>
      <c r="R407" s="95"/>
      <c r="S407" s="94"/>
      <c r="T407" s="96"/>
      <c r="U407" s="94"/>
      <c r="V407" s="97"/>
      <c r="W407" s="94"/>
      <c r="X407" s="98"/>
      <c r="Y407" s="98"/>
      <c r="Z407" s="98"/>
      <c r="AA407" s="98"/>
      <c r="AB407" s="98"/>
      <c r="AC407" s="97"/>
      <c r="AD407" s="99"/>
      <c r="AE407" s="95"/>
      <c r="AF407" s="94"/>
      <c r="AG407" s="89"/>
      <c r="AH407" s="89"/>
      <c r="AI407" s="89"/>
      <c r="AJ407" s="89"/>
      <c r="AK407" s="89"/>
      <c r="AL407" s="89"/>
      <c r="AM407" s="89"/>
      <c r="AN407" s="89"/>
      <c r="AO407" s="89"/>
      <c r="AP407" s="89"/>
      <c r="AQ407" s="89"/>
      <c r="AR407" s="89"/>
      <c r="AS407" s="89"/>
      <c r="AT407" s="89"/>
      <c r="AU407" s="89"/>
      <c r="AV407" s="89"/>
      <c r="AW407" s="100"/>
      <c r="AX407" s="100"/>
      <c r="AY407" s="89"/>
      <c r="AZ407" s="89"/>
      <c r="BA407" s="89"/>
      <c r="BB407" s="89"/>
      <c r="BC407" s="89"/>
      <c r="BD407" s="89"/>
      <c r="BE407" s="89"/>
      <c r="BF407" s="89"/>
      <c r="BG407" s="89"/>
      <c r="BH407" s="89"/>
      <c r="BI407" s="89"/>
      <c r="BJ407" s="89"/>
      <c r="BK407" s="89"/>
      <c r="BL407" s="89"/>
      <c r="BM407" s="89"/>
      <c r="BN407" s="89"/>
      <c r="BO407" s="89"/>
      <c r="BP407" s="89"/>
      <c r="BQ407" s="89"/>
      <c r="BR407" s="89"/>
      <c r="BS407" s="89"/>
    </row>
    <row r="408" spans="1:71" ht="27" customHeight="1" x14ac:dyDescent="0.2">
      <c r="A408" s="93"/>
      <c r="B408" s="89"/>
      <c r="C408" s="89"/>
      <c r="D408" s="89"/>
      <c r="E408" s="89"/>
      <c r="F408" s="89"/>
      <c r="G408" s="89"/>
      <c r="H408" s="94"/>
      <c r="I408" s="94"/>
      <c r="J408" s="94"/>
      <c r="K408" s="94"/>
      <c r="L408" s="94"/>
      <c r="M408" s="94"/>
      <c r="N408" s="94"/>
      <c r="O408" s="94"/>
      <c r="P408" s="94"/>
      <c r="Q408" s="94"/>
      <c r="R408" s="95"/>
      <c r="S408" s="94"/>
      <c r="T408" s="96"/>
      <c r="U408" s="94"/>
      <c r="V408" s="97"/>
      <c r="W408" s="94"/>
      <c r="X408" s="98"/>
      <c r="Y408" s="98"/>
      <c r="Z408" s="98"/>
      <c r="AA408" s="98"/>
      <c r="AB408" s="98"/>
      <c r="AC408" s="97"/>
      <c r="AD408" s="99"/>
      <c r="AE408" s="95"/>
      <c r="AF408" s="94"/>
      <c r="AG408" s="89"/>
      <c r="AH408" s="89"/>
      <c r="AI408" s="89"/>
      <c r="AJ408" s="89"/>
      <c r="AK408" s="89"/>
      <c r="AL408" s="89"/>
      <c r="AM408" s="89"/>
      <c r="AN408" s="89"/>
      <c r="AO408" s="89"/>
      <c r="AP408" s="89"/>
      <c r="AQ408" s="89"/>
      <c r="AR408" s="89"/>
      <c r="AS408" s="89"/>
      <c r="AT408" s="89"/>
      <c r="AU408" s="89"/>
      <c r="AV408" s="89"/>
      <c r="AW408" s="100"/>
      <c r="AX408" s="100"/>
      <c r="AY408" s="89"/>
      <c r="AZ408" s="89"/>
      <c r="BA408" s="89"/>
      <c r="BB408" s="89"/>
      <c r="BC408" s="89"/>
      <c r="BD408" s="89"/>
      <c r="BE408" s="89"/>
      <c r="BF408" s="89"/>
      <c r="BG408" s="89"/>
      <c r="BH408" s="89"/>
      <c r="BI408" s="89"/>
      <c r="BJ408" s="89"/>
      <c r="BK408" s="89"/>
      <c r="BL408" s="89"/>
      <c r="BM408" s="89"/>
      <c r="BN408" s="89"/>
      <c r="BO408" s="89"/>
      <c r="BP408" s="89"/>
      <c r="BQ408" s="89"/>
      <c r="BR408" s="89"/>
      <c r="BS408" s="89"/>
    </row>
    <row r="409" spans="1:71" ht="27" customHeight="1" x14ac:dyDescent="0.2">
      <c r="A409" s="93"/>
      <c r="B409" s="89"/>
      <c r="C409" s="89"/>
      <c r="D409" s="89"/>
      <c r="E409" s="89"/>
      <c r="F409" s="89"/>
      <c r="G409" s="89"/>
      <c r="H409" s="94"/>
      <c r="I409" s="94"/>
      <c r="J409" s="94"/>
      <c r="K409" s="94"/>
      <c r="L409" s="94"/>
      <c r="M409" s="94"/>
      <c r="N409" s="94"/>
      <c r="O409" s="94"/>
      <c r="P409" s="94"/>
      <c r="Q409" s="94"/>
      <c r="R409" s="95"/>
      <c r="S409" s="94"/>
      <c r="T409" s="96"/>
      <c r="U409" s="94"/>
      <c r="V409" s="97"/>
      <c r="W409" s="94"/>
      <c r="X409" s="98"/>
      <c r="Y409" s="98"/>
      <c r="Z409" s="98"/>
      <c r="AA409" s="98"/>
      <c r="AB409" s="98"/>
      <c r="AC409" s="97"/>
      <c r="AD409" s="99"/>
      <c r="AE409" s="95"/>
      <c r="AF409" s="94"/>
      <c r="AG409" s="89"/>
      <c r="AH409" s="89"/>
      <c r="AI409" s="89"/>
      <c r="AJ409" s="89"/>
      <c r="AK409" s="89"/>
      <c r="AL409" s="89"/>
      <c r="AM409" s="89"/>
      <c r="AN409" s="89"/>
      <c r="AO409" s="89"/>
      <c r="AP409" s="89"/>
      <c r="AQ409" s="89"/>
      <c r="AR409" s="89"/>
      <c r="AS409" s="89"/>
      <c r="AT409" s="89"/>
      <c r="AU409" s="89"/>
      <c r="AV409" s="89"/>
      <c r="AW409" s="100"/>
      <c r="AX409" s="100"/>
      <c r="AY409" s="89"/>
      <c r="AZ409" s="89"/>
      <c r="BA409" s="89"/>
      <c r="BB409" s="89"/>
      <c r="BC409" s="89"/>
      <c r="BD409" s="89"/>
      <c r="BE409" s="89"/>
      <c r="BF409" s="89"/>
      <c r="BG409" s="89"/>
      <c r="BH409" s="89"/>
      <c r="BI409" s="89"/>
      <c r="BJ409" s="89"/>
      <c r="BK409" s="89"/>
      <c r="BL409" s="89"/>
      <c r="BM409" s="89"/>
      <c r="BN409" s="89"/>
      <c r="BO409" s="89"/>
      <c r="BP409" s="89"/>
      <c r="BQ409" s="89"/>
      <c r="BR409" s="89"/>
      <c r="BS409" s="89"/>
    </row>
    <row r="410" spans="1:71" ht="27" customHeight="1" x14ac:dyDescent="0.2">
      <c r="A410" s="93"/>
      <c r="B410" s="89"/>
      <c r="C410" s="89"/>
      <c r="D410" s="89"/>
      <c r="E410" s="89"/>
      <c r="F410" s="89"/>
      <c r="G410" s="89"/>
      <c r="H410" s="94"/>
      <c r="I410" s="94"/>
      <c r="J410" s="94"/>
      <c r="K410" s="94"/>
      <c r="L410" s="94"/>
      <c r="M410" s="94"/>
      <c r="N410" s="94"/>
      <c r="O410" s="94"/>
      <c r="P410" s="94"/>
      <c r="Q410" s="94"/>
      <c r="R410" s="95"/>
      <c r="S410" s="94"/>
      <c r="T410" s="96"/>
      <c r="U410" s="94"/>
      <c r="V410" s="97"/>
      <c r="W410" s="94"/>
      <c r="X410" s="98"/>
      <c r="Y410" s="98"/>
      <c r="Z410" s="98"/>
      <c r="AA410" s="98"/>
      <c r="AB410" s="98"/>
      <c r="AC410" s="97"/>
      <c r="AD410" s="99"/>
      <c r="AE410" s="95"/>
      <c r="AF410" s="94"/>
      <c r="AG410" s="89"/>
      <c r="AH410" s="89"/>
      <c r="AI410" s="89"/>
      <c r="AJ410" s="89"/>
      <c r="AK410" s="89"/>
      <c r="AL410" s="89"/>
      <c r="AM410" s="89"/>
      <c r="AN410" s="89"/>
      <c r="AO410" s="89"/>
      <c r="AP410" s="89"/>
      <c r="AQ410" s="89"/>
      <c r="AR410" s="89"/>
      <c r="AS410" s="89"/>
      <c r="AT410" s="89"/>
      <c r="AU410" s="89"/>
      <c r="AV410" s="89"/>
      <c r="AW410" s="100"/>
      <c r="AX410" s="100"/>
      <c r="AY410" s="89"/>
      <c r="AZ410" s="89"/>
      <c r="BA410" s="89"/>
      <c r="BB410" s="89"/>
      <c r="BC410" s="89"/>
      <c r="BD410" s="89"/>
      <c r="BE410" s="89"/>
      <c r="BF410" s="89"/>
      <c r="BG410" s="89"/>
      <c r="BH410" s="89"/>
      <c r="BI410" s="89"/>
      <c r="BJ410" s="89"/>
      <c r="BK410" s="89"/>
      <c r="BL410" s="89"/>
      <c r="BM410" s="89"/>
      <c r="BN410" s="89"/>
      <c r="BO410" s="89"/>
      <c r="BP410" s="89"/>
      <c r="BQ410" s="89"/>
      <c r="BR410" s="89"/>
      <c r="BS410" s="89"/>
    </row>
    <row r="411" spans="1:71" ht="27" customHeight="1" x14ac:dyDescent="0.2">
      <c r="A411" s="93"/>
      <c r="B411" s="89"/>
      <c r="C411" s="89"/>
      <c r="D411" s="89"/>
      <c r="E411" s="89"/>
      <c r="F411" s="89"/>
      <c r="G411" s="89"/>
      <c r="H411" s="94"/>
      <c r="I411" s="94"/>
      <c r="J411" s="94"/>
      <c r="K411" s="94"/>
      <c r="L411" s="94"/>
      <c r="M411" s="94"/>
      <c r="N411" s="94"/>
      <c r="O411" s="94"/>
      <c r="P411" s="94"/>
      <c r="Q411" s="94"/>
      <c r="R411" s="95"/>
      <c r="S411" s="94"/>
      <c r="T411" s="96"/>
      <c r="U411" s="94"/>
      <c r="V411" s="97"/>
      <c r="W411" s="94"/>
      <c r="X411" s="98"/>
      <c r="Y411" s="98"/>
      <c r="Z411" s="98"/>
      <c r="AA411" s="98"/>
      <c r="AB411" s="98"/>
      <c r="AC411" s="97"/>
      <c r="AD411" s="99"/>
      <c r="AE411" s="95"/>
      <c r="AF411" s="94"/>
      <c r="AG411" s="89"/>
      <c r="AH411" s="89"/>
      <c r="AI411" s="89"/>
      <c r="AJ411" s="89"/>
      <c r="AK411" s="89"/>
      <c r="AL411" s="89"/>
      <c r="AM411" s="89"/>
      <c r="AN411" s="89"/>
      <c r="AO411" s="89"/>
      <c r="AP411" s="89"/>
      <c r="AQ411" s="89"/>
      <c r="AR411" s="89"/>
      <c r="AS411" s="89"/>
      <c r="AT411" s="89"/>
      <c r="AU411" s="89"/>
      <c r="AV411" s="89"/>
      <c r="AW411" s="100"/>
      <c r="AX411" s="100"/>
      <c r="AY411" s="89"/>
      <c r="AZ411" s="89"/>
      <c r="BA411" s="89"/>
      <c r="BB411" s="89"/>
      <c r="BC411" s="89"/>
      <c r="BD411" s="89"/>
      <c r="BE411" s="89"/>
      <c r="BF411" s="89"/>
      <c r="BG411" s="89"/>
      <c r="BH411" s="89"/>
      <c r="BI411" s="89"/>
      <c r="BJ411" s="89"/>
      <c r="BK411" s="89"/>
      <c r="BL411" s="89"/>
      <c r="BM411" s="89"/>
      <c r="BN411" s="89"/>
      <c r="BO411" s="89"/>
      <c r="BP411" s="89"/>
      <c r="BQ411" s="89"/>
      <c r="BR411" s="89"/>
      <c r="BS411" s="89"/>
    </row>
    <row r="412" spans="1:71" ht="27" customHeight="1" x14ac:dyDescent="0.2">
      <c r="A412" s="93"/>
      <c r="B412" s="89"/>
      <c r="C412" s="89"/>
      <c r="D412" s="89"/>
      <c r="E412" s="89"/>
      <c r="F412" s="89"/>
      <c r="G412" s="89"/>
      <c r="H412" s="94"/>
      <c r="I412" s="94"/>
      <c r="J412" s="94"/>
      <c r="K412" s="94"/>
      <c r="L412" s="94"/>
      <c r="M412" s="94"/>
      <c r="N412" s="94"/>
      <c r="O412" s="94"/>
      <c r="P412" s="94"/>
      <c r="Q412" s="94"/>
      <c r="R412" s="95"/>
      <c r="S412" s="94"/>
      <c r="T412" s="96"/>
      <c r="U412" s="94"/>
      <c r="V412" s="97"/>
      <c r="W412" s="94"/>
      <c r="X412" s="98"/>
      <c r="Y412" s="98"/>
      <c r="Z412" s="98"/>
      <c r="AA412" s="98"/>
      <c r="AB412" s="98"/>
      <c r="AC412" s="97"/>
      <c r="AD412" s="99"/>
      <c r="AE412" s="95"/>
      <c r="AF412" s="94"/>
      <c r="AG412" s="89"/>
      <c r="AH412" s="89"/>
      <c r="AI412" s="89"/>
      <c r="AJ412" s="89"/>
      <c r="AK412" s="89"/>
      <c r="AL412" s="89"/>
      <c r="AM412" s="89"/>
      <c r="AN412" s="89"/>
      <c r="AO412" s="89"/>
      <c r="AP412" s="89"/>
      <c r="AQ412" s="89"/>
      <c r="AR412" s="89"/>
      <c r="AS412" s="89"/>
      <c r="AT412" s="89"/>
      <c r="AU412" s="89"/>
      <c r="AV412" s="89"/>
      <c r="AW412" s="100"/>
      <c r="AX412" s="100"/>
      <c r="AY412" s="89"/>
      <c r="AZ412" s="89"/>
      <c r="BA412" s="89"/>
      <c r="BB412" s="89"/>
      <c r="BC412" s="89"/>
      <c r="BD412" s="89"/>
      <c r="BE412" s="89"/>
      <c r="BF412" s="89"/>
      <c r="BG412" s="89"/>
      <c r="BH412" s="89"/>
      <c r="BI412" s="89"/>
      <c r="BJ412" s="89"/>
      <c r="BK412" s="89"/>
      <c r="BL412" s="89"/>
      <c r="BM412" s="89"/>
      <c r="BN412" s="89"/>
      <c r="BO412" s="89"/>
      <c r="BP412" s="89"/>
      <c r="BQ412" s="89"/>
      <c r="BR412" s="89"/>
      <c r="BS412" s="89"/>
    </row>
    <row r="413" spans="1:71" ht="27" customHeight="1" x14ac:dyDescent="0.2">
      <c r="A413" s="93"/>
      <c r="B413" s="89"/>
      <c r="C413" s="89"/>
      <c r="D413" s="89"/>
      <c r="E413" s="89"/>
      <c r="F413" s="89"/>
      <c r="G413" s="89"/>
      <c r="H413" s="94"/>
      <c r="I413" s="94"/>
      <c r="J413" s="94"/>
      <c r="K413" s="94"/>
      <c r="L413" s="94"/>
      <c r="M413" s="94"/>
      <c r="N413" s="94"/>
      <c r="O413" s="94"/>
      <c r="P413" s="94"/>
      <c r="Q413" s="94"/>
      <c r="R413" s="95"/>
      <c r="S413" s="94"/>
      <c r="T413" s="96"/>
      <c r="U413" s="94"/>
      <c r="V413" s="97"/>
      <c r="W413" s="94"/>
      <c r="X413" s="98"/>
      <c r="Y413" s="98"/>
      <c r="Z413" s="98"/>
      <c r="AA413" s="98"/>
      <c r="AB413" s="98"/>
      <c r="AC413" s="97"/>
      <c r="AD413" s="99"/>
      <c r="AE413" s="95"/>
      <c r="AF413" s="94"/>
      <c r="AG413" s="89"/>
      <c r="AH413" s="89"/>
      <c r="AI413" s="89"/>
      <c r="AJ413" s="89"/>
      <c r="AK413" s="89"/>
      <c r="AL413" s="89"/>
      <c r="AM413" s="89"/>
      <c r="AN413" s="89"/>
      <c r="AO413" s="89"/>
      <c r="AP413" s="89"/>
      <c r="AQ413" s="89"/>
      <c r="AR413" s="89"/>
      <c r="AS413" s="89"/>
      <c r="AT413" s="89"/>
      <c r="AU413" s="89"/>
      <c r="AV413" s="89"/>
      <c r="AW413" s="100"/>
      <c r="AX413" s="100"/>
      <c r="AY413" s="89"/>
      <c r="AZ413" s="89"/>
      <c r="BA413" s="89"/>
      <c r="BB413" s="89"/>
      <c r="BC413" s="89"/>
      <c r="BD413" s="89"/>
      <c r="BE413" s="89"/>
      <c r="BF413" s="89"/>
      <c r="BG413" s="89"/>
      <c r="BH413" s="89"/>
      <c r="BI413" s="89"/>
      <c r="BJ413" s="89"/>
      <c r="BK413" s="89"/>
      <c r="BL413" s="89"/>
      <c r="BM413" s="89"/>
      <c r="BN413" s="89"/>
      <c r="BO413" s="89"/>
      <c r="BP413" s="89"/>
      <c r="BQ413" s="89"/>
      <c r="BR413" s="89"/>
      <c r="BS413" s="89"/>
    </row>
    <row r="414" spans="1:71" ht="27" customHeight="1" x14ac:dyDescent="0.2">
      <c r="A414" s="93"/>
      <c r="B414" s="89"/>
      <c r="C414" s="89"/>
      <c r="D414" s="89"/>
      <c r="E414" s="89"/>
      <c r="F414" s="89"/>
      <c r="G414" s="89"/>
      <c r="H414" s="94"/>
      <c r="I414" s="94"/>
      <c r="J414" s="94"/>
      <c r="K414" s="94"/>
      <c r="L414" s="94"/>
      <c r="M414" s="94"/>
      <c r="N414" s="94"/>
      <c r="O414" s="94"/>
      <c r="P414" s="94"/>
      <c r="Q414" s="94"/>
      <c r="R414" s="95"/>
      <c r="S414" s="94"/>
      <c r="T414" s="96"/>
      <c r="U414" s="94"/>
      <c r="V414" s="97"/>
      <c r="W414" s="94"/>
      <c r="X414" s="98"/>
      <c r="Y414" s="98"/>
      <c r="Z414" s="98"/>
      <c r="AA414" s="98"/>
      <c r="AB414" s="98"/>
      <c r="AC414" s="97"/>
      <c r="AD414" s="99"/>
      <c r="AE414" s="95"/>
      <c r="AF414" s="94"/>
      <c r="AG414" s="89"/>
      <c r="AH414" s="89"/>
      <c r="AI414" s="89"/>
      <c r="AJ414" s="89"/>
      <c r="AK414" s="89"/>
      <c r="AL414" s="89"/>
      <c r="AM414" s="89"/>
      <c r="AN414" s="89"/>
      <c r="AO414" s="89"/>
      <c r="AP414" s="89"/>
      <c r="AQ414" s="89"/>
      <c r="AR414" s="89"/>
      <c r="AS414" s="89"/>
      <c r="AT414" s="89"/>
      <c r="AU414" s="89"/>
      <c r="AV414" s="89"/>
      <c r="AW414" s="100"/>
      <c r="AX414" s="100"/>
      <c r="AY414" s="89"/>
      <c r="AZ414" s="89"/>
      <c r="BA414" s="89"/>
      <c r="BB414" s="89"/>
      <c r="BC414" s="89"/>
      <c r="BD414" s="89"/>
      <c r="BE414" s="89"/>
      <c r="BF414" s="89"/>
      <c r="BG414" s="89"/>
      <c r="BH414" s="89"/>
      <c r="BI414" s="89"/>
      <c r="BJ414" s="89"/>
      <c r="BK414" s="89"/>
      <c r="BL414" s="89"/>
      <c r="BM414" s="89"/>
      <c r="BN414" s="89"/>
      <c r="BO414" s="89"/>
      <c r="BP414" s="89"/>
      <c r="BQ414" s="89"/>
      <c r="BR414" s="89"/>
      <c r="BS414" s="89"/>
    </row>
    <row r="415" spans="1:71" ht="27" customHeight="1" x14ac:dyDescent="0.2">
      <c r="A415" s="93"/>
      <c r="B415" s="89"/>
      <c r="C415" s="89"/>
      <c r="D415" s="89"/>
      <c r="E415" s="89"/>
      <c r="F415" s="89"/>
      <c r="G415" s="89"/>
      <c r="H415" s="94"/>
      <c r="I415" s="94"/>
      <c r="J415" s="94"/>
      <c r="K415" s="94"/>
      <c r="L415" s="94"/>
      <c r="M415" s="94"/>
      <c r="N415" s="94"/>
      <c r="O415" s="94"/>
      <c r="P415" s="94"/>
      <c r="Q415" s="94"/>
      <c r="R415" s="95"/>
      <c r="S415" s="94"/>
      <c r="T415" s="96"/>
      <c r="U415" s="94"/>
      <c r="V415" s="97"/>
      <c r="W415" s="94"/>
      <c r="X415" s="98"/>
      <c r="Y415" s="98"/>
      <c r="Z415" s="98"/>
      <c r="AA415" s="98"/>
      <c r="AB415" s="98"/>
      <c r="AC415" s="97"/>
      <c r="AD415" s="99"/>
      <c r="AE415" s="95"/>
      <c r="AF415" s="94"/>
      <c r="AG415" s="89"/>
      <c r="AH415" s="89"/>
      <c r="AI415" s="89"/>
      <c r="AJ415" s="89"/>
      <c r="AK415" s="89"/>
      <c r="AL415" s="89"/>
      <c r="AM415" s="89"/>
      <c r="AN415" s="89"/>
      <c r="AO415" s="89"/>
      <c r="AP415" s="89"/>
      <c r="AQ415" s="89"/>
      <c r="AR415" s="89"/>
      <c r="AS415" s="89"/>
      <c r="AT415" s="89"/>
      <c r="AU415" s="89"/>
      <c r="AV415" s="89"/>
      <c r="AW415" s="100"/>
      <c r="AX415" s="100"/>
      <c r="AY415" s="89"/>
      <c r="AZ415" s="89"/>
      <c r="BA415" s="89"/>
      <c r="BB415" s="89"/>
      <c r="BC415" s="89"/>
      <c r="BD415" s="89"/>
      <c r="BE415" s="89"/>
      <c r="BF415" s="89"/>
      <c r="BG415" s="89"/>
      <c r="BH415" s="89"/>
      <c r="BI415" s="89"/>
      <c r="BJ415" s="89"/>
      <c r="BK415" s="89"/>
      <c r="BL415" s="89"/>
      <c r="BM415" s="89"/>
      <c r="BN415" s="89"/>
      <c r="BO415" s="89"/>
      <c r="BP415" s="89"/>
      <c r="BQ415" s="89"/>
      <c r="BR415" s="89"/>
      <c r="BS415" s="89"/>
    </row>
    <row r="416" spans="1:71" ht="27" customHeight="1" x14ac:dyDescent="0.2">
      <c r="A416" s="93"/>
      <c r="B416" s="89"/>
      <c r="C416" s="89"/>
      <c r="D416" s="89"/>
      <c r="E416" s="89"/>
      <c r="F416" s="89"/>
      <c r="G416" s="89"/>
      <c r="H416" s="94"/>
      <c r="I416" s="94"/>
      <c r="J416" s="94"/>
      <c r="K416" s="94"/>
      <c r="L416" s="94"/>
      <c r="M416" s="94"/>
      <c r="N416" s="94"/>
      <c r="O416" s="94"/>
      <c r="P416" s="94"/>
      <c r="Q416" s="94"/>
      <c r="R416" s="95"/>
      <c r="S416" s="94"/>
      <c r="T416" s="96"/>
      <c r="U416" s="94"/>
      <c r="V416" s="97"/>
      <c r="W416" s="94"/>
      <c r="X416" s="98"/>
      <c r="Y416" s="98"/>
      <c r="Z416" s="98"/>
      <c r="AA416" s="98"/>
      <c r="AB416" s="98"/>
      <c r="AC416" s="97"/>
      <c r="AD416" s="99"/>
      <c r="AE416" s="95"/>
      <c r="AF416" s="94"/>
      <c r="AG416" s="89"/>
      <c r="AH416" s="89"/>
      <c r="AI416" s="89"/>
      <c r="AJ416" s="89"/>
      <c r="AK416" s="89"/>
      <c r="AL416" s="89"/>
      <c r="AM416" s="89"/>
      <c r="AN416" s="89"/>
      <c r="AO416" s="89"/>
      <c r="AP416" s="89"/>
      <c r="AQ416" s="89"/>
      <c r="AR416" s="89"/>
      <c r="AS416" s="89"/>
      <c r="AT416" s="89"/>
      <c r="AU416" s="89"/>
      <c r="AV416" s="89"/>
      <c r="AW416" s="100"/>
      <c r="AX416" s="100"/>
      <c r="AY416" s="89"/>
      <c r="AZ416" s="89"/>
      <c r="BA416" s="89"/>
      <c r="BB416" s="89"/>
      <c r="BC416" s="89"/>
      <c r="BD416" s="89"/>
      <c r="BE416" s="89"/>
      <c r="BF416" s="89"/>
      <c r="BG416" s="89"/>
      <c r="BH416" s="89"/>
      <c r="BI416" s="89"/>
      <c r="BJ416" s="89"/>
      <c r="BK416" s="89"/>
      <c r="BL416" s="89"/>
      <c r="BM416" s="89"/>
      <c r="BN416" s="89"/>
      <c r="BO416" s="89"/>
      <c r="BP416" s="89"/>
      <c r="BQ416" s="89"/>
      <c r="BR416" s="89"/>
      <c r="BS416" s="89"/>
    </row>
    <row r="417" spans="1:71" ht="27" customHeight="1" x14ac:dyDescent="0.2">
      <c r="A417" s="93"/>
      <c r="B417" s="89"/>
      <c r="C417" s="89"/>
      <c r="D417" s="89"/>
      <c r="E417" s="89"/>
      <c r="F417" s="89"/>
      <c r="G417" s="89"/>
      <c r="H417" s="94"/>
      <c r="I417" s="94"/>
      <c r="J417" s="94"/>
      <c r="K417" s="94"/>
      <c r="L417" s="94"/>
      <c r="M417" s="94"/>
      <c r="N417" s="94"/>
      <c r="O417" s="94"/>
      <c r="P417" s="94"/>
      <c r="Q417" s="94"/>
      <c r="R417" s="95"/>
      <c r="S417" s="94"/>
      <c r="T417" s="96"/>
      <c r="U417" s="94"/>
      <c r="V417" s="97"/>
      <c r="W417" s="94"/>
      <c r="X417" s="98"/>
      <c r="Y417" s="98"/>
      <c r="Z417" s="98"/>
      <c r="AA417" s="98"/>
      <c r="AB417" s="98"/>
      <c r="AC417" s="97"/>
      <c r="AD417" s="99"/>
      <c r="AE417" s="95"/>
      <c r="AF417" s="94"/>
      <c r="AG417" s="89"/>
      <c r="AH417" s="89"/>
      <c r="AI417" s="89"/>
      <c r="AJ417" s="89"/>
      <c r="AK417" s="89"/>
      <c r="AL417" s="89"/>
      <c r="AM417" s="89"/>
      <c r="AN417" s="89"/>
      <c r="AO417" s="89"/>
      <c r="AP417" s="89"/>
      <c r="AQ417" s="89"/>
      <c r="AR417" s="89"/>
      <c r="AS417" s="89"/>
      <c r="AT417" s="89"/>
      <c r="AU417" s="89"/>
      <c r="AV417" s="89"/>
      <c r="AW417" s="100"/>
      <c r="AX417" s="100"/>
      <c r="AY417" s="89"/>
      <c r="AZ417" s="89"/>
      <c r="BA417" s="89"/>
      <c r="BB417" s="89"/>
      <c r="BC417" s="89"/>
      <c r="BD417" s="89"/>
      <c r="BE417" s="89"/>
      <c r="BF417" s="89"/>
      <c r="BG417" s="89"/>
      <c r="BH417" s="89"/>
      <c r="BI417" s="89"/>
      <c r="BJ417" s="89"/>
      <c r="BK417" s="89"/>
      <c r="BL417" s="89"/>
      <c r="BM417" s="89"/>
      <c r="BN417" s="89"/>
      <c r="BO417" s="89"/>
      <c r="BP417" s="89"/>
      <c r="BQ417" s="89"/>
      <c r="BR417" s="89"/>
      <c r="BS417" s="89"/>
    </row>
    <row r="418" spans="1:71" ht="27" customHeight="1" x14ac:dyDescent="0.2">
      <c r="A418" s="93"/>
      <c r="B418" s="89"/>
      <c r="C418" s="89"/>
      <c r="D418" s="89"/>
      <c r="E418" s="89"/>
      <c r="F418" s="89"/>
      <c r="G418" s="89"/>
      <c r="H418" s="94"/>
      <c r="I418" s="94"/>
      <c r="J418" s="94"/>
      <c r="K418" s="94"/>
      <c r="L418" s="94"/>
      <c r="M418" s="94"/>
      <c r="N418" s="94"/>
      <c r="O418" s="94"/>
      <c r="P418" s="94"/>
      <c r="Q418" s="94"/>
      <c r="R418" s="95"/>
      <c r="S418" s="94"/>
      <c r="T418" s="96"/>
      <c r="U418" s="94"/>
      <c r="V418" s="97"/>
      <c r="W418" s="94"/>
      <c r="X418" s="98"/>
      <c r="Y418" s="98"/>
      <c r="Z418" s="98"/>
      <c r="AA418" s="98"/>
      <c r="AB418" s="98"/>
      <c r="AC418" s="97"/>
      <c r="AD418" s="99"/>
      <c r="AE418" s="95"/>
      <c r="AF418" s="94"/>
      <c r="AG418" s="89"/>
      <c r="AH418" s="89"/>
      <c r="AI418" s="89"/>
      <c r="AJ418" s="89"/>
      <c r="AK418" s="89"/>
      <c r="AL418" s="89"/>
      <c r="AM418" s="89"/>
      <c r="AN418" s="89"/>
      <c r="AO418" s="89"/>
      <c r="AP418" s="89"/>
      <c r="AQ418" s="89"/>
      <c r="AR418" s="89"/>
      <c r="AS418" s="89"/>
      <c r="AT418" s="89"/>
      <c r="AU418" s="89"/>
      <c r="AV418" s="89"/>
      <c r="AW418" s="100"/>
      <c r="AX418" s="100"/>
      <c r="AY418" s="89"/>
      <c r="AZ418" s="89"/>
      <c r="BA418" s="89"/>
      <c r="BB418" s="89"/>
      <c r="BC418" s="89"/>
      <c r="BD418" s="89"/>
      <c r="BE418" s="89"/>
      <c r="BF418" s="89"/>
      <c r="BG418" s="89"/>
      <c r="BH418" s="89"/>
      <c r="BI418" s="89"/>
      <c r="BJ418" s="89"/>
      <c r="BK418" s="89"/>
      <c r="BL418" s="89"/>
      <c r="BM418" s="89"/>
      <c r="BN418" s="89"/>
      <c r="BO418" s="89"/>
      <c r="BP418" s="89"/>
      <c r="BQ418" s="89"/>
      <c r="BR418" s="89"/>
      <c r="BS418" s="89"/>
    </row>
    <row r="419" spans="1:71" ht="27" customHeight="1" x14ac:dyDescent="0.2">
      <c r="A419" s="93"/>
      <c r="B419" s="89"/>
      <c r="C419" s="89"/>
      <c r="D419" s="89"/>
      <c r="E419" s="89"/>
      <c r="F419" s="89"/>
      <c r="G419" s="89"/>
      <c r="H419" s="94"/>
      <c r="I419" s="94"/>
      <c r="J419" s="94"/>
      <c r="K419" s="94"/>
      <c r="L419" s="94"/>
      <c r="M419" s="94"/>
      <c r="N419" s="94"/>
      <c r="O419" s="94"/>
      <c r="P419" s="94"/>
      <c r="Q419" s="94"/>
      <c r="R419" s="95"/>
      <c r="S419" s="94"/>
      <c r="T419" s="96"/>
      <c r="U419" s="94"/>
      <c r="V419" s="97"/>
      <c r="W419" s="94"/>
      <c r="X419" s="98"/>
      <c r="Y419" s="98"/>
      <c r="Z419" s="98"/>
      <c r="AA419" s="98"/>
      <c r="AB419" s="98"/>
      <c r="AC419" s="97"/>
      <c r="AD419" s="99"/>
      <c r="AE419" s="95"/>
      <c r="AF419" s="94"/>
      <c r="AG419" s="89"/>
      <c r="AH419" s="89"/>
      <c r="AI419" s="89"/>
      <c r="AJ419" s="89"/>
      <c r="AK419" s="89"/>
      <c r="AL419" s="89"/>
      <c r="AM419" s="89"/>
      <c r="AN419" s="89"/>
      <c r="AO419" s="89"/>
      <c r="AP419" s="89"/>
      <c r="AQ419" s="89"/>
      <c r="AR419" s="89"/>
      <c r="AS419" s="89"/>
      <c r="AT419" s="89"/>
      <c r="AU419" s="89"/>
      <c r="AV419" s="89"/>
      <c r="AW419" s="100"/>
      <c r="AX419" s="100"/>
      <c r="AY419" s="89"/>
      <c r="AZ419" s="89"/>
      <c r="BA419" s="89"/>
      <c r="BB419" s="89"/>
      <c r="BC419" s="89"/>
      <c r="BD419" s="89"/>
      <c r="BE419" s="89"/>
      <c r="BF419" s="89"/>
      <c r="BG419" s="89"/>
      <c r="BH419" s="89"/>
      <c r="BI419" s="89"/>
      <c r="BJ419" s="89"/>
      <c r="BK419" s="89"/>
      <c r="BL419" s="89"/>
      <c r="BM419" s="89"/>
      <c r="BN419" s="89"/>
      <c r="BO419" s="89"/>
      <c r="BP419" s="89"/>
      <c r="BQ419" s="89"/>
      <c r="BR419" s="89"/>
      <c r="BS419" s="89"/>
    </row>
    <row r="420" spans="1:71" ht="27" customHeight="1" x14ac:dyDescent="0.2">
      <c r="A420" s="93"/>
      <c r="B420" s="89"/>
      <c r="C420" s="89"/>
      <c r="D420" s="89"/>
      <c r="E420" s="89"/>
      <c r="F420" s="89"/>
      <c r="G420" s="89"/>
      <c r="H420" s="94"/>
      <c r="I420" s="94"/>
      <c r="J420" s="94"/>
      <c r="K420" s="94"/>
      <c r="L420" s="94"/>
      <c r="M420" s="94"/>
      <c r="N420" s="94"/>
      <c r="O420" s="94"/>
      <c r="P420" s="94"/>
      <c r="Q420" s="94"/>
      <c r="R420" s="95"/>
      <c r="S420" s="94"/>
      <c r="T420" s="96"/>
      <c r="U420" s="94"/>
      <c r="V420" s="97"/>
      <c r="W420" s="94"/>
      <c r="X420" s="98"/>
      <c r="Y420" s="98"/>
      <c r="Z420" s="98"/>
      <c r="AA420" s="98"/>
      <c r="AB420" s="98"/>
      <c r="AC420" s="97"/>
      <c r="AD420" s="99"/>
      <c r="AE420" s="95"/>
      <c r="AF420" s="94"/>
      <c r="AG420" s="89"/>
      <c r="AH420" s="89"/>
      <c r="AI420" s="89"/>
      <c r="AJ420" s="89"/>
      <c r="AK420" s="89"/>
      <c r="AL420" s="89"/>
      <c r="AM420" s="89"/>
      <c r="AN420" s="89"/>
      <c r="AO420" s="89"/>
      <c r="AP420" s="89"/>
      <c r="AQ420" s="89"/>
      <c r="AR420" s="89"/>
      <c r="AS420" s="89"/>
      <c r="AT420" s="89"/>
      <c r="AU420" s="89"/>
      <c r="AV420" s="89"/>
      <c r="AW420" s="100"/>
      <c r="AX420" s="100"/>
      <c r="AY420" s="89"/>
      <c r="AZ420" s="89"/>
      <c r="BA420" s="89"/>
      <c r="BB420" s="89"/>
      <c r="BC420" s="89"/>
      <c r="BD420" s="89"/>
      <c r="BE420" s="89"/>
      <c r="BF420" s="89"/>
      <c r="BG420" s="89"/>
      <c r="BH420" s="89"/>
      <c r="BI420" s="89"/>
      <c r="BJ420" s="89"/>
      <c r="BK420" s="89"/>
      <c r="BL420" s="89"/>
      <c r="BM420" s="89"/>
      <c r="BN420" s="89"/>
      <c r="BO420" s="89"/>
      <c r="BP420" s="89"/>
      <c r="BQ420" s="89"/>
      <c r="BR420" s="89"/>
      <c r="BS420" s="89"/>
    </row>
    <row r="421" spans="1:71" ht="27" customHeight="1" x14ac:dyDescent="0.2">
      <c r="A421" s="93"/>
      <c r="B421" s="89"/>
      <c r="C421" s="89"/>
      <c r="D421" s="89"/>
      <c r="E421" s="89"/>
      <c r="F421" s="89"/>
      <c r="G421" s="89"/>
      <c r="H421" s="94"/>
      <c r="I421" s="94"/>
      <c r="J421" s="94"/>
      <c r="K421" s="94"/>
      <c r="L421" s="94"/>
      <c r="M421" s="94"/>
      <c r="N421" s="94"/>
      <c r="O421" s="94"/>
      <c r="P421" s="94"/>
      <c r="Q421" s="94"/>
      <c r="R421" s="95"/>
      <c r="S421" s="94"/>
      <c r="T421" s="96"/>
      <c r="U421" s="94"/>
      <c r="V421" s="97"/>
      <c r="W421" s="94"/>
      <c r="X421" s="98"/>
      <c r="Y421" s="98"/>
      <c r="Z421" s="98"/>
      <c r="AA421" s="98"/>
      <c r="AB421" s="98"/>
      <c r="AC421" s="97"/>
      <c r="AD421" s="99"/>
      <c r="AE421" s="95"/>
      <c r="AF421" s="94"/>
      <c r="AG421" s="89"/>
      <c r="AH421" s="89"/>
      <c r="AI421" s="89"/>
      <c r="AJ421" s="89"/>
      <c r="AK421" s="89"/>
      <c r="AL421" s="89"/>
      <c r="AM421" s="89"/>
      <c r="AN421" s="89"/>
      <c r="AO421" s="89"/>
      <c r="AP421" s="89"/>
      <c r="AQ421" s="89"/>
      <c r="AR421" s="89"/>
      <c r="AS421" s="89"/>
      <c r="AT421" s="89"/>
      <c r="AU421" s="89"/>
      <c r="AV421" s="89"/>
      <c r="AW421" s="100"/>
      <c r="AX421" s="100"/>
      <c r="AY421" s="89"/>
      <c r="AZ421" s="89"/>
      <c r="BA421" s="89"/>
      <c r="BB421" s="89"/>
      <c r="BC421" s="89"/>
      <c r="BD421" s="89"/>
      <c r="BE421" s="89"/>
      <c r="BF421" s="89"/>
      <c r="BG421" s="89"/>
      <c r="BH421" s="89"/>
      <c r="BI421" s="89"/>
      <c r="BJ421" s="89"/>
      <c r="BK421" s="89"/>
      <c r="BL421" s="89"/>
      <c r="BM421" s="89"/>
      <c r="BN421" s="89"/>
      <c r="BO421" s="89"/>
      <c r="BP421" s="89"/>
      <c r="BQ421" s="89"/>
      <c r="BR421" s="89"/>
      <c r="BS421" s="89"/>
    </row>
    <row r="422" spans="1:71" ht="27" customHeight="1" x14ac:dyDescent="0.2">
      <c r="A422" s="93"/>
      <c r="B422" s="89"/>
      <c r="C422" s="89"/>
      <c r="D422" s="89"/>
      <c r="E422" s="89"/>
      <c r="F422" s="89"/>
      <c r="G422" s="89"/>
      <c r="H422" s="94"/>
      <c r="I422" s="94"/>
      <c r="J422" s="94"/>
      <c r="K422" s="94"/>
      <c r="L422" s="94"/>
      <c r="M422" s="94"/>
      <c r="N422" s="94"/>
      <c r="O422" s="94"/>
      <c r="P422" s="94"/>
      <c r="Q422" s="94"/>
      <c r="R422" s="95"/>
      <c r="S422" s="94"/>
      <c r="T422" s="96"/>
      <c r="U422" s="94"/>
      <c r="V422" s="97"/>
      <c r="W422" s="94"/>
      <c r="X422" s="98"/>
      <c r="Y422" s="98"/>
      <c r="Z422" s="98"/>
      <c r="AA422" s="98"/>
      <c r="AB422" s="98"/>
      <c r="AC422" s="97"/>
      <c r="AD422" s="99"/>
      <c r="AE422" s="95"/>
      <c r="AF422" s="94"/>
      <c r="AG422" s="89"/>
      <c r="AH422" s="89"/>
      <c r="AI422" s="89"/>
      <c r="AJ422" s="89"/>
      <c r="AK422" s="89"/>
      <c r="AL422" s="89"/>
      <c r="AM422" s="89"/>
      <c r="AN422" s="89"/>
      <c r="AO422" s="89"/>
      <c r="AP422" s="89"/>
      <c r="AQ422" s="89"/>
      <c r="AR422" s="89"/>
      <c r="AS422" s="89"/>
      <c r="AT422" s="89"/>
      <c r="AU422" s="89"/>
      <c r="AV422" s="89"/>
      <c r="AW422" s="100"/>
      <c r="AX422" s="100"/>
      <c r="AY422" s="89"/>
      <c r="AZ422" s="89"/>
      <c r="BA422" s="89"/>
      <c r="BB422" s="89"/>
      <c r="BC422" s="89"/>
      <c r="BD422" s="89"/>
      <c r="BE422" s="89"/>
      <c r="BF422" s="89"/>
      <c r="BG422" s="89"/>
      <c r="BH422" s="89"/>
      <c r="BI422" s="89"/>
      <c r="BJ422" s="89"/>
      <c r="BK422" s="89"/>
      <c r="BL422" s="89"/>
      <c r="BM422" s="89"/>
      <c r="BN422" s="89"/>
      <c r="BO422" s="89"/>
      <c r="BP422" s="89"/>
      <c r="BQ422" s="89"/>
      <c r="BR422" s="89"/>
      <c r="BS422" s="89"/>
    </row>
    <row r="423" spans="1:71" ht="27" customHeight="1" x14ac:dyDescent="0.2">
      <c r="A423" s="93"/>
      <c r="B423" s="89"/>
      <c r="C423" s="89"/>
      <c r="D423" s="89"/>
      <c r="E423" s="89"/>
      <c r="F423" s="89"/>
      <c r="G423" s="89"/>
      <c r="H423" s="94"/>
      <c r="I423" s="94"/>
      <c r="J423" s="94"/>
      <c r="K423" s="94"/>
      <c r="L423" s="94"/>
      <c r="M423" s="94"/>
      <c r="N423" s="94"/>
      <c r="O423" s="94"/>
      <c r="P423" s="94"/>
      <c r="Q423" s="94"/>
      <c r="R423" s="95"/>
      <c r="S423" s="94"/>
      <c r="T423" s="96"/>
      <c r="U423" s="94"/>
      <c r="V423" s="97"/>
      <c r="W423" s="94"/>
      <c r="X423" s="98"/>
      <c r="Y423" s="98"/>
      <c r="Z423" s="98"/>
      <c r="AA423" s="98"/>
      <c r="AB423" s="98"/>
      <c r="AC423" s="97"/>
      <c r="AD423" s="99"/>
      <c r="AE423" s="95"/>
      <c r="AF423" s="94"/>
      <c r="AG423" s="89"/>
      <c r="AH423" s="89"/>
      <c r="AI423" s="89"/>
      <c r="AJ423" s="89"/>
      <c r="AK423" s="89"/>
      <c r="AL423" s="89"/>
      <c r="AM423" s="89"/>
      <c r="AN423" s="89"/>
      <c r="AO423" s="89"/>
      <c r="AP423" s="89"/>
      <c r="AQ423" s="89"/>
      <c r="AR423" s="89"/>
      <c r="AS423" s="89"/>
      <c r="AT423" s="89"/>
      <c r="AU423" s="89"/>
      <c r="AV423" s="89"/>
      <c r="AW423" s="100"/>
      <c r="AX423" s="100"/>
      <c r="AY423" s="89"/>
      <c r="AZ423" s="89"/>
      <c r="BA423" s="89"/>
      <c r="BB423" s="89"/>
      <c r="BC423" s="89"/>
      <c r="BD423" s="89"/>
      <c r="BE423" s="89"/>
      <c r="BF423" s="89"/>
      <c r="BG423" s="89"/>
      <c r="BH423" s="89"/>
      <c r="BI423" s="89"/>
      <c r="BJ423" s="89"/>
      <c r="BK423" s="89"/>
      <c r="BL423" s="89"/>
      <c r="BM423" s="89"/>
      <c r="BN423" s="89"/>
      <c r="BO423" s="89"/>
      <c r="BP423" s="89"/>
      <c r="BQ423" s="89"/>
      <c r="BR423" s="89"/>
      <c r="BS423" s="89"/>
    </row>
    <row r="424" spans="1:71" ht="27" customHeight="1" x14ac:dyDescent="0.2">
      <c r="A424" s="93"/>
      <c r="B424" s="89"/>
      <c r="C424" s="89"/>
      <c r="D424" s="89"/>
      <c r="E424" s="89"/>
      <c r="F424" s="89"/>
      <c r="G424" s="89"/>
      <c r="H424" s="94"/>
      <c r="I424" s="94"/>
      <c r="J424" s="94"/>
      <c r="K424" s="94"/>
      <c r="L424" s="94"/>
      <c r="M424" s="94"/>
      <c r="N424" s="94"/>
      <c r="O424" s="94"/>
      <c r="P424" s="94"/>
      <c r="Q424" s="94"/>
      <c r="R424" s="95"/>
      <c r="S424" s="94"/>
      <c r="T424" s="96"/>
      <c r="U424" s="94"/>
      <c r="V424" s="97"/>
      <c r="W424" s="94"/>
      <c r="X424" s="98"/>
      <c r="Y424" s="98"/>
      <c r="Z424" s="98"/>
      <c r="AA424" s="98"/>
      <c r="AB424" s="98"/>
      <c r="AC424" s="97"/>
      <c r="AD424" s="99"/>
      <c r="AE424" s="95"/>
      <c r="AF424" s="94"/>
      <c r="AG424" s="89"/>
      <c r="AH424" s="89"/>
      <c r="AI424" s="89"/>
      <c r="AJ424" s="89"/>
      <c r="AK424" s="89"/>
      <c r="AL424" s="89"/>
      <c r="AM424" s="89"/>
      <c r="AN424" s="89"/>
      <c r="AO424" s="89"/>
      <c r="AP424" s="89"/>
      <c r="AQ424" s="89"/>
      <c r="AR424" s="89"/>
      <c r="AS424" s="89"/>
      <c r="AT424" s="89"/>
      <c r="AU424" s="89"/>
      <c r="AV424" s="89"/>
      <c r="AW424" s="100"/>
      <c r="AX424" s="100"/>
      <c r="AY424" s="89"/>
      <c r="AZ424" s="89"/>
      <c r="BA424" s="89"/>
      <c r="BB424" s="89"/>
      <c r="BC424" s="89"/>
      <c r="BD424" s="89"/>
      <c r="BE424" s="89"/>
      <c r="BF424" s="89"/>
      <c r="BG424" s="89"/>
      <c r="BH424" s="89"/>
      <c r="BI424" s="89"/>
      <c r="BJ424" s="89"/>
      <c r="BK424" s="89"/>
      <c r="BL424" s="89"/>
      <c r="BM424" s="89"/>
      <c r="BN424" s="89"/>
      <c r="BO424" s="89"/>
      <c r="BP424" s="89"/>
      <c r="BQ424" s="89"/>
      <c r="BR424" s="89"/>
      <c r="BS424" s="89"/>
    </row>
    <row r="425" spans="1:71" ht="27" customHeight="1" x14ac:dyDescent="0.2">
      <c r="A425" s="93"/>
      <c r="B425" s="89"/>
      <c r="C425" s="89"/>
      <c r="D425" s="89"/>
      <c r="E425" s="89"/>
      <c r="F425" s="89"/>
      <c r="G425" s="89"/>
      <c r="H425" s="94"/>
      <c r="I425" s="94"/>
      <c r="J425" s="94"/>
      <c r="K425" s="94"/>
      <c r="L425" s="94"/>
      <c r="M425" s="94"/>
      <c r="N425" s="94"/>
      <c r="O425" s="94"/>
      <c r="P425" s="94"/>
      <c r="Q425" s="94"/>
      <c r="R425" s="95"/>
      <c r="S425" s="94"/>
      <c r="T425" s="96"/>
      <c r="U425" s="94"/>
      <c r="V425" s="97"/>
      <c r="W425" s="94"/>
      <c r="X425" s="98"/>
      <c r="Y425" s="98"/>
      <c r="Z425" s="98"/>
      <c r="AA425" s="98"/>
      <c r="AB425" s="98"/>
      <c r="AC425" s="97"/>
      <c r="AD425" s="99"/>
      <c r="AE425" s="95"/>
      <c r="AF425" s="94"/>
      <c r="AG425" s="89"/>
      <c r="AH425" s="89"/>
      <c r="AI425" s="89"/>
      <c r="AJ425" s="89"/>
      <c r="AK425" s="89"/>
      <c r="AL425" s="89"/>
      <c r="AM425" s="89"/>
      <c r="AN425" s="89"/>
      <c r="AO425" s="89"/>
      <c r="AP425" s="89"/>
      <c r="AQ425" s="89"/>
      <c r="AR425" s="89"/>
      <c r="AS425" s="89"/>
      <c r="AT425" s="89"/>
      <c r="AU425" s="89"/>
      <c r="AV425" s="89"/>
      <c r="AW425" s="100"/>
      <c r="AX425" s="100"/>
      <c r="AY425" s="89"/>
      <c r="AZ425" s="89"/>
      <c r="BA425" s="89"/>
      <c r="BB425" s="89"/>
      <c r="BC425" s="89"/>
      <c r="BD425" s="89"/>
      <c r="BE425" s="89"/>
      <c r="BF425" s="89"/>
      <c r="BG425" s="89"/>
      <c r="BH425" s="89"/>
      <c r="BI425" s="89"/>
      <c r="BJ425" s="89"/>
      <c r="BK425" s="89"/>
      <c r="BL425" s="89"/>
      <c r="BM425" s="89"/>
      <c r="BN425" s="89"/>
      <c r="BO425" s="89"/>
      <c r="BP425" s="89"/>
      <c r="BQ425" s="89"/>
      <c r="BR425" s="89"/>
      <c r="BS425" s="89"/>
    </row>
    <row r="426" spans="1:71" ht="27" customHeight="1" x14ac:dyDescent="0.2">
      <c r="A426" s="93"/>
      <c r="B426" s="89"/>
      <c r="C426" s="89"/>
      <c r="D426" s="89"/>
      <c r="E426" s="89"/>
      <c r="F426" s="89"/>
      <c r="G426" s="89"/>
      <c r="H426" s="94"/>
      <c r="I426" s="94"/>
      <c r="J426" s="94"/>
      <c r="K426" s="94"/>
      <c r="L426" s="94"/>
      <c r="M426" s="94"/>
      <c r="N426" s="94"/>
      <c r="O426" s="94"/>
      <c r="P426" s="94"/>
      <c r="Q426" s="94"/>
      <c r="R426" s="95"/>
      <c r="S426" s="94"/>
      <c r="T426" s="96"/>
      <c r="U426" s="94"/>
      <c r="V426" s="97"/>
      <c r="W426" s="94"/>
      <c r="X426" s="98"/>
      <c r="Y426" s="98"/>
      <c r="Z426" s="98"/>
      <c r="AA426" s="98"/>
      <c r="AB426" s="98"/>
      <c r="AC426" s="97"/>
      <c r="AD426" s="99"/>
      <c r="AE426" s="95"/>
      <c r="AF426" s="94"/>
      <c r="AG426" s="89"/>
      <c r="AH426" s="89"/>
      <c r="AI426" s="89"/>
      <c r="AJ426" s="89"/>
      <c r="AK426" s="89"/>
      <c r="AL426" s="89"/>
      <c r="AM426" s="89"/>
      <c r="AN426" s="89"/>
      <c r="AO426" s="89"/>
      <c r="AP426" s="89"/>
      <c r="AQ426" s="89"/>
      <c r="AR426" s="89"/>
      <c r="AS426" s="89"/>
      <c r="AT426" s="89"/>
      <c r="AU426" s="89"/>
      <c r="AV426" s="89"/>
      <c r="AW426" s="100"/>
      <c r="AX426" s="100"/>
      <c r="AY426" s="89"/>
      <c r="AZ426" s="89"/>
      <c r="BA426" s="89"/>
      <c r="BB426" s="89"/>
      <c r="BC426" s="89"/>
      <c r="BD426" s="89"/>
      <c r="BE426" s="89"/>
      <c r="BF426" s="89"/>
      <c r="BG426" s="89"/>
      <c r="BH426" s="89"/>
      <c r="BI426" s="89"/>
      <c r="BJ426" s="89"/>
      <c r="BK426" s="89"/>
      <c r="BL426" s="89"/>
      <c r="BM426" s="89"/>
      <c r="BN426" s="89"/>
      <c r="BO426" s="89"/>
      <c r="BP426" s="89"/>
      <c r="BQ426" s="89"/>
      <c r="BR426" s="89"/>
      <c r="BS426" s="89"/>
    </row>
    <row r="427" spans="1:71" ht="27" customHeight="1" x14ac:dyDescent="0.2">
      <c r="A427" s="93"/>
      <c r="B427" s="89"/>
      <c r="C427" s="89"/>
      <c r="D427" s="89"/>
      <c r="E427" s="89"/>
      <c r="F427" s="89"/>
      <c r="G427" s="89"/>
      <c r="H427" s="94"/>
      <c r="I427" s="94"/>
      <c r="J427" s="94"/>
      <c r="K427" s="94"/>
      <c r="L427" s="94"/>
      <c r="M427" s="94"/>
      <c r="N427" s="94"/>
      <c r="O427" s="94"/>
      <c r="P427" s="94"/>
      <c r="Q427" s="94"/>
      <c r="R427" s="95"/>
      <c r="S427" s="94"/>
      <c r="T427" s="96"/>
      <c r="U427" s="94"/>
      <c r="V427" s="97"/>
      <c r="W427" s="94"/>
      <c r="X427" s="98"/>
      <c r="Y427" s="98"/>
      <c r="Z427" s="98"/>
      <c r="AA427" s="98"/>
      <c r="AB427" s="98"/>
      <c r="AC427" s="97"/>
      <c r="AD427" s="99"/>
      <c r="AE427" s="95"/>
      <c r="AF427" s="94"/>
      <c r="AG427" s="89"/>
      <c r="AH427" s="89"/>
      <c r="AI427" s="89"/>
      <c r="AJ427" s="89"/>
      <c r="AK427" s="89"/>
      <c r="AL427" s="89"/>
      <c r="AM427" s="89"/>
      <c r="AN427" s="89"/>
      <c r="AO427" s="89"/>
      <c r="AP427" s="89"/>
      <c r="AQ427" s="89"/>
      <c r="AR427" s="89"/>
      <c r="AS427" s="89"/>
      <c r="AT427" s="89"/>
      <c r="AU427" s="89"/>
      <c r="AV427" s="89"/>
      <c r="AW427" s="100"/>
      <c r="AX427" s="100"/>
      <c r="AY427" s="89"/>
      <c r="AZ427" s="89"/>
      <c r="BA427" s="89"/>
      <c r="BB427" s="89"/>
      <c r="BC427" s="89"/>
      <c r="BD427" s="89"/>
      <c r="BE427" s="89"/>
      <c r="BF427" s="89"/>
      <c r="BG427" s="89"/>
      <c r="BH427" s="89"/>
      <c r="BI427" s="89"/>
      <c r="BJ427" s="89"/>
      <c r="BK427" s="89"/>
      <c r="BL427" s="89"/>
      <c r="BM427" s="89"/>
      <c r="BN427" s="89"/>
      <c r="BO427" s="89"/>
      <c r="BP427" s="89"/>
      <c r="BQ427" s="89"/>
      <c r="BR427" s="89"/>
      <c r="BS427" s="89"/>
    </row>
    <row r="428" spans="1:71" ht="27" customHeight="1" x14ac:dyDescent="0.2">
      <c r="A428" s="93"/>
      <c r="B428" s="89"/>
      <c r="C428" s="89"/>
      <c r="D428" s="89"/>
      <c r="E428" s="89"/>
      <c r="F428" s="89"/>
      <c r="G428" s="89"/>
      <c r="H428" s="94"/>
      <c r="I428" s="94"/>
      <c r="J428" s="94"/>
      <c r="K428" s="94"/>
      <c r="L428" s="94"/>
      <c r="M428" s="94"/>
      <c r="N428" s="94"/>
      <c r="O428" s="94"/>
      <c r="P428" s="94"/>
      <c r="Q428" s="94"/>
      <c r="R428" s="95"/>
      <c r="S428" s="94"/>
      <c r="T428" s="96"/>
      <c r="U428" s="94"/>
      <c r="V428" s="97"/>
      <c r="W428" s="94"/>
      <c r="X428" s="98"/>
      <c r="Y428" s="98"/>
      <c r="Z428" s="98"/>
      <c r="AA428" s="98"/>
      <c r="AB428" s="98"/>
      <c r="AC428" s="97"/>
      <c r="AD428" s="99"/>
      <c r="AE428" s="95"/>
      <c r="AF428" s="94"/>
      <c r="AG428" s="89"/>
      <c r="AH428" s="89"/>
      <c r="AI428" s="89"/>
      <c r="AJ428" s="89"/>
      <c r="AK428" s="89"/>
      <c r="AL428" s="89"/>
      <c r="AM428" s="89"/>
      <c r="AN428" s="89"/>
      <c r="AO428" s="89"/>
      <c r="AP428" s="89"/>
      <c r="AQ428" s="89"/>
      <c r="AR428" s="89"/>
      <c r="AS428" s="89"/>
      <c r="AT428" s="89"/>
      <c r="AU428" s="89"/>
      <c r="AV428" s="89"/>
      <c r="AW428" s="100"/>
      <c r="AX428" s="100"/>
      <c r="AY428" s="89"/>
      <c r="AZ428" s="89"/>
      <c r="BA428" s="89"/>
      <c r="BB428" s="89"/>
      <c r="BC428" s="89"/>
      <c r="BD428" s="89"/>
      <c r="BE428" s="89"/>
      <c r="BF428" s="89"/>
      <c r="BG428" s="89"/>
      <c r="BH428" s="89"/>
      <c r="BI428" s="89"/>
      <c r="BJ428" s="89"/>
      <c r="BK428" s="89"/>
      <c r="BL428" s="89"/>
      <c r="BM428" s="89"/>
      <c r="BN428" s="89"/>
      <c r="BO428" s="89"/>
      <c r="BP428" s="89"/>
      <c r="BQ428" s="89"/>
      <c r="BR428" s="89"/>
      <c r="BS428" s="89"/>
    </row>
    <row r="429" spans="1:71" ht="27" customHeight="1" x14ac:dyDescent="0.2">
      <c r="A429" s="93"/>
      <c r="B429" s="89"/>
      <c r="C429" s="89"/>
      <c r="D429" s="89"/>
      <c r="E429" s="89"/>
      <c r="F429" s="89"/>
      <c r="G429" s="89"/>
      <c r="H429" s="94"/>
      <c r="I429" s="94"/>
      <c r="J429" s="94"/>
      <c r="K429" s="94"/>
      <c r="L429" s="94"/>
      <c r="M429" s="94"/>
      <c r="N429" s="94"/>
      <c r="O429" s="94"/>
      <c r="P429" s="94"/>
      <c r="Q429" s="94"/>
      <c r="R429" s="95"/>
      <c r="S429" s="94"/>
      <c r="T429" s="96"/>
      <c r="U429" s="94"/>
      <c r="V429" s="97"/>
      <c r="W429" s="94"/>
      <c r="X429" s="98"/>
      <c r="Y429" s="98"/>
      <c r="Z429" s="98"/>
      <c r="AA429" s="98"/>
      <c r="AB429" s="98"/>
      <c r="AC429" s="97"/>
      <c r="AD429" s="99"/>
      <c r="AE429" s="95"/>
      <c r="AF429" s="94"/>
      <c r="AG429" s="89"/>
      <c r="AH429" s="89"/>
      <c r="AI429" s="89"/>
      <c r="AJ429" s="89"/>
      <c r="AK429" s="89"/>
      <c r="AL429" s="89"/>
      <c r="AM429" s="89"/>
      <c r="AN429" s="89"/>
      <c r="AO429" s="89"/>
      <c r="AP429" s="89"/>
      <c r="AQ429" s="89"/>
      <c r="AR429" s="89"/>
      <c r="AS429" s="89"/>
      <c r="AT429" s="89"/>
      <c r="AU429" s="89"/>
      <c r="AV429" s="89"/>
      <c r="AW429" s="100"/>
      <c r="AX429" s="100"/>
      <c r="AY429" s="89"/>
      <c r="AZ429" s="89"/>
      <c r="BA429" s="89"/>
      <c r="BB429" s="89"/>
      <c r="BC429" s="89"/>
      <c r="BD429" s="89"/>
      <c r="BE429" s="89"/>
      <c r="BF429" s="89"/>
      <c r="BG429" s="89"/>
      <c r="BH429" s="89"/>
      <c r="BI429" s="89"/>
      <c r="BJ429" s="89"/>
      <c r="BK429" s="89"/>
      <c r="BL429" s="89"/>
      <c r="BM429" s="89"/>
      <c r="BN429" s="89"/>
      <c r="BO429" s="89"/>
      <c r="BP429" s="89"/>
      <c r="BQ429" s="89"/>
      <c r="BR429" s="89"/>
      <c r="BS429" s="89"/>
    </row>
    <row r="430" spans="1:71" ht="27" customHeight="1" x14ac:dyDescent="0.2">
      <c r="A430" s="93"/>
      <c r="B430" s="89"/>
      <c r="C430" s="89"/>
      <c r="D430" s="89"/>
      <c r="E430" s="89"/>
      <c r="F430" s="89"/>
      <c r="G430" s="89"/>
      <c r="H430" s="94"/>
      <c r="I430" s="94"/>
      <c r="J430" s="94"/>
      <c r="K430" s="94"/>
      <c r="L430" s="94"/>
      <c r="M430" s="94"/>
      <c r="N430" s="94"/>
      <c r="O430" s="94"/>
      <c r="P430" s="94"/>
      <c r="Q430" s="94"/>
      <c r="R430" s="95"/>
      <c r="S430" s="94"/>
      <c r="T430" s="96"/>
      <c r="U430" s="94"/>
      <c r="V430" s="97"/>
      <c r="W430" s="94"/>
      <c r="X430" s="98"/>
      <c r="Y430" s="98"/>
      <c r="Z430" s="98"/>
      <c r="AA430" s="98"/>
      <c r="AB430" s="98"/>
      <c r="AC430" s="97"/>
      <c r="AD430" s="99"/>
      <c r="AE430" s="95"/>
      <c r="AF430" s="94"/>
      <c r="AG430" s="89"/>
      <c r="AH430" s="89"/>
      <c r="AI430" s="89"/>
      <c r="AJ430" s="89"/>
      <c r="AK430" s="89"/>
      <c r="AL430" s="89"/>
      <c r="AM430" s="89"/>
      <c r="AN430" s="89"/>
      <c r="AO430" s="89"/>
      <c r="AP430" s="89"/>
      <c r="AQ430" s="89"/>
      <c r="AR430" s="89"/>
      <c r="AS430" s="89"/>
      <c r="AT430" s="89"/>
      <c r="AU430" s="89"/>
      <c r="AV430" s="89"/>
      <c r="AW430" s="100"/>
      <c r="AX430" s="100"/>
      <c r="AY430" s="89"/>
      <c r="AZ430" s="89"/>
      <c r="BA430" s="89"/>
      <c r="BB430" s="89"/>
      <c r="BC430" s="89"/>
      <c r="BD430" s="89"/>
      <c r="BE430" s="89"/>
      <c r="BF430" s="89"/>
      <c r="BG430" s="89"/>
      <c r="BH430" s="89"/>
      <c r="BI430" s="89"/>
      <c r="BJ430" s="89"/>
      <c r="BK430" s="89"/>
      <c r="BL430" s="89"/>
      <c r="BM430" s="89"/>
      <c r="BN430" s="89"/>
      <c r="BO430" s="89"/>
      <c r="BP430" s="89"/>
      <c r="BQ430" s="89"/>
      <c r="BR430" s="89"/>
      <c r="BS430" s="89"/>
    </row>
    <row r="431" spans="1:71" ht="27" customHeight="1" x14ac:dyDescent="0.2">
      <c r="A431" s="93"/>
      <c r="B431" s="89"/>
      <c r="C431" s="89"/>
      <c r="D431" s="89"/>
      <c r="E431" s="89"/>
      <c r="F431" s="89"/>
      <c r="G431" s="89"/>
      <c r="H431" s="94"/>
      <c r="I431" s="94"/>
      <c r="J431" s="94"/>
      <c r="K431" s="94"/>
      <c r="L431" s="94"/>
      <c r="M431" s="94"/>
      <c r="N431" s="94"/>
      <c r="O431" s="94"/>
      <c r="P431" s="94"/>
      <c r="Q431" s="94"/>
      <c r="R431" s="95"/>
      <c r="S431" s="94"/>
      <c r="T431" s="96"/>
      <c r="U431" s="94"/>
      <c r="V431" s="97"/>
      <c r="W431" s="94"/>
      <c r="X431" s="98"/>
      <c r="Y431" s="98"/>
      <c r="Z431" s="98"/>
      <c r="AA431" s="98"/>
      <c r="AB431" s="98"/>
      <c r="AC431" s="97"/>
      <c r="AD431" s="99"/>
      <c r="AE431" s="95"/>
      <c r="AF431" s="94"/>
      <c r="AG431" s="89"/>
      <c r="AH431" s="89"/>
      <c r="AI431" s="89"/>
      <c r="AJ431" s="89"/>
      <c r="AK431" s="89"/>
      <c r="AL431" s="89"/>
      <c r="AM431" s="89"/>
      <c r="AN431" s="89"/>
      <c r="AO431" s="89"/>
      <c r="AP431" s="89"/>
      <c r="AQ431" s="89"/>
      <c r="AR431" s="89"/>
      <c r="AS431" s="89"/>
      <c r="AT431" s="89"/>
      <c r="AU431" s="89"/>
      <c r="AV431" s="89"/>
      <c r="AW431" s="100"/>
      <c r="AX431" s="100"/>
      <c r="AY431" s="89"/>
      <c r="AZ431" s="89"/>
      <c r="BA431" s="89"/>
      <c r="BB431" s="89"/>
      <c r="BC431" s="89"/>
      <c r="BD431" s="89"/>
      <c r="BE431" s="89"/>
      <c r="BF431" s="89"/>
      <c r="BG431" s="89"/>
      <c r="BH431" s="89"/>
      <c r="BI431" s="89"/>
      <c r="BJ431" s="89"/>
      <c r="BK431" s="89"/>
      <c r="BL431" s="89"/>
      <c r="BM431" s="89"/>
      <c r="BN431" s="89"/>
      <c r="BO431" s="89"/>
      <c r="BP431" s="89"/>
      <c r="BQ431" s="89"/>
      <c r="BR431" s="89"/>
      <c r="BS431" s="89"/>
    </row>
    <row r="432" spans="1:71" ht="27" customHeight="1" x14ac:dyDescent="0.2">
      <c r="A432" s="93"/>
      <c r="B432" s="89"/>
      <c r="C432" s="89"/>
      <c r="D432" s="89"/>
      <c r="E432" s="89"/>
      <c r="F432" s="89"/>
      <c r="G432" s="89"/>
      <c r="H432" s="94"/>
      <c r="I432" s="94"/>
      <c r="J432" s="94"/>
      <c r="K432" s="94"/>
      <c r="L432" s="94"/>
      <c r="M432" s="94"/>
      <c r="N432" s="94"/>
      <c r="O432" s="94"/>
      <c r="P432" s="94"/>
      <c r="Q432" s="94"/>
      <c r="R432" s="95"/>
      <c r="S432" s="94"/>
      <c r="T432" s="96"/>
      <c r="U432" s="94"/>
      <c r="V432" s="97"/>
      <c r="W432" s="94"/>
      <c r="X432" s="98"/>
      <c r="Y432" s="98"/>
      <c r="Z432" s="98"/>
      <c r="AA432" s="98"/>
      <c r="AB432" s="98"/>
      <c r="AC432" s="97"/>
      <c r="AD432" s="99"/>
      <c r="AE432" s="95"/>
      <c r="AF432" s="94"/>
      <c r="AG432" s="89"/>
      <c r="AH432" s="89"/>
      <c r="AI432" s="89"/>
      <c r="AJ432" s="89"/>
      <c r="AK432" s="89"/>
      <c r="AL432" s="89"/>
      <c r="AM432" s="89"/>
      <c r="AN432" s="89"/>
      <c r="AO432" s="89"/>
      <c r="AP432" s="89"/>
      <c r="AQ432" s="89"/>
      <c r="AR432" s="89"/>
      <c r="AS432" s="89"/>
      <c r="AT432" s="89"/>
      <c r="AU432" s="89"/>
      <c r="AV432" s="89"/>
      <c r="AW432" s="100"/>
      <c r="AX432" s="100"/>
      <c r="AY432" s="89"/>
      <c r="AZ432" s="89"/>
      <c r="BA432" s="89"/>
      <c r="BB432" s="89"/>
      <c r="BC432" s="89"/>
      <c r="BD432" s="89"/>
      <c r="BE432" s="89"/>
      <c r="BF432" s="89"/>
      <c r="BG432" s="89"/>
      <c r="BH432" s="89"/>
      <c r="BI432" s="89"/>
      <c r="BJ432" s="89"/>
      <c r="BK432" s="89"/>
      <c r="BL432" s="89"/>
      <c r="BM432" s="89"/>
      <c r="BN432" s="89"/>
      <c r="BO432" s="89"/>
      <c r="BP432" s="89"/>
      <c r="BQ432" s="89"/>
      <c r="BR432" s="89"/>
      <c r="BS432" s="89"/>
    </row>
    <row r="433" spans="1:71" ht="27" customHeight="1" x14ac:dyDescent="0.2">
      <c r="A433" s="93"/>
      <c r="B433" s="89"/>
      <c r="C433" s="89"/>
      <c r="D433" s="89"/>
      <c r="E433" s="89"/>
      <c r="F433" s="89"/>
      <c r="G433" s="89"/>
      <c r="H433" s="94"/>
      <c r="I433" s="94"/>
      <c r="J433" s="94"/>
      <c r="K433" s="94"/>
      <c r="L433" s="94"/>
      <c r="M433" s="94"/>
      <c r="N433" s="94"/>
      <c r="O433" s="94"/>
      <c r="P433" s="94"/>
      <c r="Q433" s="94"/>
      <c r="R433" s="95"/>
      <c r="S433" s="94"/>
      <c r="T433" s="96"/>
      <c r="U433" s="94"/>
      <c r="V433" s="97"/>
      <c r="W433" s="94"/>
      <c r="X433" s="98"/>
      <c r="Y433" s="98"/>
      <c r="Z433" s="98"/>
      <c r="AA433" s="98"/>
      <c r="AB433" s="98"/>
      <c r="AC433" s="97"/>
      <c r="AD433" s="99"/>
      <c r="AE433" s="95"/>
      <c r="AF433" s="94"/>
      <c r="AG433" s="89"/>
      <c r="AH433" s="89"/>
      <c r="AI433" s="89"/>
      <c r="AJ433" s="89"/>
      <c r="AK433" s="89"/>
      <c r="AL433" s="89"/>
      <c r="AM433" s="89"/>
      <c r="AN433" s="89"/>
      <c r="AO433" s="89"/>
      <c r="AP433" s="89"/>
      <c r="AQ433" s="89"/>
      <c r="AR433" s="89"/>
      <c r="AS433" s="89"/>
      <c r="AT433" s="89"/>
      <c r="AU433" s="89"/>
      <c r="AV433" s="89"/>
      <c r="AW433" s="100"/>
      <c r="AX433" s="100"/>
      <c r="AY433" s="89"/>
      <c r="AZ433" s="89"/>
      <c r="BA433" s="89"/>
      <c r="BB433" s="89"/>
      <c r="BC433" s="89"/>
      <c r="BD433" s="89"/>
      <c r="BE433" s="89"/>
      <c r="BF433" s="89"/>
      <c r="BG433" s="89"/>
      <c r="BH433" s="89"/>
      <c r="BI433" s="89"/>
      <c r="BJ433" s="89"/>
      <c r="BK433" s="89"/>
      <c r="BL433" s="89"/>
      <c r="BM433" s="89"/>
      <c r="BN433" s="89"/>
      <c r="BO433" s="89"/>
      <c r="BP433" s="89"/>
      <c r="BQ433" s="89"/>
      <c r="BR433" s="89"/>
      <c r="BS433" s="89"/>
    </row>
    <row r="434" spans="1:71" ht="27" customHeight="1" x14ac:dyDescent="0.2">
      <c r="A434" s="93"/>
      <c r="B434" s="89"/>
      <c r="C434" s="89"/>
      <c r="D434" s="89"/>
      <c r="E434" s="89"/>
      <c r="F434" s="89"/>
      <c r="G434" s="89"/>
      <c r="H434" s="94"/>
      <c r="I434" s="94"/>
      <c r="J434" s="94"/>
      <c r="K434" s="94"/>
      <c r="L434" s="94"/>
      <c r="M434" s="94"/>
      <c r="N434" s="94"/>
      <c r="O434" s="94"/>
      <c r="P434" s="94"/>
      <c r="Q434" s="94"/>
      <c r="R434" s="95"/>
      <c r="S434" s="94"/>
      <c r="T434" s="96"/>
      <c r="U434" s="94"/>
      <c r="V434" s="97"/>
      <c r="W434" s="94"/>
      <c r="X434" s="98"/>
      <c r="Y434" s="98"/>
      <c r="Z434" s="98"/>
      <c r="AA434" s="98"/>
      <c r="AB434" s="98"/>
      <c r="AC434" s="97"/>
      <c r="AD434" s="99"/>
      <c r="AE434" s="95"/>
      <c r="AF434" s="94"/>
      <c r="AG434" s="89"/>
      <c r="AH434" s="89"/>
      <c r="AI434" s="89"/>
      <c r="AJ434" s="89"/>
      <c r="AK434" s="89"/>
      <c r="AL434" s="89"/>
      <c r="AM434" s="89"/>
      <c r="AN434" s="89"/>
      <c r="AO434" s="89"/>
      <c r="AP434" s="89"/>
      <c r="AQ434" s="89"/>
      <c r="AR434" s="89"/>
      <c r="AS434" s="89"/>
      <c r="AT434" s="89"/>
      <c r="AU434" s="89"/>
      <c r="AV434" s="89"/>
      <c r="AW434" s="100"/>
      <c r="AX434" s="100"/>
      <c r="AY434" s="89"/>
      <c r="AZ434" s="89"/>
      <c r="BA434" s="89"/>
      <c r="BB434" s="89"/>
      <c r="BC434" s="89"/>
      <c r="BD434" s="89"/>
      <c r="BE434" s="89"/>
      <c r="BF434" s="89"/>
      <c r="BG434" s="89"/>
      <c r="BH434" s="89"/>
      <c r="BI434" s="89"/>
      <c r="BJ434" s="89"/>
      <c r="BK434" s="89"/>
      <c r="BL434" s="89"/>
      <c r="BM434" s="89"/>
      <c r="BN434" s="89"/>
      <c r="BO434" s="89"/>
      <c r="BP434" s="89"/>
      <c r="BQ434" s="89"/>
      <c r="BR434" s="89"/>
      <c r="BS434" s="89"/>
    </row>
    <row r="435" spans="1:71" ht="27" customHeight="1" x14ac:dyDescent="0.2">
      <c r="A435" s="93"/>
      <c r="B435" s="89"/>
      <c r="C435" s="89"/>
      <c r="D435" s="89"/>
      <c r="E435" s="89"/>
      <c r="F435" s="89"/>
      <c r="G435" s="89"/>
      <c r="H435" s="94"/>
      <c r="I435" s="94"/>
      <c r="J435" s="94"/>
      <c r="K435" s="94"/>
      <c r="L435" s="94"/>
      <c r="M435" s="94"/>
      <c r="N435" s="94"/>
      <c r="O435" s="94"/>
      <c r="P435" s="94"/>
      <c r="Q435" s="94"/>
      <c r="R435" s="95"/>
      <c r="S435" s="94"/>
      <c r="T435" s="96"/>
      <c r="U435" s="94"/>
      <c r="V435" s="97"/>
      <c r="W435" s="94"/>
      <c r="X435" s="98"/>
      <c r="Y435" s="98"/>
      <c r="Z435" s="98"/>
      <c r="AA435" s="98"/>
      <c r="AB435" s="98"/>
      <c r="AC435" s="97"/>
      <c r="AD435" s="99"/>
      <c r="AE435" s="95"/>
      <c r="AF435" s="94"/>
      <c r="AG435" s="89"/>
      <c r="AH435" s="89"/>
      <c r="AI435" s="89"/>
      <c r="AJ435" s="89"/>
      <c r="AK435" s="89"/>
      <c r="AL435" s="89"/>
      <c r="AM435" s="89"/>
      <c r="AN435" s="89"/>
      <c r="AO435" s="89"/>
      <c r="AP435" s="89"/>
      <c r="AQ435" s="89"/>
      <c r="AR435" s="89"/>
      <c r="AS435" s="89"/>
      <c r="AT435" s="89"/>
      <c r="AU435" s="89"/>
      <c r="AV435" s="89"/>
      <c r="AW435" s="100"/>
      <c r="AX435" s="100"/>
      <c r="AY435" s="89"/>
      <c r="AZ435" s="89"/>
      <c r="BA435" s="89"/>
      <c r="BB435" s="89"/>
      <c r="BC435" s="89"/>
      <c r="BD435" s="89"/>
      <c r="BE435" s="89"/>
      <c r="BF435" s="89"/>
      <c r="BG435" s="89"/>
      <c r="BH435" s="89"/>
      <c r="BI435" s="89"/>
      <c r="BJ435" s="89"/>
      <c r="BK435" s="89"/>
      <c r="BL435" s="89"/>
      <c r="BM435" s="89"/>
      <c r="BN435" s="89"/>
      <c r="BO435" s="89"/>
      <c r="BP435" s="89"/>
      <c r="BQ435" s="89"/>
      <c r="BR435" s="89"/>
      <c r="BS435" s="89"/>
    </row>
    <row r="436" spans="1:71" ht="27" customHeight="1" x14ac:dyDescent="0.2">
      <c r="A436" s="93"/>
      <c r="B436" s="89"/>
      <c r="C436" s="89"/>
      <c r="D436" s="89"/>
      <c r="E436" s="89"/>
      <c r="F436" s="89"/>
      <c r="G436" s="89"/>
      <c r="H436" s="94"/>
      <c r="I436" s="94"/>
      <c r="J436" s="94"/>
      <c r="K436" s="94"/>
      <c r="L436" s="94"/>
      <c r="M436" s="94"/>
      <c r="N436" s="94"/>
      <c r="O436" s="94"/>
      <c r="P436" s="94"/>
      <c r="Q436" s="94"/>
      <c r="R436" s="95"/>
      <c r="S436" s="94"/>
      <c r="T436" s="96"/>
      <c r="U436" s="94"/>
      <c r="V436" s="97"/>
      <c r="W436" s="94"/>
      <c r="X436" s="98"/>
      <c r="Y436" s="98"/>
      <c r="Z436" s="98"/>
      <c r="AA436" s="98"/>
      <c r="AB436" s="98"/>
      <c r="AC436" s="97"/>
      <c r="AD436" s="99"/>
      <c r="AE436" s="95"/>
      <c r="AF436" s="94"/>
      <c r="AG436" s="89"/>
      <c r="AH436" s="89"/>
      <c r="AI436" s="89"/>
      <c r="AJ436" s="89"/>
      <c r="AK436" s="89"/>
      <c r="AL436" s="89"/>
      <c r="AM436" s="89"/>
      <c r="AN436" s="89"/>
      <c r="AO436" s="89"/>
      <c r="AP436" s="89"/>
      <c r="AQ436" s="89"/>
      <c r="AR436" s="89"/>
      <c r="AS436" s="89"/>
      <c r="AT436" s="89"/>
      <c r="AU436" s="89"/>
      <c r="AV436" s="89"/>
      <c r="AW436" s="100"/>
      <c r="AX436" s="100"/>
      <c r="AY436" s="89"/>
      <c r="AZ436" s="89"/>
      <c r="BA436" s="89"/>
      <c r="BB436" s="89"/>
      <c r="BC436" s="89"/>
      <c r="BD436" s="89"/>
      <c r="BE436" s="89"/>
      <c r="BF436" s="89"/>
      <c r="BG436" s="89"/>
      <c r="BH436" s="89"/>
      <c r="BI436" s="89"/>
      <c r="BJ436" s="89"/>
      <c r="BK436" s="89"/>
      <c r="BL436" s="89"/>
      <c r="BM436" s="89"/>
      <c r="BN436" s="89"/>
      <c r="BO436" s="89"/>
      <c r="BP436" s="89"/>
      <c r="BQ436" s="89"/>
      <c r="BR436" s="89"/>
      <c r="BS436" s="89"/>
    </row>
    <row r="437" spans="1:71" ht="27" customHeight="1" x14ac:dyDescent="0.2">
      <c r="A437" s="93"/>
      <c r="B437" s="89"/>
      <c r="C437" s="89"/>
      <c r="D437" s="89"/>
      <c r="E437" s="89"/>
      <c r="F437" s="89"/>
      <c r="G437" s="89"/>
      <c r="H437" s="94"/>
      <c r="I437" s="94"/>
      <c r="J437" s="94"/>
      <c r="K437" s="94"/>
      <c r="L437" s="94"/>
      <c r="M437" s="94"/>
      <c r="N437" s="94"/>
      <c r="O437" s="94"/>
      <c r="P437" s="94"/>
      <c r="Q437" s="94"/>
      <c r="R437" s="95"/>
      <c r="S437" s="94"/>
      <c r="T437" s="96"/>
      <c r="U437" s="94"/>
      <c r="V437" s="97"/>
      <c r="W437" s="94"/>
      <c r="X437" s="98"/>
      <c r="Y437" s="98"/>
      <c r="Z437" s="98"/>
      <c r="AA437" s="98"/>
      <c r="AB437" s="98"/>
      <c r="AC437" s="97"/>
      <c r="AD437" s="99"/>
      <c r="AE437" s="95"/>
      <c r="AF437" s="94"/>
      <c r="AG437" s="89"/>
      <c r="AH437" s="89"/>
      <c r="AI437" s="89"/>
      <c r="AJ437" s="89"/>
      <c r="AK437" s="89"/>
      <c r="AL437" s="89"/>
      <c r="AM437" s="89"/>
      <c r="AN437" s="89"/>
      <c r="AO437" s="89"/>
      <c r="AP437" s="89"/>
      <c r="AQ437" s="89"/>
      <c r="AR437" s="89"/>
      <c r="AS437" s="89"/>
      <c r="AT437" s="89"/>
      <c r="AU437" s="89"/>
      <c r="AV437" s="89"/>
      <c r="AW437" s="100"/>
      <c r="AX437" s="100"/>
      <c r="AY437" s="89"/>
      <c r="AZ437" s="89"/>
      <c r="BA437" s="89"/>
      <c r="BB437" s="89"/>
      <c r="BC437" s="89"/>
      <c r="BD437" s="89"/>
      <c r="BE437" s="89"/>
      <c r="BF437" s="89"/>
      <c r="BG437" s="89"/>
      <c r="BH437" s="89"/>
      <c r="BI437" s="89"/>
      <c r="BJ437" s="89"/>
      <c r="BK437" s="89"/>
      <c r="BL437" s="89"/>
      <c r="BM437" s="89"/>
      <c r="BN437" s="89"/>
      <c r="BO437" s="89"/>
      <c r="BP437" s="89"/>
      <c r="BQ437" s="89"/>
      <c r="BR437" s="89"/>
      <c r="BS437" s="89"/>
    </row>
    <row r="438" spans="1:71" ht="27" customHeight="1" x14ac:dyDescent="0.2">
      <c r="A438" s="93"/>
      <c r="B438" s="89"/>
      <c r="C438" s="89"/>
      <c r="D438" s="89"/>
      <c r="E438" s="89"/>
      <c r="F438" s="89"/>
      <c r="G438" s="89"/>
      <c r="H438" s="94"/>
      <c r="I438" s="94"/>
      <c r="J438" s="94"/>
      <c r="K438" s="94"/>
      <c r="L438" s="94"/>
      <c r="M438" s="94"/>
      <c r="N438" s="94"/>
      <c r="O438" s="94"/>
      <c r="P438" s="94"/>
      <c r="Q438" s="94"/>
      <c r="R438" s="95"/>
      <c r="S438" s="94"/>
      <c r="T438" s="96"/>
      <c r="U438" s="94"/>
      <c r="V438" s="97"/>
      <c r="W438" s="94"/>
      <c r="X438" s="98"/>
      <c r="Y438" s="98"/>
      <c r="Z438" s="98"/>
      <c r="AA438" s="98"/>
      <c r="AB438" s="98"/>
      <c r="AC438" s="97"/>
      <c r="AD438" s="99"/>
      <c r="AE438" s="95"/>
      <c r="AF438" s="94"/>
      <c r="AG438" s="89"/>
      <c r="AH438" s="89"/>
      <c r="AI438" s="89"/>
      <c r="AJ438" s="89"/>
      <c r="AK438" s="89"/>
      <c r="AL438" s="89"/>
      <c r="AM438" s="89"/>
      <c r="AN438" s="89"/>
      <c r="AO438" s="89"/>
      <c r="AP438" s="89"/>
      <c r="AQ438" s="89"/>
      <c r="AR438" s="89"/>
      <c r="AS438" s="89"/>
      <c r="AT438" s="89"/>
      <c r="AU438" s="89"/>
      <c r="AV438" s="89"/>
      <c r="AW438" s="100"/>
      <c r="AX438" s="100"/>
      <c r="AY438" s="89"/>
      <c r="AZ438" s="89"/>
      <c r="BA438" s="89"/>
      <c r="BB438" s="89"/>
      <c r="BC438" s="89"/>
      <c r="BD438" s="89"/>
      <c r="BE438" s="89"/>
      <c r="BF438" s="89"/>
      <c r="BG438" s="89"/>
      <c r="BH438" s="89"/>
      <c r="BI438" s="89"/>
      <c r="BJ438" s="89"/>
      <c r="BK438" s="89"/>
      <c r="BL438" s="89"/>
      <c r="BM438" s="89"/>
      <c r="BN438" s="89"/>
      <c r="BO438" s="89"/>
      <c r="BP438" s="89"/>
      <c r="BQ438" s="89"/>
      <c r="BR438" s="89"/>
      <c r="BS438" s="89"/>
    </row>
    <row r="439" spans="1:71" ht="27" customHeight="1" x14ac:dyDescent="0.2">
      <c r="A439" s="93"/>
      <c r="B439" s="89"/>
      <c r="C439" s="89"/>
      <c r="D439" s="89"/>
      <c r="E439" s="89"/>
      <c r="F439" s="89"/>
      <c r="G439" s="89"/>
      <c r="H439" s="94"/>
      <c r="I439" s="94"/>
      <c r="J439" s="94"/>
      <c r="K439" s="94"/>
      <c r="L439" s="94"/>
      <c r="M439" s="94"/>
      <c r="N439" s="94"/>
      <c r="O439" s="94"/>
      <c r="P439" s="94"/>
      <c r="Q439" s="94"/>
      <c r="R439" s="95"/>
      <c r="S439" s="94"/>
      <c r="T439" s="96"/>
      <c r="U439" s="94"/>
      <c r="V439" s="97"/>
      <c r="W439" s="94"/>
      <c r="X439" s="98"/>
      <c r="Y439" s="98"/>
      <c r="Z439" s="98"/>
      <c r="AA439" s="98"/>
      <c r="AB439" s="98"/>
      <c r="AC439" s="97"/>
      <c r="AD439" s="99"/>
      <c r="AE439" s="95"/>
      <c r="AF439" s="94"/>
      <c r="AG439" s="89"/>
      <c r="AH439" s="89"/>
      <c r="AI439" s="89"/>
      <c r="AJ439" s="89"/>
      <c r="AK439" s="89"/>
      <c r="AL439" s="89"/>
      <c r="AM439" s="89"/>
      <c r="AN439" s="89"/>
      <c r="AO439" s="89"/>
      <c r="AP439" s="89"/>
      <c r="AQ439" s="89"/>
      <c r="AR439" s="89"/>
      <c r="AS439" s="89"/>
      <c r="AT439" s="89"/>
      <c r="AU439" s="89"/>
      <c r="AV439" s="89"/>
      <c r="AW439" s="100"/>
      <c r="AX439" s="100"/>
      <c r="AY439" s="89"/>
      <c r="AZ439" s="89"/>
      <c r="BA439" s="89"/>
      <c r="BB439" s="89"/>
      <c r="BC439" s="89"/>
      <c r="BD439" s="89"/>
      <c r="BE439" s="89"/>
      <c r="BF439" s="89"/>
      <c r="BG439" s="89"/>
      <c r="BH439" s="89"/>
      <c r="BI439" s="89"/>
      <c r="BJ439" s="89"/>
      <c r="BK439" s="89"/>
      <c r="BL439" s="89"/>
      <c r="BM439" s="89"/>
      <c r="BN439" s="89"/>
      <c r="BO439" s="89"/>
      <c r="BP439" s="89"/>
      <c r="BQ439" s="89"/>
      <c r="BR439" s="89"/>
      <c r="BS439" s="89"/>
    </row>
    <row r="440" spans="1:71" ht="27" customHeight="1" x14ac:dyDescent="0.2">
      <c r="A440" s="93"/>
      <c r="B440" s="89"/>
      <c r="C440" s="89"/>
      <c r="D440" s="89"/>
      <c r="E440" s="89"/>
      <c r="F440" s="89"/>
      <c r="G440" s="89"/>
      <c r="H440" s="94"/>
      <c r="I440" s="94"/>
      <c r="J440" s="94"/>
      <c r="K440" s="94"/>
      <c r="L440" s="94"/>
      <c r="M440" s="94"/>
      <c r="N440" s="94"/>
      <c r="O440" s="94"/>
      <c r="P440" s="94"/>
      <c r="Q440" s="94"/>
      <c r="R440" s="95"/>
      <c r="S440" s="94"/>
      <c r="T440" s="96"/>
      <c r="U440" s="94"/>
      <c r="V440" s="97"/>
      <c r="W440" s="94"/>
      <c r="X440" s="98"/>
      <c r="Y440" s="98"/>
      <c r="Z440" s="98"/>
      <c r="AA440" s="98"/>
      <c r="AB440" s="98"/>
      <c r="AC440" s="97"/>
      <c r="AD440" s="99"/>
      <c r="AE440" s="95"/>
      <c r="AF440" s="94"/>
      <c r="AG440" s="89"/>
      <c r="AH440" s="89"/>
      <c r="AI440" s="89"/>
      <c r="AJ440" s="89"/>
      <c r="AK440" s="89"/>
      <c r="AL440" s="89"/>
      <c r="AM440" s="89"/>
      <c r="AN440" s="89"/>
      <c r="AO440" s="89"/>
      <c r="AP440" s="89"/>
      <c r="AQ440" s="89"/>
      <c r="AR440" s="89"/>
      <c r="AS440" s="89"/>
      <c r="AT440" s="89"/>
      <c r="AU440" s="89"/>
      <c r="AV440" s="89"/>
      <c r="AW440" s="100"/>
      <c r="AX440" s="100"/>
      <c r="AY440" s="89"/>
      <c r="AZ440" s="89"/>
      <c r="BA440" s="89"/>
      <c r="BB440" s="89"/>
      <c r="BC440" s="89"/>
      <c r="BD440" s="89"/>
      <c r="BE440" s="89"/>
      <c r="BF440" s="89"/>
      <c r="BG440" s="89"/>
      <c r="BH440" s="89"/>
      <c r="BI440" s="89"/>
      <c r="BJ440" s="89"/>
      <c r="BK440" s="89"/>
      <c r="BL440" s="89"/>
      <c r="BM440" s="89"/>
      <c r="BN440" s="89"/>
      <c r="BO440" s="89"/>
      <c r="BP440" s="89"/>
      <c r="BQ440" s="89"/>
      <c r="BR440" s="89"/>
      <c r="BS440" s="89"/>
    </row>
    <row r="441" spans="1:71" ht="27" customHeight="1" x14ac:dyDescent="0.2">
      <c r="A441" s="93"/>
      <c r="B441" s="89"/>
      <c r="C441" s="89"/>
      <c r="D441" s="89"/>
      <c r="E441" s="89"/>
      <c r="F441" s="89"/>
      <c r="G441" s="89"/>
      <c r="H441" s="94"/>
      <c r="I441" s="94"/>
      <c r="J441" s="94"/>
      <c r="K441" s="94"/>
      <c r="L441" s="94"/>
      <c r="M441" s="94"/>
      <c r="N441" s="94"/>
      <c r="O441" s="94"/>
      <c r="P441" s="94"/>
      <c r="Q441" s="94"/>
      <c r="R441" s="95"/>
      <c r="S441" s="94"/>
      <c r="T441" s="96"/>
      <c r="U441" s="94"/>
      <c r="V441" s="97"/>
      <c r="W441" s="94"/>
      <c r="X441" s="98"/>
      <c r="Y441" s="98"/>
      <c r="Z441" s="98"/>
      <c r="AA441" s="98"/>
      <c r="AB441" s="98"/>
      <c r="AC441" s="97"/>
      <c r="AD441" s="99"/>
      <c r="AE441" s="95"/>
      <c r="AF441" s="94"/>
      <c r="AG441" s="89"/>
      <c r="AH441" s="89"/>
      <c r="AI441" s="89"/>
      <c r="AJ441" s="89"/>
      <c r="AK441" s="89"/>
      <c r="AL441" s="89"/>
      <c r="AM441" s="89"/>
      <c r="AN441" s="89"/>
      <c r="AO441" s="89"/>
      <c r="AP441" s="89"/>
      <c r="AQ441" s="89"/>
      <c r="AR441" s="89"/>
      <c r="AS441" s="89"/>
      <c r="AT441" s="89"/>
      <c r="AU441" s="89"/>
      <c r="AV441" s="89"/>
      <c r="AW441" s="100"/>
      <c r="AX441" s="100"/>
      <c r="AY441" s="89"/>
      <c r="AZ441" s="89"/>
      <c r="BA441" s="89"/>
      <c r="BB441" s="89"/>
      <c r="BC441" s="89"/>
      <c r="BD441" s="89"/>
      <c r="BE441" s="89"/>
      <c r="BF441" s="89"/>
      <c r="BG441" s="89"/>
      <c r="BH441" s="89"/>
      <c r="BI441" s="89"/>
      <c r="BJ441" s="89"/>
      <c r="BK441" s="89"/>
      <c r="BL441" s="89"/>
      <c r="BM441" s="89"/>
      <c r="BN441" s="89"/>
      <c r="BO441" s="89"/>
      <c r="BP441" s="89"/>
      <c r="BQ441" s="89"/>
      <c r="BR441" s="89"/>
      <c r="BS441" s="89"/>
    </row>
    <row r="442" spans="1:71" ht="27" customHeight="1" x14ac:dyDescent="0.2">
      <c r="A442" s="93"/>
      <c r="B442" s="89"/>
      <c r="C442" s="89"/>
      <c r="D442" s="89"/>
      <c r="E442" s="89"/>
      <c r="F442" s="89"/>
      <c r="G442" s="89"/>
      <c r="H442" s="94"/>
      <c r="I442" s="94"/>
      <c r="J442" s="94"/>
      <c r="K442" s="94"/>
      <c r="L442" s="94"/>
      <c r="M442" s="94"/>
      <c r="N442" s="94"/>
      <c r="O442" s="94"/>
      <c r="P442" s="94"/>
      <c r="Q442" s="94"/>
      <c r="R442" s="95"/>
      <c r="S442" s="94"/>
      <c r="T442" s="96"/>
      <c r="U442" s="94"/>
      <c r="V442" s="97"/>
      <c r="W442" s="94"/>
      <c r="X442" s="98"/>
      <c r="Y442" s="98"/>
      <c r="Z442" s="98"/>
      <c r="AA442" s="98"/>
      <c r="AB442" s="98"/>
      <c r="AC442" s="97"/>
      <c r="AD442" s="99"/>
      <c r="AE442" s="95"/>
      <c r="AF442" s="94"/>
      <c r="AG442" s="89"/>
      <c r="AH442" s="89"/>
      <c r="AI442" s="89"/>
      <c r="AJ442" s="89"/>
      <c r="AK442" s="89"/>
      <c r="AL442" s="89"/>
      <c r="AM442" s="89"/>
      <c r="AN442" s="89"/>
      <c r="AO442" s="89"/>
      <c r="AP442" s="89"/>
      <c r="AQ442" s="89"/>
      <c r="AR442" s="89"/>
      <c r="AS442" s="89"/>
      <c r="AT442" s="89"/>
      <c r="AU442" s="89"/>
      <c r="AV442" s="89"/>
      <c r="AW442" s="100"/>
      <c r="AX442" s="100"/>
      <c r="AY442" s="89"/>
      <c r="AZ442" s="89"/>
      <c r="BA442" s="89"/>
      <c r="BB442" s="89"/>
      <c r="BC442" s="89"/>
      <c r="BD442" s="89"/>
      <c r="BE442" s="89"/>
      <c r="BF442" s="89"/>
      <c r="BG442" s="89"/>
      <c r="BH442" s="89"/>
      <c r="BI442" s="89"/>
      <c r="BJ442" s="89"/>
      <c r="BK442" s="89"/>
      <c r="BL442" s="89"/>
      <c r="BM442" s="89"/>
      <c r="BN442" s="89"/>
      <c r="BO442" s="89"/>
      <c r="BP442" s="89"/>
      <c r="BQ442" s="89"/>
      <c r="BR442" s="89"/>
      <c r="BS442" s="89"/>
    </row>
    <row r="443" spans="1:71" ht="27" customHeight="1" x14ac:dyDescent="0.2">
      <c r="A443" s="93"/>
      <c r="B443" s="89"/>
      <c r="C443" s="89"/>
      <c r="D443" s="89"/>
      <c r="E443" s="89"/>
      <c r="F443" s="89"/>
      <c r="G443" s="89"/>
      <c r="H443" s="94"/>
      <c r="I443" s="94"/>
      <c r="J443" s="94"/>
      <c r="K443" s="94"/>
      <c r="L443" s="94"/>
      <c r="M443" s="94"/>
      <c r="N443" s="94"/>
      <c r="O443" s="94"/>
      <c r="P443" s="94"/>
      <c r="Q443" s="94"/>
      <c r="R443" s="95"/>
      <c r="S443" s="94"/>
      <c r="T443" s="96"/>
      <c r="U443" s="94"/>
      <c r="V443" s="97"/>
      <c r="W443" s="94"/>
      <c r="X443" s="98"/>
      <c r="Y443" s="98"/>
      <c r="Z443" s="98"/>
      <c r="AA443" s="98"/>
      <c r="AB443" s="98"/>
      <c r="AC443" s="97"/>
      <c r="AD443" s="99"/>
      <c r="AE443" s="95"/>
      <c r="AF443" s="94"/>
      <c r="AG443" s="89"/>
      <c r="AH443" s="89"/>
      <c r="AI443" s="89"/>
      <c r="AJ443" s="89"/>
      <c r="AK443" s="89"/>
      <c r="AL443" s="89"/>
      <c r="AM443" s="89"/>
      <c r="AN443" s="89"/>
      <c r="AO443" s="89"/>
      <c r="AP443" s="89"/>
      <c r="AQ443" s="89"/>
      <c r="AR443" s="89"/>
      <c r="AS443" s="89"/>
      <c r="AT443" s="89"/>
      <c r="AU443" s="89"/>
      <c r="AV443" s="89"/>
      <c r="AW443" s="100"/>
      <c r="AX443" s="100"/>
      <c r="AY443" s="89"/>
      <c r="AZ443" s="89"/>
      <c r="BA443" s="89"/>
      <c r="BB443" s="89"/>
      <c r="BC443" s="89"/>
      <c r="BD443" s="89"/>
      <c r="BE443" s="89"/>
      <c r="BF443" s="89"/>
      <c r="BG443" s="89"/>
      <c r="BH443" s="89"/>
      <c r="BI443" s="89"/>
      <c r="BJ443" s="89"/>
      <c r="BK443" s="89"/>
      <c r="BL443" s="89"/>
      <c r="BM443" s="89"/>
      <c r="BN443" s="89"/>
      <c r="BO443" s="89"/>
      <c r="BP443" s="89"/>
      <c r="BQ443" s="89"/>
      <c r="BR443" s="89"/>
      <c r="BS443" s="89"/>
    </row>
    <row r="444" spans="1:71" ht="27" customHeight="1" x14ac:dyDescent="0.2">
      <c r="A444" s="93"/>
      <c r="B444" s="89"/>
      <c r="C444" s="89"/>
      <c r="D444" s="89"/>
      <c r="E444" s="89"/>
      <c r="F444" s="89"/>
      <c r="G444" s="89"/>
      <c r="H444" s="94"/>
      <c r="I444" s="94"/>
      <c r="J444" s="94"/>
      <c r="K444" s="94"/>
      <c r="L444" s="94"/>
      <c r="M444" s="94"/>
      <c r="N444" s="94"/>
      <c r="O444" s="94"/>
      <c r="P444" s="94"/>
      <c r="Q444" s="94"/>
      <c r="R444" s="95"/>
      <c r="S444" s="94"/>
      <c r="T444" s="96"/>
      <c r="U444" s="94"/>
      <c r="V444" s="97"/>
      <c r="W444" s="94"/>
      <c r="X444" s="98"/>
      <c r="Y444" s="98"/>
      <c r="Z444" s="98"/>
      <c r="AA444" s="98"/>
      <c r="AB444" s="98"/>
      <c r="AC444" s="97"/>
      <c r="AD444" s="99"/>
      <c r="AE444" s="95"/>
      <c r="AF444" s="94"/>
      <c r="AG444" s="89"/>
      <c r="AH444" s="89"/>
      <c r="AI444" s="89"/>
      <c r="AJ444" s="89"/>
      <c r="AK444" s="89"/>
      <c r="AL444" s="89"/>
      <c r="AM444" s="89"/>
      <c r="AN444" s="89"/>
      <c r="AO444" s="89"/>
      <c r="AP444" s="89"/>
      <c r="AQ444" s="89"/>
      <c r="AR444" s="89"/>
      <c r="AS444" s="89"/>
      <c r="AT444" s="89"/>
      <c r="AU444" s="89"/>
      <c r="AV444" s="89"/>
      <c r="AW444" s="100"/>
      <c r="AX444" s="100"/>
      <c r="AY444" s="89"/>
      <c r="AZ444" s="89"/>
      <c r="BA444" s="89"/>
      <c r="BB444" s="89"/>
      <c r="BC444" s="89"/>
      <c r="BD444" s="89"/>
      <c r="BE444" s="89"/>
      <c r="BF444" s="89"/>
      <c r="BG444" s="89"/>
      <c r="BH444" s="89"/>
      <c r="BI444" s="89"/>
      <c r="BJ444" s="89"/>
      <c r="BK444" s="89"/>
      <c r="BL444" s="89"/>
      <c r="BM444" s="89"/>
      <c r="BN444" s="89"/>
      <c r="BO444" s="89"/>
      <c r="BP444" s="89"/>
      <c r="BQ444" s="89"/>
      <c r="BR444" s="89"/>
      <c r="BS444" s="89"/>
    </row>
    <row r="445" spans="1:71" ht="27" customHeight="1" x14ac:dyDescent="0.2">
      <c r="A445" s="93"/>
      <c r="B445" s="89"/>
      <c r="C445" s="89"/>
      <c r="D445" s="89"/>
      <c r="E445" s="89"/>
      <c r="F445" s="89"/>
      <c r="G445" s="89"/>
      <c r="H445" s="94"/>
      <c r="I445" s="94"/>
      <c r="J445" s="94"/>
      <c r="K445" s="94"/>
      <c r="L445" s="94"/>
      <c r="M445" s="94"/>
      <c r="N445" s="94"/>
      <c r="O445" s="94"/>
      <c r="P445" s="94"/>
      <c r="Q445" s="94"/>
      <c r="R445" s="95"/>
      <c r="S445" s="94"/>
      <c r="T445" s="96"/>
      <c r="U445" s="94"/>
      <c r="V445" s="97"/>
      <c r="W445" s="94"/>
      <c r="X445" s="98"/>
      <c r="Y445" s="98"/>
      <c r="Z445" s="98"/>
      <c r="AA445" s="98"/>
      <c r="AB445" s="98"/>
      <c r="AC445" s="97"/>
      <c r="AD445" s="99"/>
      <c r="AE445" s="95"/>
      <c r="AF445" s="94"/>
      <c r="AG445" s="89"/>
      <c r="AH445" s="89"/>
      <c r="AI445" s="89"/>
      <c r="AJ445" s="89"/>
      <c r="AK445" s="89"/>
      <c r="AL445" s="89"/>
      <c r="AM445" s="89"/>
      <c r="AN445" s="89"/>
      <c r="AO445" s="89"/>
      <c r="AP445" s="89"/>
      <c r="AQ445" s="89"/>
      <c r="AR445" s="89"/>
      <c r="AS445" s="89"/>
      <c r="AT445" s="89"/>
      <c r="AU445" s="89"/>
      <c r="AV445" s="89"/>
      <c r="AW445" s="100"/>
      <c r="AX445" s="100"/>
      <c r="AY445" s="89"/>
      <c r="AZ445" s="89"/>
      <c r="BA445" s="89"/>
      <c r="BB445" s="89"/>
      <c r="BC445" s="89"/>
      <c r="BD445" s="89"/>
      <c r="BE445" s="89"/>
      <c r="BF445" s="89"/>
      <c r="BG445" s="89"/>
      <c r="BH445" s="89"/>
      <c r="BI445" s="89"/>
      <c r="BJ445" s="89"/>
      <c r="BK445" s="89"/>
      <c r="BL445" s="89"/>
      <c r="BM445" s="89"/>
      <c r="BN445" s="89"/>
      <c r="BO445" s="89"/>
      <c r="BP445" s="89"/>
      <c r="BQ445" s="89"/>
      <c r="BR445" s="89"/>
      <c r="BS445" s="89"/>
    </row>
    <row r="446" spans="1:71" ht="27" customHeight="1" x14ac:dyDescent="0.2">
      <c r="A446" s="93"/>
      <c r="B446" s="89"/>
      <c r="C446" s="89"/>
      <c r="D446" s="89"/>
      <c r="E446" s="89"/>
      <c r="F446" s="89"/>
      <c r="G446" s="89"/>
      <c r="H446" s="94"/>
      <c r="I446" s="94"/>
      <c r="J446" s="94"/>
      <c r="K446" s="94"/>
      <c r="L446" s="94"/>
      <c r="M446" s="94"/>
      <c r="N446" s="94"/>
      <c r="O446" s="94"/>
      <c r="P446" s="94"/>
      <c r="Q446" s="94"/>
      <c r="R446" s="95"/>
      <c r="S446" s="94"/>
      <c r="T446" s="96"/>
      <c r="U446" s="94"/>
      <c r="V446" s="97"/>
      <c r="W446" s="94"/>
      <c r="X446" s="98"/>
      <c r="Y446" s="98"/>
      <c r="Z446" s="98"/>
      <c r="AA446" s="98"/>
      <c r="AB446" s="98"/>
      <c r="AC446" s="97"/>
      <c r="AD446" s="99"/>
      <c r="AE446" s="95"/>
      <c r="AF446" s="94"/>
      <c r="AG446" s="89"/>
      <c r="AH446" s="89"/>
      <c r="AI446" s="89"/>
      <c r="AJ446" s="89"/>
      <c r="AK446" s="89"/>
      <c r="AL446" s="89"/>
      <c r="AM446" s="89"/>
      <c r="AN446" s="89"/>
      <c r="AO446" s="89"/>
      <c r="AP446" s="89"/>
      <c r="AQ446" s="89"/>
      <c r="AR446" s="89"/>
      <c r="AS446" s="89"/>
      <c r="AT446" s="89"/>
      <c r="AU446" s="89"/>
      <c r="AV446" s="89"/>
      <c r="AW446" s="100"/>
      <c r="AX446" s="100"/>
      <c r="AY446" s="89"/>
      <c r="AZ446" s="89"/>
      <c r="BA446" s="89"/>
      <c r="BB446" s="89"/>
      <c r="BC446" s="89"/>
      <c r="BD446" s="89"/>
      <c r="BE446" s="89"/>
      <c r="BF446" s="89"/>
      <c r="BG446" s="89"/>
      <c r="BH446" s="89"/>
      <c r="BI446" s="89"/>
      <c r="BJ446" s="89"/>
      <c r="BK446" s="89"/>
      <c r="BL446" s="89"/>
      <c r="BM446" s="89"/>
      <c r="BN446" s="89"/>
      <c r="BO446" s="89"/>
      <c r="BP446" s="89"/>
      <c r="BQ446" s="89"/>
      <c r="BR446" s="89"/>
      <c r="BS446" s="89"/>
    </row>
    <row r="447" spans="1:71" ht="27" customHeight="1" x14ac:dyDescent="0.2">
      <c r="A447" s="93"/>
      <c r="B447" s="89"/>
      <c r="C447" s="89"/>
      <c r="D447" s="89"/>
      <c r="E447" s="89"/>
      <c r="F447" s="89"/>
      <c r="G447" s="89"/>
      <c r="H447" s="94"/>
      <c r="I447" s="94"/>
      <c r="J447" s="94"/>
      <c r="K447" s="94"/>
      <c r="L447" s="94"/>
      <c r="M447" s="94"/>
      <c r="N447" s="94"/>
      <c r="O447" s="94"/>
      <c r="P447" s="94"/>
      <c r="Q447" s="94"/>
      <c r="R447" s="95"/>
      <c r="S447" s="94"/>
      <c r="T447" s="96"/>
      <c r="U447" s="94"/>
      <c r="V447" s="97"/>
      <c r="W447" s="94"/>
      <c r="X447" s="98"/>
      <c r="Y447" s="98"/>
      <c r="Z447" s="98"/>
      <c r="AA447" s="98"/>
      <c r="AB447" s="98"/>
      <c r="AC447" s="97"/>
      <c r="AD447" s="99"/>
      <c r="AE447" s="95"/>
      <c r="AF447" s="94"/>
      <c r="AG447" s="89"/>
      <c r="AH447" s="89"/>
      <c r="AI447" s="89"/>
      <c r="AJ447" s="89"/>
      <c r="AK447" s="89"/>
      <c r="AL447" s="89"/>
      <c r="AM447" s="89"/>
      <c r="AN447" s="89"/>
      <c r="AO447" s="89"/>
      <c r="AP447" s="89"/>
      <c r="AQ447" s="89"/>
      <c r="AR447" s="89"/>
      <c r="AS447" s="89"/>
      <c r="AT447" s="89"/>
      <c r="AU447" s="89"/>
      <c r="AV447" s="89"/>
      <c r="AW447" s="100"/>
      <c r="AX447" s="100"/>
      <c r="AY447" s="89"/>
      <c r="AZ447" s="89"/>
      <c r="BA447" s="89"/>
      <c r="BB447" s="89"/>
      <c r="BC447" s="89"/>
      <c r="BD447" s="89"/>
      <c r="BE447" s="89"/>
      <c r="BF447" s="89"/>
      <c r="BG447" s="89"/>
      <c r="BH447" s="89"/>
      <c r="BI447" s="89"/>
      <c r="BJ447" s="89"/>
      <c r="BK447" s="89"/>
      <c r="BL447" s="89"/>
      <c r="BM447" s="89"/>
      <c r="BN447" s="89"/>
      <c r="BO447" s="89"/>
      <c r="BP447" s="89"/>
      <c r="BQ447" s="89"/>
      <c r="BR447" s="89"/>
      <c r="BS447" s="89"/>
    </row>
    <row r="448" spans="1:71" ht="27" customHeight="1" x14ac:dyDescent="0.2">
      <c r="A448" s="93"/>
      <c r="B448" s="89"/>
      <c r="C448" s="89"/>
      <c r="D448" s="89"/>
      <c r="E448" s="89"/>
      <c r="F448" s="89"/>
      <c r="G448" s="89"/>
      <c r="H448" s="94"/>
      <c r="I448" s="94"/>
      <c r="J448" s="94"/>
      <c r="K448" s="94"/>
      <c r="L448" s="94"/>
      <c r="M448" s="94"/>
      <c r="N448" s="94"/>
      <c r="O448" s="94"/>
      <c r="P448" s="94"/>
      <c r="Q448" s="94"/>
      <c r="R448" s="95"/>
      <c r="S448" s="94"/>
      <c r="T448" s="96"/>
      <c r="U448" s="94"/>
      <c r="V448" s="97"/>
      <c r="W448" s="94"/>
      <c r="X448" s="98"/>
      <c r="Y448" s="98"/>
      <c r="Z448" s="98"/>
      <c r="AA448" s="98"/>
      <c r="AB448" s="98"/>
      <c r="AC448" s="97"/>
      <c r="AD448" s="99"/>
      <c r="AE448" s="95"/>
      <c r="AF448" s="94"/>
      <c r="AG448" s="89"/>
      <c r="AH448" s="89"/>
      <c r="AI448" s="89"/>
      <c r="AJ448" s="89"/>
      <c r="AK448" s="89"/>
      <c r="AL448" s="89"/>
      <c r="AM448" s="89"/>
      <c r="AN448" s="89"/>
      <c r="AO448" s="89"/>
      <c r="AP448" s="89"/>
      <c r="AQ448" s="89"/>
      <c r="AR448" s="89"/>
      <c r="AS448" s="89"/>
      <c r="AT448" s="89"/>
      <c r="AU448" s="89"/>
      <c r="AV448" s="89"/>
      <c r="AW448" s="100"/>
      <c r="AX448" s="100"/>
      <c r="AY448" s="89"/>
      <c r="AZ448" s="89"/>
      <c r="BA448" s="89"/>
      <c r="BB448" s="89"/>
      <c r="BC448" s="89"/>
      <c r="BD448" s="89"/>
      <c r="BE448" s="89"/>
      <c r="BF448" s="89"/>
      <c r="BG448" s="89"/>
      <c r="BH448" s="89"/>
      <c r="BI448" s="89"/>
      <c r="BJ448" s="89"/>
      <c r="BK448" s="89"/>
      <c r="BL448" s="89"/>
      <c r="BM448" s="89"/>
      <c r="BN448" s="89"/>
      <c r="BO448" s="89"/>
      <c r="BP448" s="89"/>
      <c r="BQ448" s="89"/>
      <c r="BR448" s="89"/>
      <c r="BS448" s="89"/>
    </row>
    <row r="449" spans="1:71" ht="27" customHeight="1" x14ac:dyDescent="0.2">
      <c r="A449" s="93"/>
      <c r="B449" s="89"/>
      <c r="C449" s="89"/>
      <c r="D449" s="89"/>
      <c r="E449" s="89"/>
      <c r="F449" s="89"/>
      <c r="G449" s="89"/>
      <c r="H449" s="94"/>
      <c r="I449" s="94"/>
      <c r="J449" s="94"/>
      <c r="K449" s="94"/>
      <c r="L449" s="94"/>
      <c r="M449" s="94"/>
      <c r="N449" s="94"/>
      <c r="O449" s="94"/>
      <c r="P449" s="94"/>
      <c r="Q449" s="94"/>
      <c r="R449" s="95"/>
      <c r="S449" s="94"/>
      <c r="T449" s="96"/>
      <c r="U449" s="94"/>
      <c r="V449" s="97"/>
      <c r="W449" s="94"/>
      <c r="X449" s="98"/>
      <c r="Y449" s="98"/>
      <c r="Z449" s="98"/>
      <c r="AA449" s="98"/>
      <c r="AB449" s="98"/>
      <c r="AC449" s="97"/>
      <c r="AD449" s="99"/>
      <c r="AE449" s="95"/>
      <c r="AF449" s="94"/>
      <c r="AG449" s="89"/>
      <c r="AH449" s="89"/>
      <c r="AI449" s="89"/>
      <c r="AJ449" s="89"/>
      <c r="AK449" s="89"/>
      <c r="AL449" s="89"/>
      <c r="AM449" s="89"/>
      <c r="AN449" s="89"/>
      <c r="AO449" s="89"/>
      <c r="AP449" s="89"/>
      <c r="AQ449" s="89"/>
      <c r="AR449" s="89"/>
      <c r="AS449" s="89"/>
      <c r="AT449" s="89"/>
      <c r="AU449" s="89"/>
      <c r="AV449" s="89"/>
      <c r="AW449" s="100"/>
      <c r="AX449" s="100"/>
      <c r="AY449" s="89"/>
      <c r="AZ449" s="89"/>
      <c r="BA449" s="89"/>
      <c r="BB449" s="89"/>
      <c r="BC449" s="89"/>
      <c r="BD449" s="89"/>
      <c r="BE449" s="89"/>
      <c r="BF449" s="89"/>
      <c r="BG449" s="89"/>
      <c r="BH449" s="89"/>
      <c r="BI449" s="89"/>
      <c r="BJ449" s="89"/>
      <c r="BK449" s="89"/>
      <c r="BL449" s="89"/>
      <c r="BM449" s="89"/>
      <c r="BN449" s="89"/>
      <c r="BO449" s="89"/>
      <c r="BP449" s="89"/>
      <c r="BQ449" s="89"/>
      <c r="BR449" s="89"/>
      <c r="BS449" s="89"/>
    </row>
    <row r="450" spans="1:71" ht="27" customHeight="1" x14ac:dyDescent="0.2">
      <c r="A450" s="93"/>
      <c r="B450" s="89"/>
      <c r="C450" s="89"/>
      <c r="D450" s="89"/>
      <c r="E450" s="89"/>
      <c r="F450" s="89"/>
      <c r="G450" s="89"/>
      <c r="H450" s="94"/>
      <c r="I450" s="94"/>
      <c r="J450" s="94"/>
      <c r="K450" s="94"/>
      <c r="L450" s="94"/>
      <c r="M450" s="94"/>
      <c r="N450" s="94"/>
      <c r="O450" s="94"/>
      <c r="P450" s="94"/>
      <c r="Q450" s="94"/>
      <c r="R450" s="95"/>
      <c r="S450" s="94"/>
      <c r="T450" s="96"/>
      <c r="U450" s="94"/>
      <c r="V450" s="97"/>
      <c r="W450" s="94"/>
      <c r="X450" s="98"/>
      <c r="Y450" s="98"/>
      <c r="Z450" s="98"/>
      <c r="AA450" s="98"/>
      <c r="AB450" s="98"/>
      <c r="AC450" s="97"/>
      <c r="AD450" s="99"/>
      <c r="AE450" s="95"/>
      <c r="AF450" s="94"/>
      <c r="AG450" s="89"/>
      <c r="AH450" s="89"/>
      <c r="AI450" s="89"/>
      <c r="AJ450" s="89"/>
      <c r="AK450" s="89"/>
      <c r="AL450" s="89"/>
      <c r="AM450" s="89"/>
      <c r="AN450" s="89"/>
      <c r="AO450" s="89"/>
      <c r="AP450" s="89"/>
      <c r="AQ450" s="89"/>
      <c r="AR450" s="89"/>
      <c r="AS450" s="89"/>
      <c r="AT450" s="89"/>
      <c r="AU450" s="89"/>
      <c r="AV450" s="89"/>
      <c r="AW450" s="100"/>
      <c r="AX450" s="100"/>
      <c r="AY450" s="89"/>
      <c r="AZ450" s="89"/>
      <c r="BA450" s="89"/>
      <c r="BB450" s="89"/>
      <c r="BC450" s="89"/>
      <c r="BD450" s="89"/>
      <c r="BE450" s="89"/>
      <c r="BF450" s="89"/>
      <c r="BG450" s="89"/>
      <c r="BH450" s="89"/>
      <c r="BI450" s="89"/>
      <c r="BJ450" s="89"/>
      <c r="BK450" s="89"/>
      <c r="BL450" s="89"/>
      <c r="BM450" s="89"/>
      <c r="BN450" s="89"/>
      <c r="BO450" s="89"/>
      <c r="BP450" s="89"/>
      <c r="BQ450" s="89"/>
      <c r="BR450" s="89"/>
      <c r="BS450" s="89"/>
    </row>
    <row r="451" spans="1:71" ht="27" customHeight="1" x14ac:dyDescent="0.2">
      <c r="A451" s="93"/>
      <c r="B451" s="89"/>
      <c r="C451" s="89"/>
      <c r="D451" s="89"/>
      <c r="E451" s="89"/>
      <c r="F451" s="89"/>
      <c r="G451" s="89"/>
      <c r="H451" s="94"/>
      <c r="I451" s="94"/>
      <c r="J451" s="94"/>
      <c r="K451" s="94"/>
      <c r="L451" s="94"/>
      <c r="M451" s="94"/>
      <c r="N451" s="94"/>
      <c r="O451" s="94"/>
      <c r="P451" s="94"/>
      <c r="Q451" s="94"/>
      <c r="R451" s="95"/>
      <c r="S451" s="94"/>
      <c r="T451" s="96"/>
      <c r="U451" s="94"/>
      <c r="V451" s="97"/>
      <c r="W451" s="94"/>
      <c r="X451" s="98"/>
      <c r="Y451" s="98"/>
      <c r="Z451" s="98"/>
      <c r="AA451" s="98"/>
      <c r="AB451" s="98"/>
      <c r="AC451" s="97"/>
      <c r="AD451" s="99"/>
      <c r="AE451" s="95"/>
      <c r="AF451" s="94"/>
      <c r="AG451" s="89"/>
      <c r="AH451" s="89"/>
      <c r="AI451" s="89"/>
      <c r="AJ451" s="89"/>
      <c r="AK451" s="89"/>
      <c r="AL451" s="89"/>
      <c r="AM451" s="89"/>
      <c r="AN451" s="89"/>
      <c r="AO451" s="89"/>
      <c r="AP451" s="89"/>
      <c r="AQ451" s="89"/>
      <c r="AR451" s="89"/>
      <c r="AS451" s="89"/>
      <c r="AT451" s="89"/>
      <c r="AU451" s="89"/>
      <c r="AV451" s="89"/>
      <c r="AW451" s="100"/>
      <c r="AX451" s="100"/>
      <c r="AY451" s="89"/>
      <c r="AZ451" s="89"/>
      <c r="BA451" s="89"/>
      <c r="BB451" s="89"/>
      <c r="BC451" s="89"/>
      <c r="BD451" s="89"/>
      <c r="BE451" s="89"/>
      <c r="BF451" s="89"/>
      <c r="BG451" s="89"/>
      <c r="BH451" s="89"/>
      <c r="BI451" s="89"/>
      <c r="BJ451" s="89"/>
      <c r="BK451" s="89"/>
      <c r="BL451" s="89"/>
      <c r="BM451" s="89"/>
      <c r="BN451" s="89"/>
      <c r="BO451" s="89"/>
      <c r="BP451" s="89"/>
      <c r="BQ451" s="89"/>
      <c r="BR451" s="89"/>
      <c r="BS451" s="89"/>
    </row>
    <row r="452" spans="1:71" ht="27" customHeight="1" x14ac:dyDescent="0.2">
      <c r="A452" s="93"/>
      <c r="B452" s="89"/>
      <c r="C452" s="89"/>
      <c r="D452" s="89"/>
      <c r="E452" s="89"/>
      <c r="F452" s="89"/>
      <c r="G452" s="89"/>
      <c r="H452" s="94"/>
      <c r="I452" s="94"/>
      <c r="J452" s="94"/>
      <c r="K452" s="94"/>
      <c r="L452" s="94"/>
      <c r="M452" s="94"/>
      <c r="N452" s="94"/>
      <c r="O452" s="94"/>
      <c r="P452" s="94"/>
      <c r="Q452" s="94"/>
      <c r="R452" s="95"/>
      <c r="S452" s="94"/>
      <c r="T452" s="96"/>
      <c r="U452" s="94"/>
      <c r="V452" s="97"/>
      <c r="W452" s="94"/>
      <c r="X452" s="98"/>
      <c r="Y452" s="98"/>
      <c r="Z452" s="98"/>
      <c r="AA452" s="98"/>
      <c r="AB452" s="98"/>
      <c r="AC452" s="97"/>
      <c r="AD452" s="99"/>
      <c r="AE452" s="95"/>
      <c r="AF452" s="94"/>
      <c r="AG452" s="89"/>
      <c r="AH452" s="89"/>
      <c r="AI452" s="89"/>
      <c r="AJ452" s="89"/>
      <c r="AK452" s="89"/>
      <c r="AL452" s="89"/>
      <c r="AM452" s="89"/>
      <c r="AN452" s="89"/>
      <c r="AO452" s="89"/>
      <c r="AP452" s="89"/>
      <c r="AQ452" s="89"/>
      <c r="AR452" s="89"/>
      <c r="AS452" s="89"/>
      <c r="AT452" s="89"/>
      <c r="AU452" s="89"/>
      <c r="AV452" s="89"/>
      <c r="AW452" s="100"/>
      <c r="AX452" s="100"/>
      <c r="AY452" s="89"/>
      <c r="AZ452" s="89"/>
      <c r="BA452" s="89"/>
      <c r="BB452" s="89"/>
      <c r="BC452" s="89"/>
      <c r="BD452" s="89"/>
      <c r="BE452" s="89"/>
      <c r="BF452" s="89"/>
      <c r="BG452" s="89"/>
      <c r="BH452" s="89"/>
      <c r="BI452" s="89"/>
      <c r="BJ452" s="89"/>
      <c r="BK452" s="89"/>
      <c r="BL452" s="89"/>
      <c r="BM452" s="89"/>
      <c r="BN452" s="89"/>
      <c r="BO452" s="89"/>
      <c r="BP452" s="89"/>
      <c r="BQ452" s="89"/>
      <c r="BR452" s="89"/>
      <c r="BS452" s="89"/>
    </row>
    <row r="453" spans="1:71" ht="27" customHeight="1" x14ac:dyDescent="0.2">
      <c r="A453" s="93"/>
      <c r="B453" s="89"/>
      <c r="C453" s="89"/>
      <c r="D453" s="89"/>
      <c r="E453" s="89"/>
      <c r="F453" s="89"/>
      <c r="G453" s="89"/>
      <c r="H453" s="94"/>
      <c r="I453" s="94"/>
      <c r="J453" s="94"/>
      <c r="K453" s="94"/>
      <c r="L453" s="94"/>
      <c r="M453" s="94"/>
      <c r="N453" s="94"/>
      <c r="O453" s="94"/>
      <c r="P453" s="94"/>
      <c r="Q453" s="94"/>
      <c r="R453" s="95"/>
      <c r="S453" s="94"/>
      <c r="T453" s="96"/>
      <c r="U453" s="94"/>
      <c r="V453" s="97"/>
      <c r="W453" s="94"/>
      <c r="X453" s="98"/>
      <c r="Y453" s="98"/>
      <c r="Z453" s="98"/>
      <c r="AA453" s="98"/>
      <c r="AB453" s="98"/>
      <c r="AC453" s="97"/>
      <c r="AD453" s="99"/>
      <c r="AE453" s="95"/>
      <c r="AF453" s="94"/>
      <c r="AG453" s="89"/>
      <c r="AH453" s="89"/>
      <c r="AI453" s="89"/>
      <c r="AJ453" s="89"/>
      <c r="AK453" s="89"/>
      <c r="AL453" s="89"/>
      <c r="AM453" s="89"/>
      <c r="AN453" s="89"/>
      <c r="AO453" s="89"/>
      <c r="AP453" s="89"/>
      <c r="AQ453" s="89"/>
      <c r="AR453" s="89"/>
      <c r="AS453" s="89"/>
      <c r="AT453" s="89"/>
      <c r="AU453" s="89"/>
      <c r="AV453" s="89"/>
      <c r="AW453" s="100"/>
      <c r="AX453" s="100"/>
      <c r="AY453" s="89"/>
      <c r="AZ453" s="89"/>
      <c r="BA453" s="89"/>
      <c r="BB453" s="89"/>
      <c r="BC453" s="89"/>
      <c r="BD453" s="89"/>
      <c r="BE453" s="89"/>
      <c r="BF453" s="89"/>
      <c r="BG453" s="89"/>
      <c r="BH453" s="89"/>
      <c r="BI453" s="89"/>
      <c r="BJ453" s="89"/>
      <c r="BK453" s="89"/>
      <c r="BL453" s="89"/>
      <c r="BM453" s="89"/>
      <c r="BN453" s="89"/>
      <c r="BO453" s="89"/>
      <c r="BP453" s="89"/>
      <c r="BQ453" s="89"/>
      <c r="BR453" s="89"/>
      <c r="BS453" s="89"/>
    </row>
    <row r="454" spans="1:71" ht="27" customHeight="1" x14ac:dyDescent="0.2">
      <c r="A454" s="93"/>
      <c r="B454" s="89"/>
      <c r="C454" s="89"/>
      <c r="D454" s="89"/>
      <c r="E454" s="89"/>
      <c r="F454" s="89"/>
      <c r="G454" s="89"/>
      <c r="H454" s="94"/>
      <c r="I454" s="94"/>
      <c r="J454" s="94"/>
      <c r="K454" s="94"/>
      <c r="L454" s="94"/>
      <c r="M454" s="94"/>
      <c r="N454" s="94"/>
      <c r="O454" s="94"/>
      <c r="P454" s="94"/>
      <c r="Q454" s="94"/>
      <c r="R454" s="95"/>
      <c r="S454" s="94"/>
      <c r="T454" s="96"/>
      <c r="U454" s="94"/>
      <c r="V454" s="97"/>
      <c r="W454" s="94"/>
      <c r="X454" s="98"/>
      <c r="Y454" s="98"/>
      <c r="Z454" s="98"/>
      <c r="AA454" s="98"/>
      <c r="AB454" s="98"/>
      <c r="AC454" s="97"/>
      <c r="AD454" s="99"/>
      <c r="AE454" s="95"/>
      <c r="AF454" s="94"/>
      <c r="AG454" s="89"/>
      <c r="AH454" s="89"/>
      <c r="AI454" s="89"/>
      <c r="AJ454" s="89"/>
      <c r="AK454" s="89"/>
      <c r="AL454" s="89"/>
      <c r="AM454" s="89"/>
      <c r="AN454" s="89"/>
      <c r="AO454" s="89"/>
      <c r="AP454" s="89"/>
      <c r="AQ454" s="89"/>
      <c r="AR454" s="89"/>
      <c r="AS454" s="89"/>
      <c r="AT454" s="89"/>
      <c r="AU454" s="89"/>
      <c r="AV454" s="89"/>
      <c r="AW454" s="100"/>
      <c r="AX454" s="100"/>
      <c r="AY454" s="89"/>
      <c r="AZ454" s="89"/>
      <c r="BA454" s="89"/>
      <c r="BB454" s="89"/>
      <c r="BC454" s="89"/>
      <c r="BD454" s="89"/>
      <c r="BE454" s="89"/>
      <c r="BF454" s="89"/>
      <c r="BG454" s="89"/>
      <c r="BH454" s="89"/>
      <c r="BI454" s="89"/>
      <c r="BJ454" s="89"/>
      <c r="BK454" s="89"/>
      <c r="BL454" s="89"/>
      <c r="BM454" s="89"/>
      <c r="BN454" s="89"/>
      <c r="BO454" s="89"/>
      <c r="BP454" s="89"/>
      <c r="BQ454" s="89"/>
      <c r="BR454" s="89"/>
      <c r="BS454" s="89"/>
    </row>
    <row r="455" spans="1:71" ht="27" customHeight="1" x14ac:dyDescent="0.2">
      <c r="A455" s="93"/>
      <c r="B455" s="89"/>
      <c r="C455" s="89"/>
      <c r="D455" s="89"/>
      <c r="E455" s="89"/>
      <c r="F455" s="89"/>
      <c r="G455" s="89"/>
      <c r="H455" s="94"/>
      <c r="I455" s="94"/>
      <c r="J455" s="94"/>
      <c r="K455" s="94"/>
      <c r="L455" s="94"/>
      <c r="M455" s="94"/>
      <c r="N455" s="94"/>
      <c r="O455" s="94"/>
      <c r="P455" s="94"/>
      <c r="Q455" s="94"/>
      <c r="R455" s="95"/>
      <c r="S455" s="94"/>
      <c r="T455" s="96"/>
      <c r="U455" s="94"/>
      <c r="V455" s="97"/>
      <c r="W455" s="94"/>
      <c r="X455" s="98"/>
      <c r="Y455" s="98"/>
      <c r="Z455" s="98"/>
      <c r="AA455" s="98"/>
      <c r="AB455" s="98"/>
      <c r="AC455" s="97"/>
      <c r="AD455" s="99"/>
      <c r="AE455" s="95"/>
      <c r="AF455" s="94"/>
      <c r="AG455" s="89"/>
      <c r="AH455" s="89"/>
      <c r="AI455" s="89"/>
      <c r="AJ455" s="89"/>
      <c r="AK455" s="89"/>
      <c r="AL455" s="89"/>
      <c r="AM455" s="89"/>
      <c r="AN455" s="89"/>
      <c r="AO455" s="89"/>
      <c r="AP455" s="89"/>
      <c r="AQ455" s="89"/>
      <c r="AR455" s="89"/>
      <c r="AS455" s="89"/>
      <c r="AT455" s="89"/>
      <c r="AU455" s="89"/>
      <c r="AV455" s="89"/>
      <c r="AW455" s="100"/>
      <c r="AX455" s="100"/>
      <c r="AY455" s="89"/>
      <c r="AZ455" s="89"/>
      <c r="BA455" s="89"/>
      <c r="BB455" s="89"/>
      <c r="BC455" s="89"/>
      <c r="BD455" s="89"/>
      <c r="BE455" s="89"/>
      <c r="BF455" s="89"/>
      <c r="BG455" s="89"/>
      <c r="BH455" s="89"/>
      <c r="BI455" s="89"/>
      <c r="BJ455" s="89"/>
      <c r="BK455" s="89"/>
      <c r="BL455" s="89"/>
      <c r="BM455" s="89"/>
      <c r="BN455" s="89"/>
      <c r="BO455" s="89"/>
      <c r="BP455" s="89"/>
      <c r="BQ455" s="89"/>
      <c r="BR455" s="89"/>
      <c r="BS455" s="89"/>
    </row>
    <row r="456" spans="1:71" ht="27" customHeight="1" x14ac:dyDescent="0.2">
      <c r="A456" s="93"/>
      <c r="B456" s="89"/>
      <c r="C456" s="89"/>
      <c r="D456" s="89"/>
      <c r="E456" s="89"/>
      <c r="F456" s="89"/>
      <c r="G456" s="89"/>
      <c r="H456" s="94"/>
      <c r="I456" s="94"/>
      <c r="J456" s="94"/>
      <c r="K456" s="94"/>
      <c r="L456" s="94"/>
      <c r="M456" s="94"/>
      <c r="N456" s="94"/>
      <c r="O456" s="94"/>
      <c r="P456" s="94"/>
      <c r="Q456" s="94"/>
      <c r="R456" s="95"/>
      <c r="S456" s="94"/>
      <c r="T456" s="96"/>
      <c r="U456" s="94"/>
      <c r="V456" s="97"/>
      <c r="W456" s="94"/>
      <c r="X456" s="98"/>
      <c r="Y456" s="98"/>
      <c r="Z456" s="98"/>
      <c r="AA456" s="98"/>
      <c r="AB456" s="98"/>
      <c r="AC456" s="97"/>
      <c r="AD456" s="99"/>
      <c r="AE456" s="95"/>
      <c r="AF456" s="94"/>
      <c r="AG456" s="89"/>
      <c r="AH456" s="89"/>
      <c r="AI456" s="89"/>
      <c r="AJ456" s="89"/>
      <c r="AK456" s="89"/>
      <c r="AL456" s="89"/>
      <c r="AM456" s="89"/>
      <c r="AN456" s="89"/>
      <c r="AO456" s="89"/>
      <c r="AP456" s="89"/>
      <c r="AQ456" s="89"/>
      <c r="AR456" s="89"/>
      <c r="AS456" s="89"/>
      <c r="AT456" s="89"/>
      <c r="AU456" s="89"/>
      <c r="AV456" s="89"/>
      <c r="AW456" s="100"/>
      <c r="AX456" s="100"/>
      <c r="AY456" s="89"/>
      <c r="AZ456" s="89"/>
      <c r="BA456" s="89"/>
      <c r="BB456" s="89"/>
      <c r="BC456" s="89"/>
      <c r="BD456" s="89"/>
      <c r="BE456" s="89"/>
      <c r="BF456" s="89"/>
      <c r="BG456" s="89"/>
      <c r="BH456" s="89"/>
      <c r="BI456" s="89"/>
      <c r="BJ456" s="89"/>
      <c r="BK456" s="89"/>
      <c r="BL456" s="89"/>
      <c r="BM456" s="89"/>
      <c r="BN456" s="89"/>
      <c r="BO456" s="89"/>
      <c r="BP456" s="89"/>
      <c r="BQ456" s="89"/>
      <c r="BR456" s="89"/>
      <c r="BS456" s="89"/>
    </row>
    <row r="457" spans="1:71" ht="27" customHeight="1" x14ac:dyDescent="0.2">
      <c r="A457" s="93"/>
      <c r="B457" s="89"/>
      <c r="C457" s="89"/>
      <c r="D457" s="89"/>
      <c r="E457" s="89"/>
      <c r="F457" s="89"/>
      <c r="G457" s="89"/>
      <c r="H457" s="94"/>
      <c r="I457" s="94"/>
      <c r="J457" s="94"/>
      <c r="K457" s="94"/>
      <c r="L457" s="94"/>
      <c r="M457" s="94"/>
      <c r="N457" s="94"/>
      <c r="O457" s="94"/>
      <c r="P457" s="94"/>
      <c r="Q457" s="94"/>
      <c r="R457" s="95"/>
      <c r="S457" s="94"/>
      <c r="T457" s="96"/>
      <c r="U457" s="94"/>
      <c r="V457" s="97"/>
      <c r="W457" s="94"/>
      <c r="X457" s="98"/>
      <c r="Y457" s="98"/>
      <c r="Z457" s="98"/>
      <c r="AA457" s="98"/>
      <c r="AB457" s="98"/>
      <c r="AC457" s="97"/>
      <c r="AD457" s="99"/>
      <c r="AE457" s="95"/>
      <c r="AF457" s="94"/>
      <c r="AG457" s="89"/>
      <c r="AH457" s="89"/>
      <c r="AI457" s="89"/>
      <c r="AJ457" s="89"/>
      <c r="AK457" s="89"/>
      <c r="AL457" s="89"/>
      <c r="AM457" s="89"/>
      <c r="AN457" s="89"/>
      <c r="AO457" s="89"/>
      <c r="AP457" s="89"/>
      <c r="AQ457" s="89"/>
      <c r="AR457" s="89"/>
      <c r="AS457" s="89"/>
      <c r="AT457" s="89"/>
      <c r="AU457" s="89"/>
      <c r="AV457" s="89"/>
      <c r="AW457" s="100"/>
      <c r="AX457" s="100"/>
      <c r="AY457" s="89"/>
      <c r="AZ457" s="89"/>
      <c r="BA457" s="89"/>
      <c r="BB457" s="89"/>
      <c r="BC457" s="89"/>
      <c r="BD457" s="89"/>
      <c r="BE457" s="89"/>
      <c r="BF457" s="89"/>
      <c r="BG457" s="89"/>
      <c r="BH457" s="89"/>
      <c r="BI457" s="89"/>
      <c r="BJ457" s="89"/>
      <c r="BK457" s="89"/>
      <c r="BL457" s="89"/>
      <c r="BM457" s="89"/>
      <c r="BN457" s="89"/>
      <c r="BO457" s="89"/>
      <c r="BP457" s="89"/>
      <c r="BQ457" s="89"/>
      <c r="BR457" s="89"/>
      <c r="BS457" s="89"/>
    </row>
    <row r="458" spans="1:71" ht="27" customHeight="1" x14ac:dyDescent="0.2">
      <c r="A458" s="93"/>
      <c r="B458" s="89"/>
      <c r="C458" s="89"/>
      <c r="D458" s="89"/>
      <c r="E458" s="89"/>
      <c r="F458" s="89"/>
      <c r="G458" s="89"/>
      <c r="H458" s="94"/>
      <c r="I458" s="94"/>
      <c r="J458" s="94"/>
      <c r="K458" s="94"/>
      <c r="L458" s="94"/>
      <c r="M458" s="94"/>
      <c r="N458" s="94"/>
      <c r="O458" s="94"/>
      <c r="P458" s="94"/>
      <c r="Q458" s="94"/>
      <c r="R458" s="95"/>
      <c r="S458" s="94"/>
      <c r="T458" s="96"/>
      <c r="U458" s="94"/>
      <c r="V458" s="97"/>
      <c r="W458" s="94"/>
      <c r="X458" s="98"/>
      <c r="Y458" s="98"/>
      <c r="Z458" s="98"/>
      <c r="AA458" s="98"/>
      <c r="AB458" s="98"/>
      <c r="AC458" s="97"/>
      <c r="AD458" s="99"/>
      <c r="AE458" s="95"/>
      <c r="AF458" s="94"/>
      <c r="AG458" s="89"/>
      <c r="AH458" s="89"/>
      <c r="AI458" s="89"/>
      <c r="AJ458" s="89"/>
      <c r="AK458" s="89"/>
      <c r="AL458" s="89"/>
      <c r="AM458" s="89"/>
      <c r="AN458" s="89"/>
      <c r="AO458" s="89"/>
      <c r="AP458" s="89"/>
      <c r="AQ458" s="89"/>
      <c r="AR458" s="89"/>
      <c r="AS458" s="89"/>
      <c r="AT458" s="89"/>
      <c r="AU458" s="89"/>
      <c r="AV458" s="89"/>
      <c r="AW458" s="100"/>
      <c r="AX458" s="100"/>
      <c r="AY458" s="89"/>
      <c r="AZ458" s="89"/>
      <c r="BA458" s="89"/>
      <c r="BB458" s="89"/>
      <c r="BC458" s="89"/>
      <c r="BD458" s="89"/>
      <c r="BE458" s="89"/>
      <c r="BF458" s="89"/>
      <c r="BG458" s="89"/>
      <c r="BH458" s="89"/>
      <c r="BI458" s="89"/>
      <c r="BJ458" s="89"/>
      <c r="BK458" s="89"/>
      <c r="BL458" s="89"/>
      <c r="BM458" s="89"/>
      <c r="BN458" s="89"/>
      <c r="BO458" s="89"/>
      <c r="BP458" s="89"/>
      <c r="BQ458" s="89"/>
      <c r="BR458" s="89"/>
      <c r="BS458" s="89"/>
    </row>
    <row r="459" spans="1:71" ht="27" customHeight="1" x14ac:dyDescent="0.2">
      <c r="A459" s="93"/>
      <c r="B459" s="89"/>
      <c r="C459" s="89"/>
      <c r="D459" s="89"/>
      <c r="E459" s="89"/>
      <c r="F459" s="89"/>
      <c r="G459" s="89"/>
      <c r="H459" s="94"/>
      <c r="I459" s="94"/>
      <c r="J459" s="94"/>
      <c r="K459" s="94"/>
      <c r="L459" s="94"/>
      <c r="M459" s="94"/>
      <c r="N459" s="94"/>
      <c r="O459" s="94"/>
      <c r="P459" s="94"/>
      <c r="Q459" s="94"/>
      <c r="R459" s="95"/>
      <c r="S459" s="94"/>
      <c r="T459" s="96"/>
      <c r="U459" s="94"/>
      <c r="V459" s="97"/>
      <c r="W459" s="94"/>
      <c r="X459" s="98"/>
      <c r="Y459" s="98"/>
      <c r="Z459" s="98"/>
      <c r="AA459" s="98"/>
      <c r="AB459" s="98"/>
      <c r="AC459" s="97"/>
      <c r="AD459" s="99"/>
      <c r="AE459" s="95"/>
      <c r="AF459" s="94"/>
      <c r="AG459" s="89"/>
      <c r="AH459" s="89"/>
      <c r="AI459" s="89"/>
      <c r="AJ459" s="89"/>
      <c r="AK459" s="89"/>
      <c r="AL459" s="89"/>
      <c r="AM459" s="89"/>
      <c r="AN459" s="89"/>
      <c r="AO459" s="89"/>
      <c r="AP459" s="89"/>
      <c r="AQ459" s="89"/>
      <c r="AR459" s="89"/>
      <c r="AS459" s="89"/>
      <c r="AT459" s="89"/>
      <c r="AU459" s="89"/>
      <c r="AV459" s="89"/>
      <c r="AW459" s="100"/>
      <c r="AX459" s="100"/>
      <c r="AY459" s="89"/>
      <c r="AZ459" s="89"/>
      <c r="BA459" s="89"/>
      <c r="BB459" s="89"/>
      <c r="BC459" s="89"/>
      <c r="BD459" s="89"/>
      <c r="BE459" s="89"/>
      <c r="BF459" s="89"/>
      <c r="BG459" s="89"/>
      <c r="BH459" s="89"/>
      <c r="BI459" s="89"/>
      <c r="BJ459" s="89"/>
      <c r="BK459" s="89"/>
      <c r="BL459" s="89"/>
      <c r="BM459" s="89"/>
      <c r="BN459" s="89"/>
      <c r="BO459" s="89"/>
      <c r="BP459" s="89"/>
      <c r="BQ459" s="89"/>
      <c r="BR459" s="89"/>
      <c r="BS459" s="89"/>
    </row>
    <row r="460" spans="1:71" ht="27" customHeight="1" x14ac:dyDescent="0.2">
      <c r="A460" s="93"/>
      <c r="B460" s="89"/>
      <c r="C460" s="89"/>
      <c r="D460" s="89"/>
      <c r="E460" s="89"/>
      <c r="F460" s="89"/>
      <c r="G460" s="89"/>
      <c r="H460" s="94"/>
      <c r="I460" s="94"/>
      <c r="J460" s="94"/>
      <c r="K460" s="94"/>
      <c r="L460" s="94"/>
      <c r="M460" s="94"/>
      <c r="N460" s="94"/>
      <c r="O460" s="94"/>
      <c r="P460" s="94"/>
      <c r="Q460" s="94"/>
      <c r="R460" s="95"/>
      <c r="S460" s="94"/>
      <c r="T460" s="96"/>
      <c r="U460" s="94"/>
      <c r="V460" s="97"/>
      <c r="W460" s="94"/>
      <c r="X460" s="98"/>
      <c r="Y460" s="98"/>
      <c r="Z460" s="98"/>
      <c r="AA460" s="98"/>
      <c r="AB460" s="98"/>
      <c r="AC460" s="97"/>
      <c r="AD460" s="99"/>
      <c r="AE460" s="95"/>
      <c r="AF460" s="94"/>
      <c r="AG460" s="89"/>
      <c r="AH460" s="89"/>
      <c r="AI460" s="89"/>
      <c r="AJ460" s="89"/>
      <c r="AK460" s="89"/>
      <c r="AL460" s="89"/>
      <c r="AM460" s="89"/>
      <c r="AN460" s="89"/>
      <c r="AO460" s="89"/>
      <c r="AP460" s="89"/>
      <c r="AQ460" s="89"/>
      <c r="AR460" s="89"/>
      <c r="AS460" s="89"/>
      <c r="AT460" s="89"/>
      <c r="AU460" s="89"/>
      <c r="AV460" s="89"/>
      <c r="AW460" s="100"/>
      <c r="AX460" s="100"/>
      <c r="AY460" s="89"/>
      <c r="AZ460" s="89"/>
      <c r="BA460" s="89"/>
      <c r="BB460" s="89"/>
      <c r="BC460" s="89"/>
      <c r="BD460" s="89"/>
      <c r="BE460" s="89"/>
      <c r="BF460" s="89"/>
      <c r="BG460" s="89"/>
      <c r="BH460" s="89"/>
      <c r="BI460" s="89"/>
      <c r="BJ460" s="89"/>
      <c r="BK460" s="89"/>
      <c r="BL460" s="89"/>
      <c r="BM460" s="89"/>
      <c r="BN460" s="89"/>
      <c r="BO460" s="89"/>
      <c r="BP460" s="89"/>
      <c r="BQ460" s="89"/>
      <c r="BR460" s="89"/>
      <c r="BS460" s="89"/>
    </row>
    <row r="461" spans="1:71" ht="27" customHeight="1" x14ac:dyDescent="0.2">
      <c r="A461" s="93"/>
      <c r="B461" s="89"/>
      <c r="C461" s="89"/>
      <c r="D461" s="89"/>
      <c r="E461" s="89"/>
      <c r="F461" s="89"/>
      <c r="G461" s="89"/>
      <c r="H461" s="94"/>
      <c r="I461" s="94"/>
      <c r="J461" s="94"/>
      <c r="K461" s="94"/>
      <c r="L461" s="94"/>
      <c r="M461" s="94"/>
      <c r="N461" s="94"/>
      <c r="O461" s="94"/>
      <c r="P461" s="94"/>
      <c r="Q461" s="94"/>
      <c r="R461" s="95"/>
      <c r="S461" s="94"/>
      <c r="T461" s="96"/>
      <c r="U461" s="94"/>
      <c r="V461" s="97"/>
      <c r="W461" s="94"/>
      <c r="X461" s="98"/>
      <c r="Y461" s="98"/>
      <c r="Z461" s="98"/>
      <c r="AA461" s="98"/>
      <c r="AB461" s="98"/>
      <c r="AC461" s="97"/>
      <c r="AD461" s="99"/>
      <c r="AE461" s="95"/>
      <c r="AF461" s="94"/>
      <c r="AG461" s="89"/>
      <c r="AH461" s="89"/>
      <c r="AI461" s="89"/>
      <c r="AJ461" s="89"/>
      <c r="AK461" s="89"/>
      <c r="AL461" s="89"/>
      <c r="AM461" s="89"/>
      <c r="AN461" s="89"/>
      <c r="AO461" s="89"/>
      <c r="AP461" s="89"/>
      <c r="AQ461" s="89"/>
      <c r="AR461" s="89"/>
      <c r="AS461" s="89"/>
      <c r="AT461" s="89"/>
      <c r="AU461" s="89"/>
      <c r="AV461" s="89"/>
      <c r="AW461" s="100"/>
      <c r="AX461" s="100"/>
      <c r="AY461" s="89"/>
      <c r="AZ461" s="89"/>
      <c r="BA461" s="89"/>
      <c r="BB461" s="89"/>
      <c r="BC461" s="89"/>
      <c r="BD461" s="89"/>
      <c r="BE461" s="89"/>
      <c r="BF461" s="89"/>
      <c r="BG461" s="89"/>
      <c r="BH461" s="89"/>
      <c r="BI461" s="89"/>
      <c r="BJ461" s="89"/>
      <c r="BK461" s="89"/>
      <c r="BL461" s="89"/>
      <c r="BM461" s="89"/>
      <c r="BN461" s="89"/>
      <c r="BO461" s="89"/>
      <c r="BP461" s="89"/>
      <c r="BQ461" s="89"/>
      <c r="BR461" s="89"/>
      <c r="BS461" s="89"/>
    </row>
    <row r="462" spans="1:71" ht="27" customHeight="1" x14ac:dyDescent="0.2">
      <c r="A462" s="93"/>
      <c r="B462" s="89"/>
      <c r="C462" s="89"/>
      <c r="D462" s="89"/>
      <c r="E462" s="89"/>
      <c r="F462" s="89"/>
      <c r="G462" s="89"/>
      <c r="H462" s="94"/>
      <c r="I462" s="94"/>
      <c r="J462" s="94"/>
      <c r="K462" s="94"/>
      <c r="L462" s="94"/>
      <c r="M462" s="94"/>
      <c r="N462" s="94"/>
      <c r="O462" s="94"/>
      <c r="P462" s="94"/>
      <c r="Q462" s="94"/>
      <c r="R462" s="95"/>
      <c r="S462" s="94"/>
      <c r="T462" s="96"/>
      <c r="U462" s="94"/>
      <c r="V462" s="97"/>
      <c r="W462" s="94"/>
      <c r="X462" s="98"/>
      <c r="Y462" s="98"/>
      <c r="Z462" s="98"/>
      <c r="AA462" s="98"/>
      <c r="AB462" s="98"/>
      <c r="AC462" s="97"/>
      <c r="AD462" s="99"/>
      <c r="AE462" s="95"/>
      <c r="AF462" s="94"/>
      <c r="AG462" s="89"/>
      <c r="AH462" s="89"/>
      <c r="AI462" s="89"/>
      <c r="AJ462" s="89"/>
      <c r="AK462" s="89"/>
      <c r="AL462" s="89"/>
      <c r="AM462" s="89"/>
      <c r="AN462" s="89"/>
      <c r="AO462" s="89"/>
      <c r="AP462" s="89"/>
      <c r="AQ462" s="89"/>
      <c r="AR462" s="89"/>
      <c r="AS462" s="89"/>
      <c r="AT462" s="89"/>
      <c r="AU462" s="89"/>
      <c r="AV462" s="89"/>
      <c r="AW462" s="100"/>
      <c r="AX462" s="100"/>
      <c r="AY462" s="89"/>
      <c r="AZ462" s="89"/>
      <c r="BA462" s="89"/>
      <c r="BB462" s="89"/>
      <c r="BC462" s="89"/>
      <c r="BD462" s="89"/>
      <c r="BE462" s="89"/>
      <c r="BF462" s="89"/>
      <c r="BG462" s="89"/>
      <c r="BH462" s="89"/>
      <c r="BI462" s="89"/>
      <c r="BJ462" s="89"/>
      <c r="BK462" s="89"/>
      <c r="BL462" s="89"/>
      <c r="BM462" s="89"/>
      <c r="BN462" s="89"/>
      <c r="BO462" s="89"/>
      <c r="BP462" s="89"/>
      <c r="BQ462" s="89"/>
      <c r="BR462" s="89"/>
      <c r="BS462" s="89"/>
    </row>
    <row r="463" spans="1:71" ht="27" customHeight="1" x14ac:dyDescent="0.2">
      <c r="A463" s="93"/>
      <c r="B463" s="89"/>
      <c r="C463" s="89"/>
      <c r="D463" s="89"/>
      <c r="E463" s="89"/>
      <c r="F463" s="89"/>
      <c r="G463" s="89"/>
      <c r="H463" s="94"/>
      <c r="I463" s="94"/>
      <c r="J463" s="94"/>
      <c r="K463" s="94"/>
      <c r="L463" s="94"/>
      <c r="M463" s="94"/>
      <c r="N463" s="94"/>
      <c r="O463" s="94"/>
      <c r="P463" s="94"/>
      <c r="Q463" s="94"/>
      <c r="R463" s="95"/>
      <c r="S463" s="94"/>
      <c r="T463" s="96"/>
      <c r="U463" s="94"/>
      <c r="V463" s="97"/>
      <c r="W463" s="94"/>
      <c r="X463" s="98"/>
      <c r="Y463" s="98"/>
      <c r="Z463" s="98"/>
      <c r="AA463" s="98"/>
      <c r="AB463" s="98"/>
      <c r="AC463" s="97"/>
      <c r="AD463" s="99"/>
      <c r="AE463" s="95"/>
      <c r="AF463" s="94"/>
      <c r="AG463" s="89"/>
      <c r="AH463" s="89"/>
      <c r="AI463" s="89"/>
      <c r="AJ463" s="89"/>
      <c r="AK463" s="89"/>
      <c r="AL463" s="89"/>
      <c r="AM463" s="89"/>
      <c r="AN463" s="89"/>
      <c r="AO463" s="89"/>
      <c r="AP463" s="89"/>
      <c r="AQ463" s="89"/>
      <c r="AR463" s="89"/>
      <c r="AS463" s="89"/>
      <c r="AT463" s="89"/>
      <c r="AU463" s="89"/>
      <c r="AV463" s="89"/>
      <c r="AW463" s="100"/>
      <c r="AX463" s="100"/>
      <c r="AY463" s="89"/>
      <c r="AZ463" s="89"/>
      <c r="BA463" s="89"/>
      <c r="BB463" s="89"/>
      <c r="BC463" s="89"/>
      <c r="BD463" s="89"/>
      <c r="BE463" s="89"/>
      <c r="BF463" s="89"/>
      <c r="BG463" s="89"/>
      <c r="BH463" s="89"/>
      <c r="BI463" s="89"/>
      <c r="BJ463" s="89"/>
      <c r="BK463" s="89"/>
      <c r="BL463" s="89"/>
      <c r="BM463" s="89"/>
      <c r="BN463" s="89"/>
      <c r="BO463" s="89"/>
      <c r="BP463" s="89"/>
      <c r="BQ463" s="89"/>
      <c r="BR463" s="89"/>
      <c r="BS463" s="89"/>
    </row>
    <row r="464" spans="1:71" ht="27" customHeight="1" x14ac:dyDescent="0.2">
      <c r="A464" s="93"/>
      <c r="B464" s="89"/>
      <c r="C464" s="89"/>
      <c r="D464" s="89"/>
      <c r="E464" s="89"/>
      <c r="F464" s="89"/>
      <c r="G464" s="89"/>
      <c r="H464" s="94"/>
      <c r="I464" s="94"/>
      <c r="J464" s="94"/>
      <c r="K464" s="94"/>
      <c r="L464" s="94"/>
      <c r="M464" s="94"/>
      <c r="N464" s="94"/>
      <c r="O464" s="94"/>
      <c r="P464" s="94"/>
      <c r="Q464" s="94"/>
      <c r="R464" s="95"/>
      <c r="S464" s="94"/>
      <c r="T464" s="96"/>
      <c r="U464" s="94"/>
      <c r="V464" s="97"/>
      <c r="W464" s="94"/>
      <c r="X464" s="98"/>
      <c r="Y464" s="98"/>
      <c r="Z464" s="98"/>
      <c r="AA464" s="98"/>
      <c r="AB464" s="98"/>
      <c r="AC464" s="97"/>
      <c r="AD464" s="99"/>
      <c r="AE464" s="95"/>
      <c r="AF464" s="94"/>
      <c r="AG464" s="89"/>
      <c r="AH464" s="89"/>
      <c r="AI464" s="89"/>
      <c r="AJ464" s="89"/>
      <c r="AK464" s="89"/>
      <c r="AL464" s="89"/>
      <c r="AM464" s="89"/>
      <c r="AN464" s="89"/>
      <c r="AO464" s="89"/>
      <c r="AP464" s="89"/>
      <c r="AQ464" s="89"/>
      <c r="AR464" s="89"/>
      <c r="AS464" s="89"/>
      <c r="AT464" s="89"/>
      <c r="AU464" s="89"/>
      <c r="AV464" s="89"/>
      <c r="AW464" s="100"/>
      <c r="AX464" s="100"/>
      <c r="AY464" s="89"/>
      <c r="AZ464" s="89"/>
      <c r="BA464" s="89"/>
      <c r="BB464" s="89"/>
      <c r="BC464" s="89"/>
      <c r="BD464" s="89"/>
      <c r="BE464" s="89"/>
      <c r="BF464" s="89"/>
      <c r="BG464" s="89"/>
      <c r="BH464" s="89"/>
      <c r="BI464" s="89"/>
      <c r="BJ464" s="89"/>
      <c r="BK464" s="89"/>
      <c r="BL464" s="89"/>
      <c r="BM464" s="89"/>
      <c r="BN464" s="89"/>
      <c r="BO464" s="89"/>
      <c r="BP464" s="89"/>
      <c r="BQ464" s="89"/>
      <c r="BR464" s="89"/>
      <c r="BS464" s="89"/>
    </row>
    <row r="465" spans="1:71" ht="27" customHeight="1" x14ac:dyDescent="0.2">
      <c r="A465" s="93"/>
      <c r="B465" s="89"/>
      <c r="C465" s="89"/>
      <c r="D465" s="89"/>
      <c r="E465" s="89"/>
      <c r="F465" s="89"/>
      <c r="G465" s="89"/>
      <c r="H465" s="94"/>
      <c r="I465" s="94"/>
      <c r="J465" s="94"/>
      <c r="K465" s="94"/>
      <c r="L465" s="94"/>
      <c r="M465" s="94"/>
      <c r="N465" s="94"/>
      <c r="O465" s="94"/>
      <c r="P465" s="94"/>
      <c r="Q465" s="94"/>
      <c r="R465" s="95"/>
      <c r="S465" s="94"/>
      <c r="T465" s="96"/>
      <c r="U465" s="94"/>
      <c r="V465" s="97"/>
      <c r="W465" s="94"/>
      <c r="X465" s="98"/>
      <c r="Y465" s="98"/>
      <c r="Z465" s="98"/>
      <c r="AA465" s="98"/>
      <c r="AB465" s="98"/>
      <c r="AC465" s="97"/>
      <c r="AD465" s="99"/>
      <c r="AE465" s="95"/>
      <c r="AF465" s="94"/>
      <c r="AG465" s="89"/>
      <c r="AH465" s="89"/>
      <c r="AI465" s="89"/>
      <c r="AJ465" s="89"/>
      <c r="AK465" s="89"/>
      <c r="AL465" s="89"/>
      <c r="AM465" s="89"/>
      <c r="AN465" s="89"/>
      <c r="AO465" s="89"/>
      <c r="AP465" s="89"/>
      <c r="AQ465" s="89"/>
      <c r="AR465" s="89"/>
      <c r="AS465" s="89"/>
      <c r="AT465" s="89"/>
      <c r="AU465" s="89"/>
      <c r="AV465" s="89"/>
      <c r="AW465" s="100"/>
      <c r="AX465" s="100"/>
      <c r="AY465" s="89"/>
      <c r="AZ465" s="89"/>
      <c r="BA465" s="89"/>
      <c r="BB465" s="89"/>
      <c r="BC465" s="89"/>
      <c r="BD465" s="89"/>
      <c r="BE465" s="89"/>
      <c r="BF465" s="89"/>
      <c r="BG465" s="89"/>
      <c r="BH465" s="89"/>
      <c r="BI465" s="89"/>
      <c r="BJ465" s="89"/>
      <c r="BK465" s="89"/>
      <c r="BL465" s="89"/>
      <c r="BM465" s="89"/>
      <c r="BN465" s="89"/>
      <c r="BO465" s="89"/>
      <c r="BP465" s="89"/>
      <c r="BQ465" s="89"/>
      <c r="BR465" s="89"/>
      <c r="BS465" s="89"/>
    </row>
    <row r="466" spans="1:71" ht="27" customHeight="1" x14ac:dyDescent="0.2">
      <c r="A466" s="93"/>
      <c r="B466" s="89"/>
      <c r="C466" s="89"/>
      <c r="D466" s="89"/>
      <c r="E466" s="89"/>
      <c r="F466" s="89"/>
      <c r="G466" s="89"/>
      <c r="H466" s="94"/>
      <c r="I466" s="94"/>
      <c r="J466" s="94"/>
      <c r="K466" s="94"/>
      <c r="L466" s="94"/>
      <c r="M466" s="94"/>
      <c r="N466" s="94"/>
      <c r="O466" s="94"/>
      <c r="P466" s="94"/>
      <c r="Q466" s="94"/>
      <c r="R466" s="95"/>
      <c r="S466" s="94"/>
      <c r="T466" s="96"/>
      <c r="U466" s="94"/>
      <c r="V466" s="97"/>
      <c r="W466" s="94"/>
      <c r="X466" s="98"/>
      <c r="Y466" s="98"/>
      <c r="Z466" s="98"/>
      <c r="AA466" s="98"/>
      <c r="AB466" s="98"/>
      <c r="AC466" s="97"/>
      <c r="AD466" s="99"/>
      <c r="AE466" s="95"/>
      <c r="AF466" s="94"/>
      <c r="AG466" s="89"/>
      <c r="AH466" s="89"/>
      <c r="AI466" s="89"/>
      <c r="AJ466" s="89"/>
      <c r="AK466" s="89"/>
      <c r="AL466" s="89"/>
      <c r="AM466" s="89"/>
      <c r="AN466" s="89"/>
      <c r="AO466" s="89"/>
      <c r="AP466" s="89"/>
      <c r="AQ466" s="89"/>
      <c r="AR466" s="89"/>
      <c r="AS466" s="89"/>
      <c r="AT466" s="89"/>
      <c r="AU466" s="89"/>
      <c r="AV466" s="89"/>
      <c r="AW466" s="100"/>
      <c r="AX466" s="100"/>
      <c r="AY466" s="89"/>
      <c r="AZ466" s="89"/>
      <c r="BA466" s="89"/>
      <c r="BB466" s="89"/>
      <c r="BC466" s="89"/>
      <c r="BD466" s="89"/>
      <c r="BE466" s="89"/>
      <c r="BF466" s="89"/>
      <c r="BG466" s="89"/>
      <c r="BH466" s="89"/>
      <c r="BI466" s="89"/>
      <c r="BJ466" s="89"/>
      <c r="BK466" s="89"/>
      <c r="BL466" s="89"/>
      <c r="BM466" s="89"/>
      <c r="BN466" s="89"/>
      <c r="BO466" s="89"/>
      <c r="BP466" s="89"/>
      <c r="BQ466" s="89"/>
      <c r="BR466" s="89"/>
      <c r="BS466" s="89"/>
    </row>
    <row r="467" spans="1:71" ht="27" customHeight="1" x14ac:dyDescent="0.2">
      <c r="A467" s="93"/>
      <c r="B467" s="89"/>
      <c r="C467" s="89"/>
      <c r="D467" s="89"/>
      <c r="E467" s="89"/>
      <c r="F467" s="89"/>
      <c r="G467" s="89"/>
      <c r="H467" s="94"/>
      <c r="I467" s="94"/>
      <c r="J467" s="94"/>
      <c r="K467" s="94"/>
      <c r="L467" s="94"/>
      <c r="M467" s="94"/>
      <c r="N467" s="94"/>
      <c r="O467" s="94"/>
      <c r="P467" s="94"/>
      <c r="Q467" s="94"/>
      <c r="R467" s="95"/>
      <c r="S467" s="94"/>
      <c r="T467" s="96"/>
      <c r="U467" s="94"/>
      <c r="V467" s="97"/>
      <c r="W467" s="94"/>
      <c r="X467" s="98"/>
      <c r="Y467" s="98"/>
      <c r="Z467" s="98"/>
      <c r="AA467" s="98"/>
      <c r="AB467" s="98"/>
      <c r="AC467" s="97"/>
      <c r="AD467" s="99"/>
      <c r="AE467" s="95"/>
      <c r="AF467" s="94"/>
      <c r="AG467" s="89"/>
      <c r="AH467" s="89"/>
      <c r="AI467" s="89"/>
      <c r="AJ467" s="89"/>
      <c r="AK467" s="89"/>
      <c r="AL467" s="89"/>
      <c r="AM467" s="89"/>
      <c r="AN467" s="89"/>
      <c r="AO467" s="89"/>
      <c r="AP467" s="89"/>
      <c r="AQ467" s="89"/>
      <c r="AR467" s="89"/>
      <c r="AS467" s="89"/>
      <c r="AT467" s="89"/>
      <c r="AU467" s="89"/>
      <c r="AV467" s="89"/>
      <c r="AW467" s="100"/>
      <c r="AX467" s="100"/>
      <c r="AY467" s="89"/>
      <c r="AZ467" s="89"/>
      <c r="BA467" s="89"/>
      <c r="BB467" s="89"/>
      <c r="BC467" s="89"/>
      <c r="BD467" s="89"/>
      <c r="BE467" s="89"/>
      <c r="BF467" s="89"/>
      <c r="BG467" s="89"/>
      <c r="BH467" s="89"/>
      <c r="BI467" s="89"/>
      <c r="BJ467" s="89"/>
      <c r="BK467" s="89"/>
      <c r="BL467" s="89"/>
      <c r="BM467" s="89"/>
      <c r="BN467" s="89"/>
      <c r="BO467" s="89"/>
      <c r="BP467" s="89"/>
      <c r="BQ467" s="89"/>
      <c r="BR467" s="89"/>
      <c r="BS467" s="89"/>
    </row>
    <row r="468" spans="1:71" ht="27" customHeight="1" x14ac:dyDescent="0.2">
      <c r="A468" s="93"/>
      <c r="B468" s="89"/>
      <c r="C468" s="89"/>
      <c r="D468" s="89"/>
      <c r="E468" s="89"/>
      <c r="F468" s="89"/>
      <c r="G468" s="89"/>
      <c r="H468" s="94"/>
      <c r="I468" s="94"/>
      <c r="J468" s="94"/>
      <c r="K468" s="94"/>
      <c r="L468" s="94"/>
      <c r="M468" s="94"/>
      <c r="N468" s="94"/>
      <c r="O468" s="94"/>
      <c r="P468" s="94"/>
      <c r="Q468" s="94"/>
      <c r="R468" s="95"/>
      <c r="S468" s="94"/>
      <c r="T468" s="96"/>
      <c r="U468" s="94"/>
      <c r="V468" s="97"/>
      <c r="W468" s="94"/>
      <c r="X468" s="98"/>
      <c r="Y468" s="98"/>
      <c r="Z468" s="98"/>
      <c r="AA468" s="98"/>
      <c r="AB468" s="98"/>
      <c r="AC468" s="97"/>
      <c r="AD468" s="99"/>
      <c r="AE468" s="95"/>
      <c r="AF468" s="94"/>
      <c r="AG468" s="89"/>
      <c r="AH468" s="89"/>
      <c r="AI468" s="89"/>
      <c r="AJ468" s="89"/>
      <c r="AK468" s="89"/>
      <c r="AL468" s="89"/>
      <c r="AM468" s="89"/>
      <c r="AN468" s="89"/>
      <c r="AO468" s="89"/>
      <c r="AP468" s="89"/>
      <c r="AQ468" s="89"/>
      <c r="AR468" s="89"/>
      <c r="AS468" s="89"/>
      <c r="AT468" s="89"/>
      <c r="AU468" s="89"/>
      <c r="AV468" s="89"/>
      <c r="AW468" s="100"/>
      <c r="AX468" s="100"/>
      <c r="AY468" s="89"/>
      <c r="AZ468" s="89"/>
      <c r="BA468" s="89"/>
      <c r="BB468" s="89"/>
      <c r="BC468" s="89"/>
      <c r="BD468" s="89"/>
      <c r="BE468" s="89"/>
      <c r="BF468" s="89"/>
      <c r="BG468" s="89"/>
      <c r="BH468" s="89"/>
      <c r="BI468" s="89"/>
      <c r="BJ468" s="89"/>
      <c r="BK468" s="89"/>
      <c r="BL468" s="89"/>
      <c r="BM468" s="89"/>
      <c r="BN468" s="89"/>
      <c r="BO468" s="89"/>
      <c r="BP468" s="89"/>
      <c r="BQ468" s="89"/>
      <c r="BR468" s="89"/>
      <c r="BS468" s="89"/>
    </row>
    <row r="469" spans="1:71" ht="27" customHeight="1" x14ac:dyDescent="0.2">
      <c r="A469" s="93"/>
      <c r="B469" s="89"/>
      <c r="C469" s="89"/>
      <c r="D469" s="89"/>
      <c r="E469" s="89"/>
      <c r="F469" s="89"/>
      <c r="G469" s="89"/>
      <c r="H469" s="94"/>
      <c r="I469" s="94"/>
      <c r="J469" s="94"/>
      <c r="K469" s="94"/>
      <c r="L469" s="94"/>
      <c r="M469" s="94"/>
      <c r="N469" s="94"/>
      <c r="O469" s="94"/>
      <c r="P469" s="94"/>
      <c r="Q469" s="94"/>
      <c r="R469" s="95"/>
      <c r="S469" s="94"/>
      <c r="T469" s="96"/>
      <c r="U469" s="94"/>
      <c r="V469" s="97"/>
      <c r="W469" s="94"/>
      <c r="X469" s="98"/>
      <c r="Y469" s="98"/>
      <c r="Z469" s="98"/>
      <c r="AA469" s="98"/>
      <c r="AB469" s="98"/>
      <c r="AC469" s="97"/>
      <c r="AD469" s="99"/>
      <c r="AE469" s="95"/>
      <c r="AF469" s="94"/>
      <c r="AG469" s="89"/>
      <c r="AH469" s="89"/>
      <c r="AI469" s="89"/>
      <c r="AJ469" s="89"/>
      <c r="AK469" s="89"/>
      <c r="AL469" s="89"/>
      <c r="AM469" s="89"/>
      <c r="AN469" s="89"/>
      <c r="AO469" s="89"/>
      <c r="AP469" s="89"/>
      <c r="AQ469" s="89"/>
      <c r="AR469" s="89"/>
      <c r="AS469" s="89"/>
      <c r="AT469" s="89"/>
      <c r="AU469" s="89"/>
      <c r="AV469" s="89"/>
      <c r="AW469" s="100"/>
      <c r="AX469" s="100"/>
      <c r="AY469" s="89"/>
      <c r="AZ469" s="89"/>
      <c r="BA469" s="89"/>
      <c r="BB469" s="89"/>
      <c r="BC469" s="89"/>
      <c r="BD469" s="89"/>
      <c r="BE469" s="89"/>
      <c r="BF469" s="89"/>
      <c r="BG469" s="89"/>
      <c r="BH469" s="89"/>
      <c r="BI469" s="89"/>
      <c r="BJ469" s="89"/>
      <c r="BK469" s="89"/>
      <c r="BL469" s="89"/>
      <c r="BM469" s="89"/>
      <c r="BN469" s="89"/>
      <c r="BO469" s="89"/>
      <c r="BP469" s="89"/>
      <c r="BQ469" s="89"/>
      <c r="BR469" s="89"/>
      <c r="BS469" s="89"/>
    </row>
    <row r="470" spans="1:71" ht="27" customHeight="1" x14ac:dyDescent="0.2">
      <c r="A470" s="93"/>
      <c r="B470" s="89"/>
      <c r="C470" s="89"/>
      <c r="D470" s="89"/>
      <c r="E470" s="89"/>
      <c r="F470" s="89"/>
      <c r="G470" s="89"/>
      <c r="H470" s="94"/>
      <c r="I470" s="94"/>
      <c r="J470" s="94"/>
      <c r="K470" s="94"/>
      <c r="L470" s="94"/>
      <c r="M470" s="94"/>
      <c r="N470" s="94"/>
      <c r="O470" s="94"/>
      <c r="P470" s="94"/>
      <c r="Q470" s="94"/>
      <c r="R470" s="95"/>
      <c r="S470" s="94"/>
      <c r="T470" s="96"/>
      <c r="U470" s="94"/>
      <c r="V470" s="97"/>
      <c r="W470" s="94"/>
      <c r="X470" s="98"/>
      <c r="Y470" s="98"/>
      <c r="Z470" s="98"/>
      <c r="AA470" s="98"/>
      <c r="AB470" s="98"/>
      <c r="AC470" s="97"/>
      <c r="AD470" s="99"/>
      <c r="AE470" s="95"/>
      <c r="AF470" s="94"/>
      <c r="AG470" s="89"/>
      <c r="AH470" s="89"/>
      <c r="AI470" s="89"/>
      <c r="AJ470" s="89"/>
      <c r="AK470" s="89"/>
      <c r="AL470" s="89"/>
      <c r="AM470" s="89"/>
      <c r="AN470" s="89"/>
      <c r="AO470" s="89"/>
      <c r="AP470" s="89"/>
      <c r="AQ470" s="89"/>
      <c r="AR470" s="89"/>
      <c r="AS470" s="89"/>
      <c r="AT470" s="89"/>
      <c r="AU470" s="89"/>
      <c r="AV470" s="89"/>
      <c r="AW470" s="100"/>
      <c r="AX470" s="100"/>
      <c r="AY470" s="89"/>
      <c r="AZ470" s="89"/>
      <c r="BA470" s="89"/>
      <c r="BB470" s="89"/>
      <c r="BC470" s="89"/>
      <c r="BD470" s="89"/>
      <c r="BE470" s="89"/>
      <c r="BF470" s="89"/>
      <c r="BG470" s="89"/>
      <c r="BH470" s="89"/>
      <c r="BI470" s="89"/>
      <c r="BJ470" s="89"/>
      <c r="BK470" s="89"/>
      <c r="BL470" s="89"/>
      <c r="BM470" s="89"/>
      <c r="BN470" s="89"/>
      <c r="BO470" s="89"/>
      <c r="BP470" s="89"/>
      <c r="BQ470" s="89"/>
      <c r="BR470" s="89"/>
      <c r="BS470" s="89"/>
    </row>
    <row r="471" spans="1:71" ht="27" customHeight="1" x14ac:dyDescent="0.2">
      <c r="A471" s="93"/>
      <c r="B471" s="89"/>
      <c r="C471" s="89"/>
      <c r="D471" s="89"/>
      <c r="E471" s="89"/>
      <c r="F471" s="89"/>
      <c r="G471" s="89"/>
      <c r="H471" s="94"/>
      <c r="I471" s="94"/>
      <c r="J471" s="94"/>
      <c r="K471" s="94"/>
      <c r="L471" s="94"/>
      <c r="M471" s="94"/>
      <c r="N471" s="94"/>
      <c r="O471" s="94"/>
      <c r="P471" s="94"/>
      <c r="Q471" s="94"/>
      <c r="R471" s="95"/>
      <c r="S471" s="94"/>
      <c r="T471" s="96"/>
      <c r="U471" s="94"/>
      <c r="V471" s="97"/>
      <c r="W471" s="94"/>
      <c r="X471" s="98"/>
      <c r="Y471" s="98"/>
      <c r="Z471" s="98"/>
      <c r="AA471" s="98"/>
      <c r="AB471" s="98"/>
      <c r="AC471" s="97"/>
      <c r="AD471" s="99"/>
      <c r="AE471" s="95"/>
      <c r="AF471" s="94"/>
      <c r="AG471" s="89"/>
      <c r="AH471" s="89"/>
      <c r="AI471" s="89"/>
      <c r="AJ471" s="89"/>
      <c r="AK471" s="89"/>
      <c r="AL471" s="89"/>
      <c r="AM471" s="89"/>
      <c r="AN471" s="89"/>
      <c r="AO471" s="89"/>
      <c r="AP471" s="89"/>
      <c r="AQ471" s="89"/>
      <c r="AR471" s="89"/>
      <c r="AS471" s="89"/>
      <c r="AT471" s="89"/>
      <c r="AU471" s="89"/>
      <c r="AV471" s="89"/>
      <c r="AW471" s="100"/>
      <c r="AX471" s="100"/>
      <c r="AY471" s="89"/>
      <c r="AZ471" s="89"/>
      <c r="BA471" s="89"/>
      <c r="BB471" s="89"/>
      <c r="BC471" s="89"/>
      <c r="BD471" s="89"/>
      <c r="BE471" s="89"/>
      <c r="BF471" s="89"/>
      <c r="BG471" s="89"/>
      <c r="BH471" s="89"/>
      <c r="BI471" s="89"/>
      <c r="BJ471" s="89"/>
      <c r="BK471" s="89"/>
      <c r="BL471" s="89"/>
      <c r="BM471" s="89"/>
      <c r="BN471" s="89"/>
      <c r="BO471" s="89"/>
      <c r="BP471" s="89"/>
      <c r="BQ471" s="89"/>
      <c r="BR471" s="89"/>
      <c r="BS471" s="89"/>
    </row>
    <row r="472" spans="1:71" ht="27" customHeight="1" x14ac:dyDescent="0.2">
      <c r="A472" s="93"/>
      <c r="B472" s="89"/>
      <c r="C472" s="89"/>
      <c r="D472" s="89"/>
      <c r="E472" s="89"/>
      <c r="F472" s="89"/>
      <c r="G472" s="89"/>
      <c r="H472" s="94"/>
      <c r="I472" s="94"/>
      <c r="J472" s="94"/>
      <c r="K472" s="94"/>
      <c r="L472" s="94"/>
      <c r="M472" s="94"/>
      <c r="N472" s="94"/>
      <c r="O472" s="94"/>
      <c r="P472" s="94"/>
      <c r="Q472" s="94"/>
      <c r="R472" s="95"/>
      <c r="S472" s="94"/>
      <c r="T472" s="96"/>
      <c r="U472" s="94"/>
      <c r="V472" s="97"/>
      <c r="W472" s="94"/>
      <c r="X472" s="98"/>
      <c r="Y472" s="98"/>
      <c r="Z472" s="98"/>
      <c r="AA472" s="98"/>
      <c r="AB472" s="98"/>
      <c r="AC472" s="97"/>
      <c r="AD472" s="99"/>
      <c r="AE472" s="95"/>
      <c r="AF472" s="94"/>
      <c r="AG472" s="89"/>
      <c r="AH472" s="89"/>
      <c r="AI472" s="89"/>
      <c r="AJ472" s="89"/>
      <c r="AK472" s="89"/>
      <c r="AL472" s="89"/>
      <c r="AM472" s="89"/>
      <c r="AN472" s="89"/>
      <c r="AO472" s="89"/>
      <c r="AP472" s="89"/>
      <c r="AQ472" s="89"/>
      <c r="AR472" s="89"/>
      <c r="AS472" s="89"/>
      <c r="AT472" s="89"/>
      <c r="AU472" s="89"/>
      <c r="AV472" s="89"/>
      <c r="AW472" s="100"/>
      <c r="AX472" s="100"/>
      <c r="AY472" s="89"/>
      <c r="AZ472" s="89"/>
      <c r="BA472" s="89"/>
      <c r="BB472" s="89"/>
      <c r="BC472" s="89"/>
      <c r="BD472" s="89"/>
      <c r="BE472" s="89"/>
      <c r="BF472" s="89"/>
      <c r="BG472" s="89"/>
      <c r="BH472" s="89"/>
      <c r="BI472" s="89"/>
      <c r="BJ472" s="89"/>
      <c r="BK472" s="89"/>
      <c r="BL472" s="89"/>
      <c r="BM472" s="89"/>
      <c r="BN472" s="89"/>
      <c r="BO472" s="89"/>
      <c r="BP472" s="89"/>
      <c r="BQ472" s="89"/>
      <c r="BR472" s="89"/>
      <c r="BS472" s="89"/>
    </row>
    <row r="473" spans="1:71" ht="27" customHeight="1" x14ac:dyDescent="0.2">
      <c r="A473" s="93"/>
      <c r="B473" s="89"/>
      <c r="C473" s="89"/>
      <c r="D473" s="89"/>
      <c r="E473" s="89"/>
      <c r="F473" s="89"/>
      <c r="G473" s="89"/>
      <c r="H473" s="94"/>
      <c r="I473" s="94"/>
      <c r="J473" s="94"/>
      <c r="K473" s="94"/>
      <c r="L473" s="94"/>
      <c r="M473" s="94"/>
      <c r="N473" s="94"/>
      <c r="O473" s="94"/>
      <c r="P473" s="94"/>
      <c r="Q473" s="94"/>
      <c r="R473" s="95"/>
      <c r="S473" s="94"/>
      <c r="T473" s="96"/>
      <c r="U473" s="94"/>
      <c r="V473" s="97"/>
      <c r="W473" s="94"/>
      <c r="X473" s="98"/>
      <c r="Y473" s="98"/>
      <c r="Z473" s="98"/>
      <c r="AA473" s="98"/>
      <c r="AB473" s="98"/>
      <c r="AC473" s="97"/>
      <c r="AD473" s="99"/>
      <c r="AE473" s="95"/>
      <c r="AF473" s="94"/>
      <c r="AG473" s="89"/>
      <c r="AH473" s="89"/>
      <c r="AI473" s="89"/>
      <c r="AJ473" s="89"/>
      <c r="AK473" s="89"/>
      <c r="AL473" s="89"/>
      <c r="AM473" s="89"/>
      <c r="AN473" s="89"/>
      <c r="AO473" s="89"/>
      <c r="AP473" s="89"/>
      <c r="AQ473" s="89"/>
      <c r="AR473" s="89"/>
      <c r="AS473" s="89"/>
      <c r="AT473" s="89"/>
      <c r="AU473" s="89"/>
      <c r="AV473" s="89"/>
      <c r="AW473" s="100"/>
      <c r="AX473" s="100"/>
      <c r="AY473" s="89"/>
      <c r="AZ473" s="89"/>
      <c r="BA473" s="89"/>
      <c r="BB473" s="89"/>
      <c r="BC473" s="89"/>
      <c r="BD473" s="89"/>
      <c r="BE473" s="89"/>
      <c r="BF473" s="89"/>
      <c r="BG473" s="89"/>
      <c r="BH473" s="89"/>
      <c r="BI473" s="89"/>
      <c r="BJ473" s="89"/>
      <c r="BK473" s="89"/>
      <c r="BL473" s="89"/>
      <c r="BM473" s="89"/>
      <c r="BN473" s="89"/>
      <c r="BO473" s="89"/>
      <c r="BP473" s="89"/>
      <c r="BQ473" s="89"/>
      <c r="BR473" s="89"/>
      <c r="BS473" s="89"/>
    </row>
    <row r="474" spans="1:71" ht="27" customHeight="1" x14ac:dyDescent="0.2">
      <c r="A474" s="93"/>
      <c r="B474" s="89"/>
      <c r="C474" s="89"/>
      <c r="D474" s="89"/>
      <c r="E474" s="89"/>
      <c r="F474" s="89"/>
      <c r="G474" s="89"/>
      <c r="H474" s="94"/>
      <c r="I474" s="94"/>
      <c r="J474" s="94"/>
      <c r="K474" s="94"/>
      <c r="L474" s="94"/>
      <c r="M474" s="94"/>
      <c r="N474" s="94"/>
      <c r="O474" s="94"/>
      <c r="P474" s="94"/>
      <c r="Q474" s="94"/>
      <c r="R474" s="95"/>
      <c r="S474" s="94"/>
      <c r="T474" s="96"/>
      <c r="U474" s="94"/>
      <c r="V474" s="97"/>
      <c r="W474" s="94"/>
      <c r="X474" s="98"/>
      <c r="Y474" s="98"/>
      <c r="Z474" s="98"/>
      <c r="AA474" s="98"/>
      <c r="AB474" s="98"/>
      <c r="AC474" s="97"/>
      <c r="AD474" s="99"/>
      <c r="AE474" s="95"/>
      <c r="AF474" s="94"/>
      <c r="AG474" s="89"/>
      <c r="AH474" s="89"/>
      <c r="AI474" s="89"/>
      <c r="AJ474" s="89"/>
      <c r="AK474" s="89"/>
      <c r="AL474" s="89"/>
      <c r="AM474" s="89"/>
      <c r="AN474" s="89"/>
      <c r="AO474" s="89"/>
      <c r="AP474" s="89"/>
      <c r="AQ474" s="89"/>
      <c r="AR474" s="89"/>
      <c r="AS474" s="89"/>
      <c r="AT474" s="89"/>
      <c r="AU474" s="89"/>
      <c r="AV474" s="89"/>
      <c r="AW474" s="100"/>
      <c r="AX474" s="100"/>
      <c r="AY474" s="89"/>
      <c r="AZ474" s="89"/>
      <c r="BA474" s="89"/>
      <c r="BB474" s="89"/>
      <c r="BC474" s="89"/>
      <c r="BD474" s="89"/>
      <c r="BE474" s="89"/>
      <c r="BF474" s="89"/>
      <c r="BG474" s="89"/>
      <c r="BH474" s="89"/>
      <c r="BI474" s="89"/>
      <c r="BJ474" s="89"/>
      <c r="BK474" s="89"/>
      <c r="BL474" s="89"/>
      <c r="BM474" s="89"/>
      <c r="BN474" s="89"/>
      <c r="BO474" s="89"/>
      <c r="BP474" s="89"/>
      <c r="BQ474" s="89"/>
      <c r="BR474" s="89"/>
      <c r="BS474" s="89"/>
    </row>
    <row r="475" spans="1:71" ht="27" customHeight="1" x14ac:dyDescent="0.2">
      <c r="A475" s="93"/>
      <c r="B475" s="89"/>
      <c r="C475" s="89"/>
      <c r="D475" s="89"/>
      <c r="E475" s="89"/>
      <c r="F475" s="89"/>
      <c r="G475" s="89"/>
      <c r="H475" s="94"/>
      <c r="I475" s="94"/>
      <c r="J475" s="94"/>
      <c r="K475" s="94"/>
      <c r="L475" s="94"/>
      <c r="M475" s="94"/>
      <c r="N475" s="94"/>
      <c r="O475" s="94"/>
      <c r="P475" s="94"/>
      <c r="Q475" s="94"/>
      <c r="R475" s="95"/>
      <c r="S475" s="94"/>
      <c r="T475" s="96"/>
      <c r="U475" s="94"/>
      <c r="V475" s="97"/>
      <c r="W475" s="94"/>
      <c r="X475" s="98"/>
      <c r="Y475" s="98"/>
      <c r="Z475" s="98"/>
      <c r="AA475" s="98"/>
      <c r="AB475" s="98"/>
      <c r="AC475" s="97"/>
      <c r="AD475" s="99"/>
      <c r="AE475" s="95"/>
      <c r="AF475" s="94"/>
      <c r="AG475" s="89"/>
      <c r="AH475" s="89"/>
      <c r="AI475" s="89"/>
      <c r="AJ475" s="89"/>
      <c r="AK475" s="89"/>
      <c r="AL475" s="89"/>
      <c r="AM475" s="89"/>
      <c r="AN475" s="89"/>
      <c r="AO475" s="89"/>
      <c r="AP475" s="89"/>
      <c r="AQ475" s="89"/>
      <c r="AR475" s="89"/>
      <c r="AS475" s="89"/>
      <c r="AT475" s="89"/>
      <c r="AU475" s="89"/>
      <c r="AV475" s="89"/>
      <c r="AW475" s="100"/>
      <c r="AX475" s="100"/>
      <c r="AY475" s="89"/>
      <c r="AZ475" s="89"/>
      <c r="BA475" s="89"/>
      <c r="BB475" s="89"/>
      <c r="BC475" s="89"/>
      <c r="BD475" s="89"/>
      <c r="BE475" s="89"/>
      <c r="BF475" s="89"/>
      <c r="BG475" s="89"/>
      <c r="BH475" s="89"/>
      <c r="BI475" s="89"/>
      <c r="BJ475" s="89"/>
      <c r="BK475" s="89"/>
      <c r="BL475" s="89"/>
      <c r="BM475" s="89"/>
      <c r="BN475" s="89"/>
      <c r="BO475" s="89"/>
      <c r="BP475" s="89"/>
      <c r="BQ475" s="89"/>
      <c r="BR475" s="89"/>
      <c r="BS475" s="89"/>
    </row>
    <row r="476" spans="1:71" ht="27" customHeight="1" x14ac:dyDescent="0.2">
      <c r="A476" s="93"/>
      <c r="B476" s="89"/>
      <c r="C476" s="89"/>
      <c r="D476" s="89"/>
      <c r="E476" s="89"/>
      <c r="F476" s="89"/>
      <c r="G476" s="89"/>
      <c r="H476" s="94"/>
      <c r="I476" s="94"/>
      <c r="J476" s="94"/>
      <c r="K476" s="94"/>
      <c r="L476" s="94"/>
      <c r="M476" s="94"/>
      <c r="N476" s="94"/>
      <c r="O476" s="94"/>
      <c r="P476" s="94"/>
      <c r="Q476" s="94"/>
      <c r="R476" s="95"/>
      <c r="S476" s="94"/>
      <c r="T476" s="96"/>
      <c r="U476" s="94"/>
      <c r="V476" s="97"/>
      <c r="W476" s="94"/>
      <c r="X476" s="98"/>
      <c r="Y476" s="98"/>
      <c r="Z476" s="98"/>
      <c r="AA476" s="98"/>
      <c r="AB476" s="98"/>
      <c r="AC476" s="97"/>
      <c r="AD476" s="99"/>
      <c r="AE476" s="95"/>
      <c r="AF476" s="94"/>
      <c r="AG476" s="89"/>
      <c r="AH476" s="89"/>
      <c r="AI476" s="89"/>
      <c r="AJ476" s="89"/>
      <c r="AK476" s="89"/>
      <c r="AL476" s="89"/>
      <c r="AM476" s="89"/>
      <c r="AN476" s="89"/>
      <c r="AO476" s="89"/>
      <c r="AP476" s="89"/>
      <c r="AQ476" s="89"/>
      <c r="AR476" s="89"/>
      <c r="AS476" s="89"/>
      <c r="AT476" s="89"/>
      <c r="AU476" s="89"/>
      <c r="AV476" s="89"/>
      <c r="AW476" s="100"/>
      <c r="AX476" s="100"/>
      <c r="AY476" s="89"/>
      <c r="AZ476" s="89"/>
      <c r="BA476" s="89"/>
      <c r="BB476" s="89"/>
      <c r="BC476" s="89"/>
      <c r="BD476" s="89"/>
      <c r="BE476" s="89"/>
      <c r="BF476" s="89"/>
      <c r="BG476" s="89"/>
      <c r="BH476" s="89"/>
      <c r="BI476" s="89"/>
      <c r="BJ476" s="89"/>
      <c r="BK476" s="89"/>
      <c r="BL476" s="89"/>
      <c r="BM476" s="89"/>
      <c r="BN476" s="89"/>
      <c r="BO476" s="89"/>
      <c r="BP476" s="89"/>
      <c r="BQ476" s="89"/>
      <c r="BR476" s="89"/>
      <c r="BS476" s="89"/>
    </row>
    <row r="477" spans="1:71" ht="27" customHeight="1" x14ac:dyDescent="0.2">
      <c r="A477" s="93"/>
      <c r="B477" s="89"/>
      <c r="C477" s="89"/>
      <c r="D477" s="89"/>
      <c r="E477" s="89"/>
      <c r="F477" s="89"/>
      <c r="G477" s="89"/>
      <c r="H477" s="94"/>
      <c r="I477" s="94"/>
      <c r="J477" s="94"/>
      <c r="K477" s="94"/>
      <c r="L477" s="94"/>
      <c r="M477" s="94"/>
      <c r="N477" s="94"/>
      <c r="O477" s="94"/>
      <c r="P477" s="94"/>
      <c r="Q477" s="94"/>
      <c r="R477" s="95"/>
      <c r="S477" s="94"/>
      <c r="T477" s="96"/>
      <c r="U477" s="94"/>
      <c r="V477" s="97"/>
      <c r="W477" s="94"/>
      <c r="X477" s="98"/>
      <c r="Y477" s="98"/>
      <c r="Z477" s="98"/>
      <c r="AA477" s="98"/>
      <c r="AB477" s="98"/>
      <c r="AC477" s="97"/>
      <c r="AD477" s="99"/>
      <c r="AE477" s="95"/>
      <c r="AF477" s="94"/>
      <c r="AG477" s="89"/>
      <c r="AH477" s="89"/>
      <c r="AI477" s="89"/>
      <c r="AJ477" s="89"/>
      <c r="AK477" s="89"/>
      <c r="AL477" s="89"/>
      <c r="AM477" s="89"/>
      <c r="AN477" s="89"/>
      <c r="AO477" s="89"/>
      <c r="AP477" s="89"/>
      <c r="AQ477" s="89"/>
      <c r="AR477" s="89"/>
      <c r="AS477" s="89"/>
      <c r="AT477" s="89"/>
      <c r="AU477" s="89"/>
      <c r="AV477" s="89"/>
      <c r="AW477" s="100"/>
      <c r="AX477" s="100"/>
      <c r="AY477" s="89"/>
      <c r="AZ477" s="89"/>
      <c r="BA477" s="89"/>
      <c r="BB477" s="89"/>
      <c r="BC477" s="89"/>
      <c r="BD477" s="89"/>
      <c r="BE477" s="89"/>
      <c r="BF477" s="89"/>
      <c r="BG477" s="89"/>
      <c r="BH477" s="89"/>
      <c r="BI477" s="89"/>
      <c r="BJ477" s="89"/>
      <c r="BK477" s="89"/>
      <c r="BL477" s="89"/>
      <c r="BM477" s="89"/>
      <c r="BN477" s="89"/>
      <c r="BO477" s="89"/>
      <c r="BP477" s="89"/>
      <c r="BQ477" s="89"/>
      <c r="BR477" s="89"/>
      <c r="BS477" s="89"/>
    </row>
    <row r="478" spans="1:71" ht="27" customHeight="1" x14ac:dyDescent="0.2">
      <c r="A478" s="93"/>
      <c r="B478" s="89"/>
      <c r="C478" s="89"/>
      <c r="D478" s="89"/>
      <c r="E478" s="89"/>
      <c r="F478" s="89"/>
      <c r="G478" s="89"/>
      <c r="H478" s="94"/>
      <c r="I478" s="94"/>
      <c r="J478" s="94"/>
      <c r="K478" s="94"/>
      <c r="L478" s="94"/>
      <c r="M478" s="94"/>
      <c r="N478" s="94"/>
      <c r="O478" s="94"/>
      <c r="P478" s="94"/>
      <c r="Q478" s="94"/>
      <c r="R478" s="95"/>
      <c r="S478" s="94"/>
      <c r="T478" s="96"/>
      <c r="U478" s="94"/>
      <c r="V478" s="97"/>
      <c r="W478" s="94"/>
      <c r="X478" s="98"/>
      <c r="Y478" s="98"/>
      <c r="Z478" s="98"/>
      <c r="AA478" s="98"/>
      <c r="AB478" s="98"/>
      <c r="AC478" s="97"/>
      <c r="AD478" s="99"/>
      <c r="AE478" s="95"/>
      <c r="AF478" s="94"/>
      <c r="AG478" s="89"/>
      <c r="AH478" s="89"/>
      <c r="AI478" s="89"/>
      <c r="AJ478" s="89"/>
      <c r="AK478" s="89"/>
      <c r="AL478" s="89"/>
      <c r="AM478" s="89"/>
      <c r="AN478" s="89"/>
      <c r="AO478" s="89"/>
      <c r="AP478" s="89"/>
      <c r="AQ478" s="89"/>
      <c r="AR478" s="89"/>
      <c r="AS478" s="89"/>
      <c r="AT478" s="89"/>
      <c r="AU478" s="89"/>
      <c r="AV478" s="89"/>
      <c r="AW478" s="100"/>
      <c r="AX478" s="100"/>
      <c r="AY478" s="89"/>
      <c r="AZ478" s="89"/>
      <c r="BA478" s="89"/>
      <c r="BB478" s="89"/>
      <c r="BC478" s="89"/>
      <c r="BD478" s="89"/>
      <c r="BE478" s="89"/>
      <c r="BF478" s="89"/>
      <c r="BG478" s="89"/>
      <c r="BH478" s="89"/>
      <c r="BI478" s="89"/>
      <c r="BJ478" s="89"/>
      <c r="BK478" s="89"/>
      <c r="BL478" s="89"/>
      <c r="BM478" s="89"/>
      <c r="BN478" s="89"/>
      <c r="BO478" s="89"/>
      <c r="BP478" s="89"/>
      <c r="BQ478" s="89"/>
      <c r="BR478" s="89"/>
      <c r="BS478" s="89"/>
    </row>
    <row r="479" spans="1:71" ht="27" customHeight="1" x14ac:dyDescent="0.2">
      <c r="A479" s="93"/>
      <c r="B479" s="89"/>
      <c r="C479" s="89"/>
      <c r="D479" s="89"/>
      <c r="E479" s="89"/>
      <c r="F479" s="89"/>
      <c r="G479" s="89"/>
      <c r="H479" s="94"/>
      <c r="I479" s="94"/>
      <c r="J479" s="94"/>
      <c r="K479" s="94"/>
      <c r="L479" s="94"/>
      <c r="M479" s="94"/>
      <c r="N479" s="94"/>
      <c r="O479" s="94"/>
      <c r="P479" s="94"/>
      <c r="Q479" s="94"/>
      <c r="R479" s="95"/>
      <c r="S479" s="94"/>
      <c r="T479" s="96"/>
      <c r="U479" s="94"/>
      <c r="V479" s="97"/>
      <c r="W479" s="94"/>
      <c r="X479" s="98"/>
      <c r="Y479" s="98"/>
      <c r="Z479" s="98"/>
      <c r="AA479" s="98"/>
      <c r="AB479" s="98"/>
      <c r="AC479" s="97"/>
      <c r="AD479" s="99"/>
      <c r="AE479" s="95"/>
      <c r="AF479" s="94"/>
      <c r="AG479" s="89"/>
      <c r="AH479" s="89"/>
      <c r="AI479" s="89"/>
      <c r="AJ479" s="89"/>
      <c r="AK479" s="89"/>
      <c r="AL479" s="89"/>
      <c r="AM479" s="89"/>
      <c r="AN479" s="89"/>
      <c r="AO479" s="89"/>
      <c r="AP479" s="89"/>
      <c r="AQ479" s="89"/>
      <c r="AR479" s="89"/>
      <c r="AS479" s="89"/>
      <c r="AT479" s="89"/>
      <c r="AU479" s="89"/>
      <c r="AV479" s="89"/>
      <c r="AW479" s="100"/>
      <c r="AX479" s="100"/>
      <c r="AY479" s="89"/>
      <c r="AZ479" s="89"/>
      <c r="BA479" s="89"/>
      <c r="BB479" s="89"/>
      <c r="BC479" s="89"/>
      <c r="BD479" s="89"/>
      <c r="BE479" s="89"/>
      <c r="BF479" s="89"/>
      <c r="BG479" s="89"/>
      <c r="BH479" s="89"/>
      <c r="BI479" s="89"/>
      <c r="BJ479" s="89"/>
      <c r="BK479" s="89"/>
      <c r="BL479" s="89"/>
      <c r="BM479" s="89"/>
      <c r="BN479" s="89"/>
      <c r="BO479" s="89"/>
      <c r="BP479" s="89"/>
      <c r="BQ479" s="89"/>
      <c r="BR479" s="89"/>
      <c r="BS479" s="89"/>
    </row>
    <row r="480" spans="1:71" ht="27" customHeight="1" x14ac:dyDescent="0.2">
      <c r="A480" s="93"/>
      <c r="B480" s="89"/>
      <c r="C480" s="89"/>
      <c r="D480" s="89"/>
      <c r="E480" s="89"/>
      <c r="F480" s="89"/>
      <c r="G480" s="89"/>
      <c r="H480" s="94"/>
      <c r="I480" s="94"/>
      <c r="J480" s="94"/>
      <c r="K480" s="94"/>
      <c r="L480" s="94"/>
      <c r="M480" s="94"/>
      <c r="N480" s="94"/>
      <c r="O480" s="94"/>
      <c r="P480" s="94"/>
      <c r="Q480" s="94"/>
      <c r="R480" s="95"/>
      <c r="S480" s="94"/>
      <c r="T480" s="96"/>
      <c r="U480" s="94"/>
      <c r="V480" s="97"/>
      <c r="W480" s="94"/>
      <c r="X480" s="98"/>
      <c r="Y480" s="98"/>
      <c r="Z480" s="98"/>
      <c r="AA480" s="98"/>
      <c r="AB480" s="98"/>
      <c r="AC480" s="97"/>
      <c r="AD480" s="99"/>
      <c r="AE480" s="95"/>
      <c r="AF480" s="94"/>
      <c r="AG480" s="89"/>
      <c r="AH480" s="89"/>
      <c r="AI480" s="89"/>
      <c r="AJ480" s="89"/>
      <c r="AK480" s="89"/>
      <c r="AL480" s="89"/>
      <c r="AM480" s="89"/>
      <c r="AN480" s="89"/>
      <c r="AO480" s="89"/>
      <c r="AP480" s="89"/>
      <c r="AQ480" s="89"/>
      <c r="AR480" s="89"/>
      <c r="AS480" s="89"/>
      <c r="AT480" s="89"/>
      <c r="AU480" s="89"/>
      <c r="AV480" s="89"/>
      <c r="AW480" s="100"/>
      <c r="AX480" s="100"/>
      <c r="AY480" s="89"/>
      <c r="AZ480" s="89"/>
      <c r="BA480" s="89"/>
      <c r="BB480" s="89"/>
      <c r="BC480" s="89"/>
      <c r="BD480" s="89"/>
      <c r="BE480" s="89"/>
      <c r="BF480" s="89"/>
      <c r="BG480" s="89"/>
      <c r="BH480" s="89"/>
      <c r="BI480" s="89"/>
      <c r="BJ480" s="89"/>
      <c r="BK480" s="89"/>
      <c r="BL480" s="89"/>
      <c r="BM480" s="89"/>
      <c r="BN480" s="89"/>
      <c r="BO480" s="89"/>
      <c r="BP480" s="89"/>
      <c r="BQ480" s="89"/>
      <c r="BR480" s="89"/>
      <c r="BS480" s="89"/>
    </row>
    <row r="481" spans="1:71" ht="27" customHeight="1" x14ac:dyDescent="0.2">
      <c r="A481" s="93"/>
      <c r="B481" s="89"/>
      <c r="C481" s="89"/>
      <c r="D481" s="89"/>
      <c r="E481" s="89"/>
      <c r="F481" s="89"/>
      <c r="G481" s="89"/>
      <c r="H481" s="94"/>
      <c r="I481" s="94"/>
      <c r="J481" s="94"/>
      <c r="K481" s="94"/>
      <c r="L481" s="94"/>
      <c r="M481" s="94"/>
      <c r="N481" s="94"/>
      <c r="O481" s="94"/>
      <c r="P481" s="94"/>
      <c r="Q481" s="94"/>
      <c r="R481" s="95"/>
      <c r="S481" s="94"/>
      <c r="T481" s="96"/>
      <c r="U481" s="94"/>
      <c r="V481" s="97"/>
      <c r="W481" s="94"/>
      <c r="X481" s="98"/>
      <c r="Y481" s="98"/>
      <c r="Z481" s="98"/>
      <c r="AA481" s="98"/>
      <c r="AB481" s="98"/>
      <c r="AC481" s="97"/>
      <c r="AD481" s="99"/>
      <c r="AE481" s="95"/>
      <c r="AF481" s="94"/>
      <c r="AG481" s="89"/>
      <c r="AH481" s="89"/>
      <c r="AI481" s="89"/>
      <c r="AJ481" s="89"/>
      <c r="AK481" s="89"/>
      <c r="AL481" s="89"/>
      <c r="AM481" s="89"/>
      <c r="AN481" s="89"/>
      <c r="AO481" s="89"/>
      <c r="AP481" s="89"/>
      <c r="AQ481" s="89"/>
      <c r="AR481" s="89"/>
      <c r="AS481" s="89"/>
      <c r="AT481" s="89"/>
      <c r="AU481" s="89"/>
      <c r="AV481" s="89"/>
      <c r="AW481" s="100"/>
      <c r="AX481" s="100"/>
      <c r="AY481" s="89"/>
      <c r="AZ481" s="89"/>
      <c r="BA481" s="89"/>
      <c r="BB481" s="89"/>
      <c r="BC481" s="89"/>
      <c r="BD481" s="89"/>
      <c r="BE481" s="89"/>
      <c r="BF481" s="89"/>
      <c r="BG481" s="89"/>
      <c r="BH481" s="89"/>
      <c r="BI481" s="89"/>
      <c r="BJ481" s="89"/>
      <c r="BK481" s="89"/>
      <c r="BL481" s="89"/>
      <c r="BM481" s="89"/>
      <c r="BN481" s="89"/>
      <c r="BO481" s="89"/>
      <c r="BP481" s="89"/>
      <c r="BQ481" s="89"/>
      <c r="BR481" s="89"/>
      <c r="BS481" s="89"/>
    </row>
    <row r="482" spans="1:71" ht="27" customHeight="1" x14ac:dyDescent="0.2">
      <c r="A482" s="93"/>
      <c r="B482" s="89"/>
      <c r="C482" s="89"/>
      <c r="D482" s="89"/>
      <c r="E482" s="89"/>
      <c r="F482" s="89"/>
      <c r="G482" s="89"/>
      <c r="H482" s="94"/>
      <c r="I482" s="94"/>
      <c r="J482" s="94"/>
      <c r="K482" s="94"/>
      <c r="L482" s="94"/>
      <c r="M482" s="94"/>
      <c r="N482" s="94"/>
      <c r="O482" s="94"/>
      <c r="P482" s="94"/>
      <c r="Q482" s="94"/>
      <c r="R482" s="95"/>
      <c r="S482" s="94"/>
      <c r="T482" s="96"/>
      <c r="U482" s="94"/>
      <c r="V482" s="97"/>
      <c r="W482" s="94"/>
      <c r="X482" s="98"/>
      <c r="Y482" s="98"/>
      <c r="Z482" s="98"/>
      <c r="AA482" s="98"/>
      <c r="AB482" s="98"/>
      <c r="AC482" s="97"/>
      <c r="AD482" s="99"/>
      <c r="AE482" s="95"/>
      <c r="AF482" s="94"/>
      <c r="AG482" s="89"/>
      <c r="AH482" s="89"/>
      <c r="AI482" s="89"/>
      <c r="AJ482" s="89"/>
      <c r="AK482" s="89"/>
      <c r="AL482" s="89"/>
      <c r="AM482" s="89"/>
      <c r="AN482" s="89"/>
      <c r="AO482" s="89"/>
      <c r="AP482" s="89"/>
      <c r="AQ482" s="89"/>
      <c r="AR482" s="89"/>
      <c r="AS482" s="89"/>
      <c r="AT482" s="89"/>
      <c r="AU482" s="89"/>
      <c r="AV482" s="89"/>
      <c r="AW482" s="100"/>
      <c r="AX482" s="100"/>
      <c r="AY482" s="89"/>
      <c r="AZ482" s="89"/>
      <c r="BA482" s="89"/>
      <c r="BB482" s="89"/>
      <c r="BC482" s="89"/>
      <c r="BD482" s="89"/>
      <c r="BE482" s="89"/>
      <c r="BF482" s="89"/>
      <c r="BG482" s="89"/>
      <c r="BH482" s="89"/>
      <c r="BI482" s="89"/>
      <c r="BJ482" s="89"/>
      <c r="BK482" s="89"/>
      <c r="BL482" s="89"/>
      <c r="BM482" s="89"/>
      <c r="BN482" s="89"/>
      <c r="BO482" s="89"/>
      <c r="BP482" s="89"/>
      <c r="BQ482" s="89"/>
      <c r="BR482" s="89"/>
      <c r="BS482" s="89"/>
    </row>
    <row r="483" spans="1:71" ht="27" customHeight="1" x14ac:dyDescent="0.2">
      <c r="A483" s="93"/>
      <c r="B483" s="89"/>
      <c r="C483" s="89"/>
      <c r="D483" s="89"/>
      <c r="E483" s="89"/>
      <c r="F483" s="89"/>
      <c r="G483" s="89"/>
      <c r="H483" s="94"/>
      <c r="I483" s="94"/>
      <c r="J483" s="94"/>
      <c r="K483" s="94"/>
      <c r="L483" s="94"/>
      <c r="M483" s="94"/>
      <c r="N483" s="94"/>
      <c r="O483" s="94"/>
      <c r="P483" s="94"/>
      <c r="Q483" s="94"/>
      <c r="R483" s="95"/>
      <c r="S483" s="94"/>
      <c r="T483" s="96"/>
      <c r="U483" s="94"/>
      <c r="V483" s="97"/>
      <c r="W483" s="94"/>
      <c r="X483" s="98"/>
      <c r="Y483" s="98"/>
      <c r="Z483" s="98"/>
      <c r="AA483" s="98"/>
      <c r="AB483" s="98"/>
      <c r="AC483" s="97"/>
      <c r="AD483" s="99"/>
      <c r="AE483" s="95"/>
      <c r="AF483" s="94"/>
      <c r="AG483" s="89"/>
      <c r="AH483" s="89"/>
      <c r="AI483" s="89"/>
      <c r="AJ483" s="89"/>
      <c r="AK483" s="89"/>
      <c r="AL483" s="89"/>
      <c r="AM483" s="89"/>
      <c r="AN483" s="89"/>
      <c r="AO483" s="89"/>
      <c r="AP483" s="89"/>
      <c r="AQ483" s="89"/>
      <c r="AR483" s="89"/>
      <c r="AS483" s="89"/>
      <c r="AT483" s="89"/>
      <c r="AU483" s="89"/>
      <c r="AV483" s="89"/>
      <c r="AW483" s="100"/>
      <c r="AX483" s="100"/>
      <c r="AY483" s="89"/>
      <c r="AZ483" s="89"/>
      <c r="BA483" s="89"/>
      <c r="BB483" s="89"/>
      <c r="BC483" s="89"/>
      <c r="BD483" s="89"/>
      <c r="BE483" s="89"/>
      <c r="BF483" s="89"/>
      <c r="BG483" s="89"/>
      <c r="BH483" s="89"/>
      <c r="BI483" s="89"/>
      <c r="BJ483" s="89"/>
      <c r="BK483" s="89"/>
      <c r="BL483" s="89"/>
      <c r="BM483" s="89"/>
      <c r="BN483" s="89"/>
      <c r="BO483" s="89"/>
      <c r="BP483" s="89"/>
      <c r="BQ483" s="89"/>
      <c r="BR483" s="89"/>
      <c r="BS483" s="89"/>
    </row>
    <row r="484" spans="1:71" ht="27" customHeight="1" x14ac:dyDescent="0.2">
      <c r="A484" s="93"/>
      <c r="B484" s="89"/>
      <c r="C484" s="89"/>
      <c r="D484" s="89"/>
      <c r="E484" s="89"/>
      <c r="F484" s="89"/>
      <c r="G484" s="89"/>
      <c r="H484" s="94"/>
      <c r="I484" s="94"/>
      <c r="J484" s="94"/>
      <c r="K484" s="94"/>
      <c r="L484" s="94"/>
      <c r="M484" s="94"/>
      <c r="N484" s="94"/>
      <c r="O484" s="94"/>
      <c r="P484" s="94"/>
      <c r="Q484" s="94"/>
      <c r="R484" s="95"/>
      <c r="S484" s="94"/>
      <c r="T484" s="96"/>
      <c r="U484" s="94"/>
      <c r="V484" s="97"/>
      <c r="W484" s="94"/>
      <c r="X484" s="98"/>
      <c r="Y484" s="98"/>
      <c r="Z484" s="98"/>
      <c r="AA484" s="98"/>
      <c r="AB484" s="98"/>
      <c r="AC484" s="97"/>
      <c r="AD484" s="99"/>
      <c r="AE484" s="95"/>
      <c r="AF484" s="94"/>
      <c r="AG484" s="89"/>
      <c r="AH484" s="89"/>
      <c r="AI484" s="89"/>
      <c r="AJ484" s="89"/>
      <c r="AK484" s="89"/>
      <c r="AL484" s="89"/>
      <c r="AM484" s="89"/>
      <c r="AN484" s="89"/>
      <c r="AO484" s="89"/>
      <c r="AP484" s="89"/>
      <c r="AQ484" s="89"/>
      <c r="AR484" s="89"/>
      <c r="AS484" s="89"/>
      <c r="AT484" s="89"/>
      <c r="AU484" s="89"/>
      <c r="AV484" s="89"/>
      <c r="AW484" s="100"/>
      <c r="AX484" s="100"/>
      <c r="AY484" s="89"/>
      <c r="AZ484" s="89"/>
      <c r="BA484" s="89"/>
      <c r="BB484" s="89"/>
      <c r="BC484" s="89"/>
      <c r="BD484" s="89"/>
      <c r="BE484" s="89"/>
      <c r="BF484" s="89"/>
      <c r="BG484" s="89"/>
      <c r="BH484" s="89"/>
      <c r="BI484" s="89"/>
      <c r="BJ484" s="89"/>
      <c r="BK484" s="89"/>
      <c r="BL484" s="89"/>
      <c r="BM484" s="89"/>
      <c r="BN484" s="89"/>
      <c r="BO484" s="89"/>
      <c r="BP484" s="89"/>
      <c r="BQ484" s="89"/>
      <c r="BR484" s="89"/>
      <c r="BS484" s="89"/>
    </row>
    <row r="485" spans="1:71" ht="27" customHeight="1" x14ac:dyDescent="0.2">
      <c r="A485" s="93"/>
      <c r="B485" s="89"/>
      <c r="C485" s="89"/>
      <c r="D485" s="89"/>
      <c r="E485" s="89"/>
      <c r="F485" s="89"/>
      <c r="G485" s="89"/>
      <c r="H485" s="94"/>
      <c r="I485" s="94"/>
      <c r="J485" s="94"/>
      <c r="K485" s="94"/>
      <c r="L485" s="94"/>
      <c r="M485" s="94"/>
      <c r="N485" s="94"/>
      <c r="O485" s="94"/>
      <c r="P485" s="94"/>
      <c r="Q485" s="94"/>
      <c r="R485" s="95"/>
      <c r="S485" s="94"/>
      <c r="T485" s="96"/>
      <c r="U485" s="94"/>
      <c r="V485" s="97"/>
      <c r="W485" s="94"/>
      <c r="X485" s="98"/>
      <c r="Y485" s="98"/>
      <c r="Z485" s="98"/>
      <c r="AA485" s="98"/>
      <c r="AB485" s="98"/>
      <c r="AC485" s="97"/>
      <c r="AD485" s="99"/>
      <c r="AE485" s="95"/>
      <c r="AF485" s="94"/>
      <c r="AG485" s="89"/>
      <c r="AH485" s="89"/>
      <c r="AI485" s="89"/>
      <c r="AJ485" s="89"/>
      <c r="AK485" s="89"/>
      <c r="AL485" s="89"/>
      <c r="AM485" s="89"/>
      <c r="AN485" s="89"/>
      <c r="AO485" s="89"/>
      <c r="AP485" s="89"/>
      <c r="AQ485" s="89"/>
      <c r="AR485" s="89"/>
      <c r="AS485" s="89"/>
      <c r="AT485" s="89"/>
      <c r="AU485" s="89"/>
      <c r="AV485" s="89"/>
      <c r="AW485" s="100"/>
      <c r="AX485" s="100"/>
      <c r="AY485" s="89"/>
      <c r="AZ485" s="89"/>
      <c r="BA485" s="89"/>
      <c r="BB485" s="89"/>
      <c r="BC485" s="89"/>
      <c r="BD485" s="89"/>
      <c r="BE485" s="89"/>
      <c r="BF485" s="89"/>
      <c r="BG485" s="89"/>
      <c r="BH485" s="89"/>
      <c r="BI485" s="89"/>
      <c r="BJ485" s="89"/>
      <c r="BK485" s="89"/>
      <c r="BL485" s="89"/>
      <c r="BM485" s="89"/>
      <c r="BN485" s="89"/>
      <c r="BO485" s="89"/>
      <c r="BP485" s="89"/>
      <c r="BQ485" s="89"/>
      <c r="BR485" s="89"/>
      <c r="BS485" s="89"/>
    </row>
    <row r="486" spans="1:71" ht="27" customHeight="1" x14ac:dyDescent="0.2">
      <c r="A486" s="93"/>
      <c r="B486" s="89"/>
      <c r="C486" s="89"/>
      <c r="D486" s="89"/>
      <c r="E486" s="89"/>
      <c r="F486" s="89"/>
      <c r="G486" s="89"/>
      <c r="H486" s="94"/>
      <c r="I486" s="94"/>
      <c r="J486" s="94"/>
      <c r="K486" s="94"/>
      <c r="L486" s="94"/>
      <c r="M486" s="94"/>
      <c r="N486" s="94"/>
      <c r="O486" s="94"/>
      <c r="P486" s="94"/>
      <c r="Q486" s="94"/>
      <c r="R486" s="95"/>
      <c r="S486" s="94"/>
      <c r="T486" s="96"/>
      <c r="U486" s="94"/>
      <c r="V486" s="97"/>
      <c r="W486" s="94"/>
      <c r="X486" s="98"/>
      <c r="Y486" s="98"/>
      <c r="Z486" s="98"/>
      <c r="AA486" s="98"/>
      <c r="AB486" s="98"/>
      <c r="AC486" s="97"/>
      <c r="AD486" s="99"/>
      <c r="AE486" s="95"/>
      <c r="AF486" s="94"/>
      <c r="AG486" s="89"/>
      <c r="AH486" s="89"/>
      <c r="AI486" s="89"/>
      <c r="AJ486" s="89"/>
      <c r="AK486" s="89"/>
      <c r="AL486" s="89"/>
      <c r="AM486" s="89"/>
      <c r="AN486" s="89"/>
      <c r="AO486" s="89"/>
      <c r="AP486" s="89"/>
      <c r="AQ486" s="89"/>
      <c r="AR486" s="89"/>
      <c r="AS486" s="89"/>
      <c r="AT486" s="89"/>
      <c r="AU486" s="89"/>
      <c r="AV486" s="89"/>
      <c r="AW486" s="100"/>
      <c r="AX486" s="100"/>
      <c r="AY486" s="89"/>
      <c r="AZ486" s="89"/>
      <c r="BA486" s="89"/>
      <c r="BB486" s="89"/>
      <c r="BC486" s="89"/>
      <c r="BD486" s="89"/>
      <c r="BE486" s="89"/>
      <c r="BF486" s="89"/>
      <c r="BG486" s="89"/>
      <c r="BH486" s="89"/>
      <c r="BI486" s="89"/>
      <c r="BJ486" s="89"/>
      <c r="BK486" s="89"/>
      <c r="BL486" s="89"/>
      <c r="BM486" s="89"/>
      <c r="BN486" s="89"/>
      <c r="BO486" s="89"/>
      <c r="BP486" s="89"/>
      <c r="BQ486" s="89"/>
      <c r="BR486" s="89"/>
      <c r="BS486" s="89"/>
    </row>
    <row r="487" spans="1:71" ht="27" customHeight="1" x14ac:dyDescent="0.2">
      <c r="A487" s="93"/>
      <c r="B487" s="89"/>
      <c r="C487" s="89"/>
      <c r="D487" s="89"/>
      <c r="E487" s="89"/>
      <c r="F487" s="89"/>
      <c r="G487" s="89"/>
      <c r="H487" s="94"/>
      <c r="I487" s="94"/>
      <c r="J487" s="94"/>
      <c r="K487" s="94"/>
      <c r="L487" s="94"/>
      <c r="M487" s="94"/>
      <c r="N487" s="94"/>
      <c r="O487" s="94"/>
      <c r="P487" s="94"/>
      <c r="Q487" s="94"/>
      <c r="R487" s="95"/>
      <c r="S487" s="94"/>
      <c r="T487" s="96"/>
      <c r="U487" s="94"/>
      <c r="V487" s="97"/>
      <c r="W487" s="94"/>
      <c r="X487" s="98"/>
      <c r="Y487" s="98"/>
      <c r="Z487" s="98"/>
      <c r="AA487" s="98"/>
      <c r="AB487" s="98"/>
      <c r="AC487" s="97"/>
      <c r="AD487" s="99"/>
      <c r="AE487" s="95"/>
      <c r="AF487" s="94"/>
      <c r="AG487" s="89"/>
      <c r="AH487" s="89"/>
      <c r="AI487" s="89"/>
      <c r="AJ487" s="89"/>
      <c r="AK487" s="89"/>
      <c r="AL487" s="89"/>
      <c r="AM487" s="89"/>
      <c r="AN487" s="89"/>
      <c r="AO487" s="89"/>
      <c r="AP487" s="89"/>
      <c r="AQ487" s="89"/>
      <c r="AR487" s="89"/>
      <c r="AS487" s="89"/>
      <c r="AT487" s="89"/>
      <c r="AU487" s="89"/>
      <c r="AV487" s="89"/>
      <c r="AW487" s="100"/>
      <c r="AX487" s="100"/>
      <c r="AY487" s="89"/>
      <c r="AZ487" s="89"/>
      <c r="BA487" s="89"/>
      <c r="BB487" s="89"/>
      <c r="BC487" s="89"/>
      <c r="BD487" s="89"/>
      <c r="BE487" s="89"/>
      <c r="BF487" s="89"/>
      <c r="BG487" s="89"/>
      <c r="BH487" s="89"/>
      <c r="BI487" s="89"/>
      <c r="BJ487" s="89"/>
      <c r="BK487" s="89"/>
      <c r="BL487" s="89"/>
      <c r="BM487" s="89"/>
      <c r="BN487" s="89"/>
      <c r="BO487" s="89"/>
      <c r="BP487" s="89"/>
      <c r="BQ487" s="89"/>
      <c r="BR487" s="89"/>
      <c r="BS487" s="89"/>
    </row>
    <row r="488" spans="1:71" ht="27" customHeight="1" x14ac:dyDescent="0.2">
      <c r="A488" s="93"/>
      <c r="B488" s="89"/>
      <c r="C488" s="89"/>
      <c r="D488" s="89"/>
      <c r="E488" s="89"/>
      <c r="F488" s="89"/>
      <c r="G488" s="89"/>
      <c r="H488" s="94"/>
      <c r="I488" s="94"/>
      <c r="J488" s="94"/>
      <c r="K488" s="94"/>
      <c r="L488" s="94"/>
      <c r="M488" s="94"/>
      <c r="N488" s="94"/>
      <c r="O488" s="94"/>
      <c r="P488" s="94"/>
      <c r="Q488" s="94"/>
      <c r="R488" s="95"/>
      <c r="S488" s="94"/>
      <c r="T488" s="96"/>
      <c r="U488" s="94"/>
      <c r="V488" s="97"/>
      <c r="W488" s="94"/>
      <c r="X488" s="98"/>
      <c r="Y488" s="98"/>
      <c r="Z488" s="98"/>
      <c r="AA488" s="98"/>
      <c r="AB488" s="98"/>
      <c r="AC488" s="97"/>
      <c r="AD488" s="99"/>
      <c r="AE488" s="95"/>
      <c r="AF488" s="94"/>
      <c r="AG488" s="89"/>
      <c r="AH488" s="89"/>
      <c r="AI488" s="89"/>
      <c r="AJ488" s="89"/>
      <c r="AK488" s="89"/>
      <c r="AL488" s="89"/>
      <c r="AM488" s="89"/>
      <c r="AN488" s="89"/>
      <c r="AO488" s="89"/>
      <c r="AP488" s="89"/>
      <c r="AQ488" s="89"/>
      <c r="AR488" s="89"/>
      <c r="AS488" s="89"/>
      <c r="AT488" s="89"/>
      <c r="AU488" s="89"/>
      <c r="AV488" s="89"/>
      <c r="AW488" s="100"/>
      <c r="AX488" s="100"/>
      <c r="AY488" s="89"/>
      <c r="AZ488" s="89"/>
      <c r="BA488" s="89"/>
      <c r="BB488" s="89"/>
      <c r="BC488" s="89"/>
      <c r="BD488" s="89"/>
      <c r="BE488" s="89"/>
      <c r="BF488" s="89"/>
      <c r="BG488" s="89"/>
      <c r="BH488" s="89"/>
      <c r="BI488" s="89"/>
      <c r="BJ488" s="89"/>
      <c r="BK488" s="89"/>
      <c r="BL488" s="89"/>
      <c r="BM488" s="89"/>
      <c r="BN488" s="89"/>
      <c r="BO488" s="89"/>
      <c r="BP488" s="89"/>
      <c r="BQ488" s="89"/>
      <c r="BR488" s="89"/>
      <c r="BS488" s="89"/>
    </row>
    <row r="489" spans="1:71" ht="27" customHeight="1" x14ac:dyDescent="0.2">
      <c r="A489" s="93"/>
      <c r="B489" s="89"/>
      <c r="C489" s="89"/>
      <c r="D489" s="89"/>
      <c r="E489" s="89"/>
      <c r="F489" s="89"/>
      <c r="G489" s="89"/>
      <c r="H489" s="94"/>
      <c r="I489" s="94"/>
      <c r="J489" s="94"/>
      <c r="K489" s="94"/>
      <c r="L489" s="94"/>
      <c r="M489" s="94"/>
      <c r="N489" s="94"/>
      <c r="O489" s="94"/>
      <c r="P489" s="94"/>
      <c r="Q489" s="94"/>
      <c r="R489" s="95"/>
      <c r="S489" s="94"/>
      <c r="T489" s="96"/>
      <c r="U489" s="94"/>
      <c r="V489" s="97"/>
      <c r="W489" s="94"/>
      <c r="X489" s="98"/>
      <c r="Y489" s="98"/>
      <c r="Z489" s="98"/>
      <c r="AA489" s="98"/>
      <c r="AB489" s="98"/>
      <c r="AC489" s="97"/>
      <c r="AD489" s="99"/>
      <c r="AE489" s="95"/>
      <c r="AF489" s="94"/>
      <c r="AG489" s="89"/>
      <c r="AH489" s="89"/>
      <c r="AI489" s="89"/>
      <c r="AJ489" s="89"/>
      <c r="AK489" s="89"/>
      <c r="AL489" s="89"/>
      <c r="AM489" s="89"/>
      <c r="AN489" s="89"/>
      <c r="AO489" s="89"/>
      <c r="AP489" s="89"/>
      <c r="AQ489" s="89"/>
      <c r="AR489" s="89"/>
      <c r="AS489" s="89"/>
      <c r="AT489" s="89"/>
      <c r="AU489" s="89"/>
      <c r="AV489" s="89"/>
      <c r="AW489" s="100"/>
      <c r="AX489" s="100"/>
      <c r="AY489" s="89"/>
      <c r="AZ489" s="89"/>
      <c r="BA489" s="89"/>
      <c r="BB489" s="89"/>
      <c r="BC489" s="89"/>
      <c r="BD489" s="89"/>
      <c r="BE489" s="89"/>
      <c r="BF489" s="89"/>
      <c r="BG489" s="89"/>
      <c r="BH489" s="89"/>
      <c r="BI489" s="89"/>
      <c r="BJ489" s="89"/>
      <c r="BK489" s="89"/>
      <c r="BL489" s="89"/>
      <c r="BM489" s="89"/>
      <c r="BN489" s="89"/>
      <c r="BO489" s="89"/>
      <c r="BP489" s="89"/>
      <c r="BQ489" s="89"/>
      <c r="BR489" s="89"/>
      <c r="BS489" s="89"/>
    </row>
    <row r="490" spans="1:71" ht="27" customHeight="1" x14ac:dyDescent="0.2">
      <c r="A490" s="93"/>
      <c r="B490" s="89"/>
      <c r="C490" s="89"/>
      <c r="D490" s="89"/>
      <c r="E490" s="89"/>
      <c r="F490" s="89"/>
      <c r="G490" s="89"/>
      <c r="H490" s="94"/>
      <c r="I490" s="94"/>
      <c r="J490" s="94"/>
      <c r="K490" s="94"/>
      <c r="L490" s="94"/>
      <c r="M490" s="94"/>
      <c r="N490" s="94"/>
      <c r="O490" s="94"/>
      <c r="P490" s="94"/>
      <c r="Q490" s="94"/>
      <c r="R490" s="95"/>
      <c r="S490" s="94"/>
      <c r="T490" s="96"/>
      <c r="U490" s="94"/>
      <c r="V490" s="97"/>
      <c r="W490" s="94"/>
      <c r="X490" s="98"/>
      <c r="Y490" s="98"/>
      <c r="Z490" s="98"/>
      <c r="AA490" s="98"/>
      <c r="AB490" s="98"/>
      <c r="AC490" s="97"/>
      <c r="AD490" s="99"/>
      <c r="AE490" s="95"/>
      <c r="AF490" s="94"/>
      <c r="AG490" s="89"/>
      <c r="AH490" s="89"/>
      <c r="AI490" s="89"/>
      <c r="AJ490" s="89"/>
      <c r="AK490" s="89"/>
      <c r="AL490" s="89"/>
      <c r="AM490" s="89"/>
      <c r="AN490" s="89"/>
      <c r="AO490" s="89"/>
      <c r="AP490" s="89"/>
      <c r="AQ490" s="89"/>
      <c r="AR490" s="89"/>
      <c r="AS490" s="89"/>
      <c r="AT490" s="89"/>
      <c r="AU490" s="89"/>
      <c r="AV490" s="89"/>
      <c r="AW490" s="100"/>
      <c r="AX490" s="100"/>
      <c r="AY490" s="89"/>
      <c r="AZ490" s="89"/>
      <c r="BA490" s="89"/>
      <c r="BB490" s="89"/>
      <c r="BC490" s="89"/>
      <c r="BD490" s="89"/>
      <c r="BE490" s="89"/>
      <c r="BF490" s="89"/>
      <c r="BG490" s="89"/>
      <c r="BH490" s="89"/>
      <c r="BI490" s="89"/>
      <c r="BJ490" s="89"/>
      <c r="BK490" s="89"/>
      <c r="BL490" s="89"/>
      <c r="BM490" s="89"/>
      <c r="BN490" s="89"/>
      <c r="BO490" s="89"/>
      <c r="BP490" s="89"/>
      <c r="BQ490" s="89"/>
      <c r="BR490" s="89"/>
      <c r="BS490" s="89"/>
    </row>
    <row r="491" spans="1:71" ht="27" customHeight="1" x14ac:dyDescent="0.2">
      <c r="A491" s="93"/>
      <c r="B491" s="89"/>
      <c r="C491" s="89"/>
      <c r="D491" s="89"/>
      <c r="E491" s="89"/>
      <c r="F491" s="89"/>
      <c r="G491" s="89"/>
      <c r="H491" s="94"/>
      <c r="I491" s="94"/>
      <c r="J491" s="94"/>
      <c r="K491" s="94"/>
      <c r="L491" s="94"/>
      <c r="M491" s="94"/>
      <c r="N491" s="94"/>
      <c r="O491" s="94"/>
      <c r="P491" s="94"/>
      <c r="Q491" s="94"/>
      <c r="R491" s="95"/>
      <c r="S491" s="94"/>
      <c r="T491" s="96"/>
      <c r="U491" s="94"/>
      <c r="V491" s="97"/>
      <c r="W491" s="94"/>
      <c r="X491" s="98"/>
      <c r="Y491" s="98"/>
      <c r="Z491" s="98"/>
      <c r="AA491" s="98"/>
      <c r="AB491" s="98"/>
      <c r="AC491" s="97"/>
      <c r="AD491" s="99"/>
      <c r="AE491" s="95"/>
      <c r="AF491" s="94"/>
      <c r="AG491" s="89"/>
      <c r="AH491" s="89"/>
      <c r="AI491" s="89"/>
      <c r="AJ491" s="89"/>
      <c r="AK491" s="89"/>
      <c r="AL491" s="89"/>
      <c r="AM491" s="89"/>
      <c r="AN491" s="89"/>
      <c r="AO491" s="89"/>
      <c r="AP491" s="89"/>
      <c r="AQ491" s="89"/>
      <c r="AR491" s="89"/>
      <c r="AS491" s="89"/>
      <c r="AT491" s="89"/>
      <c r="AU491" s="89"/>
      <c r="AV491" s="89"/>
      <c r="AW491" s="100"/>
      <c r="AX491" s="100"/>
      <c r="AY491" s="89"/>
      <c r="AZ491" s="89"/>
      <c r="BA491" s="89"/>
      <c r="BB491" s="89"/>
      <c r="BC491" s="89"/>
      <c r="BD491" s="89"/>
      <c r="BE491" s="89"/>
      <c r="BF491" s="89"/>
      <c r="BG491" s="89"/>
      <c r="BH491" s="89"/>
      <c r="BI491" s="89"/>
      <c r="BJ491" s="89"/>
      <c r="BK491" s="89"/>
      <c r="BL491" s="89"/>
      <c r="BM491" s="89"/>
      <c r="BN491" s="89"/>
      <c r="BO491" s="89"/>
      <c r="BP491" s="89"/>
      <c r="BQ491" s="89"/>
      <c r="BR491" s="89"/>
      <c r="BS491" s="89"/>
    </row>
    <row r="492" spans="1:71" ht="27" customHeight="1" x14ac:dyDescent="0.2">
      <c r="A492" s="93"/>
      <c r="B492" s="89"/>
      <c r="C492" s="89"/>
      <c r="D492" s="89"/>
      <c r="E492" s="89"/>
      <c r="F492" s="89"/>
      <c r="G492" s="89"/>
      <c r="H492" s="94"/>
      <c r="I492" s="94"/>
      <c r="J492" s="94"/>
      <c r="K492" s="94"/>
      <c r="L492" s="94"/>
      <c r="M492" s="94"/>
      <c r="N492" s="94"/>
      <c r="O492" s="94"/>
      <c r="P492" s="94"/>
      <c r="Q492" s="94"/>
      <c r="R492" s="95"/>
      <c r="S492" s="94"/>
      <c r="T492" s="96"/>
      <c r="U492" s="94"/>
      <c r="V492" s="97"/>
      <c r="W492" s="94"/>
      <c r="X492" s="98"/>
      <c r="Y492" s="98"/>
      <c r="Z492" s="98"/>
      <c r="AA492" s="98"/>
      <c r="AB492" s="98"/>
      <c r="AC492" s="97"/>
      <c r="AD492" s="99"/>
      <c r="AE492" s="95"/>
      <c r="AF492" s="94"/>
      <c r="AG492" s="89"/>
      <c r="AH492" s="89"/>
      <c r="AI492" s="89"/>
      <c r="AJ492" s="89"/>
      <c r="AK492" s="89"/>
      <c r="AL492" s="89"/>
      <c r="AM492" s="89"/>
      <c r="AN492" s="89"/>
      <c r="AO492" s="89"/>
      <c r="AP492" s="89"/>
      <c r="AQ492" s="89"/>
      <c r="AR492" s="89"/>
      <c r="AS492" s="89"/>
      <c r="AT492" s="89"/>
      <c r="AU492" s="89"/>
      <c r="AV492" s="89"/>
      <c r="AW492" s="100"/>
      <c r="AX492" s="100"/>
      <c r="AY492" s="89"/>
      <c r="AZ492" s="89"/>
      <c r="BA492" s="89"/>
      <c r="BB492" s="89"/>
      <c r="BC492" s="89"/>
      <c r="BD492" s="89"/>
      <c r="BE492" s="89"/>
      <c r="BF492" s="89"/>
      <c r="BG492" s="89"/>
      <c r="BH492" s="89"/>
      <c r="BI492" s="89"/>
      <c r="BJ492" s="89"/>
      <c r="BK492" s="89"/>
      <c r="BL492" s="89"/>
      <c r="BM492" s="89"/>
      <c r="BN492" s="89"/>
      <c r="BO492" s="89"/>
      <c r="BP492" s="89"/>
      <c r="BQ492" s="89"/>
      <c r="BR492" s="89"/>
      <c r="BS492" s="89"/>
    </row>
    <row r="493" spans="1:71" ht="27" customHeight="1" x14ac:dyDescent="0.2">
      <c r="A493" s="93"/>
      <c r="B493" s="89"/>
      <c r="C493" s="89"/>
      <c r="D493" s="89"/>
      <c r="E493" s="89"/>
      <c r="F493" s="89"/>
      <c r="G493" s="89"/>
      <c r="H493" s="94"/>
      <c r="I493" s="94"/>
      <c r="J493" s="94"/>
      <c r="K493" s="94"/>
      <c r="L493" s="94"/>
      <c r="M493" s="94"/>
      <c r="N493" s="94"/>
      <c r="O493" s="94"/>
      <c r="P493" s="94"/>
      <c r="Q493" s="94"/>
      <c r="R493" s="95"/>
      <c r="S493" s="94"/>
      <c r="T493" s="96"/>
      <c r="U493" s="94"/>
      <c r="V493" s="97"/>
      <c r="W493" s="94"/>
      <c r="X493" s="98"/>
      <c r="Y493" s="98"/>
      <c r="Z493" s="98"/>
      <c r="AA493" s="98"/>
      <c r="AB493" s="98"/>
      <c r="AC493" s="97"/>
      <c r="AD493" s="99"/>
      <c r="AE493" s="95"/>
      <c r="AF493" s="94"/>
      <c r="AG493" s="89"/>
      <c r="AH493" s="89"/>
      <c r="AI493" s="89"/>
      <c r="AJ493" s="89"/>
      <c r="AK493" s="89"/>
      <c r="AL493" s="89"/>
      <c r="AM493" s="89"/>
      <c r="AN493" s="89"/>
      <c r="AO493" s="89"/>
      <c r="AP493" s="89"/>
      <c r="AQ493" s="89"/>
      <c r="AR493" s="89"/>
      <c r="AS493" s="89"/>
      <c r="AT493" s="89"/>
      <c r="AU493" s="89"/>
      <c r="AV493" s="89"/>
      <c r="AW493" s="100"/>
      <c r="AX493" s="100"/>
      <c r="AY493" s="89"/>
      <c r="AZ493" s="89"/>
      <c r="BA493" s="89"/>
      <c r="BB493" s="89"/>
      <c r="BC493" s="89"/>
      <c r="BD493" s="89"/>
      <c r="BE493" s="89"/>
      <c r="BF493" s="89"/>
      <c r="BG493" s="89"/>
      <c r="BH493" s="89"/>
      <c r="BI493" s="89"/>
      <c r="BJ493" s="89"/>
      <c r="BK493" s="89"/>
      <c r="BL493" s="89"/>
      <c r="BM493" s="89"/>
      <c r="BN493" s="89"/>
      <c r="BO493" s="89"/>
      <c r="BP493" s="89"/>
      <c r="BQ493" s="89"/>
      <c r="BR493" s="89"/>
      <c r="BS493" s="89"/>
    </row>
    <row r="494" spans="1:71" ht="27" customHeight="1" x14ac:dyDescent="0.2">
      <c r="A494" s="93"/>
      <c r="B494" s="89"/>
      <c r="C494" s="89"/>
      <c r="D494" s="89"/>
      <c r="E494" s="89"/>
      <c r="F494" s="89"/>
      <c r="G494" s="89"/>
      <c r="H494" s="94"/>
      <c r="I494" s="94"/>
      <c r="J494" s="94"/>
      <c r="K494" s="94"/>
      <c r="L494" s="94"/>
      <c r="M494" s="94"/>
      <c r="N494" s="94"/>
      <c r="O494" s="94"/>
      <c r="P494" s="94"/>
      <c r="Q494" s="94"/>
      <c r="R494" s="95"/>
      <c r="S494" s="94"/>
      <c r="T494" s="96"/>
      <c r="U494" s="94"/>
      <c r="V494" s="97"/>
      <c r="W494" s="94"/>
      <c r="X494" s="98"/>
      <c r="Y494" s="98"/>
      <c r="Z494" s="98"/>
      <c r="AA494" s="98"/>
      <c r="AB494" s="98"/>
      <c r="AC494" s="97"/>
      <c r="AD494" s="99"/>
      <c r="AE494" s="95"/>
      <c r="AF494" s="94"/>
      <c r="AG494" s="89"/>
      <c r="AH494" s="89"/>
      <c r="AI494" s="89"/>
      <c r="AJ494" s="89"/>
      <c r="AK494" s="89"/>
      <c r="AL494" s="89"/>
      <c r="AM494" s="89"/>
      <c r="AN494" s="89"/>
      <c r="AO494" s="89"/>
      <c r="AP494" s="89"/>
      <c r="AQ494" s="89"/>
      <c r="AR494" s="89"/>
      <c r="AS494" s="89"/>
      <c r="AT494" s="89"/>
      <c r="AU494" s="89"/>
      <c r="AV494" s="89"/>
      <c r="AW494" s="100"/>
      <c r="AX494" s="100"/>
      <c r="AY494" s="89"/>
      <c r="AZ494" s="89"/>
      <c r="BA494" s="89"/>
      <c r="BB494" s="89"/>
      <c r="BC494" s="89"/>
      <c r="BD494" s="89"/>
      <c r="BE494" s="89"/>
      <c r="BF494" s="89"/>
      <c r="BG494" s="89"/>
      <c r="BH494" s="89"/>
      <c r="BI494" s="89"/>
      <c r="BJ494" s="89"/>
      <c r="BK494" s="89"/>
      <c r="BL494" s="89"/>
      <c r="BM494" s="89"/>
      <c r="BN494" s="89"/>
      <c r="BO494" s="89"/>
      <c r="BP494" s="89"/>
      <c r="BQ494" s="89"/>
      <c r="BR494" s="89"/>
      <c r="BS494" s="89"/>
    </row>
    <row r="495" spans="1:71" ht="27" customHeight="1" x14ac:dyDescent="0.2">
      <c r="A495" s="93"/>
      <c r="B495" s="89"/>
      <c r="C495" s="89"/>
      <c r="D495" s="89"/>
      <c r="E495" s="89"/>
      <c r="F495" s="89"/>
      <c r="G495" s="89"/>
      <c r="H495" s="94"/>
      <c r="I495" s="94"/>
      <c r="J495" s="94"/>
      <c r="K495" s="94"/>
      <c r="L495" s="94"/>
      <c r="M495" s="94"/>
      <c r="N495" s="94"/>
      <c r="O495" s="94"/>
      <c r="P495" s="94"/>
      <c r="Q495" s="94"/>
      <c r="R495" s="95"/>
      <c r="S495" s="94"/>
      <c r="T495" s="96"/>
      <c r="U495" s="94"/>
      <c r="V495" s="97"/>
      <c r="W495" s="94"/>
      <c r="X495" s="98"/>
      <c r="Y495" s="98"/>
      <c r="Z495" s="98"/>
      <c r="AA495" s="98"/>
      <c r="AB495" s="98"/>
      <c r="AC495" s="97"/>
      <c r="AD495" s="99"/>
      <c r="AE495" s="95"/>
      <c r="AF495" s="94"/>
      <c r="AG495" s="89"/>
      <c r="AH495" s="89"/>
      <c r="AI495" s="89"/>
      <c r="AJ495" s="89"/>
      <c r="AK495" s="89"/>
      <c r="AL495" s="89"/>
      <c r="AM495" s="89"/>
      <c r="AN495" s="89"/>
      <c r="AO495" s="89"/>
      <c r="AP495" s="89"/>
      <c r="AQ495" s="89"/>
      <c r="AR495" s="89"/>
      <c r="AS495" s="89"/>
      <c r="AT495" s="89"/>
      <c r="AU495" s="89"/>
      <c r="AV495" s="89"/>
      <c r="AW495" s="100"/>
      <c r="AX495" s="100"/>
      <c r="AY495" s="89"/>
      <c r="AZ495" s="89"/>
      <c r="BA495" s="89"/>
      <c r="BB495" s="89"/>
      <c r="BC495" s="89"/>
      <c r="BD495" s="89"/>
      <c r="BE495" s="89"/>
      <c r="BF495" s="89"/>
      <c r="BG495" s="89"/>
      <c r="BH495" s="89"/>
      <c r="BI495" s="89"/>
      <c r="BJ495" s="89"/>
      <c r="BK495" s="89"/>
      <c r="BL495" s="89"/>
      <c r="BM495" s="89"/>
      <c r="BN495" s="89"/>
      <c r="BO495" s="89"/>
      <c r="BP495" s="89"/>
      <c r="BQ495" s="89"/>
      <c r="BR495" s="89"/>
      <c r="BS495" s="89"/>
    </row>
    <row r="496" spans="1:71" ht="27" customHeight="1" x14ac:dyDescent="0.2">
      <c r="A496" s="93"/>
      <c r="B496" s="89"/>
      <c r="C496" s="89"/>
      <c r="D496" s="89"/>
      <c r="E496" s="89"/>
      <c r="F496" s="89"/>
      <c r="G496" s="89"/>
      <c r="H496" s="94"/>
      <c r="I496" s="94"/>
      <c r="J496" s="94"/>
      <c r="K496" s="94"/>
      <c r="L496" s="94"/>
      <c r="M496" s="94"/>
      <c r="N496" s="94"/>
      <c r="O496" s="94"/>
      <c r="P496" s="94"/>
      <c r="Q496" s="94"/>
      <c r="R496" s="95"/>
      <c r="S496" s="94"/>
      <c r="T496" s="96"/>
      <c r="U496" s="94"/>
      <c r="V496" s="97"/>
      <c r="W496" s="94"/>
      <c r="X496" s="98"/>
      <c r="Y496" s="98"/>
      <c r="Z496" s="98"/>
      <c r="AA496" s="98"/>
      <c r="AB496" s="98"/>
      <c r="AC496" s="97"/>
      <c r="AD496" s="99"/>
      <c r="AE496" s="95"/>
      <c r="AF496" s="94"/>
      <c r="AG496" s="89"/>
      <c r="AH496" s="89"/>
      <c r="AI496" s="89"/>
      <c r="AJ496" s="89"/>
      <c r="AK496" s="89"/>
      <c r="AL496" s="89"/>
      <c r="AM496" s="89"/>
      <c r="AN496" s="89"/>
      <c r="AO496" s="89"/>
      <c r="AP496" s="89"/>
      <c r="AQ496" s="89"/>
      <c r="AR496" s="89"/>
      <c r="AS496" s="89"/>
      <c r="AT496" s="89"/>
      <c r="AU496" s="89"/>
      <c r="AV496" s="89"/>
      <c r="AW496" s="100"/>
      <c r="AX496" s="100"/>
      <c r="AY496" s="89"/>
      <c r="AZ496" s="89"/>
      <c r="BA496" s="89"/>
      <c r="BB496" s="89"/>
      <c r="BC496" s="89"/>
      <c r="BD496" s="89"/>
      <c r="BE496" s="89"/>
      <c r="BF496" s="89"/>
      <c r="BG496" s="89"/>
      <c r="BH496" s="89"/>
      <c r="BI496" s="89"/>
      <c r="BJ496" s="89"/>
      <c r="BK496" s="89"/>
      <c r="BL496" s="89"/>
      <c r="BM496" s="89"/>
      <c r="BN496" s="89"/>
      <c r="BO496" s="89"/>
      <c r="BP496" s="89"/>
      <c r="BQ496" s="89"/>
      <c r="BR496" s="89"/>
      <c r="BS496" s="89"/>
    </row>
    <row r="497" spans="1:71" ht="27" customHeight="1" x14ac:dyDescent="0.2">
      <c r="A497" s="93"/>
      <c r="B497" s="89"/>
      <c r="C497" s="89"/>
      <c r="D497" s="89"/>
      <c r="E497" s="89"/>
      <c r="F497" s="89"/>
      <c r="G497" s="89"/>
      <c r="H497" s="94"/>
      <c r="I497" s="94"/>
      <c r="J497" s="94"/>
      <c r="K497" s="94"/>
      <c r="L497" s="94"/>
      <c r="M497" s="94"/>
      <c r="N497" s="94"/>
      <c r="O497" s="94"/>
      <c r="P497" s="94"/>
      <c r="Q497" s="94"/>
      <c r="R497" s="95"/>
      <c r="S497" s="94"/>
      <c r="T497" s="96"/>
      <c r="U497" s="94"/>
      <c r="V497" s="97"/>
      <c r="W497" s="94"/>
      <c r="X497" s="98"/>
      <c r="Y497" s="98"/>
      <c r="Z497" s="98"/>
      <c r="AA497" s="98"/>
      <c r="AB497" s="98"/>
      <c r="AC497" s="97"/>
      <c r="AD497" s="99"/>
      <c r="AE497" s="95"/>
      <c r="AF497" s="94"/>
      <c r="AG497" s="89"/>
      <c r="AH497" s="89"/>
      <c r="AI497" s="89"/>
      <c r="AJ497" s="89"/>
      <c r="AK497" s="89"/>
      <c r="AL497" s="89"/>
      <c r="AM497" s="89"/>
      <c r="AN497" s="89"/>
      <c r="AO497" s="89"/>
      <c r="AP497" s="89"/>
      <c r="AQ497" s="89"/>
      <c r="AR497" s="89"/>
      <c r="AS497" s="89"/>
      <c r="AT497" s="89"/>
      <c r="AU497" s="89"/>
      <c r="AV497" s="89"/>
      <c r="AW497" s="100"/>
      <c r="AX497" s="100"/>
      <c r="AY497" s="89"/>
      <c r="AZ497" s="89"/>
      <c r="BA497" s="89"/>
      <c r="BB497" s="89"/>
      <c r="BC497" s="89"/>
      <c r="BD497" s="89"/>
      <c r="BE497" s="89"/>
      <c r="BF497" s="89"/>
      <c r="BG497" s="89"/>
      <c r="BH497" s="89"/>
      <c r="BI497" s="89"/>
      <c r="BJ497" s="89"/>
      <c r="BK497" s="89"/>
      <c r="BL497" s="89"/>
      <c r="BM497" s="89"/>
      <c r="BN497" s="89"/>
      <c r="BO497" s="89"/>
      <c r="BP497" s="89"/>
      <c r="BQ497" s="89"/>
      <c r="BR497" s="89"/>
      <c r="BS497" s="89"/>
    </row>
    <row r="498" spans="1:71" ht="27" customHeight="1" x14ac:dyDescent="0.2">
      <c r="A498" s="93"/>
      <c r="B498" s="89"/>
      <c r="C498" s="89"/>
      <c r="D498" s="89"/>
      <c r="E498" s="89"/>
      <c r="F498" s="89"/>
      <c r="G498" s="89"/>
      <c r="H498" s="94"/>
      <c r="I498" s="94"/>
      <c r="J498" s="94"/>
      <c r="K498" s="94"/>
      <c r="L498" s="94"/>
      <c r="M498" s="94"/>
      <c r="N498" s="94"/>
      <c r="O498" s="94"/>
      <c r="P498" s="94"/>
      <c r="Q498" s="94"/>
      <c r="R498" s="95"/>
      <c r="S498" s="94"/>
      <c r="T498" s="96"/>
      <c r="U498" s="94"/>
      <c r="V498" s="97"/>
      <c r="W498" s="94"/>
      <c r="X498" s="98"/>
      <c r="Y498" s="98"/>
      <c r="Z498" s="98"/>
      <c r="AA498" s="98"/>
      <c r="AB498" s="98"/>
      <c r="AC498" s="97"/>
      <c r="AD498" s="99"/>
      <c r="AE498" s="95"/>
      <c r="AF498" s="94"/>
      <c r="AG498" s="89"/>
      <c r="AH498" s="89"/>
      <c r="AI498" s="89"/>
      <c r="AJ498" s="89"/>
      <c r="AK498" s="89"/>
      <c r="AL498" s="89"/>
      <c r="AM498" s="89"/>
      <c r="AN498" s="89"/>
      <c r="AO498" s="89"/>
      <c r="AP498" s="89"/>
      <c r="AQ498" s="89"/>
      <c r="AR498" s="89"/>
      <c r="AS498" s="89"/>
      <c r="AT498" s="89"/>
      <c r="AU498" s="89"/>
      <c r="AV498" s="89"/>
      <c r="AW498" s="100"/>
      <c r="AX498" s="100"/>
      <c r="AY498" s="89"/>
      <c r="AZ498" s="89"/>
      <c r="BA498" s="89"/>
      <c r="BB498" s="89"/>
      <c r="BC498" s="89"/>
      <c r="BD498" s="89"/>
      <c r="BE498" s="89"/>
      <c r="BF498" s="89"/>
      <c r="BG498" s="89"/>
      <c r="BH498" s="89"/>
      <c r="BI498" s="89"/>
      <c r="BJ498" s="89"/>
      <c r="BK498" s="89"/>
      <c r="BL498" s="89"/>
      <c r="BM498" s="89"/>
      <c r="BN498" s="89"/>
      <c r="BO498" s="89"/>
      <c r="BP498" s="89"/>
      <c r="BQ498" s="89"/>
      <c r="BR498" s="89"/>
      <c r="BS498" s="89"/>
    </row>
    <row r="499" spans="1:71" ht="27" customHeight="1" x14ac:dyDescent="0.2">
      <c r="A499" s="93"/>
      <c r="B499" s="89"/>
      <c r="C499" s="89"/>
      <c r="D499" s="89"/>
      <c r="E499" s="89"/>
      <c r="F499" s="89"/>
      <c r="G499" s="89"/>
      <c r="H499" s="94"/>
      <c r="I499" s="94"/>
      <c r="J499" s="94"/>
      <c r="K499" s="94"/>
      <c r="L499" s="94"/>
      <c r="M499" s="94"/>
      <c r="N499" s="94"/>
      <c r="O499" s="94"/>
      <c r="P499" s="94"/>
      <c r="Q499" s="94"/>
      <c r="R499" s="95"/>
      <c r="S499" s="94"/>
      <c r="T499" s="96"/>
      <c r="U499" s="94"/>
      <c r="V499" s="97"/>
      <c r="W499" s="94"/>
      <c r="X499" s="98"/>
      <c r="Y499" s="98"/>
      <c r="Z499" s="98"/>
      <c r="AA499" s="98"/>
      <c r="AB499" s="98"/>
      <c r="AC499" s="97"/>
      <c r="AD499" s="99"/>
      <c r="AE499" s="95"/>
      <c r="AF499" s="94"/>
      <c r="AG499" s="89"/>
      <c r="AH499" s="89"/>
      <c r="AI499" s="89"/>
      <c r="AJ499" s="89"/>
      <c r="AK499" s="89"/>
      <c r="AL499" s="89"/>
      <c r="AM499" s="89"/>
      <c r="AN499" s="89"/>
      <c r="AO499" s="89"/>
      <c r="AP499" s="89"/>
      <c r="AQ499" s="89"/>
      <c r="AR499" s="89"/>
      <c r="AS499" s="89"/>
      <c r="AT499" s="89"/>
      <c r="AU499" s="89"/>
      <c r="AV499" s="89"/>
      <c r="AW499" s="100"/>
      <c r="AX499" s="100"/>
      <c r="AY499" s="89"/>
      <c r="AZ499" s="89"/>
      <c r="BA499" s="89"/>
      <c r="BB499" s="89"/>
      <c r="BC499" s="89"/>
      <c r="BD499" s="89"/>
      <c r="BE499" s="89"/>
      <c r="BF499" s="89"/>
      <c r="BG499" s="89"/>
      <c r="BH499" s="89"/>
      <c r="BI499" s="89"/>
      <c r="BJ499" s="89"/>
      <c r="BK499" s="89"/>
      <c r="BL499" s="89"/>
      <c r="BM499" s="89"/>
      <c r="BN499" s="89"/>
      <c r="BO499" s="89"/>
      <c r="BP499" s="89"/>
      <c r="BQ499" s="89"/>
      <c r="BR499" s="89"/>
      <c r="BS499" s="89"/>
    </row>
    <row r="500" spans="1:71" ht="27" customHeight="1" x14ac:dyDescent="0.2">
      <c r="A500" s="93"/>
      <c r="B500" s="89"/>
      <c r="C500" s="89"/>
      <c r="D500" s="89"/>
      <c r="E500" s="89"/>
      <c r="F500" s="89"/>
      <c r="G500" s="89"/>
      <c r="H500" s="94"/>
      <c r="I500" s="94"/>
      <c r="J500" s="94"/>
      <c r="K500" s="94"/>
      <c r="L500" s="94"/>
      <c r="M500" s="94"/>
      <c r="N500" s="94"/>
      <c r="O500" s="94"/>
      <c r="P500" s="94"/>
      <c r="Q500" s="94"/>
      <c r="R500" s="95"/>
      <c r="S500" s="94"/>
      <c r="T500" s="96"/>
      <c r="U500" s="94"/>
      <c r="V500" s="97"/>
      <c r="W500" s="94"/>
      <c r="X500" s="98"/>
      <c r="Y500" s="98"/>
      <c r="Z500" s="98"/>
      <c r="AA500" s="98"/>
      <c r="AB500" s="98"/>
      <c r="AC500" s="97"/>
      <c r="AD500" s="99"/>
      <c r="AE500" s="95"/>
      <c r="AF500" s="94"/>
      <c r="AG500" s="89"/>
      <c r="AH500" s="89"/>
      <c r="AI500" s="89"/>
      <c r="AJ500" s="89"/>
      <c r="AK500" s="89"/>
      <c r="AL500" s="89"/>
      <c r="AM500" s="89"/>
      <c r="AN500" s="89"/>
      <c r="AO500" s="89"/>
      <c r="AP500" s="89"/>
      <c r="AQ500" s="89"/>
      <c r="AR500" s="89"/>
      <c r="AS500" s="89"/>
      <c r="AT500" s="89"/>
      <c r="AU500" s="89"/>
      <c r="AV500" s="89"/>
      <c r="AW500" s="100"/>
      <c r="AX500" s="100"/>
      <c r="AY500" s="89"/>
      <c r="AZ500" s="89"/>
      <c r="BA500" s="89"/>
      <c r="BB500" s="89"/>
      <c r="BC500" s="89"/>
      <c r="BD500" s="89"/>
      <c r="BE500" s="89"/>
      <c r="BF500" s="89"/>
      <c r="BG500" s="89"/>
      <c r="BH500" s="89"/>
      <c r="BI500" s="89"/>
      <c r="BJ500" s="89"/>
      <c r="BK500" s="89"/>
      <c r="BL500" s="89"/>
      <c r="BM500" s="89"/>
      <c r="BN500" s="89"/>
      <c r="BO500" s="89"/>
      <c r="BP500" s="89"/>
      <c r="BQ500" s="89"/>
      <c r="BR500" s="89"/>
      <c r="BS500" s="89"/>
    </row>
    <row r="501" spans="1:71" ht="27" customHeight="1" x14ac:dyDescent="0.2">
      <c r="A501" s="93"/>
      <c r="B501" s="89"/>
      <c r="C501" s="89"/>
      <c r="D501" s="89"/>
      <c r="E501" s="89"/>
      <c r="F501" s="89"/>
      <c r="G501" s="89"/>
      <c r="H501" s="94"/>
      <c r="I501" s="94"/>
      <c r="J501" s="94"/>
      <c r="K501" s="94"/>
      <c r="L501" s="94"/>
      <c r="M501" s="94"/>
      <c r="N501" s="94"/>
      <c r="O501" s="94"/>
      <c r="P501" s="94"/>
      <c r="Q501" s="94"/>
      <c r="R501" s="95"/>
      <c r="S501" s="94"/>
      <c r="T501" s="96"/>
      <c r="U501" s="94"/>
      <c r="V501" s="97"/>
      <c r="W501" s="94"/>
      <c r="X501" s="98"/>
      <c r="Y501" s="98"/>
      <c r="Z501" s="98"/>
      <c r="AA501" s="98"/>
      <c r="AB501" s="98"/>
      <c r="AC501" s="97"/>
      <c r="AD501" s="99"/>
      <c r="AE501" s="95"/>
      <c r="AF501" s="94"/>
      <c r="AG501" s="89"/>
      <c r="AH501" s="89"/>
      <c r="AI501" s="89"/>
      <c r="AJ501" s="89"/>
      <c r="AK501" s="89"/>
      <c r="AL501" s="89"/>
      <c r="AM501" s="89"/>
      <c r="AN501" s="89"/>
      <c r="AO501" s="89"/>
      <c r="AP501" s="89"/>
      <c r="AQ501" s="89"/>
      <c r="AR501" s="89"/>
      <c r="AS501" s="89"/>
      <c r="AT501" s="89"/>
      <c r="AU501" s="89"/>
      <c r="AV501" s="89"/>
      <c r="AW501" s="100"/>
      <c r="AX501" s="100"/>
      <c r="AY501" s="89"/>
      <c r="AZ501" s="89"/>
      <c r="BA501" s="89"/>
      <c r="BB501" s="89"/>
      <c r="BC501" s="89"/>
      <c r="BD501" s="89"/>
      <c r="BE501" s="89"/>
      <c r="BF501" s="89"/>
      <c r="BG501" s="89"/>
      <c r="BH501" s="89"/>
      <c r="BI501" s="89"/>
      <c r="BJ501" s="89"/>
      <c r="BK501" s="89"/>
      <c r="BL501" s="89"/>
      <c r="BM501" s="89"/>
      <c r="BN501" s="89"/>
      <c r="BO501" s="89"/>
      <c r="BP501" s="89"/>
      <c r="BQ501" s="89"/>
      <c r="BR501" s="89"/>
      <c r="BS501" s="89"/>
    </row>
    <row r="502" spans="1:71" ht="27" customHeight="1" x14ac:dyDescent="0.2">
      <c r="A502" s="93"/>
      <c r="B502" s="89"/>
      <c r="C502" s="89"/>
      <c r="D502" s="89"/>
      <c r="E502" s="89"/>
      <c r="F502" s="89"/>
      <c r="G502" s="89"/>
      <c r="H502" s="94"/>
      <c r="I502" s="94"/>
      <c r="J502" s="94"/>
      <c r="K502" s="94"/>
      <c r="L502" s="94"/>
      <c r="M502" s="94"/>
      <c r="N502" s="94"/>
      <c r="O502" s="94"/>
      <c r="P502" s="94"/>
      <c r="Q502" s="94"/>
      <c r="R502" s="95"/>
      <c r="S502" s="94"/>
      <c r="T502" s="96"/>
      <c r="U502" s="94"/>
      <c r="V502" s="97"/>
      <c r="W502" s="94"/>
      <c r="X502" s="98"/>
      <c r="Y502" s="98"/>
      <c r="Z502" s="98"/>
      <c r="AA502" s="98"/>
      <c r="AB502" s="98"/>
      <c r="AC502" s="97"/>
      <c r="AD502" s="99"/>
      <c r="AE502" s="95"/>
      <c r="AF502" s="94"/>
      <c r="AG502" s="89"/>
      <c r="AH502" s="89"/>
      <c r="AI502" s="89"/>
      <c r="AJ502" s="89"/>
      <c r="AK502" s="89"/>
      <c r="AL502" s="89"/>
      <c r="AM502" s="89"/>
      <c r="AN502" s="89"/>
      <c r="AO502" s="89"/>
      <c r="AP502" s="89"/>
      <c r="AQ502" s="89"/>
      <c r="AR502" s="89"/>
      <c r="AS502" s="89"/>
      <c r="AT502" s="89"/>
      <c r="AU502" s="89"/>
      <c r="AV502" s="89"/>
      <c r="AW502" s="100"/>
      <c r="AX502" s="100"/>
      <c r="AY502" s="89"/>
      <c r="AZ502" s="89"/>
      <c r="BA502" s="89"/>
      <c r="BB502" s="89"/>
      <c r="BC502" s="89"/>
      <c r="BD502" s="89"/>
      <c r="BE502" s="89"/>
      <c r="BF502" s="89"/>
      <c r="BG502" s="89"/>
      <c r="BH502" s="89"/>
      <c r="BI502" s="89"/>
      <c r="BJ502" s="89"/>
      <c r="BK502" s="89"/>
      <c r="BL502" s="89"/>
      <c r="BM502" s="89"/>
      <c r="BN502" s="89"/>
      <c r="BO502" s="89"/>
      <c r="BP502" s="89"/>
      <c r="BQ502" s="89"/>
      <c r="BR502" s="89"/>
      <c r="BS502" s="89"/>
    </row>
    <row r="503" spans="1:71" ht="27" customHeight="1" x14ac:dyDescent="0.2">
      <c r="A503" s="93"/>
      <c r="B503" s="89"/>
      <c r="C503" s="89"/>
      <c r="D503" s="89"/>
      <c r="E503" s="89"/>
      <c r="F503" s="89"/>
      <c r="G503" s="89"/>
      <c r="H503" s="94"/>
      <c r="I503" s="94"/>
      <c r="J503" s="94"/>
      <c r="K503" s="94"/>
      <c r="L503" s="94"/>
      <c r="M503" s="94"/>
      <c r="N503" s="94"/>
      <c r="O503" s="94"/>
      <c r="P503" s="94"/>
      <c r="Q503" s="94"/>
      <c r="R503" s="95"/>
      <c r="S503" s="94"/>
      <c r="T503" s="96"/>
      <c r="U503" s="94"/>
      <c r="V503" s="97"/>
      <c r="W503" s="94"/>
      <c r="X503" s="98"/>
      <c r="Y503" s="98"/>
      <c r="Z503" s="98"/>
      <c r="AA503" s="98"/>
      <c r="AB503" s="98"/>
      <c r="AC503" s="97"/>
      <c r="AD503" s="99"/>
      <c r="AE503" s="95"/>
      <c r="AF503" s="94"/>
      <c r="AG503" s="89"/>
      <c r="AH503" s="89"/>
      <c r="AI503" s="89"/>
      <c r="AJ503" s="89"/>
      <c r="AK503" s="89"/>
      <c r="AL503" s="89"/>
      <c r="AM503" s="89"/>
      <c r="AN503" s="89"/>
      <c r="AO503" s="89"/>
      <c r="AP503" s="89"/>
      <c r="AQ503" s="89"/>
      <c r="AR503" s="89"/>
      <c r="AS503" s="89"/>
      <c r="AT503" s="89"/>
      <c r="AU503" s="89"/>
      <c r="AV503" s="89"/>
      <c r="AW503" s="100"/>
      <c r="AX503" s="100"/>
      <c r="AY503" s="89"/>
      <c r="AZ503" s="89"/>
      <c r="BA503" s="89"/>
      <c r="BB503" s="89"/>
      <c r="BC503" s="89"/>
      <c r="BD503" s="89"/>
      <c r="BE503" s="89"/>
      <c r="BF503" s="89"/>
      <c r="BG503" s="89"/>
      <c r="BH503" s="89"/>
      <c r="BI503" s="89"/>
      <c r="BJ503" s="89"/>
      <c r="BK503" s="89"/>
      <c r="BL503" s="89"/>
      <c r="BM503" s="89"/>
      <c r="BN503" s="89"/>
      <c r="BO503" s="89"/>
      <c r="BP503" s="89"/>
      <c r="BQ503" s="89"/>
      <c r="BR503" s="89"/>
      <c r="BS503" s="89"/>
    </row>
    <row r="504" spans="1:71" ht="27" customHeight="1" x14ac:dyDescent="0.2">
      <c r="A504" s="93"/>
      <c r="B504" s="89"/>
      <c r="C504" s="89"/>
      <c r="D504" s="89"/>
      <c r="E504" s="89"/>
      <c r="F504" s="89"/>
      <c r="G504" s="89"/>
      <c r="H504" s="94"/>
      <c r="I504" s="94"/>
      <c r="J504" s="94"/>
      <c r="K504" s="94"/>
      <c r="L504" s="94"/>
      <c r="M504" s="94"/>
      <c r="N504" s="94"/>
      <c r="O504" s="94"/>
      <c r="P504" s="94"/>
      <c r="Q504" s="94"/>
      <c r="R504" s="95"/>
      <c r="S504" s="94"/>
      <c r="T504" s="96"/>
      <c r="U504" s="94"/>
      <c r="V504" s="97"/>
      <c r="W504" s="94"/>
      <c r="X504" s="98"/>
      <c r="Y504" s="98"/>
      <c r="Z504" s="98"/>
      <c r="AA504" s="98"/>
      <c r="AB504" s="98"/>
      <c r="AC504" s="97"/>
      <c r="AD504" s="99"/>
      <c r="AE504" s="95"/>
      <c r="AF504" s="94"/>
      <c r="AG504" s="89"/>
      <c r="AH504" s="89"/>
      <c r="AI504" s="89"/>
      <c r="AJ504" s="89"/>
      <c r="AK504" s="89"/>
      <c r="AL504" s="89"/>
      <c r="AM504" s="89"/>
      <c r="AN504" s="89"/>
      <c r="AO504" s="89"/>
      <c r="AP504" s="89"/>
      <c r="AQ504" s="89"/>
      <c r="AR504" s="89"/>
      <c r="AS504" s="89"/>
      <c r="AT504" s="89"/>
      <c r="AU504" s="89"/>
      <c r="AV504" s="89"/>
      <c r="AW504" s="100"/>
      <c r="AX504" s="100"/>
      <c r="AY504" s="89"/>
      <c r="AZ504" s="89"/>
      <c r="BA504" s="89"/>
      <c r="BB504" s="89"/>
      <c r="BC504" s="89"/>
      <c r="BD504" s="89"/>
      <c r="BE504" s="89"/>
      <c r="BF504" s="89"/>
      <c r="BG504" s="89"/>
      <c r="BH504" s="89"/>
      <c r="BI504" s="89"/>
      <c r="BJ504" s="89"/>
      <c r="BK504" s="89"/>
      <c r="BL504" s="89"/>
      <c r="BM504" s="89"/>
      <c r="BN504" s="89"/>
      <c r="BO504" s="89"/>
      <c r="BP504" s="89"/>
      <c r="BQ504" s="89"/>
      <c r="BR504" s="89"/>
      <c r="BS504" s="89"/>
    </row>
    <row r="505" spans="1:71" ht="27" customHeight="1" x14ac:dyDescent="0.2">
      <c r="A505" s="93"/>
      <c r="B505" s="89"/>
      <c r="C505" s="89"/>
      <c r="D505" s="89"/>
      <c r="E505" s="89"/>
      <c r="F505" s="89"/>
      <c r="G505" s="89"/>
      <c r="H505" s="94"/>
      <c r="I505" s="94"/>
      <c r="J505" s="94"/>
      <c r="K505" s="94"/>
      <c r="L505" s="94"/>
      <c r="M505" s="94"/>
      <c r="N505" s="94"/>
      <c r="O505" s="94"/>
      <c r="P505" s="94"/>
      <c r="Q505" s="94"/>
      <c r="R505" s="95"/>
      <c r="S505" s="94"/>
      <c r="T505" s="96"/>
      <c r="U505" s="94"/>
      <c r="V505" s="97"/>
      <c r="W505" s="94"/>
      <c r="X505" s="98"/>
      <c r="Y505" s="98"/>
      <c r="Z505" s="98"/>
      <c r="AA505" s="98"/>
      <c r="AB505" s="98"/>
      <c r="AC505" s="97"/>
      <c r="AD505" s="99"/>
      <c r="AE505" s="95"/>
      <c r="AF505" s="94"/>
      <c r="AG505" s="89"/>
      <c r="AH505" s="89"/>
      <c r="AI505" s="89"/>
      <c r="AJ505" s="89"/>
      <c r="AK505" s="89"/>
      <c r="AL505" s="89"/>
      <c r="AM505" s="89"/>
      <c r="AN505" s="89"/>
      <c r="AO505" s="89"/>
      <c r="AP505" s="89"/>
      <c r="AQ505" s="89"/>
      <c r="AR505" s="89"/>
      <c r="AS505" s="89"/>
      <c r="AT505" s="89"/>
      <c r="AU505" s="89"/>
      <c r="AV505" s="89"/>
      <c r="AW505" s="100"/>
      <c r="AX505" s="100"/>
      <c r="AY505" s="89"/>
      <c r="AZ505" s="89"/>
      <c r="BA505" s="89"/>
      <c r="BB505" s="89"/>
      <c r="BC505" s="89"/>
      <c r="BD505" s="89"/>
      <c r="BE505" s="89"/>
      <c r="BF505" s="89"/>
      <c r="BG505" s="89"/>
      <c r="BH505" s="89"/>
      <c r="BI505" s="89"/>
      <c r="BJ505" s="89"/>
      <c r="BK505" s="89"/>
      <c r="BL505" s="89"/>
      <c r="BM505" s="89"/>
      <c r="BN505" s="89"/>
      <c r="BO505" s="89"/>
      <c r="BP505" s="89"/>
      <c r="BQ505" s="89"/>
      <c r="BR505" s="89"/>
      <c r="BS505" s="89"/>
    </row>
    <row r="506" spans="1:71" ht="27" customHeight="1" x14ac:dyDescent="0.2">
      <c r="A506" s="93"/>
      <c r="B506" s="89"/>
      <c r="C506" s="89"/>
      <c r="D506" s="89"/>
      <c r="E506" s="89"/>
      <c r="F506" s="89"/>
      <c r="G506" s="89"/>
      <c r="H506" s="94"/>
      <c r="I506" s="94"/>
      <c r="J506" s="94"/>
      <c r="K506" s="94"/>
      <c r="L506" s="94"/>
      <c r="M506" s="94"/>
      <c r="N506" s="94"/>
      <c r="O506" s="94"/>
      <c r="P506" s="94"/>
      <c r="Q506" s="94"/>
      <c r="R506" s="95"/>
      <c r="S506" s="94"/>
      <c r="T506" s="96"/>
      <c r="U506" s="94"/>
      <c r="V506" s="97"/>
      <c r="W506" s="94"/>
      <c r="X506" s="98"/>
      <c r="Y506" s="98"/>
      <c r="Z506" s="98"/>
      <c r="AA506" s="98"/>
      <c r="AB506" s="98"/>
      <c r="AC506" s="97"/>
      <c r="AD506" s="99"/>
      <c r="AE506" s="95"/>
      <c r="AF506" s="94"/>
      <c r="AG506" s="89"/>
      <c r="AH506" s="89"/>
      <c r="AI506" s="89"/>
      <c r="AJ506" s="89"/>
      <c r="AK506" s="89"/>
      <c r="AL506" s="89"/>
      <c r="AM506" s="89"/>
      <c r="AN506" s="89"/>
      <c r="AO506" s="89"/>
      <c r="AP506" s="89"/>
      <c r="AQ506" s="89"/>
      <c r="AR506" s="89"/>
      <c r="AS506" s="89"/>
      <c r="AT506" s="89"/>
      <c r="AU506" s="89"/>
      <c r="AV506" s="89"/>
      <c r="AW506" s="100"/>
      <c r="AX506" s="100"/>
      <c r="AY506" s="89"/>
      <c r="AZ506" s="89"/>
      <c r="BA506" s="89"/>
      <c r="BB506" s="89"/>
      <c r="BC506" s="89"/>
      <c r="BD506" s="89"/>
      <c r="BE506" s="89"/>
      <c r="BF506" s="89"/>
      <c r="BG506" s="89"/>
      <c r="BH506" s="89"/>
      <c r="BI506" s="89"/>
      <c r="BJ506" s="89"/>
      <c r="BK506" s="89"/>
      <c r="BL506" s="89"/>
      <c r="BM506" s="89"/>
      <c r="BN506" s="89"/>
      <c r="BO506" s="89"/>
      <c r="BP506" s="89"/>
      <c r="BQ506" s="89"/>
      <c r="BR506" s="89"/>
      <c r="BS506" s="89"/>
    </row>
    <row r="507" spans="1:71" ht="27" customHeight="1" x14ac:dyDescent="0.2">
      <c r="A507" s="93"/>
      <c r="B507" s="89"/>
      <c r="C507" s="89"/>
      <c r="D507" s="89"/>
      <c r="E507" s="89"/>
      <c r="F507" s="89"/>
      <c r="G507" s="89"/>
      <c r="H507" s="94"/>
      <c r="I507" s="94"/>
      <c r="J507" s="94"/>
      <c r="K507" s="94"/>
      <c r="L507" s="94"/>
      <c r="M507" s="94"/>
      <c r="N507" s="94"/>
      <c r="O507" s="94"/>
      <c r="P507" s="94"/>
      <c r="Q507" s="94"/>
      <c r="R507" s="95"/>
      <c r="S507" s="94"/>
      <c r="T507" s="96"/>
      <c r="U507" s="94"/>
      <c r="V507" s="97"/>
      <c r="W507" s="94"/>
      <c r="X507" s="98"/>
      <c r="Y507" s="98"/>
      <c r="Z507" s="98"/>
      <c r="AA507" s="98"/>
      <c r="AB507" s="98"/>
      <c r="AC507" s="97"/>
      <c r="AD507" s="99"/>
      <c r="AE507" s="95"/>
      <c r="AF507" s="94"/>
      <c r="AG507" s="89"/>
      <c r="AH507" s="89"/>
      <c r="AI507" s="89"/>
      <c r="AJ507" s="89"/>
      <c r="AK507" s="89"/>
      <c r="AL507" s="89"/>
      <c r="AM507" s="89"/>
      <c r="AN507" s="89"/>
      <c r="AO507" s="89"/>
      <c r="AP507" s="89"/>
      <c r="AQ507" s="89"/>
      <c r="AR507" s="89"/>
      <c r="AS507" s="89"/>
      <c r="AT507" s="89"/>
      <c r="AU507" s="89"/>
      <c r="AV507" s="89"/>
      <c r="AW507" s="100"/>
      <c r="AX507" s="100"/>
      <c r="AY507" s="89"/>
      <c r="AZ507" s="89"/>
      <c r="BA507" s="89"/>
      <c r="BB507" s="89"/>
      <c r="BC507" s="89"/>
      <c r="BD507" s="89"/>
      <c r="BE507" s="89"/>
      <c r="BF507" s="89"/>
      <c r="BG507" s="89"/>
      <c r="BH507" s="89"/>
      <c r="BI507" s="89"/>
      <c r="BJ507" s="89"/>
      <c r="BK507" s="89"/>
      <c r="BL507" s="89"/>
      <c r="BM507" s="89"/>
      <c r="BN507" s="89"/>
      <c r="BO507" s="89"/>
      <c r="BP507" s="89"/>
      <c r="BQ507" s="89"/>
      <c r="BR507" s="89"/>
      <c r="BS507" s="89"/>
    </row>
    <row r="508" spans="1:71" ht="27" customHeight="1" x14ac:dyDescent="0.2">
      <c r="A508" s="93"/>
      <c r="B508" s="89"/>
      <c r="C508" s="89"/>
      <c r="D508" s="89"/>
      <c r="E508" s="89"/>
      <c r="F508" s="89"/>
      <c r="G508" s="89"/>
      <c r="H508" s="94"/>
      <c r="I508" s="94"/>
      <c r="J508" s="94"/>
      <c r="K508" s="94"/>
      <c r="L508" s="94"/>
      <c r="M508" s="94"/>
      <c r="N508" s="94"/>
      <c r="O508" s="94"/>
      <c r="P508" s="94"/>
      <c r="Q508" s="94"/>
      <c r="R508" s="95"/>
      <c r="S508" s="94"/>
      <c r="T508" s="96"/>
      <c r="U508" s="94"/>
      <c r="V508" s="97"/>
      <c r="W508" s="94"/>
      <c r="X508" s="98"/>
      <c r="Y508" s="98"/>
      <c r="Z508" s="98"/>
      <c r="AA508" s="98"/>
      <c r="AB508" s="98"/>
      <c r="AC508" s="97"/>
      <c r="AD508" s="99"/>
      <c r="AE508" s="95"/>
      <c r="AF508" s="94"/>
      <c r="AG508" s="89"/>
      <c r="AH508" s="89"/>
      <c r="AI508" s="89"/>
      <c r="AJ508" s="89"/>
      <c r="AK508" s="89"/>
      <c r="AL508" s="89"/>
      <c r="AM508" s="89"/>
      <c r="AN508" s="89"/>
      <c r="AO508" s="89"/>
      <c r="AP508" s="89"/>
      <c r="AQ508" s="89"/>
      <c r="AR508" s="89"/>
      <c r="AS508" s="89"/>
      <c r="AT508" s="89"/>
      <c r="AU508" s="89"/>
      <c r="AV508" s="89"/>
      <c r="AW508" s="100"/>
      <c r="AX508" s="100"/>
      <c r="AY508" s="89"/>
      <c r="AZ508" s="89"/>
      <c r="BA508" s="89"/>
      <c r="BB508" s="89"/>
      <c r="BC508" s="89"/>
      <c r="BD508" s="89"/>
      <c r="BE508" s="89"/>
      <c r="BF508" s="89"/>
      <c r="BG508" s="89"/>
      <c r="BH508" s="89"/>
      <c r="BI508" s="89"/>
      <c r="BJ508" s="89"/>
      <c r="BK508" s="89"/>
      <c r="BL508" s="89"/>
      <c r="BM508" s="89"/>
      <c r="BN508" s="89"/>
      <c r="BO508" s="89"/>
      <c r="BP508" s="89"/>
      <c r="BQ508" s="89"/>
      <c r="BR508" s="89"/>
      <c r="BS508" s="89"/>
    </row>
    <row r="509" spans="1:71" ht="27" customHeight="1" x14ac:dyDescent="0.2">
      <c r="A509" s="93"/>
      <c r="B509" s="89"/>
      <c r="C509" s="89"/>
      <c r="D509" s="89"/>
      <c r="E509" s="89"/>
      <c r="F509" s="89"/>
      <c r="G509" s="89"/>
      <c r="H509" s="94"/>
      <c r="I509" s="94"/>
      <c r="J509" s="94"/>
      <c r="K509" s="94"/>
      <c r="L509" s="94"/>
      <c r="M509" s="94"/>
      <c r="N509" s="94"/>
      <c r="O509" s="94"/>
      <c r="P509" s="94"/>
      <c r="Q509" s="94"/>
      <c r="R509" s="95"/>
      <c r="S509" s="94"/>
      <c r="T509" s="96"/>
      <c r="U509" s="94"/>
      <c r="V509" s="97"/>
      <c r="W509" s="94"/>
      <c r="X509" s="98"/>
      <c r="Y509" s="98"/>
      <c r="Z509" s="98"/>
      <c r="AA509" s="98"/>
      <c r="AB509" s="98"/>
      <c r="AC509" s="97"/>
      <c r="AD509" s="99"/>
      <c r="AE509" s="95"/>
      <c r="AF509" s="94"/>
      <c r="AG509" s="89"/>
      <c r="AH509" s="89"/>
      <c r="AI509" s="89"/>
      <c r="AJ509" s="89"/>
      <c r="AK509" s="89"/>
      <c r="AL509" s="89"/>
      <c r="AM509" s="89"/>
      <c r="AN509" s="89"/>
      <c r="AO509" s="89"/>
      <c r="AP509" s="89"/>
      <c r="AQ509" s="89"/>
      <c r="AR509" s="89"/>
      <c r="AS509" s="89"/>
      <c r="AT509" s="89"/>
      <c r="AU509" s="89"/>
      <c r="AV509" s="89"/>
      <c r="AW509" s="100"/>
      <c r="AX509" s="100"/>
      <c r="AY509" s="89"/>
      <c r="AZ509" s="89"/>
      <c r="BA509" s="89"/>
      <c r="BB509" s="89"/>
      <c r="BC509" s="89"/>
      <c r="BD509" s="89"/>
      <c r="BE509" s="89"/>
      <c r="BF509" s="89"/>
      <c r="BG509" s="89"/>
      <c r="BH509" s="89"/>
      <c r="BI509" s="89"/>
      <c r="BJ509" s="89"/>
      <c r="BK509" s="89"/>
      <c r="BL509" s="89"/>
      <c r="BM509" s="89"/>
      <c r="BN509" s="89"/>
      <c r="BO509" s="89"/>
      <c r="BP509" s="89"/>
      <c r="BQ509" s="89"/>
      <c r="BR509" s="89"/>
      <c r="BS509" s="89"/>
    </row>
    <row r="510" spans="1:71" ht="27" customHeight="1" x14ac:dyDescent="0.2">
      <c r="A510" s="93"/>
      <c r="B510" s="89"/>
      <c r="C510" s="89"/>
      <c r="D510" s="89"/>
      <c r="E510" s="89"/>
      <c r="F510" s="89"/>
      <c r="G510" s="89"/>
      <c r="H510" s="94"/>
      <c r="I510" s="94"/>
      <c r="J510" s="94"/>
      <c r="K510" s="94"/>
      <c r="L510" s="94"/>
      <c r="M510" s="94"/>
      <c r="N510" s="94"/>
      <c r="O510" s="94"/>
      <c r="P510" s="94"/>
      <c r="Q510" s="94"/>
      <c r="R510" s="95"/>
      <c r="S510" s="94"/>
      <c r="T510" s="96"/>
      <c r="U510" s="94"/>
      <c r="V510" s="97"/>
      <c r="W510" s="94"/>
      <c r="X510" s="98"/>
      <c r="Y510" s="98"/>
      <c r="Z510" s="98"/>
      <c r="AA510" s="98"/>
      <c r="AB510" s="98"/>
      <c r="AC510" s="97"/>
      <c r="AD510" s="99"/>
      <c r="AE510" s="95"/>
      <c r="AF510" s="94"/>
      <c r="AG510" s="89"/>
      <c r="AH510" s="89"/>
      <c r="AI510" s="89"/>
      <c r="AJ510" s="89"/>
      <c r="AK510" s="89"/>
      <c r="AL510" s="89"/>
      <c r="AM510" s="89"/>
      <c r="AN510" s="89"/>
      <c r="AO510" s="89"/>
      <c r="AP510" s="89"/>
      <c r="AQ510" s="89"/>
      <c r="AR510" s="89"/>
      <c r="AS510" s="89"/>
      <c r="AT510" s="89"/>
      <c r="AU510" s="89"/>
      <c r="AV510" s="89"/>
      <c r="AW510" s="100"/>
      <c r="AX510" s="100"/>
      <c r="AY510" s="89"/>
      <c r="AZ510" s="89"/>
      <c r="BA510" s="89"/>
      <c r="BB510" s="89"/>
      <c r="BC510" s="89"/>
      <c r="BD510" s="89"/>
      <c r="BE510" s="89"/>
      <c r="BF510" s="89"/>
      <c r="BG510" s="89"/>
      <c r="BH510" s="89"/>
      <c r="BI510" s="89"/>
      <c r="BJ510" s="89"/>
      <c r="BK510" s="89"/>
      <c r="BL510" s="89"/>
      <c r="BM510" s="89"/>
      <c r="BN510" s="89"/>
      <c r="BO510" s="89"/>
      <c r="BP510" s="89"/>
      <c r="BQ510" s="89"/>
      <c r="BR510" s="89"/>
      <c r="BS510" s="89"/>
    </row>
    <row r="511" spans="1:71" ht="27" customHeight="1" x14ac:dyDescent="0.2">
      <c r="A511" s="93"/>
      <c r="B511" s="89"/>
      <c r="C511" s="89"/>
      <c r="D511" s="89"/>
      <c r="E511" s="89"/>
      <c r="F511" s="89"/>
      <c r="G511" s="89"/>
      <c r="H511" s="94"/>
      <c r="I511" s="94"/>
      <c r="J511" s="94"/>
      <c r="K511" s="94"/>
      <c r="L511" s="94"/>
      <c r="M511" s="94"/>
      <c r="N511" s="94"/>
      <c r="O511" s="94"/>
      <c r="P511" s="94"/>
      <c r="Q511" s="94"/>
      <c r="R511" s="95"/>
      <c r="S511" s="94"/>
      <c r="T511" s="96"/>
      <c r="U511" s="94"/>
      <c r="V511" s="97"/>
      <c r="W511" s="94"/>
      <c r="X511" s="98"/>
      <c r="Y511" s="98"/>
      <c r="Z511" s="98"/>
      <c r="AA511" s="98"/>
      <c r="AB511" s="98"/>
      <c r="AC511" s="97"/>
      <c r="AD511" s="99"/>
      <c r="AE511" s="95"/>
      <c r="AF511" s="94"/>
      <c r="AG511" s="89"/>
      <c r="AH511" s="89"/>
      <c r="AI511" s="89"/>
      <c r="AJ511" s="89"/>
      <c r="AK511" s="89"/>
      <c r="AL511" s="89"/>
      <c r="AM511" s="89"/>
      <c r="AN511" s="89"/>
      <c r="AO511" s="89"/>
      <c r="AP511" s="89"/>
      <c r="AQ511" s="89"/>
      <c r="AR511" s="89"/>
      <c r="AS511" s="89"/>
      <c r="AT511" s="89"/>
      <c r="AU511" s="89"/>
      <c r="AV511" s="89"/>
      <c r="AW511" s="100"/>
      <c r="AX511" s="100"/>
      <c r="AY511" s="89"/>
      <c r="AZ511" s="89"/>
      <c r="BA511" s="89"/>
      <c r="BB511" s="89"/>
      <c r="BC511" s="89"/>
      <c r="BD511" s="89"/>
      <c r="BE511" s="89"/>
      <c r="BF511" s="89"/>
      <c r="BG511" s="89"/>
      <c r="BH511" s="89"/>
      <c r="BI511" s="89"/>
      <c r="BJ511" s="89"/>
      <c r="BK511" s="89"/>
      <c r="BL511" s="89"/>
      <c r="BM511" s="89"/>
      <c r="BN511" s="89"/>
      <c r="BO511" s="89"/>
      <c r="BP511" s="89"/>
      <c r="BQ511" s="89"/>
      <c r="BR511" s="89"/>
      <c r="BS511" s="89"/>
    </row>
    <row r="512" spans="1:71" ht="27" customHeight="1" x14ac:dyDescent="0.2">
      <c r="A512" s="93"/>
      <c r="B512" s="89"/>
      <c r="C512" s="89"/>
      <c r="D512" s="89"/>
      <c r="E512" s="89"/>
      <c r="F512" s="89"/>
      <c r="G512" s="89"/>
      <c r="H512" s="94"/>
      <c r="I512" s="94"/>
      <c r="J512" s="94"/>
      <c r="K512" s="94"/>
      <c r="L512" s="94"/>
      <c r="M512" s="94"/>
      <c r="N512" s="94"/>
      <c r="O512" s="94"/>
      <c r="P512" s="94"/>
      <c r="Q512" s="94"/>
      <c r="R512" s="95"/>
      <c r="S512" s="94"/>
      <c r="T512" s="96"/>
      <c r="U512" s="94"/>
      <c r="V512" s="97"/>
      <c r="W512" s="94"/>
      <c r="X512" s="98"/>
      <c r="Y512" s="98"/>
      <c r="Z512" s="98"/>
      <c r="AA512" s="98"/>
      <c r="AB512" s="98"/>
      <c r="AC512" s="97"/>
      <c r="AD512" s="99"/>
      <c r="AE512" s="95"/>
      <c r="AF512" s="94"/>
      <c r="AG512" s="89"/>
      <c r="AH512" s="89"/>
      <c r="AI512" s="89"/>
      <c r="AJ512" s="89"/>
      <c r="AK512" s="89"/>
      <c r="AL512" s="89"/>
      <c r="AM512" s="89"/>
      <c r="AN512" s="89"/>
      <c r="AO512" s="89"/>
      <c r="AP512" s="89"/>
      <c r="AQ512" s="89"/>
      <c r="AR512" s="89"/>
      <c r="AS512" s="89"/>
      <c r="AT512" s="89"/>
      <c r="AU512" s="89"/>
      <c r="AV512" s="89"/>
      <c r="AW512" s="100"/>
      <c r="AX512" s="100"/>
      <c r="AY512" s="89"/>
      <c r="AZ512" s="89"/>
      <c r="BA512" s="89"/>
      <c r="BB512" s="89"/>
      <c r="BC512" s="89"/>
      <c r="BD512" s="89"/>
      <c r="BE512" s="89"/>
      <c r="BF512" s="89"/>
      <c r="BG512" s="89"/>
      <c r="BH512" s="89"/>
      <c r="BI512" s="89"/>
      <c r="BJ512" s="89"/>
      <c r="BK512" s="89"/>
      <c r="BL512" s="89"/>
      <c r="BM512" s="89"/>
      <c r="BN512" s="89"/>
      <c r="BO512" s="89"/>
      <c r="BP512" s="89"/>
      <c r="BQ512" s="89"/>
      <c r="BR512" s="89"/>
      <c r="BS512" s="89"/>
    </row>
    <row r="513" spans="1:71" ht="27" customHeight="1" x14ac:dyDescent="0.2">
      <c r="A513" s="93"/>
      <c r="B513" s="89"/>
      <c r="C513" s="89"/>
      <c r="D513" s="89"/>
      <c r="E513" s="89"/>
      <c r="F513" s="89"/>
      <c r="G513" s="89"/>
      <c r="H513" s="94"/>
      <c r="I513" s="94"/>
      <c r="J513" s="94"/>
      <c r="K513" s="94"/>
      <c r="L513" s="94"/>
      <c r="M513" s="94"/>
      <c r="N513" s="94"/>
      <c r="O513" s="94"/>
      <c r="P513" s="94"/>
      <c r="Q513" s="94"/>
      <c r="R513" s="95"/>
      <c r="S513" s="94"/>
      <c r="T513" s="96"/>
      <c r="U513" s="94"/>
      <c r="V513" s="97"/>
      <c r="W513" s="94"/>
      <c r="X513" s="98"/>
      <c r="Y513" s="98"/>
      <c r="Z513" s="98"/>
      <c r="AA513" s="98"/>
      <c r="AB513" s="98"/>
      <c r="AC513" s="97"/>
      <c r="AD513" s="99"/>
      <c r="AE513" s="95"/>
      <c r="AF513" s="94"/>
      <c r="AG513" s="89"/>
      <c r="AH513" s="89"/>
      <c r="AI513" s="89"/>
      <c r="AJ513" s="89"/>
      <c r="AK513" s="89"/>
      <c r="AL513" s="89"/>
      <c r="AM513" s="89"/>
      <c r="AN513" s="89"/>
      <c r="AO513" s="89"/>
      <c r="AP513" s="89"/>
      <c r="AQ513" s="89"/>
      <c r="AR513" s="89"/>
      <c r="AS513" s="89"/>
      <c r="AT513" s="89"/>
      <c r="AU513" s="89"/>
      <c r="AV513" s="89"/>
      <c r="AW513" s="100"/>
      <c r="AX513" s="100"/>
      <c r="AY513" s="89"/>
      <c r="AZ513" s="89"/>
      <c r="BA513" s="89"/>
      <c r="BB513" s="89"/>
      <c r="BC513" s="89"/>
      <c r="BD513" s="89"/>
      <c r="BE513" s="89"/>
      <c r="BF513" s="89"/>
      <c r="BG513" s="89"/>
      <c r="BH513" s="89"/>
      <c r="BI513" s="89"/>
      <c r="BJ513" s="89"/>
      <c r="BK513" s="89"/>
      <c r="BL513" s="89"/>
      <c r="BM513" s="89"/>
      <c r="BN513" s="89"/>
      <c r="BO513" s="89"/>
      <c r="BP513" s="89"/>
      <c r="BQ513" s="89"/>
      <c r="BR513" s="89"/>
      <c r="BS513" s="89"/>
    </row>
    <row r="514" spans="1:71" ht="27" customHeight="1" x14ac:dyDescent="0.2">
      <c r="A514" s="93"/>
      <c r="B514" s="89"/>
      <c r="C514" s="89"/>
      <c r="D514" s="89"/>
      <c r="E514" s="89"/>
      <c r="F514" s="89"/>
      <c r="G514" s="89"/>
      <c r="H514" s="94"/>
      <c r="I514" s="94"/>
      <c r="J514" s="94"/>
      <c r="K514" s="94"/>
      <c r="L514" s="94"/>
      <c r="M514" s="94"/>
      <c r="N514" s="94"/>
      <c r="O514" s="94"/>
      <c r="P514" s="94"/>
      <c r="Q514" s="94"/>
      <c r="R514" s="95"/>
      <c r="S514" s="94"/>
      <c r="T514" s="96"/>
      <c r="U514" s="94"/>
      <c r="V514" s="97"/>
      <c r="W514" s="94"/>
      <c r="X514" s="98"/>
      <c r="Y514" s="98"/>
      <c r="Z514" s="98"/>
      <c r="AA514" s="98"/>
      <c r="AB514" s="98"/>
      <c r="AC514" s="97"/>
      <c r="AD514" s="99"/>
      <c r="AE514" s="95"/>
      <c r="AF514" s="94"/>
      <c r="AG514" s="89"/>
      <c r="AH514" s="89"/>
      <c r="AI514" s="89"/>
      <c r="AJ514" s="89"/>
      <c r="AK514" s="89"/>
      <c r="AL514" s="89"/>
      <c r="AM514" s="89"/>
      <c r="AN514" s="89"/>
      <c r="AO514" s="89"/>
      <c r="AP514" s="89"/>
      <c r="AQ514" s="89"/>
      <c r="AR514" s="89"/>
      <c r="AS514" s="89"/>
      <c r="AT514" s="89"/>
      <c r="AU514" s="89"/>
      <c r="AV514" s="89"/>
      <c r="AW514" s="100"/>
      <c r="AX514" s="100"/>
      <c r="AY514" s="89"/>
      <c r="AZ514" s="89"/>
      <c r="BA514" s="89"/>
      <c r="BB514" s="89"/>
      <c r="BC514" s="89"/>
      <c r="BD514" s="89"/>
      <c r="BE514" s="89"/>
      <c r="BF514" s="89"/>
      <c r="BG514" s="89"/>
      <c r="BH514" s="89"/>
      <c r="BI514" s="89"/>
      <c r="BJ514" s="89"/>
      <c r="BK514" s="89"/>
      <c r="BL514" s="89"/>
      <c r="BM514" s="89"/>
      <c r="BN514" s="89"/>
      <c r="BO514" s="89"/>
      <c r="BP514" s="89"/>
      <c r="BQ514" s="89"/>
      <c r="BR514" s="89"/>
      <c r="BS514" s="89"/>
    </row>
    <row r="515" spans="1:71" ht="27" customHeight="1" x14ac:dyDescent="0.2">
      <c r="A515" s="93"/>
      <c r="B515" s="89"/>
      <c r="C515" s="89"/>
      <c r="D515" s="89"/>
      <c r="E515" s="89"/>
      <c r="F515" s="89"/>
      <c r="G515" s="89"/>
      <c r="H515" s="94"/>
      <c r="I515" s="94"/>
      <c r="J515" s="94"/>
      <c r="K515" s="94"/>
      <c r="L515" s="94"/>
      <c r="M515" s="94"/>
      <c r="N515" s="94"/>
      <c r="O515" s="94"/>
      <c r="P515" s="94"/>
      <c r="Q515" s="94"/>
      <c r="R515" s="95"/>
      <c r="S515" s="94"/>
      <c r="T515" s="96"/>
      <c r="U515" s="94"/>
      <c r="V515" s="97"/>
      <c r="W515" s="94"/>
      <c r="X515" s="98"/>
      <c r="Y515" s="98"/>
      <c r="Z515" s="98"/>
      <c r="AA515" s="98"/>
      <c r="AB515" s="98"/>
      <c r="AC515" s="97"/>
      <c r="AD515" s="99"/>
      <c r="AE515" s="95"/>
      <c r="AF515" s="94"/>
      <c r="AG515" s="89"/>
      <c r="AH515" s="89"/>
      <c r="AI515" s="89"/>
      <c r="AJ515" s="89"/>
      <c r="AK515" s="89"/>
      <c r="AL515" s="89"/>
      <c r="AM515" s="89"/>
      <c r="AN515" s="89"/>
      <c r="AO515" s="89"/>
      <c r="AP515" s="89"/>
      <c r="AQ515" s="89"/>
      <c r="AR515" s="89"/>
      <c r="AS515" s="89"/>
      <c r="AT515" s="89"/>
      <c r="AU515" s="89"/>
      <c r="AV515" s="89"/>
      <c r="AW515" s="100"/>
      <c r="AX515" s="100"/>
      <c r="AY515" s="89"/>
      <c r="AZ515" s="89"/>
      <c r="BA515" s="89"/>
      <c r="BB515" s="89"/>
      <c r="BC515" s="89"/>
      <c r="BD515" s="89"/>
      <c r="BE515" s="89"/>
      <c r="BF515" s="89"/>
      <c r="BG515" s="89"/>
      <c r="BH515" s="89"/>
      <c r="BI515" s="89"/>
      <c r="BJ515" s="89"/>
      <c r="BK515" s="89"/>
      <c r="BL515" s="89"/>
      <c r="BM515" s="89"/>
      <c r="BN515" s="89"/>
      <c r="BO515" s="89"/>
      <c r="BP515" s="89"/>
      <c r="BQ515" s="89"/>
      <c r="BR515" s="89"/>
      <c r="BS515" s="89"/>
    </row>
    <row r="516" spans="1:71" ht="27" customHeight="1" x14ac:dyDescent="0.2">
      <c r="A516" s="93"/>
      <c r="B516" s="89"/>
      <c r="C516" s="89"/>
      <c r="D516" s="89"/>
      <c r="E516" s="89"/>
      <c r="F516" s="89"/>
      <c r="G516" s="89"/>
      <c r="H516" s="94"/>
      <c r="I516" s="94"/>
      <c r="J516" s="94"/>
      <c r="K516" s="94"/>
      <c r="L516" s="94"/>
      <c r="M516" s="94"/>
      <c r="N516" s="94"/>
      <c r="O516" s="94"/>
      <c r="P516" s="94"/>
      <c r="Q516" s="94"/>
      <c r="R516" s="95"/>
      <c r="S516" s="94"/>
      <c r="T516" s="96"/>
      <c r="U516" s="94"/>
      <c r="V516" s="97"/>
      <c r="W516" s="94"/>
      <c r="X516" s="98"/>
      <c r="Y516" s="98"/>
      <c r="Z516" s="98"/>
      <c r="AA516" s="98"/>
      <c r="AB516" s="98"/>
      <c r="AC516" s="97"/>
      <c r="AD516" s="99"/>
      <c r="AE516" s="95"/>
      <c r="AF516" s="94"/>
      <c r="AG516" s="89"/>
      <c r="AH516" s="89"/>
      <c r="AI516" s="89"/>
      <c r="AJ516" s="89"/>
      <c r="AK516" s="89"/>
      <c r="AL516" s="89"/>
      <c r="AM516" s="89"/>
      <c r="AN516" s="89"/>
      <c r="AO516" s="89"/>
      <c r="AP516" s="89"/>
      <c r="AQ516" s="89"/>
      <c r="AR516" s="89"/>
      <c r="AS516" s="89"/>
      <c r="AT516" s="89"/>
      <c r="AU516" s="89"/>
      <c r="AV516" s="89"/>
      <c r="AW516" s="100"/>
      <c r="AX516" s="100"/>
      <c r="AY516" s="89"/>
      <c r="AZ516" s="89"/>
      <c r="BA516" s="89"/>
      <c r="BB516" s="89"/>
      <c r="BC516" s="89"/>
      <c r="BD516" s="89"/>
      <c r="BE516" s="89"/>
      <c r="BF516" s="89"/>
      <c r="BG516" s="89"/>
      <c r="BH516" s="89"/>
      <c r="BI516" s="89"/>
      <c r="BJ516" s="89"/>
      <c r="BK516" s="89"/>
      <c r="BL516" s="89"/>
      <c r="BM516" s="89"/>
      <c r="BN516" s="89"/>
      <c r="BO516" s="89"/>
      <c r="BP516" s="89"/>
      <c r="BQ516" s="89"/>
      <c r="BR516" s="89"/>
      <c r="BS516" s="89"/>
    </row>
    <row r="517" spans="1:71" ht="27" customHeight="1" x14ac:dyDescent="0.2">
      <c r="A517" s="93"/>
      <c r="B517" s="89"/>
      <c r="C517" s="89"/>
      <c r="D517" s="89"/>
      <c r="E517" s="89"/>
      <c r="F517" s="89"/>
      <c r="G517" s="89"/>
      <c r="H517" s="94"/>
      <c r="I517" s="94"/>
      <c r="J517" s="94"/>
      <c r="K517" s="94"/>
      <c r="L517" s="94"/>
      <c r="M517" s="94"/>
      <c r="N517" s="94"/>
      <c r="O517" s="94"/>
      <c r="P517" s="94"/>
      <c r="Q517" s="94"/>
      <c r="R517" s="95"/>
      <c r="S517" s="94"/>
      <c r="T517" s="96"/>
      <c r="U517" s="94"/>
      <c r="V517" s="97"/>
      <c r="W517" s="94"/>
      <c r="X517" s="98"/>
      <c r="Y517" s="98"/>
      <c r="Z517" s="98"/>
      <c r="AA517" s="98"/>
      <c r="AB517" s="98"/>
      <c r="AC517" s="97"/>
      <c r="AD517" s="99"/>
      <c r="AE517" s="95"/>
      <c r="AF517" s="94"/>
      <c r="AG517" s="89"/>
      <c r="AH517" s="89"/>
      <c r="AI517" s="89"/>
      <c r="AJ517" s="89"/>
      <c r="AK517" s="89"/>
      <c r="AL517" s="89"/>
      <c r="AM517" s="89"/>
      <c r="AN517" s="89"/>
      <c r="AO517" s="89"/>
      <c r="AP517" s="89"/>
      <c r="AQ517" s="89"/>
      <c r="AR517" s="89"/>
      <c r="AS517" s="89"/>
      <c r="AT517" s="89"/>
      <c r="AU517" s="89"/>
      <c r="AV517" s="89"/>
      <c r="AW517" s="100"/>
      <c r="AX517" s="100"/>
      <c r="AY517" s="89"/>
      <c r="AZ517" s="89"/>
      <c r="BA517" s="89"/>
      <c r="BB517" s="89"/>
      <c r="BC517" s="89"/>
      <c r="BD517" s="89"/>
      <c r="BE517" s="89"/>
      <c r="BF517" s="89"/>
      <c r="BG517" s="89"/>
      <c r="BH517" s="89"/>
      <c r="BI517" s="89"/>
      <c r="BJ517" s="89"/>
      <c r="BK517" s="89"/>
      <c r="BL517" s="89"/>
      <c r="BM517" s="89"/>
      <c r="BN517" s="89"/>
      <c r="BO517" s="89"/>
      <c r="BP517" s="89"/>
      <c r="BQ517" s="89"/>
      <c r="BR517" s="89"/>
      <c r="BS517" s="89"/>
    </row>
    <row r="518" spans="1:71" ht="27" customHeight="1" x14ac:dyDescent="0.2">
      <c r="A518" s="93"/>
      <c r="B518" s="89"/>
      <c r="C518" s="89"/>
      <c r="D518" s="89"/>
      <c r="E518" s="89"/>
      <c r="F518" s="89"/>
      <c r="G518" s="89"/>
      <c r="H518" s="94"/>
      <c r="I518" s="94"/>
      <c r="J518" s="94"/>
      <c r="K518" s="94"/>
      <c r="L518" s="94"/>
      <c r="M518" s="94"/>
      <c r="N518" s="94"/>
      <c r="O518" s="94"/>
      <c r="P518" s="94"/>
      <c r="Q518" s="94"/>
      <c r="R518" s="95"/>
      <c r="S518" s="94"/>
      <c r="T518" s="96"/>
      <c r="U518" s="94"/>
      <c r="V518" s="97"/>
      <c r="W518" s="94"/>
      <c r="X518" s="98"/>
      <c r="Y518" s="98"/>
      <c r="Z518" s="98"/>
      <c r="AA518" s="98"/>
      <c r="AB518" s="98"/>
      <c r="AC518" s="97"/>
      <c r="AD518" s="99"/>
      <c r="AE518" s="95"/>
      <c r="AF518" s="94"/>
      <c r="AG518" s="89"/>
      <c r="AH518" s="89"/>
      <c r="AI518" s="89"/>
      <c r="AJ518" s="89"/>
      <c r="AK518" s="89"/>
      <c r="AL518" s="89"/>
      <c r="AM518" s="89"/>
      <c r="AN518" s="89"/>
      <c r="AO518" s="89"/>
      <c r="AP518" s="89"/>
      <c r="AQ518" s="89"/>
      <c r="AR518" s="89"/>
      <c r="AS518" s="89"/>
      <c r="AT518" s="89"/>
      <c r="AU518" s="89"/>
      <c r="AV518" s="89"/>
      <c r="AW518" s="100"/>
      <c r="AX518" s="100"/>
      <c r="AY518" s="89"/>
      <c r="AZ518" s="89"/>
      <c r="BA518" s="89"/>
      <c r="BB518" s="89"/>
      <c r="BC518" s="89"/>
      <c r="BD518" s="89"/>
      <c r="BE518" s="89"/>
      <c r="BF518" s="89"/>
      <c r="BG518" s="89"/>
      <c r="BH518" s="89"/>
      <c r="BI518" s="89"/>
      <c r="BJ518" s="89"/>
      <c r="BK518" s="89"/>
      <c r="BL518" s="89"/>
      <c r="BM518" s="89"/>
      <c r="BN518" s="89"/>
      <c r="BO518" s="89"/>
      <c r="BP518" s="89"/>
      <c r="BQ518" s="89"/>
      <c r="BR518" s="89"/>
      <c r="BS518" s="89"/>
    </row>
    <row r="519" spans="1:71" ht="27" customHeight="1" x14ac:dyDescent="0.2">
      <c r="A519" s="93"/>
      <c r="B519" s="89"/>
      <c r="C519" s="89"/>
      <c r="D519" s="89"/>
      <c r="E519" s="89"/>
      <c r="F519" s="89"/>
      <c r="G519" s="89"/>
      <c r="H519" s="94"/>
      <c r="I519" s="94"/>
      <c r="J519" s="94"/>
      <c r="K519" s="94"/>
      <c r="L519" s="94"/>
      <c r="M519" s="94"/>
      <c r="N519" s="94"/>
      <c r="O519" s="94"/>
      <c r="P519" s="94"/>
      <c r="Q519" s="94"/>
      <c r="R519" s="95"/>
      <c r="S519" s="94"/>
      <c r="T519" s="96"/>
      <c r="U519" s="94"/>
      <c r="V519" s="97"/>
      <c r="W519" s="94"/>
      <c r="X519" s="98"/>
      <c r="Y519" s="98"/>
      <c r="Z519" s="98"/>
      <c r="AA519" s="98"/>
      <c r="AB519" s="98"/>
      <c r="AC519" s="97"/>
      <c r="AD519" s="99"/>
      <c r="AE519" s="95"/>
      <c r="AF519" s="94"/>
      <c r="AG519" s="89"/>
      <c r="AH519" s="89"/>
      <c r="AI519" s="89"/>
      <c r="AJ519" s="89"/>
      <c r="AK519" s="89"/>
      <c r="AL519" s="89"/>
      <c r="AM519" s="89"/>
      <c r="AN519" s="89"/>
      <c r="AO519" s="89"/>
      <c r="AP519" s="89"/>
      <c r="AQ519" s="89"/>
      <c r="AR519" s="89"/>
      <c r="AS519" s="89"/>
      <c r="AT519" s="89"/>
      <c r="AU519" s="89"/>
      <c r="AV519" s="89"/>
      <c r="AW519" s="100"/>
      <c r="AX519" s="100"/>
      <c r="AY519" s="89"/>
      <c r="AZ519" s="89"/>
      <c r="BA519" s="89"/>
      <c r="BB519" s="89"/>
      <c r="BC519" s="89"/>
      <c r="BD519" s="89"/>
      <c r="BE519" s="89"/>
      <c r="BF519" s="89"/>
      <c r="BG519" s="89"/>
      <c r="BH519" s="89"/>
      <c r="BI519" s="89"/>
      <c r="BJ519" s="89"/>
      <c r="BK519" s="89"/>
      <c r="BL519" s="89"/>
      <c r="BM519" s="89"/>
      <c r="BN519" s="89"/>
      <c r="BO519" s="89"/>
      <c r="BP519" s="89"/>
      <c r="BQ519" s="89"/>
      <c r="BR519" s="89"/>
      <c r="BS519" s="89"/>
    </row>
    <row r="520" spans="1:71" ht="27" customHeight="1" x14ac:dyDescent="0.2">
      <c r="A520" s="93"/>
      <c r="B520" s="89"/>
      <c r="C520" s="89"/>
      <c r="D520" s="89"/>
      <c r="E520" s="89"/>
      <c r="F520" s="89"/>
      <c r="G520" s="89"/>
      <c r="H520" s="94"/>
      <c r="I520" s="94"/>
      <c r="J520" s="94"/>
      <c r="K520" s="94"/>
      <c r="L520" s="94"/>
      <c r="M520" s="94"/>
      <c r="N520" s="94"/>
      <c r="O520" s="94"/>
      <c r="P520" s="94"/>
      <c r="Q520" s="94"/>
      <c r="R520" s="95"/>
      <c r="S520" s="94"/>
      <c r="T520" s="96"/>
      <c r="U520" s="94"/>
      <c r="V520" s="97"/>
      <c r="W520" s="94"/>
      <c r="X520" s="98"/>
      <c r="Y520" s="98"/>
      <c r="Z520" s="98"/>
      <c r="AA520" s="98"/>
      <c r="AB520" s="98"/>
      <c r="AC520" s="97"/>
      <c r="AD520" s="99"/>
      <c r="AE520" s="95"/>
      <c r="AF520" s="94"/>
      <c r="AG520" s="89"/>
      <c r="AH520" s="89"/>
      <c r="AI520" s="89"/>
      <c r="AJ520" s="89"/>
      <c r="AK520" s="89"/>
      <c r="AL520" s="89"/>
      <c r="AM520" s="89"/>
      <c r="AN520" s="89"/>
      <c r="AO520" s="89"/>
      <c r="AP520" s="89"/>
      <c r="AQ520" s="89"/>
      <c r="AR520" s="89"/>
      <c r="AS520" s="89"/>
      <c r="AT520" s="89"/>
      <c r="AU520" s="89"/>
      <c r="AV520" s="89"/>
      <c r="AW520" s="100"/>
      <c r="AX520" s="100"/>
      <c r="AY520" s="89"/>
      <c r="AZ520" s="89"/>
      <c r="BA520" s="89"/>
      <c r="BB520" s="89"/>
      <c r="BC520" s="89"/>
      <c r="BD520" s="89"/>
      <c r="BE520" s="89"/>
      <c r="BF520" s="89"/>
      <c r="BG520" s="89"/>
      <c r="BH520" s="89"/>
      <c r="BI520" s="89"/>
      <c r="BJ520" s="89"/>
      <c r="BK520" s="89"/>
      <c r="BL520" s="89"/>
      <c r="BM520" s="89"/>
      <c r="BN520" s="89"/>
      <c r="BO520" s="89"/>
      <c r="BP520" s="89"/>
      <c r="BQ520" s="89"/>
      <c r="BR520" s="89"/>
      <c r="BS520" s="89"/>
    </row>
    <row r="521" spans="1:71" ht="27" customHeight="1" x14ac:dyDescent="0.2">
      <c r="A521" s="93"/>
      <c r="B521" s="89"/>
      <c r="C521" s="89"/>
      <c r="D521" s="89"/>
      <c r="E521" s="89"/>
      <c r="F521" s="89"/>
      <c r="G521" s="89"/>
      <c r="H521" s="94"/>
      <c r="I521" s="94"/>
      <c r="J521" s="94"/>
      <c r="K521" s="94"/>
      <c r="L521" s="94"/>
      <c r="M521" s="94"/>
      <c r="N521" s="94"/>
      <c r="O521" s="94"/>
      <c r="P521" s="94"/>
      <c r="Q521" s="94"/>
      <c r="R521" s="95"/>
      <c r="S521" s="94"/>
      <c r="T521" s="96"/>
      <c r="U521" s="94"/>
      <c r="V521" s="97"/>
      <c r="W521" s="94"/>
      <c r="X521" s="98"/>
      <c r="Y521" s="98"/>
      <c r="Z521" s="98"/>
      <c r="AA521" s="98"/>
      <c r="AB521" s="98"/>
      <c r="AC521" s="97"/>
      <c r="AD521" s="99"/>
      <c r="AE521" s="95"/>
      <c r="AF521" s="94"/>
      <c r="AG521" s="89"/>
      <c r="AH521" s="89"/>
      <c r="AI521" s="89"/>
      <c r="AJ521" s="89"/>
      <c r="AK521" s="89"/>
      <c r="AL521" s="89"/>
      <c r="AM521" s="89"/>
      <c r="AN521" s="89"/>
      <c r="AO521" s="89"/>
      <c r="AP521" s="89"/>
      <c r="AQ521" s="89"/>
      <c r="AR521" s="89"/>
      <c r="AS521" s="89"/>
      <c r="AT521" s="89"/>
      <c r="AU521" s="89"/>
      <c r="AV521" s="89"/>
      <c r="AW521" s="100"/>
      <c r="AX521" s="100"/>
      <c r="AY521" s="89"/>
      <c r="AZ521" s="89"/>
      <c r="BA521" s="89"/>
      <c r="BB521" s="89"/>
      <c r="BC521" s="89"/>
      <c r="BD521" s="89"/>
      <c r="BE521" s="89"/>
      <c r="BF521" s="89"/>
      <c r="BG521" s="89"/>
      <c r="BH521" s="89"/>
      <c r="BI521" s="89"/>
      <c r="BJ521" s="89"/>
      <c r="BK521" s="89"/>
      <c r="BL521" s="89"/>
      <c r="BM521" s="89"/>
      <c r="BN521" s="89"/>
      <c r="BO521" s="89"/>
      <c r="BP521" s="89"/>
      <c r="BQ521" s="89"/>
      <c r="BR521" s="89"/>
      <c r="BS521" s="89"/>
    </row>
    <row r="522" spans="1:71" ht="27" customHeight="1" x14ac:dyDescent="0.2">
      <c r="A522" s="93"/>
      <c r="B522" s="89"/>
      <c r="C522" s="89"/>
      <c r="D522" s="89"/>
      <c r="E522" s="89"/>
      <c r="F522" s="89"/>
      <c r="G522" s="89"/>
      <c r="H522" s="94"/>
      <c r="I522" s="94"/>
      <c r="J522" s="94"/>
      <c r="K522" s="94"/>
      <c r="L522" s="94"/>
      <c r="M522" s="94"/>
      <c r="N522" s="94"/>
      <c r="O522" s="94"/>
      <c r="P522" s="94"/>
      <c r="Q522" s="94"/>
      <c r="R522" s="95"/>
      <c r="S522" s="94"/>
      <c r="T522" s="96"/>
      <c r="U522" s="94"/>
      <c r="V522" s="97"/>
      <c r="W522" s="94"/>
      <c r="X522" s="98"/>
      <c r="Y522" s="98"/>
      <c r="Z522" s="98"/>
      <c r="AA522" s="98"/>
      <c r="AB522" s="98"/>
      <c r="AC522" s="97"/>
      <c r="AD522" s="99"/>
      <c r="AE522" s="95"/>
      <c r="AF522" s="94"/>
      <c r="AG522" s="89"/>
      <c r="AH522" s="89"/>
      <c r="AI522" s="89"/>
      <c r="AJ522" s="89"/>
      <c r="AK522" s="89"/>
      <c r="AL522" s="89"/>
      <c r="AM522" s="89"/>
      <c r="AN522" s="89"/>
      <c r="AO522" s="89"/>
      <c r="AP522" s="89"/>
      <c r="AQ522" s="89"/>
      <c r="AR522" s="89"/>
      <c r="AS522" s="89"/>
      <c r="AT522" s="89"/>
      <c r="AU522" s="89"/>
      <c r="AV522" s="89"/>
      <c r="AW522" s="100"/>
      <c r="AX522" s="100"/>
      <c r="AY522" s="89"/>
      <c r="AZ522" s="89"/>
      <c r="BA522" s="89"/>
      <c r="BB522" s="89"/>
      <c r="BC522" s="89"/>
      <c r="BD522" s="89"/>
      <c r="BE522" s="89"/>
      <c r="BF522" s="89"/>
      <c r="BG522" s="89"/>
      <c r="BH522" s="89"/>
      <c r="BI522" s="89"/>
      <c r="BJ522" s="89"/>
      <c r="BK522" s="89"/>
      <c r="BL522" s="89"/>
      <c r="BM522" s="89"/>
      <c r="BN522" s="89"/>
      <c r="BO522" s="89"/>
      <c r="BP522" s="89"/>
      <c r="BQ522" s="89"/>
      <c r="BR522" s="89"/>
      <c r="BS522" s="89"/>
    </row>
    <row r="523" spans="1:71" ht="27" customHeight="1" x14ac:dyDescent="0.2">
      <c r="A523" s="93"/>
      <c r="B523" s="89"/>
      <c r="C523" s="89"/>
      <c r="D523" s="89"/>
      <c r="E523" s="89"/>
      <c r="F523" s="89"/>
      <c r="G523" s="89"/>
      <c r="H523" s="94"/>
      <c r="I523" s="94"/>
      <c r="J523" s="94"/>
      <c r="K523" s="94"/>
      <c r="L523" s="94"/>
      <c r="M523" s="94"/>
      <c r="N523" s="94"/>
      <c r="O523" s="94"/>
      <c r="P523" s="94"/>
      <c r="Q523" s="94"/>
      <c r="R523" s="95"/>
      <c r="S523" s="94"/>
      <c r="T523" s="96"/>
      <c r="U523" s="94"/>
      <c r="V523" s="97"/>
      <c r="W523" s="94"/>
      <c r="X523" s="98"/>
      <c r="Y523" s="98"/>
      <c r="Z523" s="98"/>
      <c r="AA523" s="98"/>
      <c r="AB523" s="98"/>
      <c r="AC523" s="97"/>
      <c r="AD523" s="99"/>
      <c r="AE523" s="95"/>
      <c r="AF523" s="94"/>
      <c r="AG523" s="89"/>
      <c r="AH523" s="89"/>
      <c r="AI523" s="89"/>
      <c r="AJ523" s="89"/>
      <c r="AK523" s="89"/>
      <c r="AL523" s="89"/>
      <c r="AM523" s="89"/>
      <c r="AN523" s="89"/>
      <c r="AO523" s="89"/>
      <c r="AP523" s="89"/>
      <c r="AQ523" s="89"/>
      <c r="AR523" s="89"/>
      <c r="AS523" s="89"/>
      <c r="AT523" s="89"/>
      <c r="AU523" s="89"/>
      <c r="AV523" s="89"/>
      <c r="AW523" s="100"/>
      <c r="AX523" s="100"/>
      <c r="AY523" s="89"/>
      <c r="AZ523" s="89"/>
      <c r="BA523" s="89"/>
      <c r="BB523" s="89"/>
      <c r="BC523" s="89"/>
      <c r="BD523" s="89"/>
      <c r="BE523" s="89"/>
      <c r="BF523" s="89"/>
      <c r="BG523" s="89"/>
      <c r="BH523" s="89"/>
      <c r="BI523" s="89"/>
      <c r="BJ523" s="89"/>
      <c r="BK523" s="89"/>
      <c r="BL523" s="89"/>
      <c r="BM523" s="89"/>
      <c r="BN523" s="89"/>
      <c r="BO523" s="89"/>
      <c r="BP523" s="89"/>
      <c r="BQ523" s="89"/>
      <c r="BR523" s="89"/>
      <c r="BS523" s="89"/>
    </row>
    <row r="524" spans="1:71" ht="27" customHeight="1" x14ac:dyDescent="0.2">
      <c r="A524" s="93"/>
      <c r="B524" s="89"/>
      <c r="C524" s="89"/>
      <c r="D524" s="89"/>
      <c r="E524" s="89"/>
      <c r="F524" s="89"/>
      <c r="G524" s="89"/>
      <c r="H524" s="94"/>
      <c r="I524" s="94"/>
      <c r="J524" s="94"/>
      <c r="K524" s="94"/>
      <c r="L524" s="94"/>
      <c r="M524" s="94"/>
      <c r="N524" s="94"/>
      <c r="O524" s="94"/>
      <c r="P524" s="94"/>
      <c r="Q524" s="94"/>
      <c r="R524" s="95"/>
      <c r="S524" s="94"/>
      <c r="T524" s="96"/>
      <c r="U524" s="94"/>
      <c r="V524" s="97"/>
      <c r="W524" s="94"/>
      <c r="X524" s="98"/>
      <c r="Y524" s="98"/>
      <c r="Z524" s="98"/>
      <c r="AA524" s="98"/>
      <c r="AB524" s="98"/>
      <c r="AC524" s="97"/>
      <c r="AD524" s="99"/>
      <c r="AE524" s="95"/>
      <c r="AF524" s="94"/>
      <c r="AG524" s="89"/>
      <c r="AH524" s="89"/>
      <c r="AI524" s="89"/>
      <c r="AJ524" s="89"/>
      <c r="AK524" s="89"/>
      <c r="AL524" s="89"/>
      <c r="AM524" s="89"/>
      <c r="AN524" s="89"/>
      <c r="AO524" s="89"/>
      <c r="AP524" s="89"/>
      <c r="AQ524" s="89"/>
      <c r="AR524" s="89"/>
      <c r="AS524" s="89"/>
      <c r="AT524" s="89"/>
      <c r="AU524" s="89"/>
      <c r="AV524" s="89"/>
      <c r="AW524" s="100"/>
      <c r="AX524" s="100"/>
      <c r="AY524" s="89"/>
      <c r="AZ524" s="89"/>
      <c r="BA524" s="89"/>
      <c r="BB524" s="89"/>
      <c r="BC524" s="89"/>
      <c r="BD524" s="89"/>
      <c r="BE524" s="89"/>
      <c r="BF524" s="89"/>
      <c r="BG524" s="89"/>
      <c r="BH524" s="89"/>
      <c r="BI524" s="89"/>
      <c r="BJ524" s="89"/>
      <c r="BK524" s="89"/>
      <c r="BL524" s="89"/>
      <c r="BM524" s="89"/>
      <c r="BN524" s="89"/>
      <c r="BO524" s="89"/>
      <c r="BP524" s="89"/>
      <c r="BQ524" s="89"/>
      <c r="BR524" s="89"/>
      <c r="BS524" s="89"/>
    </row>
    <row r="525" spans="1:71" ht="27" customHeight="1" x14ac:dyDescent="0.2">
      <c r="A525" s="93"/>
      <c r="B525" s="89"/>
      <c r="C525" s="89"/>
      <c r="D525" s="89"/>
      <c r="E525" s="89"/>
      <c r="F525" s="89"/>
      <c r="G525" s="89"/>
      <c r="H525" s="94"/>
      <c r="I525" s="94"/>
      <c r="J525" s="94"/>
      <c r="K525" s="94"/>
      <c r="L525" s="94"/>
      <c r="M525" s="94"/>
      <c r="N525" s="94"/>
      <c r="O525" s="94"/>
      <c r="P525" s="94"/>
      <c r="Q525" s="94"/>
      <c r="R525" s="95"/>
      <c r="S525" s="94"/>
      <c r="T525" s="96"/>
      <c r="U525" s="94"/>
      <c r="V525" s="97"/>
      <c r="W525" s="94"/>
      <c r="X525" s="98"/>
      <c r="Y525" s="98"/>
      <c r="Z525" s="98"/>
      <c r="AA525" s="98"/>
      <c r="AB525" s="98"/>
      <c r="AC525" s="97"/>
      <c r="AD525" s="99"/>
      <c r="AE525" s="95"/>
      <c r="AF525" s="94"/>
      <c r="AG525" s="89"/>
      <c r="AH525" s="89"/>
      <c r="AI525" s="89"/>
      <c r="AJ525" s="89"/>
      <c r="AK525" s="89"/>
      <c r="AL525" s="89"/>
      <c r="AM525" s="89"/>
      <c r="AN525" s="89"/>
      <c r="AO525" s="89"/>
      <c r="AP525" s="89"/>
      <c r="AQ525" s="89"/>
      <c r="AR525" s="89"/>
      <c r="AS525" s="89"/>
      <c r="AT525" s="89"/>
      <c r="AU525" s="89"/>
      <c r="AV525" s="89"/>
      <c r="AW525" s="100"/>
      <c r="AX525" s="100"/>
      <c r="AY525" s="89"/>
      <c r="AZ525" s="89"/>
      <c r="BA525" s="89"/>
      <c r="BB525" s="89"/>
      <c r="BC525" s="89"/>
      <c r="BD525" s="89"/>
      <c r="BE525" s="89"/>
      <c r="BF525" s="89"/>
      <c r="BG525" s="89"/>
      <c r="BH525" s="89"/>
      <c r="BI525" s="89"/>
      <c r="BJ525" s="89"/>
      <c r="BK525" s="89"/>
      <c r="BL525" s="89"/>
      <c r="BM525" s="89"/>
      <c r="BN525" s="89"/>
      <c r="BO525" s="89"/>
      <c r="BP525" s="89"/>
      <c r="BQ525" s="89"/>
      <c r="BR525" s="89"/>
      <c r="BS525" s="89"/>
    </row>
    <row r="526" spans="1:71" ht="27" customHeight="1" x14ac:dyDescent="0.2">
      <c r="A526" s="93"/>
      <c r="B526" s="89"/>
      <c r="C526" s="89"/>
      <c r="D526" s="89"/>
      <c r="E526" s="89"/>
      <c r="F526" s="89"/>
      <c r="G526" s="89"/>
      <c r="H526" s="94"/>
      <c r="I526" s="94"/>
      <c r="J526" s="94"/>
      <c r="K526" s="94"/>
      <c r="L526" s="94"/>
      <c r="M526" s="94"/>
      <c r="N526" s="94"/>
      <c r="O526" s="94"/>
      <c r="P526" s="94"/>
      <c r="Q526" s="94"/>
      <c r="R526" s="95"/>
      <c r="S526" s="94"/>
      <c r="T526" s="96"/>
      <c r="U526" s="94"/>
      <c r="V526" s="97"/>
      <c r="W526" s="94"/>
      <c r="X526" s="98"/>
      <c r="Y526" s="98"/>
      <c r="Z526" s="98"/>
      <c r="AA526" s="98"/>
      <c r="AB526" s="98"/>
      <c r="AC526" s="97"/>
      <c r="AD526" s="99"/>
      <c r="AE526" s="95"/>
      <c r="AF526" s="94"/>
      <c r="AG526" s="89"/>
      <c r="AH526" s="89"/>
      <c r="AI526" s="89"/>
      <c r="AJ526" s="89"/>
      <c r="AK526" s="89"/>
      <c r="AL526" s="89"/>
      <c r="AM526" s="89"/>
      <c r="AN526" s="89"/>
      <c r="AO526" s="89"/>
      <c r="AP526" s="89"/>
      <c r="AQ526" s="89"/>
      <c r="AR526" s="89"/>
      <c r="AS526" s="89"/>
      <c r="AT526" s="89"/>
      <c r="AU526" s="89"/>
      <c r="AV526" s="89"/>
      <c r="AW526" s="100"/>
      <c r="AX526" s="100"/>
      <c r="AY526" s="89"/>
      <c r="AZ526" s="89"/>
      <c r="BA526" s="89"/>
      <c r="BB526" s="89"/>
      <c r="BC526" s="89"/>
      <c r="BD526" s="89"/>
      <c r="BE526" s="89"/>
      <c r="BF526" s="89"/>
      <c r="BG526" s="89"/>
      <c r="BH526" s="89"/>
      <c r="BI526" s="89"/>
      <c r="BJ526" s="89"/>
      <c r="BK526" s="89"/>
      <c r="BL526" s="89"/>
      <c r="BM526" s="89"/>
      <c r="BN526" s="89"/>
      <c r="BO526" s="89"/>
      <c r="BP526" s="89"/>
      <c r="BQ526" s="89"/>
      <c r="BR526" s="89"/>
      <c r="BS526" s="89"/>
    </row>
    <row r="527" spans="1:71" ht="27" customHeight="1" x14ac:dyDescent="0.2">
      <c r="A527" s="93"/>
      <c r="B527" s="89"/>
      <c r="C527" s="89"/>
      <c r="D527" s="89"/>
      <c r="E527" s="89"/>
      <c r="F527" s="89"/>
      <c r="G527" s="89"/>
      <c r="H527" s="94"/>
      <c r="I527" s="94"/>
      <c r="J527" s="94"/>
      <c r="K527" s="94"/>
      <c r="L527" s="94"/>
      <c r="M527" s="94"/>
      <c r="N527" s="94"/>
      <c r="O527" s="94"/>
      <c r="P527" s="94"/>
      <c r="Q527" s="94"/>
      <c r="R527" s="95"/>
      <c r="S527" s="94"/>
      <c r="T527" s="96"/>
      <c r="U527" s="94"/>
      <c r="V527" s="97"/>
      <c r="W527" s="94"/>
      <c r="X527" s="98"/>
      <c r="Y527" s="98"/>
      <c r="Z527" s="98"/>
      <c r="AA527" s="98"/>
      <c r="AB527" s="98"/>
      <c r="AC527" s="97"/>
      <c r="AD527" s="99"/>
      <c r="AE527" s="95"/>
      <c r="AF527" s="94"/>
      <c r="AG527" s="89"/>
      <c r="AH527" s="89"/>
      <c r="AI527" s="89"/>
      <c r="AJ527" s="89"/>
      <c r="AK527" s="89"/>
      <c r="AL527" s="89"/>
      <c r="AM527" s="89"/>
      <c r="AN527" s="89"/>
      <c r="AO527" s="89"/>
      <c r="AP527" s="89"/>
      <c r="AQ527" s="89"/>
      <c r="AR527" s="89"/>
      <c r="AS527" s="89"/>
      <c r="AT527" s="89"/>
      <c r="AU527" s="89"/>
      <c r="AV527" s="89"/>
      <c r="AW527" s="100"/>
      <c r="AX527" s="100"/>
      <c r="AY527" s="89"/>
      <c r="AZ527" s="89"/>
      <c r="BA527" s="89"/>
      <c r="BB527" s="89"/>
      <c r="BC527" s="89"/>
      <c r="BD527" s="89"/>
      <c r="BE527" s="89"/>
      <c r="BF527" s="89"/>
      <c r="BG527" s="89"/>
      <c r="BH527" s="89"/>
      <c r="BI527" s="89"/>
      <c r="BJ527" s="89"/>
      <c r="BK527" s="89"/>
      <c r="BL527" s="89"/>
      <c r="BM527" s="89"/>
      <c r="BN527" s="89"/>
      <c r="BO527" s="89"/>
      <c r="BP527" s="89"/>
      <c r="BQ527" s="89"/>
      <c r="BR527" s="89"/>
      <c r="BS527" s="89"/>
    </row>
    <row r="528" spans="1:71" ht="27" customHeight="1" x14ac:dyDescent="0.2">
      <c r="A528" s="93"/>
      <c r="B528" s="89"/>
      <c r="C528" s="89"/>
      <c r="D528" s="89"/>
      <c r="E528" s="89"/>
      <c r="F528" s="89"/>
      <c r="G528" s="89"/>
      <c r="H528" s="94"/>
      <c r="I528" s="94"/>
      <c r="J528" s="94"/>
      <c r="K528" s="94"/>
      <c r="L528" s="94"/>
      <c r="M528" s="94"/>
      <c r="N528" s="94"/>
      <c r="O528" s="94"/>
      <c r="P528" s="94"/>
      <c r="Q528" s="94"/>
      <c r="R528" s="95"/>
      <c r="S528" s="94"/>
      <c r="T528" s="96"/>
      <c r="U528" s="94"/>
      <c r="V528" s="97"/>
      <c r="W528" s="94"/>
      <c r="X528" s="98"/>
      <c r="Y528" s="98"/>
      <c r="Z528" s="98"/>
      <c r="AA528" s="98"/>
      <c r="AB528" s="98"/>
      <c r="AC528" s="97"/>
      <c r="AD528" s="99"/>
      <c r="AE528" s="95"/>
      <c r="AF528" s="94"/>
      <c r="AG528" s="89"/>
      <c r="AH528" s="89"/>
      <c r="AI528" s="89"/>
      <c r="AJ528" s="89"/>
      <c r="AK528" s="89"/>
      <c r="AL528" s="89"/>
      <c r="AM528" s="89"/>
      <c r="AN528" s="89"/>
      <c r="AO528" s="89"/>
      <c r="AP528" s="89"/>
      <c r="AQ528" s="89"/>
      <c r="AR528" s="89"/>
      <c r="AS528" s="89"/>
      <c r="AT528" s="89"/>
      <c r="AU528" s="89"/>
      <c r="AV528" s="89"/>
      <c r="AW528" s="100"/>
      <c r="AX528" s="100"/>
      <c r="AY528" s="89"/>
      <c r="AZ528" s="89"/>
      <c r="BA528" s="89"/>
      <c r="BB528" s="89"/>
      <c r="BC528" s="89"/>
      <c r="BD528" s="89"/>
      <c r="BE528" s="89"/>
      <c r="BF528" s="89"/>
      <c r="BG528" s="89"/>
      <c r="BH528" s="89"/>
      <c r="BI528" s="89"/>
      <c r="BJ528" s="89"/>
      <c r="BK528" s="89"/>
      <c r="BL528" s="89"/>
      <c r="BM528" s="89"/>
      <c r="BN528" s="89"/>
      <c r="BO528" s="89"/>
      <c r="BP528" s="89"/>
      <c r="BQ528" s="89"/>
      <c r="BR528" s="89"/>
      <c r="BS528" s="89"/>
    </row>
    <row r="529" spans="1:71" ht="27" customHeight="1" x14ac:dyDescent="0.2">
      <c r="A529" s="93"/>
      <c r="B529" s="89"/>
      <c r="C529" s="89"/>
      <c r="D529" s="89"/>
      <c r="E529" s="89"/>
      <c r="F529" s="89"/>
      <c r="G529" s="89"/>
      <c r="H529" s="94"/>
      <c r="I529" s="94"/>
      <c r="J529" s="94"/>
      <c r="K529" s="94"/>
      <c r="L529" s="94"/>
      <c r="M529" s="94"/>
      <c r="N529" s="94"/>
      <c r="O529" s="94"/>
      <c r="P529" s="94"/>
      <c r="Q529" s="94"/>
      <c r="R529" s="95"/>
      <c r="S529" s="94"/>
      <c r="T529" s="96"/>
      <c r="U529" s="94"/>
      <c r="V529" s="97"/>
      <c r="W529" s="94"/>
      <c r="X529" s="98"/>
      <c r="Y529" s="98"/>
      <c r="Z529" s="98"/>
      <c r="AA529" s="98"/>
      <c r="AB529" s="98"/>
      <c r="AC529" s="97"/>
      <c r="AD529" s="99"/>
      <c r="AE529" s="95"/>
      <c r="AF529" s="94"/>
      <c r="AG529" s="89"/>
      <c r="AH529" s="89"/>
      <c r="AI529" s="89"/>
      <c r="AJ529" s="89"/>
      <c r="AK529" s="89"/>
      <c r="AL529" s="89"/>
      <c r="AM529" s="89"/>
      <c r="AN529" s="89"/>
      <c r="AO529" s="89"/>
      <c r="AP529" s="89"/>
      <c r="AQ529" s="89"/>
      <c r="AR529" s="89"/>
      <c r="AS529" s="89"/>
      <c r="AT529" s="89"/>
      <c r="AU529" s="89"/>
      <c r="AV529" s="89"/>
      <c r="AW529" s="100"/>
      <c r="AX529" s="100"/>
      <c r="AY529" s="89"/>
      <c r="AZ529" s="89"/>
      <c r="BA529" s="89"/>
      <c r="BB529" s="89"/>
      <c r="BC529" s="89"/>
      <c r="BD529" s="89"/>
      <c r="BE529" s="89"/>
      <c r="BF529" s="89"/>
      <c r="BG529" s="89"/>
      <c r="BH529" s="89"/>
      <c r="BI529" s="89"/>
      <c r="BJ529" s="89"/>
      <c r="BK529" s="89"/>
      <c r="BL529" s="89"/>
      <c r="BM529" s="89"/>
      <c r="BN529" s="89"/>
      <c r="BO529" s="89"/>
      <c r="BP529" s="89"/>
      <c r="BQ529" s="89"/>
      <c r="BR529" s="89"/>
      <c r="BS529" s="89"/>
    </row>
    <row r="530" spans="1:71" ht="27" customHeight="1" x14ac:dyDescent="0.2">
      <c r="A530" s="93"/>
      <c r="B530" s="89"/>
      <c r="C530" s="89"/>
      <c r="D530" s="89"/>
      <c r="E530" s="89"/>
      <c r="F530" s="89"/>
      <c r="G530" s="89"/>
      <c r="H530" s="94"/>
      <c r="I530" s="94"/>
      <c r="J530" s="94"/>
      <c r="K530" s="94"/>
      <c r="L530" s="94"/>
      <c r="M530" s="94"/>
      <c r="N530" s="94"/>
      <c r="O530" s="94"/>
      <c r="P530" s="94"/>
      <c r="Q530" s="94"/>
      <c r="R530" s="95"/>
      <c r="S530" s="94"/>
      <c r="T530" s="96"/>
      <c r="U530" s="94"/>
      <c r="V530" s="97"/>
      <c r="W530" s="94"/>
      <c r="X530" s="98"/>
      <c r="Y530" s="98"/>
      <c r="Z530" s="98"/>
      <c r="AA530" s="98"/>
      <c r="AB530" s="98"/>
      <c r="AC530" s="97"/>
      <c r="AD530" s="99"/>
      <c r="AE530" s="95"/>
      <c r="AF530" s="94"/>
      <c r="AG530" s="89"/>
      <c r="AH530" s="89"/>
      <c r="AI530" s="89"/>
      <c r="AJ530" s="89"/>
      <c r="AK530" s="89"/>
      <c r="AL530" s="89"/>
      <c r="AM530" s="89"/>
      <c r="AN530" s="89"/>
      <c r="AO530" s="89"/>
      <c r="AP530" s="89"/>
      <c r="AQ530" s="89"/>
      <c r="AR530" s="89"/>
      <c r="AS530" s="89"/>
      <c r="AT530" s="89"/>
      <c r="AU530" s="89"/>
      <c r="AV530" s="89"/>
      <c r="AW530" s="100"/>
      <c r="AX530" s="100"/>
      <c r="AY530" s="89"/>
      <c r="AZ530" s="89"/>
      <c r="BA530" s="89"/>
      <c r="BB530" s="89"/>
      <c r="BC530" s="89"/>
      <c r="BD530" s="89"/>
      <c r="BE530" s="89"/>
      <c r="BF530" s="89"/>
      <c r="BG530" s="89"/>
      <c r="BH530" s="89"/>
      <c r="BI530" s="89"/>
      <c r="BJ530" s="89"/>
      <c r="BK530" s="89"/>
      <c r="BL530" s="89"/>
      <c r="BM530" s="89"/>
      <c r="BN530" s="89"/>
      <c r="BO530" s="89"/>
      <c r="BP530" s="89"/>
      <c r="BQ530" s="89"/>
      <c r="BR530" s="89"/>
      <c r="BS530" s="89"/>
    </row>
    <row r="531" spans="1:71" ht="27" customHeight="1" x14ac:dyDescent="0.2">
      <c r="A531" s="93"/>
      <c r="B531" s="89"/>
      <c r="C531" s="89"/>
      <c r="D531" s="89"/>
      <c r="E531" s="89"/>
      <c r="F531" s="89"/>
      <c r="G531" s="89"/>
      <c r="H531" s="94"/>
      <c r="I531" s="94"/>
      <c r="J531" s="94"/>
      <c r="K531" s="94"/>
      <c r="L531" s="94"/>
      <c r="M531" s="94"/>
      <c r="N531" s="94"/>
      <c r="O531" s="94"/>
      <c r="P531" s="94"/>
      <c r="Q531" s="94"/>
      <c r="R531" s="95"/>
      <c r="S531" s="94"/>
      <c r="T531" s="96"/>
      <c r="U531" s="94"/>
      <c r="V531" s="97"/>
      <c r="W531" s="94"/>
      <c r="X531" s="98"/>
      <c r="Y531" s="98"/>
      <c r="Z531" s="98"/>
      <c r="AA531" s="98"/>
      <c r="AB531" s="98"/>
      <c r="AC531" s="97"/>
      <c r="AD531" s="99"/>
      <c r="AE531" s="95"/>
      <c r="AF531" s="94"/>
      <c r="AG531" s="89"/>
      <c r="AH531" s="89"/>
      <c r="AI531" s="89"/>
      <c r="AJ531" s="89"/>
      <c r="AK531" s="89"/>
      <c r="AL531" s="89"/>
      <c r="AM531" s="89"/>
      <c r="AN531" s="89"/>
      <c r="AO531" s="89"/>
      <c r="AP531" s="89"/>
      <c r="AQ531" s="89"/>
      <c r="AR531" s="89"/>
      <c r="AS531" s="89"/>
      <c r="AT531" s="89"/>
      <c r="AU531" s="89"/>
      <c r="AV531" s="89"/>
      <c r="AW531" s="100"/>
      <c r="AX531" s="100"/>
      <c r="AY531" s="89"/>
      <c r="AZ531" s="89"/>
      <c r="BA531" s="89"/>
      <c r="BB531" s="89"/>
      <c r="BC531" s="89"/>
      <c r="BD531" s="89"/>
      <c r="BE531" s="89"/>
      <c r="BF531" s="89"/>
      <c r="BG531" s="89"/>
      <c r="BH531" s="89"/>
      <c r="BI531" s="89"/>
      <c r="BJ531" s="89"/>
      <c r="BK531" s="89"/>
      <c r="BL531" s="89"/>
      <c r="BM531" s="89"/>
      <c r="BN531" s="89"/>
      <c r="BO531" s="89"/>
      <c r="BP531" s="89"/>
      <c r="BQ531" s="89"/>
      <c r="BR531" s="89"/>
      <c r="BS531" s="89"/>
    </row>
    <row r="532" spans="1:71" ht="27" customHeight="1" x14ac:dyDescent="0.2">
      <c r="A532" s="93"/>
      <c r="B532" s="89"/>
      <c r="C532" s="89"/>
      <c r="D532" s="89"/>
      <c r="E532" s="89"/>
      <c r="F532" s="89"/>
      <c r="G532" s="89"/>
      <c r="H532" s="94"/>
      <c r="I532" s="94"/>
      <c r="J532" s="94"/>
      <c r="K532" s="94"/>
      <c r="L532" s="94"/>
      <c r="M532" s="94"/>
      <c r="N532" s="94"/>
      <c r="O532" s="94"/>
      <c r="P532" s="94"/>
      <c r="Q532" s="94"/>
      <c r="R532" s="95"/>
      <c r="S532" s="94"/>
      <c r="T532" s="96"/>
      <c r="U532" s="94"/>
      <c r="V532" s="97"/>
      <c r="W532" s="94"/>
      <c r="X532" s="98"/>
      <c r="Y532" s="98"/>
      <c r="Z532" s="98"/>
      <c r="AA532" s="98"/>
      <c r="AB532" s="98"/>
      <c r="AC532" s="97"/>
      <c r="AD532" s="99"/>
      <c r="AE532" s="95"/>
      <c r="AF532" s="94"/>
      <c r="AG532" s="89"/>
      <c r="AH532" s="89"/>
      <c r="AI532" s="89"/>
      <c r="AJ532" s="89"/>
      <c r="AK532" s="89"/>
      <c r="AL532" s="89"/>
      <c r="AM532" s="89"/>
      <c r="AN532" s="89"/>
      <c r="AO532" s="89"/>
      <c r="AP532" s="89"/>
      <c r="AQ532" s="89"/>
      <c r="AR532" s="89"/>
      <c r="AS532" s="89"/>
      <c r="AT532" s="89"/>
      <c r="AU532" s="89"/>
      <c r="AV532" s="89"/>
      <c r="AW532" s="100"/>
      <c r="AX532" s="100"/>
      <c r="AY532" s="89"/>
      <c r="AZ532" s="89"/>
      <c r="BA532" s="89"/>
      <c r="BB532" s="89"/>
      <c r="BC532" s="89"/>
      <c r="BD532" s="89"/>
      <c r="BE532" s="89"/>
      <c r="BF532" s="89"/>
      <c r="BG532" s="89"/>
      <c r="BH532" s="89"/>
      <c r="BI532" s="89"/>
      <c r="BJ532" s="89"/>
      <c r="BK532" s="89"/>
      <c r="BL532" s="89"/>
      <c r="BM532" s="89"/>
      <c r="BN532" s="89"/>
      <c r="BO532" s="89"/>
      <c r="BP532" s="89"/>
      <c r="BQ532" s="89"/>
      <c r="BR532" s="89"/>
      <c r="BS532" s="89"/>
    </row>
    <row r="533" spans="1:71" ht="27" customHeight="1" x14ac:dyDescent="0.2">
      <c r="A533" s="93"/>
      <c r="B533" s="89"/>
      <c r="C533" s="89"/>
      <c r="D533" s="89"/>
      <c r="E533" s="89"/>
      <c r="F533" s="89"/>
      <c r="G533" s="89"/>
      <c r="H533" s="94"/>
      <c r="I533" s="94"/>
      <c r="J533" s="94"/>
      <c r="K533" s="94"/>
      <c r="L533" s="94"/>
      <c r="M533" s="94"/>
      <c r="N533" s="94"/>
      <c r="O533" s="94"/>
      <c r="P533" s="94"/>
      <c r="Q533" s="94"/>
      <c r="R533" s="95"/>
      <c r="S533" s="94"/>
      <c r="T533" s="96"/>
      <c r="U533" s="94"/>
      <c r="V533" s="97"/>
      <c r="W533" s="94"/>
      <c r="X533" s="98"/>
      <c r="Y533" s="98"/>
      <c r="Z533" s="98"/>
      <c r="AA533" s="98"/>
      <c r="AB533" s="98"/>
      <c r="AC533" s="97"/>
      <c r="AD533" s="99"/>
      <c r="AE533" s="95"/>
      <c r="AF533" s="94"/>
      <c r="AG533" s="89"/>
      <c r="AH533" s="89"/>
      <c r="AI533" s="89"/>
      <c r="AJ533" s="89"/>
      <c r="AK533" s="89"/>
      <c r="AL533" s="89"/>
      <c r="AM533" s="89"/>
      <c r="AN533" s="89"/>
      <c r="AO533" s="89"/>
      <c r="AP533" s="89"/>
      <c r="AQ533" s="89"/>
      <c r="AR533" s="89"/>
      <c r="AS533" s="89"/>
      <c r="AT533" s="89"/>
      <c r="AU533" s="89"/>
      <c r="AV533" s="89"/>
      <c r="AW533" s="100"/>
      <c r="AX533" s="100"/>
      <c r="AY533" s="89"/>
      <c r="AZ533" s="89"/>
      <c r="BA533" s="89"/>
      <c r="BB533" s="89"/>
      <c r="BC533" s="89"/>
      <c r="BD533" s="89"/>
      <c r="BE533" s="89"/>
      <c r="BF533" s="89"/>
      <c r="BG533" s="89"/>
      <c r="BH533" s="89"/>
      <c r="BI533" s="89"/>
      <c r="BJ533" s="89"/>
      <c r="BK533" s="89"/>
      <c r="BL533" s="89"/>
      <c r="BM533" s="89"/>
      <c r="BN533" s="89"/>
      <c r="BO533" s="89"/>
      <c r="BP533" s="89"/>
      <c r="BQ533" s="89"/>
      <c r="BR533" s="89"/>
      <c r="BS533" s="89"/>
    </row>
    <row r="534" spans="1:71" ht="27" customHeight="1" x14ac:dyDescent="0.2">
      <c r="A534" s="93"/>
      <c r="B534" s="89"/>
      <c r="C534" s="89"/>
      <c r="D534" s="89"/>
      <c r="E534" s="89"/>
      <c r="F534" s="89"/>
      <c r="G534" s="89"/>
      <c r="H534" s="94"/>
      <c r="I534" s="94"/>
      <c r="J534" s="94"/>
      <c r="K534" s="94"/>
      <c r="L534" s="94"/>
      <c r="M534" s="94"/>
      <c r="N534" s="94"/>
      <c r="O534" s="94"/>
      <c r="P534" s="94"/>
      <c r="Q534" s="94"/>
      <c r="R534" s="95"/>
      <c r="S534" s="94"/>
      <c r="T534" s="96"/>
      <c r="U534" s="94"/>
      <c r="V534" s="97"/>
      <c r="W534" s="94"/>
      <c r="X534" s="98"/>
      <c r="Y534" s="98"/>
      <c r="Z534" s="98"/>
      <c r="AA534" s="98"/>
      <c r="AB534" s="98"/>
      <c r="AC534" s="97"/>
      <c r="AD534" s="99"/>
      <c r="AE534" s="95"/>
      <c r="AF534" s="94"/>
      <c r="AG534" s="89"/>
      <c r="AH534" s="89"/>
      <c r="AI534" s="89"/>
      <c r="AJ534" s="89"/>
      <c r="AK534" s="89"/>
      <c r="AL534" s="89"/>
      <c r="AM534" s="89"/>
      <c r="AN534" s="89"/>
      <c r="AO534" s="89"/>
      <c r="AP534" s="89"/>
      <c r="AQ534" s="89"/>
      <c r="AR534" s="89"/>
      <c r="AS534" s="89"/>
      <c r="AT534" s="89"/>
      <c r="AU534" s="89"/>
      <c r="AV534" s="89"/>
      <c r="AW534" s="100"/>
      <c r="AX534" s="100"/>
      <c r="AY534" s="89"/>
      <c r="AZ534" s="89"/>
      <c r="BA534" s="89"/>
      <c r="BB534" s="89"/>
      <c r="BC534" s="89"/>
      <c r="BD534" s="89"/>
      <c r="BE534" s="89"/>
      <c r="BF534" s="89"/>
      <c r="BG534" s="89"/>
      <c r="BH534" s="89"/>
      <c r="BI534" s="89"/>
      <c r="BJ534" s="89"/>
      <c r="BK534" s="89"/>
      <c r="BL534" s="89"/>
      <c r="BM534" s="89"/>
      <c r="BN534" s="89"/>
      <c r="BO534" s="89"/>
      <c r="BP534" s="89"/>
      <c r="BQ534" s="89"/>
      <c r="BR534" s="89"/>
      <c r="BS534" s="89"/>
    </row>
    <row r="535" spans="1:71" ht="27" customHeight="1" x14ac:dyDescent="0.2">
      <c r="A535" s="93"/>
      <c r="B535" s="89"/>
      <c r="C535" s="89"/>
      <c r="D535" s="89"/>
      <c r="E535" s="89"/>
      <c r="F535" s="89"/>
      <c r="G535" s="89"/>
      <c r="H535" s="94"/>
      <c r="I535" s="94"/>
      <c r="J535" s="94"/>
      <c r="K535" s="94"/>
      <c r="L535" s="94"/>
      <c r="M535" s="94"/>
      <c r="N535" s="94"/>
      <c r="O535" s="94"/>
      <c r="P535" s="94"/>
      <c r="Q535" s="94"/>
      <c r="R535" s="95"/>
      <c r="S535" s="94"/>
      <c r="T535" s="96"/>
      <c r="U535" s="94"/>
      <c r="V535" s="97"/>
      <c r="W535" s="94"/>
      <c r="X535" s="98"/>
      <c r="Y535" s="98"/>
      <c r="Z535" s="98"/>
      <c r="AA535" s="98"/>
      <c r="AB535" s="98"/>
      <c r="AC535" s="97"/>
      <c r="AD535" s="99"/>
      <c r="AE535" s="95"/>
      <c r="AF535" s="94"/>
      <c r="AG535" s="89"/>
      <c r="AH535" s="89"/>
      <c r="AI535" s="89"/>
      <c r="AJ535" s="89"/>
      <c r="AK535" s="89"/>
      <c r="AL535" s="89"/>
      <c r="AM535" s="89"/>
      <c r="AN535" s="89"/>
      <c r="AO535" s="89"/>
      <c r="AP535" s="89"/>
      <c r="AQ535" s="89"/>
      <c r="AR535" s="89"/>
      <c r="AS535" s="89"/>
      <c r="AT535" s="89"/>
      <c r="AU535" s="89"/>
      <c r="AV535" s="89"/>
      <c r="AW535" s="100"/>
      <c r="AX535" s="100"/>
      <c r="AY535" s="89"/>
      <c r="AZ535" s="89"/>
      <c r="BA535" s="89"/>
      <c r="BB535" s="89"/>
      <c r="BC535" s="89"/>
      <c r="BD535" s="89"/>
      <c r="BE535" s="89"/>
      <c r="BF535" s="89"/>
      <c r="BG535" s="89"/>
      <c r="BH535" s="89"/>
      <c r="BI535" s="89"/>
      <c r="BJ535" s="89"/>
      <c r="BK535" s="89"/>
      <c r="BL535" s="89"/>
      <c r="BM535" s="89"/>
      <c r="BN535" s="89"/>
      <c r="BO535" s="89"/>
      <c r="BP535" s="89"/>
      <c r="BQ535" s="89"/>
      <c r="BR535" s="89"/>
      <c r="BS535" s="89"/>
    </row>
    <row r="536" spans="1:71" ht="27" customHeight="1" x14ac:dyDescent="0.2">
      <c r="A536" s="93"/>
      <c r="B536" s="89"/>
      <c r="C536" s="89"/>
      <c r="D536" s="89"/>
      <c r="E536" s="89"/>
      <c r="F536" s="89"/>
      <c r="G536" s="89"/>
      <c r="H536" s="94"/>
      <c r="I536" s="94"/>
      <c r="J536" s="94"/>
      <c r="K536" s="94"/>
      <c r="L536" s="94"/>
      <c r="M536" s="94"/>
      <c r="N536" s="94"/>
      <c r="O536" s="94"/>
      <c r="P536" s="94"/>
      <c r="Q536" s="94"/>
      <c r="R536" s="95"/>
      <c r="S536" s="94"/>
      <c r="T536" s="96"/>
      <c r="U536" s="94"/>
      <c r="V536" s="97"/>
      <c r="W536" s="94"/>
      <c r="X536" s="98"/>
      <c r="Y536" s="98"/>
      <c r="Z536" s="98"/>
      <c r="AA536" s="98"/>
      <c r="AB536" s="98"/>
      <c r="AC536" s="97"/>
      <c r="AD536" s="99"/>
      <c r="AE536" s="95"/>
      <c r="AF536" s="94"/>
      <c r="AG536" s="89"/>
      <c r="AH536" s="89"/>
      <c r="AI536" s="89"/>
      <c r="AJ536" s="89"/>
      <c r="AK536" s="89"/>
      <c r="AL536" s="89"/>
      <c r="AM536" s="89"/>
      <c r="AN536" s="89"/>
      <c r="AO536" s="89"/>
      <c r="AP536" s="89"/>
      <c r="AQ536" s="89"/>
      <c r="AR536" s="89"/>
      <c r="AS536" s="89"/>
      <c r="AT536" s="89"/>
      <c r="AU536" s="89"/>
      <c r="AV536" s="89"/>
      <c r="AW536" s="100"/>
      <c r="AX536" s="100"/>
      <c r="AY536" s="89"/>
      <c r="AZ536" s="89"/>
      <c r="BA536" s="89"/>
      <c r="BB536" s="89"/>
      <c r="BC536" s="89"/>
      <c r="BD536" s="89"/>
      <c r="BE536" s="89"/>
      <c r="BF536" s="89"/>
      <c r="BG536" s="89"/>
      <c r="BH536" s="89"/>
      <c r="BI536" s="89"/>
      <c r="BJ536" s="89"/>
      <c r="BK536" s="89"/>
      <c r="BL536" s="89"/>
      <c r="BM536" s="89"/>
      <c r="BN536" s="89"/>
      <c r="BO536" s="89"/>
      <c r="BP536" s="89"/>
      <c r="BQ536" s="89"/>
      <c r="BR536" s="89"/>
      <c r="BS536" s="89"/>
    </row>
    <row r="537" spans="1:71" ht="27" customHeight="1" x14ac:dyDescent="0.2">
      <c r="A537" s="93"/>
      <c r="B537" s="89"/>
      <c r="C537" s="89"/>
      <c r="D537" s="89"/>
      <c r="E537" s="89"/>
      <c r="F537" s="89"/>
      <c r="G537" s="89"/>
      <c r="H537" s="94"/>
      <c r="I537" s="94"/>
      <c r="J537" s="94"/>
      <c r="K537" s="94"/>
      <c r="L537" s="94"/>
      <c r="M537" s="94"/>
      <c r="N537" s="94"/>
      <c r="O537" s="94"/>
      <c r="P537" s="94"/>
      <c r="Q537" s="94"/>
      <c r="R537" s="95"/>
      <c r="S537" s="94"/>
      <c r="T537" s="96"/>
      <c r="U537" s="94"/>
      <c r="V537" s="97"/>
      <c r="W537" s="94"/>
      <c r="X537" s="98"/>
      <c r="Y537" s="98"/>
      <c r="Z537" s="98"/>
      <c r="AA537" s="98"/>
      <c r="AB537" s="98"/>
      <c r="AC537" s="97"/>
      <c r="AD537" s="99"/>
      <c r="AE537" s="95"/>
      <c r="AF537" s="94"/>
      <c r="AG537" s="89"/>
      <c r="AH537" s="89"/>
      <c r="AI537" s="89"/>
      <c r="AJ537" s="89"/>
      <c r="AK537" s="89"/>
      <c r="AL537" s="89"/>
      <c r="AM537" s="89"/>
      <c r="AN537" s="89"/>
      <c r="AO537" s="89"/>
      <c r="AP537" s="89"/>
      <c r="AQ537" s="89"/>
      <c r="AR537" s="89"/>
      <c r="AS537" s="89"/>
      <c r="AT537" s="89"/>
      <c r="AU537" s="89"/>
      <c r="AV537" s="89"/>
      <c r="AW537" s="100"/>
      <c r="AX537" s="100"/>
      <c r="AY537" s="89"/>
      <c r="AZ537" s="89"/>
      <c r="BA537" s="89"/>
      <c r="BB537" s="89"/>
      <c r="BC537" s="89"/>
      <c r="BD537" s="89"/>
      <c r="BE537" s="89"/>
      <c r="BF537" s="89"/>
      <c r="BG537" s="89"/>
      <c r="BH537" s="89"/>
      <c r="BI537" s="89"/>
      <c r="BJ537" s="89"/>
      <c r="BK537" s="89"/>
      <c r="BL537" s="89"/>
      <c r="BM537" s="89"/>
      <c r="BN537" s="89"/>
      <c r="BO537" s="89"/>
      <c r="BP537" s="89"/>
      <c r="BQ537" s="89"/>
      <c r="BR537" s="89"/>
      <c r="BS537" s="89"/>
    </row>
    <row r="538" spans="1:71" ht="27" customHeight="1" x14ac:dyDescent="0.2">
      <c r="A538" s="93"/>
      <c r="B538" s="89"/>
      <c r="C538" s="89"/>
      <c r="D538" s="89"/>
      <c r="E538" s="89"/>
      <c r="F538" s="89"/>
      <c r="G538" s="89"/>
      <c r="H538" s="94"/>
      <c r="I538" s="94"/>
      <c r="J538" s="94"/>
      <c r="K538" s="94"/>
      <c r="L538" s="94"/>
      <c r="M538" s="94"/>
      <c r="N538" s="94"/>
      <c r="O538" s="94"/>
      <c r="P538" s="94"/>
      <c r="Q538" s="94"/>
      <c r="R538" s="95"/>
      <c r="S538" s="94"/>
      <c r="T538" s="96"/>
      <c r="U538" s="94"/>
      <c r="V538" s="97"/>
      <c r="W538" s="94"/>
      <c r="X538" s="98"/>
      <c r="Y538" s="98"/>
      <c r="Z538" s="98"/>
      <c r="AA538" s="98"/>
      <c r="AB538" s="98"/>
      <c r="AC538" s="97"/>
      <c r="AD538" s="99"/>
      <c r="AE538" s="95"/>
      <c r="AF538" s="94"/>
      <c r="AG538" s="89"/>
      <c r="AH538" s="89"/>
      <c r="AI538" s="89"/>
      <c r="AJ538" s="89"/>
      <c r="AK538" s="89"/>
      <c r="AL538" s="89"/>
      <c r="AM538" s="89"/>
      <c r="AN538" s="89"/>
      <c r="AO538" s="89"/>
      <c r="AP538" s="89"/>
      <c r="AQ538" s="89"/>
      <c r="AR538" s="89"/>
      <c r="AS538" s="89"/>
      <c r="AT538" s="89"/>
      <c r="AU538" s="89"/>
      <c r="AV538" s="89"/>
      <c r="AW538" s="100"/>
      <c r="AX538" s="100"/>
      <c r="AY538" s="89"/>
      <c r="AZ538" s="89"/>
      <c r="BA538" s="89"/>
      <c r="BB538" s="89"/>
      <c r="BC538" s="89"/>
      <c r="BD538" s="89"/>
      <c r="BE538" s="89"/>
      <c r="BF538" s="89"/>
      <c r="BG538" s="89"/>
      <c r="BH538" s="89"/>
      <c r="BI538" s="89"/>
      <c r="BJ538" s="89"/>
      <c r="BK538" s="89"/>
      <c r="BL538" s="89"/>
      <c r="BM538" s="89"/>
      <c r="BN538" s="89"/>
      <c r="BO538" s="89"/>
      <c r="BP538" s="89"/>
      <c r="BQ538" s="89"/>
      <c r="BR538" s="89"/>
      <c r="BS538" s="89"/>
    </row>
    <row r="539" spans="1:71" ht="27" customHeight="1" x14ac:dyDescent="0.2">
      <c r="A539" s="93"/>
      <c r="B539" s="89"/>
      <c r="C539" s="89"/>
      <c r="D539" s="89"/>
      <c r="E539" s="89"/>
      <c r="F539" s="89"/>
      <c r="G539" s="89"/>
      <c r="H539" s="94"/>
      <c r="I539" s="94"/>
      <c r="J539" s="94"/>
      <c r="K539" s="94"/>
      <c r="L539" s="94"/>
      <c r="M539" s="94"/>
      <c r="N539" s="94"/>
      <c r="O539" s="94"/>
      <c r="P539" s="94"/>
      <c r="Q539" s="94"/>
      <c r="R539" s="95"/>
      <c r="S539" s="94"/>
      <c r="T539" s="96"/>
      <c r="U539" s="94"/>
      <c r="V539" s="97"/>
      <c r="W539" s="94"/>
      <c r="X539" s="98"/>
      <c r="Y539" s="98"/>
      <c r="Z539" s="98"/>
      <c r="AA539" s="98"/>
      <c r="AB539" s="98"/>
      <c r="AC539" s="97"/>
      <c r="AD539" s="99"/>
      <c r="AE539" s="95"/>
      <c r="AF539" s="94"/>
      <c r="AG539" s="89"/>
      <c r="AH539" s="89"/>
      <c r="AI539" s="89"/>
      <c r="AJ539" s="89"/>
      <c r="AK539" s="89"/>
      <c r="AL539" s="89"/>
      <c r="AM539" s="89"/>
      <c r="AN539" s="89"/>
      <c r="AO539" s="89"/>
      <c r="AP539" s="89"/>
      <c r="AQ539" s="89"/>
      <c r="AR539" s="89"/>
      <c r="AS539" s="89"/>
      <c r="AT539" s="89"/>
      <c r="AU539" s="89"/>
      <c r="AV539" s="89"/>
      <c r="AW539" s="100"/>
      <c r="AX539" s="100"/>
      <c r="AY539" s="89"/>
      <c r="AZ539" s="89"/>
      <c r="BA539" s="89"/>
      <c r="BB539" s="89"/>
      <c r="BC539" s="89"/>
      <c r="BD539" s="89"/>
      <c r="BE539" s="89"/>
      <c r="BF539" s="89"/>
      <c r="BG539" s="89"/>
      <c r="BH539" s="89"/>
      <c r="BI539" s="89"/>
      <c r="BJ539" s="89"/>
      <c r="BK539" s="89"/>
      <c r="BL539" s="89"/>
      <c r="BM539" s="89"/>
      <c r="BN539" s="89"/>
      <c r="BO539" s="89"/>
      <c r="BP539" s="89"/>
      <c r="BQ539" s="89"/>
      <c r="BR539" s="89"/>
      <c r="BS539" s="89"/>
    </row>
    <row r="540" spans="1:71" ht="27" customHeight="1" x14ac:dyDescent="0.2">
      <c r="A540" s="93"/>
      <c r="B540" s="89"/>
      <c r="C540" s="89"/>
      <c r="D540" s="89"/>
      <c r="E540" s="89"/>
      <c r="F540" s="89"/>
      <c r="G540" s="89"/>
      <c r="H540" s="94"/>
      <c r="I540" s="94"/>
      <c r="J540" s="94"/>
      <c r="K540" s="94"/>
      <c r="L540" s="94"/>
      <c r="M540" s="94"/>
      <c r="N540" s="94"/>
      <c r="O540" s="94"/>
      <c r="P540" s="94"/>
      <c r="Q540" s="94"/>
      <c r="R540" s="95"/>
      <c r="S540" s="94"/>
      <c r="T540" s="96"/>
      <c r="U540" s="94"/>
      <c r="V540" s="97"/>
      <c r="W540" s="94"/>
      <c r="X540" s="98"/>
      <c r="Y540" s="98"/>
      <c r="Z540" s="98"/>
      <c r="AA540" s="98"/>
      <c r="AB540" s="98"/>
      <c r="AC540" s="97"/>
      <c r="AD540" s="99"/>
      <c r="AE540" s="95"/>
      <c r="AF540" s="94"/>
      <c r="AG540" s="89"/>
      <c r="AH540" s="89"/>
      <c r="AI540" s="89"/>
      <c r="AJ540" s="89"/>
      <c r="AK540" s="89"/>
      <c r="AL540" s="89"/>
      <c r="AM540" s="89"/>
      <c r="AN540" s="89"/>
      <c r="AO540" s="89"/>
      <c r="AP540" s="89"/>
      <c r="AQ540" s="89"/>
      <c r="AR540" s="89"/>
      <c r="AS540" s="89"/>
      <c r="AT540" s="89"/>
      <c r="AU540" s="89"/>
      <c r="AV540" s="89"/>
      <c r="AW540" s="100"/>
      <c r="AX540" s="100"/>
      <c r="AY540" s="89"/>
      <c r="AZ540" s="89"/>
      <c r="BA540" s="89"/>
      <c r="BB540" s="89"/>
      <c r="BC540" s="89"/>
      <c r="BD540" s="89"/>
      <c r="BE540" s="89"/>
      <c r="BF540" s="89"/>
      <c r="BG540" s="89"/>
      <c r="BH540" s="89"/>
      <c r="BI540" s="89"/>
      <c r="BJ540" s="89"/>
      <c r="BK540" s="89"/>
      <c r="BL540" s="89"/>
      <c r="BM540" s="89"/>
      <c r="BN540" s="89"/>
      <c r="BO540" s="89"/>
      <c r="BP540" s="89"/>
      <c r="BQ540" s="89"/>
      <c r="BR540" s="89"/>
      <c r="BS540" s="89"/>
    </row>
    <row r="541" spans="1:71" ht="27" customHeight="1" x14ac:dyDescent="0.2">
      <c r="A541" s="93"/>
      <c r="B541" s="89"/>
      <c r="C541" s="89"/>
      <c r="D541" s="89"/>
      <c r="E541" s="89"/>
      <c r="F541" s="89"/>
      <c r="G541" s="89"/>
      <c r="H541" s="94"/>
      <c r="I541" s="94"/>
      <c r="J541" s="94"/>
      <c r="K541" s="94"/>
      <c r="L541" s="94"/>
      <c r="M541" s="94"/>
      <c r="N541" s="94"/>
      <c r="O541" s="94"/>
      <c r="P541" s="94"/>
      <c r="Q541" s="94"/>
      <c r="R541" s="95"/>
      <c r="S541" s="94"/>
      <c r="T541" s="96"/>
      <c r="U541" s="94"/>
      <c r="V541" s="97"/>
      <c r="W541" s="94"/>
      <c r="X541" s="98"/>
      <c r="Y541" s="98"/>
      <c r="Z541" s="98"/>
      <c r="AA541" s="98"/>
      <c r="AB541" s="98"/>
      <c r="AC541" s="97"/>
      <c r="AD541" s="99"/>
      <c r="AE541" s="95"/>
      <c r="AF541" s="94"/>
      <c r="AG541" s="89"/>
      <c r="AH541" s="89"/>
      <c r="AI541" s="89"/>
      <c r="AJ541" s="89"/>
      <c r="AK541" s="89"/>
      <c r="AL541" s="89"/>
      <c r="AM541" s="89"/>
      <c r="AN541" s="89"/>
      <c r="AO541" s="89"/>
      <c r="AP541" s="89"/>
      <c r="AQ541" s="89"/>
      <c r="AR541" s="89"/>
      <c r="AS541" s="89"/>
      <c r="AT541" s="89"/>
      <c r="AU541" s="89"/>
      <c r="AV541" s="89"/>
      <c r="AW541" s="100"/>
      <c r="AX541" s="100"/>
      <c r="AY541" s="89"/>
      <c r="AZ541" s="89"/>
      <c r="BA541" s="89"/>
      <c r="BB541" s="89"/>
      <c r="BC541" s="89"/>
      <c r="BD541" s="89"/>
      <c r="BE541" s="89"/>
      <c r="BF541" s="89"/>
      <c r="BG541" s="89"/>
      <c r="BH541" s="89"/>
      <c r="BI541" s="89"/>
      <c r="BJ541" s="89"/>
      <c r="BK541" s="89"/>
      <c r="BL541" s="89"/>
      <c r="BM541" s="89"/>
      <c r="BN541" s="89"/>
      <c r="BO541" s="89"/>
      <c r="BP541" s="89"/>
      <c r="BQ541" s="89"/>
      <c r="BR541" s="89"/>
      <c r="BS541" s="89"/>
    </row>
    <row r="542" spans="1:71" ht="27" customHeight="1" x14ac:dyDescent="0.2">
      <c r="A542" s="93"/>
      <c r="B542" s="89"/>
      <c r="C542" s="89"/>
      <c r="D542" s="89"/>
      <c r="E542" s="89"/>
      <c r="F542" s="89"/>
      <c r="G542" s="89"/>
      <c r="H542" s="94"/>
      <c r="I542" s="94"/>
      <c r="J542" s="94"/>
      <c r="K542" s="94"/>
      <c r="L542" s="94"/>
      <c r="M542" s="94"/>
      <c r="N542" s="94"/>
      <c r="O542" s="94"/>
      <c r="P542" s="94"/>
      <c r="Q542" s="94"/>
      <c r="R542" s="95"/>
      <c r="S542" s="94"/>
      <c r="T542" s="96"/>
      <c r="U542" s="94"/>
      <c r="V542" s="97"/>
      <c r="W542" s="94"/>
      <c r="X542" s="98"/>
      <c r="Y542" s="98"/>
      <c r="Z542" s="98"/>
      <c r="AA542" s="98"/>
      <c r="AB542" s="98"/>
      <c r="AC542" s="97"/>
      <c r="AD542" s="99"/>
      <c r="AE542" s="95"/>
      <c r="AF542" s="94"/>
      <c r="AG542" s="89"/>
      <c r="AH542" s="89"/>
      <c r="AI542" s="89"/>
      <c r="AJ542" s="89"/>
      <c r="AK542" s="89"/>
      <c r="AL542" s="89"/>
      <c r="AM542" s="89"/>
      <c r="AN542" s="89"/>
      <c r="AO542" s="89"/>
      <c r="AP542" s="89"/>
      <c r="AQ542" s="89"/>
      <c r="AR542" s="89"/>
      <c r="AS542" s="89"/>
      <c r="AT542" s="89"/>
      <c r="AU542" s="89"/>
      <c r="AV542" s="89"/>
      <c r="AW542" s="100"/>
      <c r="AX542" s="100"/>
      <c r="AY542" s="89"/>
      <c r="AZ542" s="89"/>
      <c r="BA542" s="89"/>
      <c r="BB542" s="89"/>
      <c r="BC542" s="89"/>
      <c r="BD542" s="89"/>
      <c r="BE542" s="89"/>
      <c r="BF542" s="89"/>
      <c r="BG542" s="89"/>
      <c r="BH542" s="89"/>
      <c r="BI542" s="89"/>
      <c r="BJ542" s="89"/>
      <c r="BK542" s="89"/>
      <c r="BL542" s="89"/>
      <c r="BM542" s="89"/>
      <c r="BN542" s="89"/>
      <c r="BO542" s="89"/>
      <c r="BP542" s="89"/>
      <c r="BQ542" s="89"/>
      <c r="BR542" s="89"/>
      <c r="BS542" s="89"/>
    </row>
    <row r="543" spans="1:71" ht="27" customHeight="1" x14ac:dyDescent="0.2">
      <c r="A543" s="93"/>
      <c r="B543" s="89"/>
      <c r="C543" s="89"/>
      <c r="D543" s="89"/>
      <c r="E543" s="89"/>
      <c r="F543" s="89"/>
      <c r="G543" s="89"/>
      <c r="H543" s="94"/>
      <c r="I543" s="94"/>
      <c r="J543" s="94"/>
      <c r="K543" s="94"/>
      <c r="L543" s="94"/>
      <c r="M543" s="94"/>
      <c r="N543" s="94"/>
      <c r="O543" s="94"/>
      <c r="P543" s="94"/>
      <c r="Q543" s="94"/>
      <c r="R543" s="95"/>
      <c r="S543" s="94"/>
      <c r="T543" s="96"/>
      <c r="U543" s="94"/>
      <c r="V543" s="97"/>
      <c r="W543" s="94"/>
      <c r="X543" s="98"/>
      <c r="Y543" s="98"/>
      <c r="Z543" s="98"/>
      <c r="AA543" s="98"/>
      <c r="AB543" s="98"/>
      <c r="AC543" s="97"/>
      <c r="AD543" s="99"/>
      <c r="AE543" s="95"/>
      <c r="AF543" s="94"/>
      <c r="AG543" s="89"/>
      <c r="AH543" s="89"/>
      <c r="AI543" s="89"/>
      <c r="AJ543" s="89"/>
      <c r="AK543" s="89"/>
      <c r="AL543" s="89"/>
      <c r="AM543" s="89"/>
      <c r="AN543" s="89"/>
      <c r="AO543" s="89"/>
      <c r="AP543" s="89"/>
      <c r="AQ543" s="89"/>
      <c r="AR543" s="89"/>
      <c r="AS543" s="89"/>
      <c r="AT543" s="89"/>
      <c r="AU543" s="89"/>
      <c r="AV543" s="89"/>
      <c r="AW543" s="100"/>
      <c r="AX543" s="100"/>
      <c r="AY543" s="89"/>
      <c r="AZ543" s="89"/>
      <c r="BA543" s="89"/>
      <c r="BB543" s="89"/>
      <c r="BC543" s="89"/>
      <c r="BD543" s="89"/>
      <c r="BE543" s="89"/>
      <c r="BF543" s="89"/>
      <c r="BG543" s="89"/>
      <c r="BH543" s="89"/>
      <c r="BI543" s="89"/>
      <c r="BJ543" s="89"/>
      <c r="BK543" s="89"/>
      <c r="BL543" s="89"/>
      <c r="BM543" s="89"/>
      <c r="BN543" s="89"/>
      <c r="BO543" s="89"/>
      <c r="BP543" s="89"/>
      <c r="BQ543" s="89"/>
      <c r="BR543" s="89"/>
      <c r="BS543" s="89"/>
    </row>
    <row r="544" spans="1:71" ht="27" customHeight="1" x14ac:dyDescent="0.2">
      <c r="A544" s="93"/>
      <c r="B544" s="89"/>
      <c r="C544" s="89"/>
      <c r="D544" s="89"/>
      <c r="E544" s="89"/>
      <c r="F544" s="89"/>
      <c r="G544" s="89"/>
      <c r="H544" s="94"/>
      <c r="I544" s="94"/>
      <c r="J544" s="94"/>
      <c r="K544" s="94"/>
      <c r="L544" s="94"/>
      <c r="M544" s="94"/>
      <c r="N544" s="94"/>
      <c r="O544" s="94"/>
      <c r="P544" s="94"/>
      <c r="Q544" s="94"/>
      <c r="R544" s="95"/>
      <c r="S544" s="94"/>
      <c r="T544" s="96"/>
      <c r="U544" s="94"/>
      <c r="V544" s="97"/>
      <c r="W544" s="94"/>
      <c r="X544" s="98"/>
      <c r="Y544" s="98"/>
      <c r="Z544" s="98"/>
      <c r="AA544" s="98"/>
      <c r="AB544" s="98"/>
      <c r="AC544" s="97"/>
      <c r="AD544" s="99"/>
      <c r="AE544" s="95"/>
      <c r="AF544" s="94"/>
      <c r="AG544" s="89"/>
      <c r="AH544" s="89"/>
      <c r="AI544" s="89"/>
      <c r="AJ544" s="89"/>
      <c r="AK544" s="89"/>
      <c r="AL544" s="89"/>
      <c r="AM544" s="89"/>
      <c r="AN544" s="89"/>
      <c r="AO544" s="89"/>
      <c r="AP544" s="89"/>
      <c r="AQ544" s="89"/>
      <c r="AR544" s="89"/>
      <c r="AS544" s="89"/>
      <c r="AT544" s="89"/>
      <c r="AU544" s="89"/>
      <c r="AV544" s="89"/>
      <c r="AW544" s="100"/>
      <c r="AX544" s="100"/>
      <c r="AY544" s="89"/>
      <c r="AZ544" s="89"/>
      <c r="BA544" s="89"/>
      <c r="BB544" s="89"/>
      <c r="BC544" s="89"/>
      <c r="BD544" s="89"/>
      <c r="BE544" s="89"/>
      <c r="BF544" s="89"/>
      <c r="BG544" s="89"/>
      <c r="BH544" s="89"/>
      <c r="BI544" s="89"/>
      <c r="BJ544" s="89"/>
      <c r="BK544" s="89"/>
      <c r="BL544" s="89"/>
      <c r="BM544" s="89"/>
      <c r="BN544" s="89"/>
      <c r="BO544" s="89"/>
      <c r="BP544" s="89"/>
      <c r="BQ544" s="89"/>
      <c r="BR544" s="89"/>
      <c r="BS544" s="89"/>
    </row>
    <row r="545" spans="1:71" ht="27" customHeight="1" x14ac:dyDescent="0.2">
      <c r="A545" s="93"/>
      <c r="B545" s="89"/>
      <c r="C545" s="89"/>
      <c r="D545" s="89"/>
      <c r="E545" s="89"/>
      <c r="F545" s="89"/>
      <c r="G545" s="89"/>
      <c r="H545" s="94"/>
      <c r="I545" s="94"/>
      <c r="J545" s="94"/>
      <c r="K545" s="94"/>
      <c r="L545" s="94"/>
      <c r="M545" s="94"/>
      <c r="N545" s="94"/>
      <c r="O545" s="94"/>
      <c r="P545" s="94"/>
      <c r="Q545" s="94"/>
      <c r="R545" s="95"/>
      <c r="S545" s="94"/>
      <c r="T545" s="96"/>
      <c r="U545" s="94"/>
      <c r="V545" s="97"/>
      <c r="W545" s="94"/>
      <c r="X545" s="98"/>
      <c r="Y545" s="98"/>
      <c r="Z545" s="98"/>
      <c r="AA545" s="98"/>
      <c r="AB545" s="98"/>
      <c r="AC545" s="97"/>
      <c r="AD545" s="99"/>
      <c r="AE545" s="95"/>
      <c r="AF545" s="94"/>
      <c r="AG545" s="89"/>
      <c r="AH545" s="89"/>
      <c r="AI545" s="89"/>
      <c r="AJ545" s="89"/>
      <c r="AK545" s="89"/>
      <c r="AL545" s="89"/>
      <c r="AM545" s="89"/>
      <c r="AN545" s="89"/>
      <c r="AO545" s="89"/>
      <c r="AP545" s="89"/>
      <c r="AQ545" s="89"/>
      <c r="AR545" s="89"/>
      <c r="AS545" s="89"/>
      <c r="AT545" s="89"/>
      <c r="AU545" s="89"/>
      <c r="AV545" s="89"/>
      <c r="AW545" s="100"/>
      <c r="AX545" s="100"/>
      <c r="AY545" s="89"/>
      <c r="AZ545" s="89"/>
      <c r="BA545" s="89"/>
      <c r="BB545" s="89"/>
      <c r="BC545" s="89"/>
      <c r="BD545" s="89"/>
      <c r="BE545" s="89"/>
      <c r="BF545" s="89"/>
      <c r="BG545" s="89"/>
      <c r="BH545" s="89"/>
      <c r="BI545" s="89"/>
      <c r="BJ545" s="89"/>
      <c r="BK545" s="89"/>
      <c r="BL545" s="89"/>
      <c r="BM545" s="89"/>
      <c r="BN545" s="89"/>
      <c r="BO545" s="89"/>
      <c r="BP545" s="89"/>
      <c r="BQ545" s="89"/>
      <c r="BR545" s="89"/>
      <c r="BS545" s="89"/>
    </row>
    <row r="546" spans="1:71" ht="27" customHeight="1" x14ac:dyDescent="0.2">
      <c r="A546" s="93"/>
      <c r="B546" s="89"/>
      <c r="C546" s="89"/>
      <c r="D546" s="89"/>
      <c r="E546" s="89"/>
      <c r="F546" s="89"/>
      <c r="G546" s="89"/>
      <c r="H546" s="94"/>
      <c r="I546" s="94"/>
      <c r="J546" s="94"/>
      <c r="K546" s="94"/>
      <c r="L546" s="94"/>
      <c r="M546" s="94"/>
      <c r="N546" s="94"/>
      <c r="O546" s="94"/>
      <c r="P546" s="94"/>
      <c r="Q546" s="94"/>
      <c r="R546" s="95"/>
      <c r="S546" s="94"/>
      <c r="T546" s="96"/>
      <c r="U546" s="94"/>
      <c r="V546" s="97"/>
      <c r="W546" s="94"/>
      <c r="X546" s="98"/>
      <c r="Y546" s="98"/>
      <c r="Z546" s="98"/>
      <c r="AA546" s="98"/>
      <c r="AB546" s="98"/>
      <c r="AC546" s="97"/>
      <c r="AD546" s="99"/>
      <c r="AE546" s="95"/>
      <c r="AF546" s="94"/>
      <c r="AG546" s="89"/>
      <c r="AH546" s="89"/>
      <c r="AI546" s="89"/>
      <c r="AJ546" s="89"/>
      <c r="AK546" s="89"/>
      <c r="AL546" s="89"/>
      <c r="AM546" s="89"/>
      <c r="AN546" s="89"/>
      <c r="AO546" s="89"/>
      <c r="AP546" s="89"/>
      <c r="AQ546" s="89"/>
      <c r="AR546" s="89"/>
      <c r="AS546" s="89"/>
      <c r="AT546" s="89"/>
      <c r="AU546" s="89"/>
      <c r="AV546" s="89"/>
      <c r="AW546" s="100"/>
      <c r="AX546" s="100"/>
      <c r="AY546" s="89"/>
      <c r="AZ546" s="89"/>
      <c r="BA546" s="89"/>
      <c r="BB546" s="89"/>
      <c r="BC546" s="89"/>
      <c r="BD546" s="89"/>
      <c r="BE546" s="89"/>
      <c r="BF546" s="89"/>
      <c r="BG546" s="89"/>
      <c r="BH546" s="89"/>
      <c r="BI546" s="89"/>
      <c r="BJ546" s="89"/>
      <c r="BK546" s="89"/>
      <c r="BL546" s="89"/>
      <c r="BM546" s="89"/>
      <c r="BN546" s="89"/>
      <c r="BO546" s="89"/>
      <c r="BP546" s="89"/>
      <c r="BQ546" s="89"/>
      <c r="BR546" s="89"/>
      <c r="BS546" s="89"/>
    </row>
    <row r="547" spans="1:71" ht="27" customHeight="1" x14ac:dyDescent="0.2">
      <c r="A547" s="93"/>
      <c r="B547" s="89"/>
      <c r="C547" s="89"/>
      <c r="D547" s="89"/>
      <c r="E547" s="89"/>
      <c r="F547" s="89"/>
      <c r="G547" s="89"/>
      <c r="H547" s="94"/>
      <c r="I547" s="94"/>
      <c r="J547" s="94"/>
      <c r="K547" s="94"/>
      <c r="L547" s="94"/>
      <c r="M547" s="94"/>
      <c r="N547" s="94"/>
      <c r="O547" s="94"/>
      <c r="P547" s="94"/>
      <c r="Q547" s="94"/>
      <c r="R547" s="95"/>
      <c r="S547" s="94"/>
      <c r="T547" s="96"/>
      <c r="U547" s="94"/>
      <c r="V547" s="97"/>
      <c r="W547" s="94"/>
      <c r="X547" s="98"/>
      <c r="Y547" s="98"/>
      <c r="Z547" s="98"/>
      <c r="AA547" s="98"/>
      <c r="AB547" s="98"/>
      <c r="AC547" s="97"/>
      <c r="AD547" s="99"/>
      <c r="AE547" s="95"/>
      <c r="AF547" s="94"/>
      <c r="AG547" s="89"/>
      <c r="AH547" s="89"/>
      <c r="AI547" s="89"/>
      <c r="AJ547" s="89"/>
      <c r="AK547" s="89"/>
      <c r="AL547" s="89"/>
      <c r="AM547" s="89"/>
      <c r="AN547" s="89"/>
      <c r="AO547" s="89"/>
      <c r="AP547" s="89"/>
      <c r="AQ547" s="89"/>
      <c r="AR547" s="89"/>
      <c r="AS547" s="89"/>
      <c r="AT547" s="89"/>
      <c r="AU547" s="89"/>
      <c r="AV547" s="89"/>
      <c r="AW547" s="100"/>
      <c r="AX547" s="100"/>
      <c r="AY547" s="89"/>
      <c r="AZ547" s="89"/>
      <c r="BA547" s="89"/>
      <c r="BB547" s="89"/>
      <c r="BC547" s="89"/>
      <c r="BD547" s="89"/>
      <c r="BE547" s="89"/>
      <c r="BF547" s="89"/>
      <c r="BG547" s="89"/>
      <c r="BH547" s="89"/>
      <c r="BI547" s="89"/>
      <c r="BJ547" s="89"/>
      <c r="BK547" s="89"/>
      <c r="BL547" s="89"/>
      <c r="BM547" s="89"/>
      <c r="BN547" s="89"/>
      <c r="BO547" s="89"/>
      <c r="BP547" s="89"/>
      <c r="BQ547" s="89"/>
      <c r="BR547" s="89"/>
      <c r="BS547" s="89"/>
    </row>
    <row r="548" spans="1:71" ht="27" customHeight="1" x14ac:dyDescent="0.2">
      <c r="A548" s="93"/>
      <c r="B548" s="89"/>
      <c r="C548" s="89"/>
      <c r="D548" s="89"/>
      <c r="E548" s="89"/>
      <c r="F548" s="89"/>
      <c r="G548" s="89"/>
      <c r="H548" s="94"/>
      <c r="I548" s="94"/>
      <c r="J548" s="94"/>
      <c r="K548" s="94"/>
      <c r="L548" s="94"/>
      <c r="M548" s="94"/>
      <c r="N548" s="94"/>
      <c r="O548" s="94"/>
      <c r="P548" s="94"/>
      <c r="Q548" s="94"/>
      <c r="R548" s="95"/>
      <c r="S548" s="94"/>
      <c r="T548" s="96"/>
      <c r="U548" s="94"/>
      <c r="V548" s="97"/>
      <c r="W548" s="94"/>
      <c r="X548" s="98"/>
      <c r="Y548" s="98"/>
      <c r="Z548" s="98"/>
      <c r="AA548" s="98"/>
      <c r="AB548" s="98"/>
      <c r="AC548" s="97"/>
      <c r="AD548" s="99"/>
      <c r="AE548" s="95"/>
      <c r="AF548" s="94"/>
      <c r="AG548" s="89"/>
      <c r="AH548" s="89"/>
      <c r="AI548" s="89"/>
      <c r="AJ548" s="89"/>
      <c r="AK548" s="89"/>
      <c r="AL548" s="89"/>
      <c r="AM548" s="89"/>
      <c r="AN548" s="89"/>
      <c r="AO548" s="89"/>
      <c r="AP548" s="89"/>
      <c r="AQ548" s="89"/>
      <c r="AR548" s="89"/>
      <c r="AS548" s="89"/>
      <c r="AT548" s="89"/>
      <c r="AU548" s="89"/>
      <c r="AV548" s="89"/>
      <c r="AW548" s="100"/>
      <c r="AX548" s="100"/>
      <c r="AY548" s="89"/>
      <c r="AZ548" s="89"/>
      <c r="BA548" s="89"/>
      <c r="BB548" s="89"/>
      <c r="BC548" s="89"/>
      <c r="BD548" s="89"/>
      <c r="BE548" s="89"/>
      <c r="BF548" s="89"/>
      <c r="BG548" s="89"/>
      <c r="BH548" s="89"/>
      <c r="BI548" s="89"/>
      <c r="BJ548" s="89"/>
      <c r="BK548" s="89"/>
      <c r="BL548" s="89"/>
      <c r="BM548" s="89"/>
      <c r="BN548" s="89"/>
      <c r="BO548" s="89"/>
      <c r="BP548" s="89"/>
      <c r="BQ548" s="89"/>
      <c r="BR548" s="89"/>
      <c r="BS548" s="89"/>
    </row>
    <row r="549" spans="1:71" ht="27" customHeight="1" x14ac:dyDescent="0.2">
      <c r="A549" s="93"/>
      <c r="B549" s="89"/>
      <c r="C549" s="89"/>
      <c r="D549" s="89"/>
      <c r="E549" s="89"/>
      <c r="F549" s="89"/>
      <c r="G549" s="89"/>
      <c r="H549" s="94"/>
      <c r="I549" s="94"/>
      <c r="J549" s="94"/>
      <c r="K549" s="94"/>
      <c r="L549" s="94"/>
      <c r="M549" s="94"/>
      <c r="N549" s="94"/>
      <c r="O549" s="94"/>
      <c r="P549" s="94"/>
      <c r="Q549" s="94"/>
      <c r="R549" s="95"/>
      <c r="S549" s="94"/>
      <c r="T549" s="96"/>
      <c r="U549" s="94"/>
      <c r="V549" s="97"/>
      <c r="W549" s="94"/>
      <c r="X549" s="98"/>
      <c r="Y549" s="98"/>
      <c r="Z549" s="98"/>
      <c r="AA549" s="98"/>
      <c r="AB549" s="98"/>
      <c r="AC549" s="97"/>
      <c r="AD549" s="99"/>
      <c r="AE549" s="95"/>
      <c r="AF549" s="94"/>
      <c r="AG549" s="89"/>
      <c r="AH549" s="89"/>
      <c r="AI549" s="89"/>
      <c r="AJ549" s="89"/>
      <c r="AK549" s="89"/>
      <c r="AL549" s="89"/>
      <c r="AM549" s="89"/>
      <c r="AN549" s="89"/>
      <c r="AO549" s="89"/>
      <c r="AP549" s="89"/>
      <c r="AQ549" s="89"/>
      <c r="AR549" s="89"/>
      <c r="AS549" s="89"/>
      <c r="AT549" s="89"/>
      <c r="AU549" s="89"/>
      <c r="AV549" s="89"/>
      <c r="AW549" s="100"/>
      <c r="AX549" s="100"/>
      <c r="AY549" s="89"/>
      <c r="AZ549" s="89"/>
      <c r="BA549" s="89"/>
      <c r="BB549" s="89"/>
      <c r="BC549" s="89"/>
      <c r="BD549" s="89"/>
      <c r="BE549" s="89"/>
      <c r="BF549" s="89"/>
      <c r="BG549" s="89"/>
      <c r="BH549" s="89"/>
      <c r="BI549" s="89"/>
      <c r="BJ549" s="89"/>
      <c r="BK549" s="89"/>
      <c r="BL549" s="89"/>
      <c r="BM549" s="89"/>
      <c r="BN549" s="89"/>
      <c r="BO549" s="89"/>
      <c r="BP549" s="89"/>
      <c r="BQ549" s="89"/>
      <c r="BR549" s="89"/>
      <c r="BS549" s="89"/>
    </row>
    <row r="550" spans="1:71" ht="27" customHeight="1" x14ac:dyDescent="0.2">
      <c r="A550" s="93"/>
      <c r="B550" s="89"/>
      <c r="C550" s="89"/>
      <c r="D550" s="89"/>
      <c r="E550" s="89"/>
      <c r="F550" s="89"/>
      <c r="G550" s="89"/>
      <c r="H550" s="94"/>
      <c r="I550" s="94"/>
      <c r="J550" s="94"/>
      <c r="K550" s="94"/>
      <c r="L550" s="94"/>
      <c r="M550" s="94"/>
      <c r="N550" s="94"/>
      <c r="O550" s="94"/>
      <c r="P550" s="94"/>
      <c r="Q550" s="94"/>
      <c r="R550" s="95"/>
      <c r="S550" s="94"/>
      <c r="T550" s="96"/>
      <c r="U550" s="94"/>
      <c r="V550" s="97"/>
      <c r="W550" s="94"/>
      <c r="X550" s="98"/>
      <c r="Y550" s="98"/>
      <c r="Z550" s="98"/>
      <c r="AA550" s="98"/>
      <c r="AB550" s="98"/>
      <c r="AC550" s="97"/>
      <c r="AD550" s="99"/>
      <c r="AE550" s="95"/>
      <c r="AF550" s="94"/>
      <c r="AG550" s="89"/>
      <c r="AH550" s="89"/>
      <c r="AI550" s="89"/>
      <c r="AJ550" s="89"/>
      <c r="AK550" s="89"/>
      <c r="AL550" s="89"/>
      <c r="AM550" s="89"/>
      <c r="AN550" s="89"/>
      <c r="AO550" s="89"/>
      <c r="AP550" s="89"/>
      <c r="AQ550" s="89"/>
      <c r="AR550" s="89"/>
      <c r="AS550" s="89"/>
      <c r="AT550" s="89"/>
      <c r="AU550" s="89"/>
      <c r="AV550" s="89"/>
      <c r="AW550" s="100"/>
      <c r="AX550" s="100"/>
      <c r="AY550" s="89"/>
      <c r="AZ550" s="89"/>
      <c r="BA550" s="89"/>
      <c r="BB550" s="89"/>
      <c r="BC550" s="89"/>
      <c r="BD550" s="89"/>
      <c r="BE550" s="89"/>
      <c r="BF550" s="89"/>
      <c r="BG550" s="89"/>
      <c r="BH550" s="89"/>
      <c r="BI550" s="89"/>
      <c r="BJ550" s="89"/>
      <c r="BK550" s="89"/>
      <c r="BL550" s="89"/>
      <c r="BM550" s="89"/>
      <c r="BN550" s="89"/>
      <c r="BO550" s="89"/>
      <c r="BP550" s="89"/>
      <c r="BQ550" s="89"/>
      <c r="BR550" s="89"/>
      <c r="BS550" s="89"/>
    </row>
    <row r="551" spans="1:71" ht="27" customHeight="1" x14ac:dyDescent="0.2">
      <c r="A551" s="93"/>
      <c r="B551" s="89"/>
      <c r="C551" s="89"/>
      <c r="D551" s="89"/>
      <c r="E551" s="89"/>
      <c r="F551" s="89"/>
      <c r="G551" s="89"/>
      <c r="H551" s="94"/>
      <c r="I551" s="94"/>
      <c r="J551" s="94"/>
      <c r="K551" s="94"/>
      <c r="L551" s="94"/>
      <c r="M551" s="94"/>
      <c r="N551" s="94"/>
      <c r="O551" s="94"/>
      <c r="P551" s="94"/>
      <c r="Q551" s="94"/>
      <c r="R551" s="95"/>
      <c r="S551" s="94"/>
      <c r="T551" s="96"/>
      <c r="U551" s="94"/>
      <c r="V551" s="97"/>
      <c r="W551" s="94"/>
      <c r="X551" s="98"/>
      <c r="Y551" s="98"/>
      <c r="Z551" s="98"/>
      <c r="AA551" s="98"/>
      <c r="AB551" s="98"/>
      <c r="AC551" s="97"/>
      <c r="AD551" s="99"/>
      <c r="AE551" s="95"/>
      <c r="AF551" s="94"/>
      <c r="AG551" s="89"/>
      <c r="AH551" s="89"/>
      <c r="AI551" s="89"/>
      <c r="AJ551" s="89"/>
      <c r="AK551" s="89"/>
      <c r="AL551" s="89"/>
      <c r="AM551" s="89"/>
      <c r="AN551" s="89"/>
      <c r="AO551" s="89"/>
      <c r="AP551" s="89"/>
      <c r="AQ551" s="89"/>
      <c r="AR551" s="89"/>
      <c r="AS551" s="89"/>
      <c r="AT551" s="89"/>
      <c r="AU551" s="89"/>
      <c r="AV551" s="89"/>
      <c r="AW551" s="100"/>
      <c r="AX551" s="100"/>
      <c r="AY551" s="89"/>
      <c r="AZ551" s="89"/>
      <c r="BA551" s="89"/>
      <c r="BB551" s="89"/>
      <c r="BC551" s="89"/>
      <c r="BD551" s="89"/>
      <c r="BE551" s="89"/>
      <c r="BF551" s="89"/>
      <c r="BG551" s="89"/>
      <c r="BH551" s="89"/>
      <c r="BI551" s="89"/>
      <c r="BJ551" s="89"/>
      <c r="BK551" s="89"/>
      <c r="BL551" s="89"/>
      <c r="BM551" s="89"/>
      <c r="BN551" s="89"/>
      <c r="BO551" s="89"/>
      <c r="BP551" s="89"/>
      <c r="BQ551" s="89"/>
      <c r="BR551" s="89"/>
      <c r="BS551" s="89"/>
    </row>
    <row r="552" spans="1:71" ht="27" customHeight="1" x14ac:dyDescent="0.2">
      <c r="A552" s="93"/>
      <c r="B552" s="89"/>
      <c r="C552" s="89"/>
      <c r="D552" s="89"/>
      <c r="E552" s="89"/>
      <c r="F552" s="89"/>
      <c r="G552" s="89"/>
      <c r="H552" s="94"/>
      <c r="I552" s="94"/>
      <c r="J552" s="94"/>
      <c r="K552" s="94"/>
      <c r="L552" s="94"/>
      <c r="M552" s="94"/>
      <c r="N552" s="94"/>
      <c r="O552" s="94"/>
      <c r="P552" s="94"/>
      <c r="Q552" s="94"/>
      <c r="R552" s="95"/>
      <c r="S552" s="94"/>
      <c r="T552" s="96"/>
      <c r="U552" s="94"/>
      <c r="V552" s="97"/>
      <c r="W552" s="94"/>
      <c r="X552" s="98"/>
      <c r="Y552" s="98"/>
      <c r="Z552" s="98"/>
      <c r="AA552" s="98"/>
      <c r="AB552" s="98"/>
      <c r="AC552" s="97"/>
      <c r="AD552" s="99"/>
      <c r="AE552" s="95"/>
      <c r="AF552" s="94"/>
      <c r="AG552" s="89"/>
      <c r="AH552" s="89"/>
      <c r="AI552" s="89"/>
      <c r="AJ552" s="89"/>
      <c r="AK552" s="89"/>
      <c r="AL552" s="89"/>
      <c r="AM552" s="89"/>
      <c r="AN552" s="89"/>
      <c r="AO552" s="89"/>
      <c r="AP552" s="89"/>
      <c r="AQ552" s="89"/>
      <c r="AR552" s="89"/>
      <c r="AS552" s="89"/>
      <c r="AT552" s="89"/>
      <c r="AU552" s="89"/>
      <c r="AV552" s="89"/>
      <c r="AW552" s="100"/>
      <c r="AX552" s="100"/>
      <c r="AY552" s="89"/>
      <c r="AZ552" s="89"/>
      <c r="BA552" s="89"/>
      <c r="BB552" s="89"/>
      <c r="BC552" s="89"/>
      <c r="BD552" s="89"/>
      <c r="BE552" s="89"/>
      <c r="BF552" s="89"/>
      <c r="BG552" s="89"/>
      <c r="BH552" s="89"/>
      <c r="BI552" s="89"/>
      <c r="BJ552" s="89"/>
      <c r="BK552" s="89"/>
      <c r="BL552" s="89"/>
      <c r="BM552" s="89"/>
      <c r="BN552" s="89"/>
      <c r="BO552" s="89"/>
      <c r="BP552" s="89"/>
      <c r="BQ552" s="89"/>
      <c r="BR552" s="89"/>
      <c r="BS552" s="89"/>
    </row>
    <row r="553" spans="1:71" ht="27" customHeight="1" x14ac:dyDescent="0.2">
      <c r="A553" s="93"/>
      <c r="B553" s="89"/>
      <c r="C553" s="89"/>
      <c r="D553" s="89"/>
      <c r="E553" s="89"/>
      <c r="F553" s="89"/>
      <c r="G553" s="89"/>
      <c r="H553" s="94"/>
      <c r="I553" s="94"/>
      <c r="J553" s="94"/>
      <c r="K553" s="94"/>
      <c r="L553" s="94"/>
      <c r="M553" s="94"/>
      <c r="N553" s="94"/>
      <c r="O553" s="94"/>
      <c r="P553" s="94"/>
      <c r="Q553" s="94"/>
      <c r="R553" s="95"/>
      <c r="S553" s="94"/>
      <c r="T553" s="96"/>
      <c r="U553" s="94"/>
      <c r="V553" s="97"/>
      <c r="W553" s="94"/>
      <c r="X553" s="98"/>
      <c r="Y553" s="98"/>
      <c r="Z553" s="98"/>
      <c r="AA553" s="98"/>
      <c r="AB553" s="98"/>
      <c r="AC553" s="97"/>
      <c r="AD553" s="99"/>
      <c r="AE553" s="95"/>
      <c r="AF553" s="94"/>
      <c r="AG553" s="89"/>
      <c r="AH553" s="89"/>
      <c r="AI553" s="89"/>
      <c r="AJ553" s="89"/>
      <c r="AK553" s="89"/>
      <c r="AL553" s="89"/>
      <c r="AM553" s="89"/>
      <c r="AN553" s="89"/>
      <c r="AO553" s="89"/>
      <c r="AP553" s="89"/>
      <c r="AQ553" s="89"/>
      <c r="AR553" s="89"/>
      <c r="AS553" s="89"/>
      <c r="AT553" s="89"/>
      <c r="AU553" s="89"/>
      <c r="AV553" s="89"/>
      <c r="AW553" s="100"/>
      <c r="AX553" s="100"/>
      <c r="AY553" s="89"/>
      <c r="AZ553" s="89"/>
      <c r="BA553" s="89"/>
      <c r="BB553" s="89"/>
      <c r="BC553" s="89"/>
      <c r="BD553" s="89"/>
      <c r="BE553" s="89"/>
      <c r="BF553" s="89"/>
      <c r="BG553" s="89"/>
      <c r="BH553" s="89"/>
      <c r="BI553" s="89"/>
      <c r="BJ553" s="89"/>
      <c r="BK553" s="89"/>
      <c r="BL553" s="89"/>
      <c r="BM553" s="89"/>
      <c r="BN553" s="89"/>
      <c r="BO553" s="89"/>
      <c r="BP553" s="89"/>
      <c r="BQ553" s="89"/>
      <c r="BR553" s="89"/>
      <c r="BS553" s="89"/>
    </row>
    <row r="554" spans="1:71" ht="27" customHeight="1" x14ac:dyDescent="0.2">
      <c r="A554" s="93"/>
      <c r="B554" s="89"/>
      <c r="C554" s="89"/>
      <c r="D554" s="89"/>
      <c r="E554" s="89"/>
      <c r="F554" s="89"/>
      <c r="G554" s="89"/>
      <c r="H554" s="94"/>
      <c r="I554" s="94"/>
      <c r="J554" s="94"/>
      <c r="K554" s="94"/>
      <c r="L554" s="94"/>
      <c r="M554" s="94"/>
      <c r="N554" s="94"/>
      <c r="O554" s="94"/>
      <c r="P554" s="94"/>
      <c r="Q554" s="94"/>
      <c r="R554" s="95"/>
      <c r="S554" s="94"/>
      <c r="T554" s="96"/>
      <c r="U554" s="94"/>
      <c r="V554" s="97"/>
      <c r="W554" s="94"/>
      <c r="X554" s="98"/>
      <c r="Y554" s="98"/>
      <c r="Z554" s="98"/>
      <c r="AA554" s="98"/>
      <c r="AB554" s="98"/>
      <c r="AC554" s="97"/>
      <c r="AD554" s="99"/>
      <c r="AE554" s="95"/>
      <c r="AF554" s="94"/>
      <c r="AG554" s="89"/>
      <c r="AH554" s="89"/>
      <c r="AI554" s="89"/>
      <c r="AJ554" s="89"/>
      <c r="AK554" s="89"/>
      <c r="AL554" s="89"/>
      <c r="AM554" s="89"/>
      <c r="AN554" s="89"/>
      <c r="AO554" s="89"/>
      <c r="AP554" s="89"/>
      <c r="AQ554" s="89"/>
      <c r="AR554" s="89"/>
      <c r="AS554" s="89"/>
      <c r="AT554" s="89"/>
      <c r="AU554" s="89"/>
      <c r="AV554" s="89"/>
      <c r="AW554" s="100"/>
      <c r="AX554" s="100"/>
      <c r="AY554" s="89"/>
      <c r="AZ554" s="89"/>
      <c r="BA554" s="89"/>
      <c r="BB554" s="89"/>
      <c r="BC554" s="89"/>
      <c r="BD554" s="89"/>
      <c r="BE554" s="89"/>
      <c r="BF554" s="89"/>
      <c r="BG554" s="89"/>
      <c r="BH554" s="89"/>
      <c r="BI554" s="89"/>
      <c r="BJ554" s="89"/>
      <c r="BK554" s="89"/>
      <c r="BL554" s="89"/>
      <c r="BM554" s="89"/>
      <c r="BN554" s="89"/>
      <c r="BO554" s="89"/>
      <c r="BP554" s="89"/>
      <c r="BQ554" s="89"/>
      <c r="BR554" s="89"/>
      <c r="BS554" s="89"/>
    </row>
    <row r="555" spans="1:71" ht="27" customHeight="1" x14ac:dyDescent="0.2">
      <c r="A555" s="93"/>
      <c r="B555" s="89"/>
      <c r="C555" s="89"/>
      <c r="D555" s="89"/>
      <c r="E555" s="89"/>
      <c r="F555" s="89"/>
      <c r="G555" s="89"/>
      <c r="H555" s="94"/>
      <c r="I555" s="94"/>
      <c r="J555" s="94"/>
      <c r="K555" s="94"/>
      <c r="L555" s="94"/>
      <c r="M555" s="94"/>
      <c r="N555" s="94"/>
      <c r="O555" s="94"/>
      <c r="P555" s="94"/>
      <c r="Q555" s="94"/>
      <c r="R555" s="95"/>
      <c r="S555" s="94"/>
      <c r="T555" s="96"/>
      <c r="U555" s="94"/>
      <c r="V555" s="97"/>
      <c r="W555" s="94"/>
      <c r="X555" s="98"/>
      <c r="Y555" s="98"/>
      <c r="Z555" s="98"/>
      <c r="AA555" s="98"/>
      <c r="AB555" s="98"/>
      <c r="AC555" s="97"/>
      <c r="AD555" s="99"/>
      <c r="AE555" s="95"/>
      <c r="AF555" s="94"/>
      <c r="AG555" s="89"/>
      <c r="AH555" s="89"/>
      <c r="AI555" s="89"/>
      <c r="AJ555" s="89"/>
      <c r="AK555" s="89"/>
      <c r="AL555" s="89"/>
      <c r="AM555" s="89"/>
      <c r="AN555" s="89"/>
      <c r="AO555" s="89"/>
      <c r="AP555" s="89"/>
      <c r="AQ555" s="89"/>
      <c r="AR555" s="89"/>
      <c r="AS555" s="89"/>
      <c r="AT555" s="89"/>
      <c r="AU555" s="89"/>
      <c r="AV555" s="89"/>
      <c r="AW555" s="100"/>
      <c r="AX555" s="100"/>
      <c r="AY555" s="89"/>
      <c r="AZ555" s="89"/>
      <c r="BA555" s="89"/>
      <c r="BB555" s="89"/>
      <c r="BC555" s="89"/>
      <c r="BD555" s="89"/>
      <c r="BE555" s="89"/>
      <c r="BF555" s="89"/>
      <c r="BG555" s="89"/>
      <c r="BH555" s="89"/>
      <c r="BI555" s="89"/>
      <c r="BJ555" s="89"/>
      <c r="BK555" s="89"/>
      <c r="BL555" s="89"/>
      <c r="BM555" s="89"/>
      <c r="BN555" s="89"/>
      <c r="BO555" s="89"/>
      <c r="BP555" s="89"/>
      <c r="BQ555" s="89"/>
      <c r="BR555" s="89"/>
      <c r="BS555" s="89"/>
    </row>
    <row r="556" spans="1:71" ht="27" customHeight="1" x14ac:dyDescent="0.2">
      <c r="A556" s="93"/>
      <c r="B556" s="89"/>
      <c r="C556" s="89"/>
      <c r="D556" s="89"/>
      <c r="E556" s="89"/>
      <c r="F556" s="89"/>
      <c r="G556" s="89"/>
      <c r="H556" s="94"/>
      <c r="I556" s="94"/>
      <c r="J556" s="94"/>
      <c r="K556" s="94"/>
      <c r="L556" s="94"/>
      <c r="M556" s="94"/>
      <c r="N556" s="94"/>
      <c r="O556" s="94"/>
      <c r="P556" s="94"/>
      <c r="Q556" s="94"/>
      <c r="R556" s="95"/>
      <c r="S556" s="94"/>
      <c r="T556" s="96"/>
      <c r="U556" s="94"/>
      <c r="V556" s="97"/>
      <c r="W556" s="94"/>
      <c r="X556" s="98"/>
      <c r="Y556" s="98"/>
      <c r="Z556" s="98"/>
      <c r="AA556" s="98"/>
      <c r="AB556" s="98"/>
      <c r="AC556" s="97"/>
      <c r="AD556" s="99"/>
      <c r="AE556" s="95"/>
      <c r="AF556" s="94"/>
      <c r="AG556" s="89"/>
      <c r="AH556" s="89"/>
      <c r="AI556" s="89"/>
      <c r="AJ556" s="89"/>
      <c r="AK556" s="89"/>
      <c r="AL556" s="89"/>
      <c r="AM556" s="89"/>
      <c r="AN556" s="89"/>
      <c r="AO556" s="89"/>
      <c r="AP556" s="89"/>
      <c r="AQ556" s="89"/>
      <c r="AR556" s="89"/>
      <c r="AS556" s="89"/>
      <c r="AT556" s="89"/>
      <c r="AU556" s="89"/>
      <c r="AV556" s="89"/>
      <c r="AW556" s="100"/>
      <c r="AX556" s="100"/>
      <c r="AY556" s="89"/>
      <c r="AZ556" s="89"/>
      <c r="BA556" s="89"/>
      <c r="BB556" s="89"/>
      <c r="BC556" s="89"/>
      <c r="BD556" s="89"/>
      <c r="BE556" s="89"/>
      <c r="BF556" s="89"/>
      <c r="BG556" s="89"/>
      <c r="BH556" s="89"/>
      <c r="BI556" s="89"/>
      <c r="BJ556" s="89"/>
      <c r="BK556" s="89"/>
      <c r="BL556" s="89"/>
      <c r="BM556" s="89"/>
      <c r="BN556" s="89"/>
      <c r="BO556" s="89"/>
      <c r="BP556" s="89"/>
      <c r="BQ556" s="89"/>
      <c r="BR556" s="89"/>
      <c r="BS556" s="89"/>
    </row>
    <row r="557" spans="1:71" ht="27" customHeight="1" x14ac:dyDescent="0.2">
      <c r="A557" s="93"/>
      <c r="B557" s="89"/>
      <c r="C557" s="89"/>
      <c r="D557" s="89"/>
      <c r="E557" s="89"/>
      <c r="F557" s="89"/>
      <c r="G557" s="89"/>
      <c r="H557" s="94"/>
      <c r="I557" s="94"/>
      <c r="J557" s="94"/>
      <c r="K557" s="94"/>
      <c r="L557" s="94"/>
      <c r="M557" s="94"/>
      <c r="N557" s="94"/>
      <c r="O557" s="94"/>
      <c r="P557" s="94"/>
      <c r="Q557" s="94"/>
      <c r="R557" s="95"/>
      <c r="S557" s="94"/>
      <c r="T557" s="96"/>
      <c r="U557" s="94"/>
      <c r="V557" s="97"/>
      <c r="W557" s="94"/>
      <c r="X557" s="98"/>
      <c r="Y557" s="98"/>
      <c r="Z557" s="98"/>
      <c r="AA557" s="98"/>
      <c r="AB557" s="98"/>
      <c r="AC557" s="97"/>
      <c r="AD557" s="99"/>
      <c r="AE557" s="95"/>
      <c r="AF557" s="94"/>
      <c r="AG557" s="89"/>
      <c r="AH557" s="89"/>
      <c r="AI557" s="89"/>
      <c r="AJ557" s="89"/>
      <c r="AK557" s="89"/>
      <c r="AL557" s="89"/>
      <c r="AM557" s="89"/>
      <c r="AN557" s="89"/>
      <c r="AO557" s="89"/>
      <c r="AP557" s="89"/>
      <c r="AQ557" s="89"/>
      <c r="AR557" s="89"/>
      <c r="AS557" s="89"/>
      <c r="AT557" s="89"/>
      <c r="AU557" s="89"/>
      <c r="AV557" s="89"/>
      <c r="AW557" s="100"/>
      <c r="AX557" s="100"/>
      <c r="AY557" s="89"/>
      <c r="AZ557" s="89"/>
      <c r="BA557" s="89"/>
      <c r="BB557" s="89"/>
      <c r="BC557" s="89"/>
      <c r="BD557" s="89"/>
      <c r="BE557" s="89"/>
      <c r="BF557" s="89"/>
      <c r="BG557" s="89"/>
      <c r="BH557" s="89"/>
      <c r="BI557" s="89"/>
      <c r="BJ557" s="89"/>
      <c r="BK557" s="89"/>
      <c r="BL557" s="89"/>
      <c r="BM557" s="89"/>
      <c r="BN557" s="89"/>
      <c r="BO557" s="89"/>
      <c r="BP557" s="89"/>
      <c r="BQ557" s="89"/>
      <c r="BR557" s="89"/>
      <c r="BS557" s="89"/>
    </row>
    <row r="558" spans="1:71" ht="27" customHeight="1" x14ac:dyDescent="0.2">
      <c r="A558" s="93"/>
      <c r="B558" s="89"/>
      <c r="C558" s="89"/>
      <c r="D558" s="89"/>
      <c r="E558" s="89"/>
      <c r="F558" s="89"/>
      <c r="G558" s="89"/>
      <c r="H558" s="94"/>
      <c r="I558" s="94"/>
      <c r="J558" s="94"/>
      <c r="K558" s="94"/>
      <c r="L558" s="94"/>
      <c r="M558" s="94"/>
      <c r="N558" s="94"/>
      <c r="O558" s="94"/>
      <c r="P558" s="94"/>
      <c r="Q558" s="94"/>
      <c r="R558" s="95"/>
      <c r="S558" s="94"/>
      <c r="T558" s="96"/>
      <c r="U558" s="94"/>
      <c r="V558" s="97"/>
      <c r="W558" s="94"/>
      <c r="X558" s="98"/>
      <c r="Y558" s="98"/>
      <c r="Z558" s="98"/>
      <c r="AA558" s="98"/>
      <c r="AB558" s="98"/>
      <c r="AC558" s="97"/>
      <c r="AD558" s="99"/>
      <c r="AE558" s="95"/>
      <c r="AF558" s="94"/>
      <c r="AG558" s="89"/>
      <c r="AH558" s="89"/>
      <c r="AI558" s="89"/>
      <c r="AJ558" s="89"/>
      <c r="AK558" s="89"/>
      <c r="AL558" s="89"/>
      <c r="AM558" s="89"/>
      <c r="AN558" s="89"/>
      <c r="AO558" s="89"/>
      <c r="AP558" s="89"/>
      <c r="AQ558" s="89"/>
      <c r="AR558" s="89"/>
      <c r="AS558" s="89"/>
      <c r="AT558" s="89"/>
      <c r="AU558" s="89"/>
      <c r="AV558" s="89"/>
      <c r="AW558" s="100"/>
      <c r="AX558" s="100"/>
      <c r="AY558" s="89"/>
      <c r="AZ558" s="89"/>
      <c r="BA558" s="89"/>
      <c r="BB558" s="89"/>
      <c r="BC558" s="89"/>
      <c r="BD558" s="89"/>
      <c r="BE558" s="89"/>
      <c r="BF558" s="89"/>
      <c r="BG558" s="89"/>
      <c r="BH558" s="89"/>
      <c r="BI558" s="89"/>
      <c r="BJ558" s="89"/>
      <c r="BK558" s="89"/>
      <c r="BL558" s="89"/>
      <c r="BM558" s="89"/>
      <c r="BN558" s="89"/>
      <c r="BO558" s="89"/>
      <c r="BP558" s="89"/>
      <c r="BQ558" s="89"/>
      <c r="BR558" s="89"/>
      <c r="BS558" s="89"/>
    </row>
    <row r="559" spans="1:71" ht="27" customHeight="1" x14ac:dyDescent="0.2">
      <c r="A559" s="93"/>
      <c r="B559" s="89"/>
      <c r="C559" s="89"/>
      <c r="D559" s="89"/>
      <c r="E559" s="89"/>
      <c r="F559" s="89"/>
      <c r="G559" s="89"/>
      <c r="H559" s="94"/>
      <c r="I559" s="94"/>
      <c r="J559" s="94"/>
      <c r="K559" s="94"/>
      <c r="L559" s="94"/>
      <c r="M559" s="94"/>
      <c r="N559" s="94"/>
      <c r="O559" s="94"/>
      <c r="P559" s="94"/>
      <c r="Q559" s="94"/>
      <c r="R559" s="95"/>
      <c r="S559" s="94"/>
      <c r="T559" s="96"/>
      <c r="U559" s="94"/>
      <c r="V559" s="97"/>
      <c r="W559" s="94"/>
      <c r="X559" s="98"/>
      <c r="Y559" s="98"/>
      <c r="Z559" s="98"/>
      <c r="AA559" s="98"/>
      <c r="AB559" s="98"/>
      <c r="AC559" s="97"/>
      <c r="AD559" s="99"/>
      <c r="AE559" s="95"/>
      <c r="AF559" s="94"/>
      <c r="AG559" s="89"/>
      <c r="AH559" s="89"/>
      <c r="AI559" s="89"/>
      <c r="AJ559" s="89"/>
      <c r="AK559" s="89"/>
      <c r="AL559" s="89"/>
      <c r="AM559" s="89"/>
      <c r="AN559" s="89"/>
      <c r="AO559" s="89"/>
      <c r="AP559" s="89"/>
      <c r="AQ559" s="89"/>
      <c r="AR559" s="89"/>
      <c r="AS559" s="89"/>
      <c r="AT559" s="89"/>
      <c r="AU559" s="89"/>
      <c r="AV559" s="89"/>
      <c r="AW559" s="100"/>
      <c r="AX559" s="100"/>
      <c r="AY559" s="89"/>
      <c r="AZ559" s="89"/>
      <c r="BA559" s="89"/>
      <c r="BB559" s="89"/>
      <c r="BC559" s="89"/>
      <c r="BD559" s="89"/>
      <c r="BE559" s="89"/>
      <c r="BF559" s="89"/>
      <c r="BG559" s="89"/>
      <c r="BH559" s="89"/>
      <c r="BI559" s="89"/>
      <c r="BJ559" s="89"/>
      <c r="BK559" s="89"/>
      <c r="BL559" s="89"/>
      <c r="BM559" s="89"/>
      <c r="BN559" s="89"/>
      <c r="BO559" s="89"/>
      <c r="BP559" s="89"/>
      <c r="BQ559" s="89"/>
      <c r="BR559" s="89"/>
      <c r="BS559" s="89"/>
    </row>
    <row r="560" spans="1:71" ht="27" customHeight="1" x14ac:dyDescent="0.2">
      <c r="A560" s="93"/>
      <c r="B560" s="89"/>
      <c r="C560" s="89"/>
      <c r="D560" s="89"/>
      <c r="E560" s="89"/>
      <c r="F560" s="89"/>
      <c r="G560" s="89"/>
      <c r="H560" s="94"/>
      <c r="I560" s="94"/>
      <c r="J560" s="94"/>
      <c r="K560" s="94"/>
      <c r="L560" s="94"/>
      <c r="M560" s="94"/>
      <c r="N560" s="94"/>
      <c r="O560" s="94"/>
      <c r="P560" s="94"/>
      <c r="Q560" s="94"/>
      <c r="R560" s="95"/>
      <c r="S560" s="94"/>
      <c r="T560" s="96"/>
      <c r="U560" s="94"/>
      <c r="V560" s="97"/>
      <c r="W560" s="94"/>
      <c r="X560" s="98"/>
      <c r="Y560" s="98"/>
      <c r="Z560" s="98"/>
      <c r="AA560" s="98"/>
      <c r="AB560" s="98"/>
      <c r="AC560" s="97"/>
      <c r="AD560" s="99"/>
      <c r="AE560" s="95"/>
      <c r="AF560" s="94"/>
      <c r="AG560" s="89"/>
      <c r="AH560" s="89"/>
      <c r="AI560" s="89"/>
      <c r="AJ560" s="89"/>
      <c r="AK560" s="89"/>
      <c r="AL560" s="89"/>
      <c r="AM560" s="89"/>
      <c r="AN560" s="89"/>
      <c r="AO560" s="89"/>
      <c r="AP560" s="89"/>
      <c r="AQ560" s="89"/>
      <c r="AR560" s="89"/>
      <c r="AS560" s="89"/>
      <c r="AT560" s="89"/>
      <c r="AU560" s="89"/>
      <c r="AV560" s="89"/>
      <c r="AW560" s="100"/>
      <c r="AX560" s="100"/>
      <c r="AY560" s="89"/>
      <c r="AZ560" s="89"/>
      <c r="BA560" s="89"/>
      <c r="BB560" s="89"/>
      <c r="BC560" s="89"/>
      <c r="BD560" s="89"/>
      <c r="BE560" s="89"/>
      <c r="BF560" s="89"/>
      <c r="BG560" s="89"/>
      <c r="BH560" s="89"/>
      <c r="BI560" s="89"/>
      <c r="BJ560" s="89"/>
      <c r="BK560" s="89"/>
      <c r="BL560" s="89"/>
      <c r="BM560" s="89"/>
      <c r="BN560" s="89"/>
      <c r="BO560" s="89"/>
      <c r="BP560" s="89"/>
      <c r="BQ560" s="89"/>
      <c r="BR560" s="89"/>
      <c r="BS560" s="89"/>
    </row>
    <row r="561" spans="1:71" ht="27" customHeight="1" x14ac:dyDescent="0.2">
      <c r="A561" s="93"/>
      <c r="B561" s="89"/>
      <c r="C561" s="89"/>
      <c r="D561" s="89"/>
      <c r="E561" s="89"/>
      <c r="F561" s="89"/>
      <c r="G561" s="89"/>
      <c r="H561" s="94"/>
      <c r="I561" s="94"/>
      <c r="J561" s="94"/>
      <c r="K561" s="94"/>
      <c r="L561" s="94"/>
      <c r="M561" s="94"/>
      <c r="N561" s="94"/>
      <c r="O561" s="94"/>
      <c r="P561" s="94"/>
      <c r="Q561" s="94"/>
      <c r="R561" s="95"/>
      <c r="S561" s="94"/>
      <c r="T561" s="96"/>
      <c r="U561" s="94"/>
      <c r="V561" s="97"/>
      <c r="W561" s="94"/>
      <c r="X561" s="98"/>
      <c r="Y561" s="98"/>
      <c r="Z561" s="98"/>
      <c r="AA561" s="98"/>
      <c r="AB561" s="98"/>
      <c r="AC561" s="97"/>
      <c r="AD561" s="99"/>
      <c r="AE561" s="95"/>
      <c r="AF561" s="94"/>
      <c r="AG561" s="89"/>
      <c r="AH561" s="89"/>
      <c r="AI561" s="89"/>
      <c r="AJ561" s="89"/>
      <c r="AK561" s="89"/>
      <c r="AL561" s="89"/>
      <c r="AM561" s="89"/>
      <c r="AN561" s="89"/>
      <c r="AO561" s="89"/>
      <c r="AP561" s="89"/>
      <c r="AQ561" s="89"/>
      <c r="AR561" s="89"/>
      <c r="AS561" s="89"/>
      <c r="AT561" s="89"/>
      <c r="AU561" s="89"/>
      <c r="AV561" s="89"/>
      <c r="AW561" s="100"/>
      <c r="AX561" s="100"/>
      <c r="AY561" s="89"/>
      <c r="AZ561" s="89"/>
      <c r="BA561" s="89"/>
      <c r="BB561" s="89"/>
      <c r="BC561" s="89"/>
      <c r="BD561" s="89"/>
      <c r="BE561" s="89"/>
      <c r="BF561" s="89"/>
      <c r="BG561" s="89"/>
      <c r="BH561" s="89"/>
      <c r="BI561" s="89"/>
      <c r="BJ561" s="89"/>
      <c r="BK561" s="89"/>
      <c r="BL561" s="89"/>
      <c r="BM561" s="89"/>
      <c r="BN561" s="89"/>
      <c r="BO561" s="89"/>
      <c r="BP561" s="89"/>
      <c r="BQ561" s="89"/>
      <c r="BR561" s="89"/>
      <c r="BS561" s="89"/>
    </row>
    <row r="562" spans="1:71" ht="27" customHeight="1" x14ac:dyDescent="0.2">
      <c r="A562" s="93"/>
      <c r="B562" s="89"/>
      <c r="C562" s="89"/>
      <c r="D562" s="89"/>
      <c r="E562" s="89"/>
      <c r="F562" s="89"/>
      <c r="G562" s="89"/>
      <c r="H562" s="94"/>
      <c r="I562" s="94"/>
      <c r="J562" s="94"/>
      <c r="K562" s="94"/>
      <c r="L562" s="94"/>
      <c r="M562" s="94"/>
      <c r="N562" s="94"/>
      <c r="O562" s="94"/>
      <c r="P562" s="94"/>
      <c r="Q562" s="94"/>
      <c r="R562" s="95"/>
      <c r="S562" s="94"/>
      <c r="T562" s="96"/>
      <c r="U562" s="94"/>
      <c r="V562" s="97"/>
      <c r="W562" s="94"/>
      <c r="X562" s="98"/>
      <c r="Y562" s="98"/>
      <c r="Z562" s="98"/>
      <c r="AA562" s="98"/>
      <c r="AB562" s="98"/>
      <c r="AC562" s="97"/>
      <c r="AD562" s="99"/>
      <c r="AE562" s="95"/>
      <c r="AF562" s="94"/>
      <c r="AG562" s="89"/>
      <c r="AH562" s="89"/>
      <c r="AI562" s="89"/>
      <c r="AJ562" s="89"/>
      <c r="AK562" s="89"/>
      <c r="AL562" s="89"/>
      <c r="AM562" s="89"/>
      <c r="AN562" s="89"/>
      <c r="AO562" s="89"/>
      <c r="AP562" s="89"/>
      <c r="AQ562" s="89"/>
      <c r="AR562" s="89"/>
      <c r="AS562" s="89"/>
      <c r="AT562" s="89"/>
      <c r="AU562" s="89"/>
      <c r="AV562" s="89"/>
      <c r="AW562" s="100"/>
      <c r="AX562" s="100"/>
      <c r="AY562" s="89"/>
      <c r="AZ562" s="89"/>
      <c r="BA562" s="89"/>
      <c r="BB562" s="89"/>
      <c r="BC562" s="89"/>
      <c r="BD562" s="89"/>
      <c r="BE562" s="89"/>
      <c r="BF562" s="89"/>
      <c r="BG562" s="89"/>
      <c r="BH562" s="89"/>
      <c r="BI562" s="89"/>
      <c r="BJ562" s="89"/>
      <c r="BK562" s="89"/>
      <c r="BL562" s="89"/>
      <c r="BM562" s="89"/>
      <c r="BN562" s="89"/>
      <c r="BO562" s="89"/>
      <c r="BP562" s="89"/>
      <c r="BQ562" s="89"/>
      <c r="BR562" s="89"/>
      <c r="BS562" s="89"/>
    </row>
    <row r="563" spans="1:71" ht="27" customHeight="1" x14ac:dyDescent="0.2">
      <c r="A563" s="93"/>
      <c r="B563" s="89"/>
      <c r="C563" s="89"/>
      <c r="D563" s="89"/>
      <c r="E563" s="89"/>
      <c r="F563" s="89"/>
      <c r="G563" s="89"/>
      <c r="H563" s="94"/>
      <c r="I563" s="94"/>
      <c r="J563" s="94"/>
      <c r="K563" s="94"/>
      <c r="L563" s="94"/>
      <c r="M563" s="94"/>
      <c r="N563" s="94"/>
      <c r="O563" s="94"/>
      <c r="P563" s="94"/>
      <c r="Q563" s="94"/>
      <c r="R563" s="95"/>
      <c r="S563" s="94"/>
      <c r="T563" s="96"/>
      <c r="U563" s="94"/>
      <c r="V563" s="97"/>
      <c r="W563" s="94"/>
      <c r="X563" s="98"/>
      <c r="Y563" s="98"/>
      <c r="Z563" s="98"/>
      <c r="AA563" s="98"/>
      <c r="AB563" s="98"/>
      <c r="AC563" s="97"/>
      <c r="AD563" s="99"/>
      <c r="AE563" s="95"/>
      <c r="AF563" s="94"/>
      <c r="AG563" s="89"/>
      <c r="AH563" s="89"/>
      <c r="AI563" s="89"/>
      <c r="AJ563" s="89"/>
      <c r="AK563" s="89"/>
      <c r="AL563" s="89"/>
      <c r="AM563" s="89"/>
      <c r="AN563" s="89"/>
      <c r="AO563" s="89"/>
      <c r="AP563" s="89"/>
      <c r="AQ563" s="89"/>
      <c r="AR563" s="89"/>
      <c r="AS563" s="89"/>
      <c r="AT563" s="89"/>
      <c r="AU563" s="89"/>
      <c r="AV563" s="89"/>
      <c r="AW563" s="100"/>
      <c r="AX563" s="100"/>
      <c r="AY563" s="89"/>
      <c r="AZ563" s="89"/>
      <c r="BA563" s="89"/>
      <c r="BB563" s="89"/>
      <c r="BC563" s="89"/>
      <c r="BD563" s="89"/>
      <c r="BE563" s="89"/>
      <c r="BF563" s="89"/>
      <c r="BG563" s="89"/>
      <c r="BH563" s="89"/>
      <c r="BI563" s="89"/>
      <c r="BJ563" s="89"/>
      <c r="BK563" s="89"/>
      <c r="BL563" s="89"/>
      <c r="BM563" s="89"/>
      <c r="BN563" s="89"/>
      <c r="BO563" s="89"/>
      <c r="BP563" s="89"/>
      <c r="BQ563" s="89"/>
      <c r="BR563" s="89"/>
      <c r="BS563" s="89"/>
    </row>
    <row r="564" spans="1:71" ht="27" customHeight="1" x14ac:dyDescent="0.2">
      <c r="A564" s="93"/>
      <c r="B564" s="89"/>
      <c r="C564" s="89"/>
      <c r="D564" s="89"/>
      <c r="E564" s="89"/>
      <c r="F564" s="89"/>
      <c r="G564" s="89"/>
      <c r="H564" s="94"/>
      <c r="I564" s="94"/>
      <c r="J564" s="94"/>
      <c r="K564" s="94"/>
      <c r="L564" s="94"/>
      <c r="M564" s="94"/>
      <c r="N564" s="94"/>
      <c r="O564" s="94"/>
      <c r="P564" s="94"/>
      <c r="Q564" s="94"/>
      <c r="R564" s="95"/>
      <c r="S564" s="94"/>
      <c r="T564" s="96"/>
      <c r="U564" s="94"/>
      <c r="V564" s="97"/>
      <c r="W564" s="94"/>
      <c r="X564" s="98"/>
      <c r="Y564" s="98"/>
      <c r="Z564" s="98"/>
      <c r="AA564" s="98"/>
      <c r="AB564" s="98"/>
      <c r="AC564" s="97"/>
      <c r="AD564" s="99"/>
      <c r="AE564" s="95"/>
      <c r="AF564" s="94"/>
      <c r="AG564" s="89"/>
      <c r="AH564" s="89"/>
      <c r="AI564" s="89"/>
      <c r="AJ564" s="89"/>
      <c r="AK564" s="89"/>
      <c r="AL564" s="89"/>
      <c r="AM564" s="89"/>
      <c r="AN564" s="89"/>
      <c r="AO564" s="89"/>
      <c r="AP564" s="89"/>
      <c r="AQ564" s="89"/>
      <c r="AR564" s="89"/>
      <c r="AS564" s="89"/>
      <c r="AT564" s="89"/>
      <c r="AU564" s="89"/>
      <c r="AV564" s="89"/>
      <c r="AW564" s="100"/>
      <c r="AX564" s="100"/>
      <c r="AY564" s="89"/>
      <c r="AZ564" s="89"/>
      <c r="BA564" s="89"/>
      <c r="BB564" s="89"/>
      <c r="BC564" s="89"/>
      <c r="BD564" s="89"/>
      <c r="BE564" s="89"/>
      <c r="BF564" s="89"/>
      <c r="BG564" s="89"/>
      <c r="BH564" s="89"/>
      <c r="BI564" s="89"/>
      <c r="BJ564" s="89"/>
      <c r="BK564" s="89"/>
      <c r="BL564" s="89"/>
      <c r="BM564" s="89"/>
      <c r="BN564" s="89"/>
      <c r="BO564" s="89"/>
      <c r="BP564" s="89"/>
      <c r="BQ564" s="89"/>
      <c r="BR564" s="89"/>
      <c r="BS564" s="89"/>
    </row>
    <row r="565" spans="1:71" ht="27" customHeight="1" x14ac:dyDescent="0.2">
      <c r="A565" s="93"/>
      <c r="B565" s="89"/>
      <c r="C565" s="89"/>
      <c r="D565" s="89"/>
      <c r="E565" s="89"/>
      <c r="F565" s="89"/>
      <c r="G565" s="89"/>
      <c r="H565" s="94"/>
      <c r="I565" s="94"/>
      <c r="J565" s="94"/>
      <c r="K565" s="94"/>
      <c r="L565" s="94"/>
      <c r="M565" s="94"/>
      <c r="N565" s="94"/>
      <c r="O565" s="94"/>
      <c r="P565" s="94"/>
      <c r="Q565" s="94"/>
      <c r="R565" s="95"/>
      <c r="S565" s="94"/>
      <c r="T565" s="96"/>
      <c r="U565" s="94"/>
      <c r="V565" s="97"/>
      <c r="W565" s="94"/>
      <c r="X565" s="98"/>
      <c r="Y565" s="98"/>
      <c r="Z565" s="98"/>
      <c r="AA565" s="98"/>
      <c r="AB565" s="98"/>
      <c r="AC565" s="97"/>
      <c r="AD565" s="99"/>
      <c r="AE565" s="95"/>
      <c r="AF565" s="94"/>
      <c r="AG565" s="89"/>
      <c r="AH565" s="89"/>
      <c r="AI565" s="89"/>
      <c r="AJ565" s="89"/>
      <c r="AK565" s="89"/>
      <c r="AL565" s="89"/>
      <c r="AM565" s="89"/>
      <c r="AN565" s="89"/>
      <c r="AO565" s="89"/>
      <c r="AP565" s="89"/>
      <c r="AQ565" s="89"/>
      <c r="AR565" s="89"/>
      <c r="AS565" s="89"/>
      <c r="AT565" s="89"/>
      <c r="AU565" s="89"/>
      <c r="AV565" s="89"/>
      <c r="AW565" s="100"/>
      <c r="AX565" s="100"/>
      <c r="AY565" s="89"/>
      <c r="AZ565" s="89"/>
      <c r="BA565" s="89"/>
      <c r="BB565" s="89"/>
      <c r="BC565" s="89"/>
      <c r="BD565" s="89"/>
      <c r="BE565" s="89"/>
      <c r="BF565" s="89"/>
      <c r="BG565" s="89"/>
      <c r="BH565" s="89"/>
      <c r="BI565" s="89"/>
      <c r="BJ565" s="89"/>
      <c r="BK565" s="89"/>
      <c r="BL565" s="89"/>
      <c r="BM565" s="89"/>
      <c r="BN565" s="89"/>
      <c r="BO565" s="89"/>
      <c r="BP565" s="89"/>
      <c r="BQ565" s="89"/>
      <c r="BR565" s="89"/>
      <c r="BS565" s="89"/>
    </row>
    <row r="566" spans="1:71" ht="27" customHeight="1" x14ac:dyDescent="0.2">
      <c r="A566" s="93"/>
      <c r="B566" s="89"/>
      <c r="C566" s="89"/>
      <c r="D566" s="89"/>
      <c r="E566" s="89"/>
      <c r="F566" s="89"/>
      <c r="G566" s="89"/>
      <c r="H566" s="94"/>
      <c r="I566" s="94"/>
      <c r="J566" s="94"/>
      <c r="K566" s="94"/>
      <c r="L566" s="94"/>
      <c r="M566" s="94"/>
      <c r="N566" s="94"/>
      <c r="O566" s="94"/>
      <c r="P566" s="94"/>
      <c r="Q566" s="94"/>
      <c r="R566" s="95"/>
      <c r="S566" s="94"/>
      <c r="T566" s="96"/>
      <c r="U566" s="94"/>
      <c r="V566" s="97"/>
      <c r="W566" s="94"/>
      <c r="X566" s="98"/>
      <c r="Y566" s="98"/>
      <c r="Z566" s="98"/>
      <c r="AA566" s="98"/>
      <c r="AB566" s="98"/>
      <c r="AC566" s="97"/>
      <c r="AD566" s="99"/>
      <c r="AE566" s="95"/>
      <c r="AF566" s="94"/>
      <c r="AG566" s="89"/>
      <c r="AH566" s="89"/>
      <c r="AI566" s="89"/>
      <c r="AJ566" s="89"/>
      <c r="AK566" s="89"/>
      <c r="AL566" s="89"/>
      <c r="AM566" s="89"/>
      <c r="AN566" s="89"/>
      <c r="AO566" s="89"/>
      <c r="AP566" s="89"/>
      <c r="AQ566" s="89"/>
      <c r="AR566" s="89"/>
      <c r="AS566" s="89"/>
      <c r="AT566" s="89"/>
      <c r="AU566" s="89"/>
      <c r="AV566" s="89"/>
      <c r="AW566" s="100"/>
      <c r="AX566" s="100"/>
      <c r="AY566" s="89"/>
      <c r="AZ566" s="89"/>
      <c r="BA566" s="89"/>
      <c r="BB566" s="89"/>
      <c r="BC566" s="89"/>
      <c r="BD566" s="89"/>
      <c r="BE566" s="89"/>
      <c r="BF566" s="89"/>
      <c r="BG566" s="89"/>
      <c r="BH566" s="89"/>
      <c r="BI566" s="89"/>
      <c r="BJ566" s="89"/>
      <c r="BK566" s="89"/>
      <c r="BL566" s="89"/>
      <c r="BM566" s="89"/>
      <c r="BN566" s="89"/>
      <c r="BO566" s="89"/>
      <c r="BP566" s="89"/>
      <c r="BQ566" s="89"/>
      <c r="BR566" s="89"/>
      <c r="BS566" s="89"/>
    </row>
    <row r="567" spans="1:71" ht="27" customHeight="1" x14ac:dyDescent="0.2">
      <c r="A567" s="93"/>
      <c r="B567" s="89"/>
      <c r="C567" s="89"/>
      <c r="D567" s="89"/>
      <c r="E567" s="89"/>
      <c r="F567" s="89"/>
      <c r="G567" s="89"/>
      <c r="H567" s="94"/>
      <c r="I567" s="94"/>
      <c r="J567" s="94"/>
      <c r="K567" s="94"/>
      <c r="L567" s="94"/>
      <c r="M567" s="94"/>
      <c r="N567" s="94"/>
      <c r="O567" s="94"/>
      <c r="P567" s="94"/>
      <c r="Q567" s="94"/>
      <c r="R567" s="95"/>
      <c r="S567" s="94"/>
      <c r="T567" s="96"/>
      <c r="U567" s="94"/>
      <c r="V567" s="97"/>
      <c r="W567" s="94"/>
      <c r="X567" s="98"/>
      <c r="Y567" s="98"/>
      <c r="Z567" s="98"/>
      <c r="AA567" s="98"/>
      <c r="AB567" s="98"/>
      <c r="AC567" s="97"/>
      <c r="AD567" s="99"/>
      <c r="AE567" s="95"/>
      <c r="AF567" s="94"/>
      <c r="AG567" s="89"/>
      <c r="AH567" s="89"/>
      <c r="AI567" s="89"/>
      <c r="AJ567" s="89"/>
      <c r="AK567" s="89"/>
      <c r="AL567" s="89"/>
      <c r="AM567" s="89"/>
      <c r="AN567" s="89"/>
      <c r="AO567" s="89"/>
      <c r="AP567" s="89"/>
      <c r="AQ567" s="89"/>
      <c r="AR567" s="89"/>
      <c r="AS567" s="89"/>
      <c r="AT567" s="89"/>
      <c r="AU567" s="89"/>
      <c r="AV567" s="89"/>
      <c r="AW567" s="100"/>
      <c r="AX567" s="100"/>
      <c r="AY567" s="89"/>
      <c r="AZ567" s="89"/>
      <c r="BA567" s="89"/>
      <c r="BB567" s="89"/>
      <c r="BC567" s="89"/>
      <c r="BD567" s="89"/>
      <c r="BE567" s="89"/>
      <c r="BF567" s="89"/>
      <c r="BG567" s="89"/>
      <c r="BH567" s="89"/>
      <c r="BI567" s="89"/>
      <c r="BJ567" s="89"/>
      <c r="BK567" s="89"/>
      <c r="BL567" s="89"/>
      <c r="BM567" s="89"/>
      <c r="BN567" s="89"/>
      <c r="BO567" s="89"/>
      <c r="BP567" s="89"/>
      <c r="BQ567" s="89"/>
      <c r="BR567" s="89"/>
      <c r="BS567" s="89"/>
    </row>
    <row r="568" spans="1:71" ht="27" customHeight="1" x14ac:dyDescent="0.2">
      <c r="A568" s="93"/>
      <c r="B568" s="89"/>
      <c r="C568" s="89"/>
      <c r="D568" s="89"/>
      <c r="E568" s="89"/>
      <c r="F568" s="89"/>
      <c r="G568" s="89"/>
      <c r="H568" s="94"/>
      <c r="I568" s="94"/>
      <c r="J568" s="94"/>
      <c r="K568" s="94"/>
      <c r="L568" s="94"/>
      <c r="M568" s="94"/>
      <c r="N568" s="94"/>
      <c r="O568" s="94"/>
      <c r="P568" s="94"/>
      <c r="Q568" s="94"/>
      <c r="R568" s="95"/>
      <c r="S568" s="94"/>
      <c r="T568" s="96"/>
      <c r="U568" s="94"/>
      <c r="V568" s="97"/>
      <c r="W568" s="94"/>
      <c r="X568" s="98"/>
      <c r="Y568" s="98"/>
      <c r="Z568" s="98"/>
      <c r="AA568" s="98"/>
      <c r="AB568" s="98"/>
      <c r="AC568" s="97"/>
      <c r="AD568" s="99"/>
      <c r="AE568" s="95"/>
      <c r="AF568" s="94"/>
      <c r="AG568" s="89"/>
      <c r="AH568" s="89"/>
      <c r="AI568" s="89"/>
      <c r="AJ568" s="89"/>
      <c r="AK568" s="89"/>
      <c r="AL568" s="89"/>
      <c r="AM568" s="89"/>
      <c r="AN568" s="89"/>
      <c r="AO568" s="89"/>
      <c r="AP568" s="89"/>
      <c r="AQ568" s="89"/>
      <c r="AR568" s="89"/>
      <c r="AS568" s="89"/>
      <c r="AT568" s="89"/>
      <c r="AU568" s="89"/>
      <c r="AV568" s="89"/>
      <c r="AW568" s="100"/>
      <c r="AX568" s="100"/>
      <c r="AY568" s="89"/>
      <c r="AZ568" s="89"/>
      <c r="BA568" s="89"/>
      <c r="BB568" s="89"/>
      <c r="BC568" s="89"/>
      <c r="BD568" s="89"/>
      <c r="BE568" s="89"/>
      <c r="BF568" s="89"/>
      <c r="BG568" s="89"/>
      <c r="BH568" s="89"/>
      <c r="BI568" s="89"/>
      <c r="BJ568" s="89"/>
      <c r="BK568" s="89"/>
      <c r="BL568" s="89"/>
      <c r="BM568" s="89"/>
      <c r="BN568" s="89"/>
      <c r="BO568" s="89"/>
      <c r="BP568" s="89"/>
      <c r="BQ568" s="89"/>
      <c r="BR568" s="89"/>
      <c r="BS568" s="89"/>
    </row>
    <row r="569" spans="1:71" ht="27" customHeight="1" x14ac:dyDescent="0.2">
      <c r="A569" s="93"/>
      <c r="B569" s="89"/>
      <c r="C569" s="89"/>
      <c r="D569" s="89"/>
      <c r="E569" s="89"/>
      <c r="F569" s="89"/>
      <c r="G569" s="89"/>
      <c r="H569" s="94"/>
      <c r="I569" s="94"/>
      <c r="J569" s="94"/>
      <c r="K569" s="94"/>
      <c r="L569" s="94"/>
      <c r="M569" s="94"/>
      <c r="N569" s="94"/>
      <c r="O569" s="94"/>
      <c r="P569" s="94"/>
      <c r="Q569" s="94"/>
      <c r="R569" s="95"/>
      <c r="S569" s="94"/>
      <c r="T569" s="96"/>
      <c r="U569" s="94"/>
      <c r="V569" s="97"/>
      <c r="W569" s="94"/>
      <c r="X569" s="98"/>
      <c r="Y569" s="98"/>
      <c r="Z569" s="98"/>
      <c r="AA569" s="98"/>
      <c r="AB569" s="98"/>
      <c r="AC569" s="97"/>
      <c r="AD569" s="99"/>
      <c r="AE569" s="95"/>
      <c r="AF569" s="94"/>
      <c r="AG569" s="89"/>
      <c r="AH569" s="89"/>
      <c r="AI569" s="89"/>
      <c r="AJ569" s="89"/>
      <c r="AK569" s="89"/>
      <c r="AL569" s="89"/>
      <c r="AM569" s="89"/>
      <c r="AN569" s="89"/>
      <c r="AO569" s="89"/>
      <c r="AP569" s="89"/>
      <c r="AQ569" s="89"/>
      <c r="AR569" s="89"/>
      <c r="AS569" s="89"/>
      <c r="AT569" s="89"/>
      <c r="AU569" s="89"/>
      <c r="AV569" s="89"/>
      <c r="AW569" s="100"/>
      <c r="AX569" s="100"/>
      <c r="AY569" s="89"/>
      <c r="AZ569" s="89"/>
      <c r="BA569" s="89"/>
      <c r="BB569" s="89"/>
      <c r="BC569" s="89"/>
      <c r="BD569" s="89"/>
      <c r="BE569" s="89"/>
      <c r="BF569" s="89"/>
      <c r="BG569" s="89"/>
      <c r="BH569" s="89"/>
      <c r="BI569" s="89"/>
      <c r="BJ569" s="89"/>
      <c r="BK569" s="89"/>
      <c r="BL569" s="89"/>
      <c r="BM569" s="89"/>
      <c r="BN569" s="89"/>
      <c r="BO569" s="89"/>
      <c r="BP569" s="89"/>
      <c r="BQ569" s="89"/>
      <c r="BR569" s="89"/>
      <c r="BS569" s="89"/>
    </row>
    <row r="570" spans="1:71" ht="27" customHeight="1" x14ac:dyDescent="0.2">
      <c r="A570" s="93"/>
      <c r="B570" s="89"/>
      <c r="C570" s="89"/>
      <c r="D570" s="89"/>
      <c r="E570" s="89"/>
      <c r="F570" s="89"/>
      <c r="G570" s="89"/>
      <c r="H570" s="94"/>
      <c r="I570" s="94"/>
      <c r="J570" s="94"/>
      <c r="K570" s="94"/>
      <c r="L570" s="94"/>
      <c r="M570" s="94"/>
      <c r="N570" s="94"/>
      <c r="O570" s="94"/>
      <c r="P570" s="94"/>
      <c r="Q570" s="94"/>
      <c r="R570" s="95"/>
      <c r="S570" s="94"/>
      <c r="T570" s="96"/>
      <c r="U570" s="94"/>
      <c r="V570" s="97"/>
      <c r="W570" s="94"/>
      <c r="X570" s="98"/>
      <c r="Y570" s="98"/>
      <c r="Z570" s="98"/>
      <c r="AA570" s="98"/>
      <c r="AB570" s="98"/>
      <c r="AC570" s="97"/>
      <c r="AD570" s="99"/>
      <c r="AE570" s="95"/>
      <c r="AF570" s="94"/>
      <c r="AG570" s="89"/>
      <c r="AH570" s="89"/>
      <c r="AI570" s="89"/>
      <c r="AJ570" s="89"/>
      <c r="AK570" s="89"/>
      <c r="AL570" s="89"/>
      <c r="AM570" s="89"/>
      <c r="AN570" s="89"/>
      <c r="AO570" s="89"/>
      <c r="AP570" s="89"/>
      <c r="AQ570" s="89"/>
      <c r="AR570" s="89"/>
      <c r="AS570" s="89"/>
      <c r="AT570" s="89"/>
      <c r="AU570" s="89"/>
      <c r="AV570" s="89"/>
      <c r="AW570" s="100"/>
      <c r="AX570" s="100"/>
      <c r="AY570" s="89"/>
      <c r="AZ570" s="89"/>
      <c r="BA570" s="89"/>
      <c r="BB570" s="89"/>
      <c r="BC570" s="89"/>
      <c r="BD570" s="89"/>
      <c r="BE570" s="89"/>
      <c r="BF570" s="89"/>
      <c r="BG570" s="89"/>
      <c r="BH570" s="89"/>
      <c r="BI570" s="89"/>
      <c r="BJ570" s="89"/>
      <c r="BK570" s="89"/>
      <c r="BL570" s="89"/>
      <c r="BM570" s="89"/>
      <c r="BN570" s="89"/>
      <c r="BO570" s="89"/>
      <c r="BP570" s="89"/>
      <c r="BQ570" s="89"/>
      <c r="BR570" s="89"/>
      <c r="BS570" s="89"/>
    </row>
    <row r="571" spans="1:71" ht="27" customHeight="1" x14ac:dyDescent="0.2">
      <c r="A571" s="93"/>
      <c r="B571" s="89"/>
      <c r="C571" s="89"/>
      <c r="D571" s="89"/>
      <c r="E571" s="89"/>
      <c r="F571" s="89"/>
      <c r="G571" s="89"/>
      <c r="H571" s="94"/>
      <c r="I571" s="94"/>
      <c r="J571" s="94"/>
      <c r="K571" s="94"/>
      <c r="L571" s="94"/>
      <c r="M571" s="94"/>
      <c r="N571" s="94"/>
      <c r="O571" s="94"/>
      <c r="P571" s="94"/>
      <c r="Q571" s="94"/>
      <c r="R571" s="95"/>
      <c r="S571" s="94"/>
      <c r="T571" s="96"/>
      <c r="U571" s="94"/>
      <c r="V571" s="97"/>
      <c r="W571" s="94"/>
      <c r="X571" s="98"/>
      <c r="Y571" s="98"/>
      <c r="Z571" s="98"/>
      <c r="AA571" s="98"/>
      <c r="AB571" s="98"/>
      <c r="AC571" s="97"/>
      <c r="AD571" s="99"/>
      <c r="AE571" s="95"/>
      <c r="AF571" s="94"/>
      <c r="AG571" s="89"/>
      <c r="AH571" s="89"/>
      <c r="AI571" s="89"/>
      <c r="AJ571" s="89"/>
      <c r="AK571" s="89"/>
      <c r="AL571" s="89"/>
      <c r="AM571" s="89"/>
      <c r="AN571" s="89"/>
      <c r="AO571" s="89"/>
      <c r="AP571" s="89"/>
      <c r="AQ571" s="89"/>
      <c r="AR571" s="89"/>
      <c r="AS571" s="89"/>
      <c r="AT571" s="89"/>
      <c r="AU571" s="89"/>
      <c r="AV571" s="89"/>
      <c r="AW571" s="100"/>
      <c r="AX571" s="100"/>
      <c r="AY571" s="89"/>
      <c r="AZ571" s="89"/>
      <c r="BA571" s="89"/>
      <c r="BB571" s="89"/>
      <c r="BC571" s="89"/>
      <c r="BD571" s="89"/>
      <c r="BE571" s="89"/>
      <c r="BF571" s="89"/>
      <c r="BG571" s="89"/>
      <c r="BH571" s="89"/>
      <c r="BI571" s="89"/>
      <c r="BJ571" s="89"/>
      <c r="BK571" s="89"/>
      <c r="BL571" s="89"/>
      <c r="BM571" s="89"/>
      <c r="BN571" s="89"/>
      <c r="BO571" s="89"/>
      <c r="BP571" s="89"/>
      <c r="BQ571" s="89"/>
      <c r="BR571" s="89"/>
      <c r="BS571" s="89"/>
    </row>
    <row r="572" spans="1:71" ht="27" customHeight="1" x14ac:dyDescent="0.2">
      <c r="A572" s="93"/>
      <c r="B572" s="89"/>
      <c r="C572" s="89"/>
      <c r="D572" s="89"/>
      <c r="E572" s="89"/>
      <c r="F572" s="89"/>
      <c r="G572" s="89"/>
      <c r="H572" s="94"/>
      <c r="I572" s="94"/>
      <c r="J572" s="94"/>
      <c r="K572" s="94"/>
      <c r="L572" s="94"/>
      <c r="M572" s="94"/>
      <c r="N572" s="94"/>
      <c r="O572" s="94"/>
      <c r="P572" s="94"/>
      <c r="Q572" s="94"/>
      <c r="R572" s="95"/>
      <c r="S572" s="94"/>
      <c r="T572" s="96"/>
      <c r="U572" s="94"/>
      <c r="V572" s="97"/>
      <c r="W572" s="94"/>
      <c r="X572" s="98"/>
      <c r="Y572" s="98"/>
      <c r="Z572" s="98"/>
      <c r="AA572" s="98"/>
      <c r="AB572" s="98"/>
      <c r="AC572" s="97"/>
      <c r="AD572" s="99"/>
      <c r="AE572" s="95"/>
      <c r="AF572" s="94"/>
      <c r="AG572" s="89"/>
      <c r="AH572" s="89"/>
      <c r="AI572" s="89"/>
      <c r="AJ572" s="89"/>
      <c r="AK572" s="89"/>
      <c r="AL572" s="89"/>
      <c r="AM572" s="89"/>
      <c r="AN572" s="89"/>
      <c r="AO572" s="89"/>
      <c r="AP572" s="89"/>
      <c r="AQ572" s="89"/>
      <c r="AR572" s="89"/>
      <c r="AS572" s="89"/>
      <c r="AT572" s="89"/>
      <c r="AU572" s="89"/>
      <c r="AV572" s="89"/>
      <c r="AW572" s="100"/>
      <c r="AX572" s="100"/>
      <c r="AY572" s="89"/>
      <c r="AZ572" s="89"/>
      <c r="BA572" s="89"/>
      <c r="BB572" s="89"/>
      <c r="BC572" s="89"/>
      <c r="BD572" s="89"/>
      <c r="BE572" s="89"/>
      <c r="BF572" s="89"/>
      <c r="BG572" s="89"/>
      <c r="BH572" s="89"/>
      <c r="BI572" s="89"/>
      <c r="BJ572" s="89"/>
      <c r="BK572" s="89"/>
      <c r="BL572" s="89"/>
      <c r="BM572" s="89"/>
      <c r="BN572" s="89"/>
      <c r="BO572" s="89"/>
      <c r="BP572" s="89"/>
      <c r="BQ572" s="89"/>
      <c r="BR572" s="89"/>
      <c r="BS572" s="89"/>
    </row>
    <row r="573" spans="1:71" ht="27" customHeight="1" x14ac:dyDescent="0.2">
      <c r="A573" s="93"/>
      <c r="B573" s="89"/>
      <c r="C573" s="89"/>
      <c r="D573" s="89"/>
      <c r="E573" s="89"/>
      <c r="F573" s="89"/>
      <c r="G573" s="89"/>
      <c r="H573" s="94"/>
      <c r="I573" s="94"/>
      <c r="J573" s="94"/>
      <c r="K573" s="94"/>
      <c r="L573" s="94"/>
      <c r="M573" s="94"/>
      <c r="N573" s="94"/>
      <c r="O573" s="94"/>
      <c r="P573" s="94"/>
      <c r="Q573" s="94"/>
      <c r="R573" s="95"/>
      <c r="S573" s="94"/>
      <c r="T573" s="96"/>
      <c r="U573" s="94"/>
      <c r="V573" s="97"/>
      <c r="W573" s="94"/>
      <c r="X573" s="98"/>
      <c r="Y573" s="98"/>
      <c r="Z573" s="98"/>
      <c r="AA573" s="98"/>
      <c r="AB573" s="98"/>
      <c r="AC573" s="97"/>
      <c r="AD573" s="99"/>
      <c r="AE573" s="95"/>
      <c r="AF573" s="94"/>
      <c r="AG573" s="89"/>
      <c r="AH573" s="89"/>
      <c r="AI573" s="89"/>
      <c r="AJ573" s="89"/>
      <c r="AK573" s="89"/>
      <c r="AL573" s="89"/>
      <c r="AM573" s="89"/>
      <c r="AN573" s="89"/>
      <c r="AO573" s="89"/>
      <c r="AP573" s="89"/>
      <c r="AQ573" s="89"/>
      <c r="AR573" s="89"/>
      <c r="AS573" s="89"/>
      <c r="AT573" s="89"/>
      <c r="AU573" s="89"/>
      <c r="AV573" s="89"/>
      <c r="AW573" s="100"/>
      <c r="AX573" s="100"/>
      <c r="AY573" s="89"/>
      <c r="AZ573" s="89"/>
      <c r="BA573" s="89"/>
      <c r="BB573" s="89"/>
      <c r="BC573" s="89"/>
      <c r="BD573" s="89"/>
      <c r="BE573" s="89"/>
      <c r="BF573" s="89"/>
      <c r="BG573" s="89"/>
      <c r="BH573" s="89"/>
      <c r="BI573" s="89"/>
      <c r="BJ573" s="89"/>
      <c r="BK573" s="89"/>
      <c r="BL573" s="89"/>
      <c r="BM573" s="89"/>
      <c r="BN573" s="89"/>
      <c r="BO573" s="89"/>
      <c r="BP573" s="89"/>
      <c r="BQ573" s="89"/>
      <c r="BR573" s="89"/>
      <c r="BS573" s="89"/>
    </row>
    <row r="574" spans="1:71" ht="27" customHeight="1" x14ac:dyDescent="0.2">
      <c r="A574" s="93"/>
      <c r="B574" s="89"/>
      <c r="C574" s="89"/>
      <c r="D574" s="89"/>
      <c r="E574" s="89"/>
      <c r="F574" s="89"/>
      <c r="G574" s="89"/>
      <c r="H574" s="94"/>
      <c r="I574" s="94"/>
      <c r="J574" s="94"/>
      <c r="K574" s="94"/>
      <c r="L574" s="94"/>
      <c r="M574" s="94"/>
      <c r="N574" s="94"/>
      <c r="O574" s="94"/>
      <c r="P574" s="94"/>
      <c r="Q574" s="94"/>
      <c r="R574" s="95"/>
      <c r="S574" s="94"/>
      <c r="T574" s="96"/>
      <c r="U574" s="94"/>
      <c r="V574" s="97"/>
      <c r="W574" s="94"/>
      <c r="X574" s="98"/>
      <c r="Y574" s="98"/>
      <c r="Z574" s="98"/>
      <c r="AA574" s="98"/>
      <c r="AB574" s="98"/>
      <c r="AC574" s="97"/>
      <c r="AD574" s="99"/>
      <c r="AE574" s="95"/>
      <c r="AF574" s="94"/>
      <c r="AG574" s="89"/>
      <c r="AH574" s="89"/>
      <c r="AI574" s="89"/>
      <c r="AJ574" s="89"/>
      <c r="AK574" s="89"/>
      <c r="AL574" s="89"/>
      <c r="AM574" s="89"/>
      <c r="AN574" s="89"/>
      <c r="AO574" s="89"/>
      <c r="AP574" s="89"/>
      <c r="AQ574" s="89"/>
      <c r="AR574" s="89"/>
      <c r="AS574" s="89"/>
      <c r="AT574" s="89"/>
      <c r="AU574" s="89"/>
      <c r="AV574" s="89"/>
      <c r="AW574" s="100"/>
      <c r="AX574" s="100"/>
      <c r="AY574" s="89"/>
      <c r="AZ574" s="89"/>
      <c r="BA574" s="89"/>
      <c r="BB574" s="89"/>
      <c r="BC574" s="89"/>
      <c r="BD574" s="89"/>
      <c r="BE574" s="89"/>
      <c r="BF574" s="89"/>
      <c r="BG574" s="89"/>
      <c r="BH574" s="89"/>
      <c r="BI574" s="89"/>
      <c r="BJ574" s="89"/>
      <c r="BK574" s="89"/>
      <c r="BL574" s="89"/>
      <c r="BM574" s="89"/>
      <c r="BN574" s="89"/>
      <c r="BO574" s="89"/>
      <c r="BP574" s="89"/>
      <c r="BQ574" s="89"/>
      <c r="BR574" s="89"/>
      <c r="BS574" s="89"/>
    </row>
    <row r="575" spans="1:71" ht="27" customHeight="1" x14ac:dyDescent="0.2">
      <c r="A575" s="93"/>
      <c r="B575" s="89"/>
      <c r="C575" s="89"/>
      <c r="D575" s="89"/>
      <c r="E575" s="89"/>
      <c r="F575" s="89"/>
      <c r="G575" s="89"/>
      <c r="H575" s="94"/>
      <c r="I575" s="94"/>
      <c r="J575" s="94"/>
      <c r="K575" s="94"/>
      <c r="L575" s="94"/>
      <c r="M575" s="94"/>
      <c r="N575" s="94"/>
      <c r="O575" s="94"/>
      <c r="P575" s="94"/>
      <c r="Q575" s="94"/>
      <c r="R575" s="95"/>
      <c r="S575" s="94"/>
      <c r="T575" s="96"/>
      <c r="U575" s="94"/>
      <c r="V575" s="97"/>
      <c r="W575" s="94"/>
      <c r="X575" s="98"/>
      <c r="Y575" s="98"/>
      <c r="Z575" s="98"/>
      <c r="AA575" s="98"/>
      <c r="AB575" s="98"/>
      <c r="AC575" s="97"/>
      <c r="AD575" s="99"/>
      <c r="AE575" s="95"/>
      <c r="AF575" s="94"/>
      <c r="AG575" s="89"/>
      <c r="AH575" s="89"/>
      <c r="AI575" s="89"/>
      <c r="AJ575" s="89"/>
      <c r="AK575" s="89"/>
      <c r="AL575" s="89"/>
      <c r="AM575" s="89"/>
      <c r="AN575" s="89"/>
      <c r="AO575" s="89"/>
      <c r="AP575" s="89"/>
      <c r="AQ575" s="89"/>
      <c r="AR575" s="89"/>
      <c r="AS575" s="89"/>
      <c r="AT575" s="89"/>
      <c r="AU575" s="89"/>
      <c r="AV575" s="89"/>
      <c r="AW575" s="100"/>
      <c r="AX575" s="100"/>
      <c r="AY575" s="89"/>
      <c r="AZ575" s="89"/>
      <c r="BA575" s="89"/>
      <c r="BB575" s="89"/>
      <c r="BC575" s="89"/>
      <c r="BD575" s="89"/>
      <c r="BE575" s="89"/>
      <c r="BF575" s="89"/>
      <c r="BG575" s="89"/>
      <c r="BH575" s="89"/>
      <c r="BI575" s="89"/>
      <c r="BJ575" s="89"/>
      <c r="BK575" s="89"/>
      <c r="BL575" s="89"/>
      <c r="BM575" s="89"/>
      <c r="BN575" s="89"/>
      <c r="BO575" s="89"/>
      <c r="BP575" s="89"/>
      <c r="BQ575" s="89"/>
      <c r="BR575" s="89"/>
      <c r="BS575" s="89"/>
    </row>
    <row r="576" spans="1:71" ht="27" customHeight="1" x14ac:dyDescent="0.2">
      <c r="A576" s="93"/>
      <c r="B576" s="89"/>
      <c r="C576" s="89"/>
      <c r="D576" s="89"/>
      <c r="E576" s="89"/>
      <c r="F576" s="89"/>
      <c r="G576" s="89"/>
      <c r="H576" s="94"/>
      <c r="I576" s="94"/>
      <c r="J576" s="94"/>
      <c r="K576" s="94"/>
      <c r="L576" s="94"/>
      <c r="M576" s="94"/>
      <c r="N576" s="94"/>
      <c r="O576" s="94"/>
      <c r="P576" s="94"/>
      <c r="Q576" s="94"/>
      <c r="R576" s="95"/>
      <c r="S576" s="94"/>
      <c r="T576" s="96"/>
      <c r="U576" s="94"/>
      <c r="V576" s="97"/>
      <c r="W576" s="94"/>
      <c r="X576" s="98"/>
      <c r="Y576" s="98"/>
      <c r="Z576" s="98"/>
      <c r="AA576" s="98"/>
      <c r="AB576" s="98"/>
      <c r="AC576" s="97"/>
      <c r="AD576" s="99"/>
      <c r="AE576" s="95"/>
      <c r="AF576" s="94"/>
      <c r="AG576" s="89"/>
      <c r="AH576" s="89"/>
      <c r="AI576" s="89"/>
      <c r="AJ576" s="89"/>
      <c r="AK576" s="89"/>
      <c r="AL576" s="89"/>
      <c r="AM576" s="89"/>
      <c r="AN576" s="89"/>
      <c r="AO576" s="89"/>
      <c r="AP576" s="89"/>
      <c r="AQ576" s="89"/>
      <c r="AR576" s="89"/>
      <c r="AS576" s="89"/>
      <c r="AT576" s="89"/>
      <c r="AU576" s="89"/>
      <c r="AV576" s="89"/>
      <c r="AW576" s="100"/>
      <c r="AX576" s="100"/>
      <c r="AY576" s="89"/>
      <c r="AZ576" s="89"/>
      <c r="BA576" s="89"/>
      <c r="BB576" s="89"/>
      <c r="BC576" s="89"/>
      <c r="BD576" s="89"/>
      <c r="BE576" s="89"/>
      <c r="BF576" s="89"/>
      <c r="BG576" s="89"/>
      <c r="BH576" s="89"/>
      <c r="BI576" s="89"/>
      <c r="BJ576" s="89"/>
      <c r="BK576" s="89"/>
      <c r="BL576" s="89"/>
      <c r="BM576" s="89"/>
      <c r="BN576" s="89"/>
      <c r="BO576" s="89"/>
      <c r="BP576" s="89"/>
      <c r="BQ576" s="89"/>
      <c r="BR576" s="89"/>
      <c r="BS576" s="89"/>
    </row>
    <row r="577" spans="1:71" ht="27" customHeight="1" x14ac:dyDescent="0.2">
      <c r="A577" s="93"/>
      <c r="B577" s="89"/>
      <c r="C577" s="89"/>
      <c r="D577" s="89"/>
      <c r="E577" s="89"/>
      <c r="F577" s="89"/>
      <c r="G577" s="89"/>
      <c r="H577" s="94"/>
      <c r="I577" s="94"/>
      <c r="J577" s="94"/>
      <c r="K577" s="94"/>
      <c r="L577" s="94"/>
      <c r="M577" s="94"/>
      <c r="N577" s="94"/>
      <c r="O577" s="94"/>
      <c r="P577" s="94"/>
      <c r="Q577" s="94"/>
      <c r="R577" s="95"/>
      <c r="S577" s="94"/>
      <c r="T577" s="96"/>
      <c r="U577" s="94"/>
      <c r="V577" s="97"/>
      <c r="W577" s="94"/>
      <c r="X577" s="98"/>
      <c r="Y577" s="98"/>
      <c r="Z577" s="98"/>
      <c r="AA577" s="98"/>
      <c r="AB577" s="98"/>
      <c r="AC577" s="97"/>
      <c r="AD577" s="99"/>
      <c r="AE577" s="95"/>
      <c r="AF577" s="94"/>
      <c r="AG577" s="89"/>
      <c r="AH577" s="89"/>
      <c r="AI577" s="89"/>
      <c r="AJ577" s="89"/>
      <c r="AK577" s="89"/>
      <c r="AL577" s="89"/>
      <c r="AM577" s="89"/>
      <c r="AN577" s="89"/>
      <c r="AO577" s="89"/>
      <c r="AP577" s="89"/>
      <c r="AQ577" s="89"/>
      <c r="AR577" s="89"/>
      <c r="AS577" s="89"/>
      <c r="AT577" s="89"/>
      <c r="AU577" s="89"/>
      <c r="AV577" s="89"/>
      <c r="AW577" s="100"/>
      <c r="AX577" s="100"/>
      <c r="AY577" s="89"/>
      <c r="AZ577" s="89"/>
      <c r="BA577" s="89"/>
      <c r="BB577" s="89"/>
      <c r="BC577" s="89"/>
      <c r="BD577" s="89"/>
      <c r="BE577" s="89"/>
      <c r="BF577" s="89"/>
      <c r="BG577" s="89"/>
      <c r="BH577" s="89"/>
      <c r="BI577" s="89"/>
      <c r="BJ577" s="89"/>
      <c r="BK577" s="89"/>
      <c r="BL577" s="89"/>
      <c r="BM577" s="89"/>
      <c r="BN577" s="89"/>
      <c r="BO577" s="89"/>
      <c r="BP577" s="89"/>
      <c r="BQ577" s="89"/>
      <c r="BR577" s="89"/>
      <c r="BS577" s="89"/>
    </row>
    <row r="578" spans="1:71" ht="27" customHeight="1" x14ac:dyDescent="0.2">
      <c r="A578" s="93"/>
      <c r="B578" s="89"/>
      <c r="C578" s="89"/>
      <c r="D578" s="89"/>
      <c r="E578" s="89"/>
      <c r="F578" s="89"/>
      <c r="G578" s="89"/>
      <c r="H578" s="94"/>
      <c r="I578" s="94"/>
      <c r="J578" s="94"/>
      <c r="K578" s="94"/>
      <c r="L578" s="94"/>
      <c r="M578" s="94"/>
      <c r="N578" s="94"/>
      <c r="O578" s="94"/>
      <c r="P578" s="94"/>
      <c r="Q578" s="94"/>
      <c r="R578" s="95"/>
      <c r="S578" s="94"/>
      <c r="T578" s="96"/>
      <c r="U578" s="94"/>
      <c r="V578" s="97"/>
      <c r="W578" s="94"/>
      <c r="X578" s="98"/>
      <c r="Y578" s="98"/>
      <c r="Z578" s="98"/>
      <c r="AA578" s="98"/>
      <c r="AB578" s="98"/>
      <c r="AC578" s="97"/>
      <c r="AD578" s="99"/>
      <c r="AE578" s="95"/>
      <c r="AF578" s="94"/>
      <c r="AG578" s="89"/>
      <c r="AH578" s="89"/>
      <c r="AI578" s="89"/>
      <c r="AJ578" s="89"/>
      <c r="AK578" s="89"/>
      <c r="AL578" s="89"/>
      <c r="AM578" s="89"/>
      <c r="AN578" s="89"/>
      <c r="AO578" s="89"/>
      <c r="AP578" s="89"/>
      <c r="AQ578" s="89"/>
      <c r="AR578" s="89"/>
      <c r="AS578" s="89"/>
      <c r="AT578" s="89"/>
      <c r="AU578" s="89"/>
      <c r="AV578" s="89"/>
      <c r="AW578" s="100"/>
      <c r="AX578" s="100"/>
      <c r="AY578" s="89"/>
      <c r="AZ578" s="89"/>
      <c r="BA578" s="89"/>
      <c r="BB578" s="89"/>
      <c r="BC578" s="89"/>
      <c r="BD578" s="89"/>
      <c r="BE578" s="89"/>
      <c r="BF578" s="89"/>
      <c r="BG578" s="89"/>
      <c r="BH578" s="89"/>
      <c r="BI578" s="89"/>
      <c r="BJ578" s="89"/>
      <c r="BK578" s="89"/>
      <c r="BL578" s="89"/>
      <c r="BM578" s="89"/>
      <c r="BN578" s="89"/>
      <c r="BO578" s="89"/>
      <c r="BP578" s="89"/>
      <c r="BQ578" s="89"/>
      <c r="BR578" s="89"/>
      <c r="BS578" s="89"/>
    </row>
    <row r="579" spans="1:71" ht="27" customHeight="1" x14ac:dyDescent="0.2">
      <c r="A579" s="93"/>
      <c r="B579" s="89"/>
      <c r="C579" s="89"/>
      <c r="D579" s="89"/>
      <c r="E579" s="89"/>
      <c r="F579" s="89"/>
      <c r="G579" s="89"/>
      <c r="H579" s="94"/>
      <c r="I579" s="94"/>
      <c r="J579" s="94"/>
      <c r="K579" s="94"/>
      <c r="L579" s="94"/>
      <c r="M579" s="94"/>
      <c r="N579" s="94"/>
      <c r="O579" s="94"/>
      <c r="P579" s="94"/>
      <c r="Q579" s="94"/>
      <c r="R579" s="95"/>
      <c r="S579" s="94"/>
      <c r="T579" s="96"/>
      <c r="U579" s="94"/>
      <c r="V579" s="97"/>
      <c r="W579" s="94"/>
      <c r="X579" s="98"/>
      <c r="Y579" s="98"/>
      <c r="Z579" s="98"/>
      <c r="AA579" s="98"/>
      <c r="AB579" s="98"/>
      <c r="AC579" s="97"/>
      <c r="AD579" s="99"/>
      <c r="AE579" s="95"/>
      <c r="AF579" s="94"/>
      <c r="AG579" s="89"/>
      <c r="AH579" s="89"/>
      <c r="AI579" s="89"/>
      <c r="AJ579" s="89"/>
      <c r="AK579" s="89"/>
      <c r="AL579" s="89"/>
      <c r="AM579" s="89"/>
      <c r="AN579" s="89"/>
      <c r="AO579" s="89"/>
      <c r="AP579" s="89"/>
      <c r="AQ579" s="89"/>
      <c r="AR579" s="89"/>
      <c r="AS579" s="89"/>
      <c r="AT579" s="89"/>
      <c r="AU579" s="89"/>
      <c r="AV579" s="89"/>
      <c r="AW579" s="100"/>
      <c r="AX579" s="100"/>
      <c r="AY579" s="89"/>
      <c r="AZ579" s="89"/>
      <c r="BA579" s="89"/>
      <c r="BB579" s="89"/>
      <c r="BC579" s="89"/>
      <c r="BD579" s="89"/>
      <c r="BE579" s="89"/>
      <c r="BF579" s="89"/>
      <c r="BG579" s="89"/>
      <c r="BH579" s="89"/>
      <c r="BI579" s="89"/>
      <c r="BJ579" s="89"/>
      <c r="BK579" s="89"/>
      <c r="BL579" s="89"/>
      <c r="BM579" s="89"/>
      <c r="BN579" s="89"/>
      <c r="BO579" s="89"/>
      <c r="BP579" s="89"/>
      <c r="BQ579" s="89"/>
      <c r="BR579" s="89"/>
      <c r="BS579" s="89"/>
    </row>
    <row r="580" spans="1:71" ht="27" customHeight="1" x14ac:dyDescent="0.2">
      <c r="A580" s="93"/>
      <c r="B580" s="89"/>
      <c r="C580" s="89"/>
      <c r="D580" s="89"/>
      <c r="E580" s="89"/>
      <c r="F580" s="89"/>
      <c r="G580" s="89"/>
      <c r="H580" s="94"/>
      <c r="I580" s="94"/>
      <c r="J580" s="94"/>
      <c r="K580" s="94"/>
      <c r="L580" s="94"/>
      <c r="M580" s="94"/>
      <c r="N580" s="94"/>
      <c r="O580" s="94"/>
      <c r="P580" s="94"/>
      <c r="Q580" s="94"/>
      <c r="R580" s="95"/>
      <c r="S580" s="94"/>
      <c r="T580" s="96"/>
      <c r="U580" s="94"/>
      <c r="V580" s="97"/>
      <c r="W580" s="94"/>
      <c r="X580" s="98"/>
      <c r="Y580" s="98"/>
      <c r="Z580" s="98"/>
      <c r="AA580" s="98"/>
      <c r="AB580" s="98"/>
      <c r="AC580" s="97"/>
      <c r="AD580" s="99"/>
      <c r="AE580" s="95"/>
      <c r="AF580" s="94"/>
      <c r="AG580" s="89"/>
      <c r="AH580" s="89"/>
      <c r="AI580" s="89"/>
      <c r="AJ580" s="89"/>
      <c r="AK580" s="89"/>
      <c r="AL580" s="89"/>
      <c r="AM580" s="89"/>
      <c r="AN580" s="89"/>
      <c r="AO580" s="89"/>
      <c r="AP580" s="89"/>
      <c r="AQ580" s="89"/>
      <c r="AR580" s="89"/>
      <c r="AS580" s="89"/>
      <c r="AT580" s="89"/>
      <c r="AU580" s="89"/>
      <c r="AV580" s="89"/>
      <c r="AW580" s="100"/>
      <c r="AX580" s="100"/>
      <c r="AY580" s="89"/>
      <c r="AZ580" s="89"/>
      <c r="BA580" s="89"/>
      <c r="BB580" s="89"/>
      <c r="BC580" s="89"/>
      <c r="BD580" s="89"/>
      <c r="BE580" s="89"/>
      <c r="BF580" s="89"/>
      <c r="BG580" s="89"/>
      <c r="BH580" s="89"/>
      <c r="BI580" s="89"/>
      <c r="BJ580" s="89"/>
      <c r="BK580" s="89"/>
      <c r="BL580" s="89"/>
      <c r="BM580" s="89"/>
      <c r="BN580" s="89"/>
      <c r="BO580" s="89"/>
      <c r="BP580" s="89"/>
      <c r="BQ580" s="89"/>
      <c r="BR580" s="89"/>
      <c r="BS580" s="89"/>
    </row>
    <row r="581" spans="1:71" ht="27" customHeight="1" x14ac:dyDescent="0.2">
      <c r="A581" s="93"/>
      <c r="B581" s="89"/>
      <c r="C581" s="89"/>
      <c r="D581" s="89"/>
      <c r="E581" s="89"/>
      <c r="F581" s="89"/>
      <c r="G581" s="89"/>
      <c r="H581" s="94"/>
      <c r="I581" s="94"/>
      <c r="J581" s="94"/>
      <c r="K581" s="94"/>
      <c r="L581" s="94"/>
      <c r="M581" s="94"/>
      <c r="N581" s="94"/>
      <c r="O581" s="94"/>
      <c r="P581" s="94"/>
      <c r="Q581" s="94"/>
      <c r="R581" s="95"/>
      <c r="S581" s="94"/>
      <c r="T581" s="96"/>
      <c r="U581" s="94"/>
      <c r="V581" s="97"/>
      <c r="W581" s="94"/>
      <c r="X581" s="98"/>
      <c r="Y581" s="98"/>
      <c r="Z581" s="98"/>
      <c r="AA581" s="98"/>
      <c r="AB581" s="98"/>
      <c r="AC581" s="97"/>
      <c r="AD581" s="99"/>
      <c r="AE581" s="95"/>
      <c r="AF581" s="94"/>
      <c r="AG581" s="89"/>
      <c r="AH581" s="89"/>
      <c r="AI581" s="89"/>
      <c r="AJ581" s="89"/>
      <c r="AK581" s="89"/>
      <c r="AL581" s="89"/>
      <c r="AM581" s="89"/>
      <c r="AN581" s="89"/>
      <c r="AO581" s="89"/>
      <c r="AP581" s="89"/>
      <c r="AQ581" s="89"/>
      <c r="AR581" s="89"/>
      <c r="AS581" s="89"/>
      <c r="AT581" s="89"/>
      <c r="AU581" s="89"/>
      <c r="AV581" s="89"/>
      <c r="AW581" s="100"/>
      <c r="AX581" s="100"/>
      <c r="AY581" s="89"/>
      <c r="AZ581" s="89"/>
      <c r="BA581" s="89"/>
      <c r="BB581" s="89"/>
      <c r="BC581" s="89"/>
      <c r="BD581" s="89"/>
      <c r="BE581" s="89"/>
      <c r="BF581" s="89"/>
      <c r="BG581" s="89"/>
      <c r="BH581" s="89"/>
      <c r="BI581" s="89"/>
      <c r="BJ581" s="89"/>
      <c r="BK581" s="89"/>
      <c r="BL581" s="89"/>
      <c r="BM581" s="89"/>
      <c r="BN581" s="89"/>
      <c r="BO581" s="89"/>
      <c r="BP581" s="89"/>
      <c r="BQ581" s="89"/>
      <c r="BR581" s="89"/>
      <c r="BS581" s="89"/>
    </row>
    <row r="582" spans="1:71" ht="27" customHeight="1" x14ac:dyDescent="0.2">
      <c r="A582" s="93"/>
      <c r="B582" s="89"/>
      <c r="C582" s="89"/>
      <c r="D582" s="89"/>
      <c r="E582" s="89"/>
      <c r="F582" s="89"/>
      <c r="G582" s="89"/>
      <c r="H582" s="94"/>
      <c r="I582" s="94"/>
      <c r="J582" s="94"/>
      <c r="K582" s="94"/>
      <c r="L582" s="94"/>
      <c r="M582" s="94"/>
      <c r="N582" s="94"/>
      <c r="O582" s="94"/>
      <c r="P582" s="94"/>
      <c r="Q582" s="94"/>
      <c r="R582" s="95"/>
      <c r="S582" s="94"/>
      <c r="T582" s="96"/>
      <c r="U582" s="94"/>
      <c r="V582" s="97"/>
      <c r="W582" s="94"/>
      <c r="X582" s="98"/>
      <c r="Y582" s="98"/>
      <c r="Z582" s="98"/>
      <c r="AA582" s="98"/>
      <c r="AB582" s="98"/>
      <c r="AC582" s="97"/>
      <c r="AD582" s="99"/>
      <c r="AE582" s="95"/>
      <c r="AF582" s="94"/>
      <c r="AG582" s="89"/>
      <c r="AH582" s="89"/>
      <c r="AI582" s="89"/>
      <c r="AJ582" s="89"/>
      <c r="AK582" s="89"/>
      <c r="AL582" s="89"/>
      <c r="AM582" s="89"/>
      <c r="AN582" s="89"/>
      <c r="AO582" s="89"/>
      <c r="AP582" s="89"/>
      <c r="AQ582" s="89"/>
      <c r="AR582" s="89"/>
      <c r="AS582" s="89"/>
      <c r="AT582" s="89"/>
      <c r="AU582" s="89"/>
      <c r="AV582" s="89"/>
      <c r="AW582" s="100"/>
      <c r="AX582" s="100"/>
      <c r="AY582" s="89"/>
      <c r="AZ582" s="89"/>
      <c r="BA582" s="89"/>
      <c r="BB582" s="89"/>
      <c r="BC582" s="89"/>
      <c r="BD582" s="89"/>
      <c r="BE582" s="89"/>
      <c r="BF582" s="89"/>
      <c r="BG582" s="89"/>
      <c r="BH582" s="89"/>
      <c r="BI582" s="89"/>
      <c r="BJ582" s="89"/>
      <c r="BK582" s="89"/>
      <c r="BL582" s="89"/>
      <c r="BM582" s="89"/>
      <c r="BN582" s="89"/>
      <c r="BO582" s="89"/>
      <c r="BP582" s="89"/>
      <c r="BQ582" s="89"/>
      <c r="BR582" s="89"/>
      <c r="BS582" s="89"/>
    </row>
    <row r="583" spans="1:71" ht="27" customHeight="1" x14ac:dyDescent="0.2">
      <c r="A583" s="93"/>
      <c r="B583" s="89"/>
      <c r="C583" s="89"/>
      <c r="D583" s="89"/>
      <c r="E583" s="89"/>
      <c r="F583" s="89"/>
      <c r="G583" s="89"/>
      <c r="H583" s="94"/>
      <c r="I583" s="94"/>
      <c r="J583" s="94"/>
      <c r="K583" s="94"/>
      <c r="L583" s="94"/>
      <c r="M583" s="94"/>
      <c r="N583" s="94"/>
      <c r="O583" s="94"/>
      <c r="P583" s="94"/>
      <c r="Q583" s="94"/>
      <c r="R583" s="95"/>
      <c r="S583" s="94"/>
      <c r="T583" s="96"/>
      <c r="U583" s="94"/>
      <c r="V583" s="97"/>
      <c r="W583" s="94"/>
      <c r="X583" s="98"/>
      <c r="Y583" s="98"/>
      <c r="Z583" s="98"/>
      <c r="AA583" s="98"/>
      <c r="AB583" s="98"/>
      <c r="AC583" s="97"/>
      <c r="AD583" s="99"/>
      <c r="AE583" s="95"/>
      <c r="AF583" s="94"/>
      <c r="AG583" s="89"/>
      <c r="AH583" s="89"/>
      <c r="AI583" s="89"/>
      <c r="AJ583" s="89"/>
      <c r="AK583" s="89"/>
      <c r="AL583" s="89"/>
      <c r="AM583" s="89"/>
      <c r="AN583" s="89"/>
      <c r="AO583" s="89"/>
      <c r="AP583" s="89"/>
      <c r="AQ583" s="89"/>
      <c r="AR583" s="89"/>
      <c r="AS583" s="89"/>
      <c r="AT583" s="89"/>
      <c r="AU583" s="89"/>
      <c r="AV583" s="89"/>
      <c r="AW583" s="100"/>
      <c r="AX583" s="100"/>
      <c r="AY583" s="89"/>
      <c r="AZ583" s="89"/>
      <c r="BA583" s="89"/>
      <c r="BB583" s="89"/>
      <c r="BC583" s="89"/>
      <c r="BD583" s="89"/>
      <c r="BE583" s="89"/>
      <c r="BF583" s="89"/>
      <c r="BG583" s="89"/>
      <c r="BH583" s="89"/>
      <c r="BI583" s="89"/>
      <c r="BJ583" s="89"/>
      <c r="BK583" s="89"/>
      <c r="BL583" s="89"/>
      <c r="BM583" s="89"/>
      <c r="BN583" s="89"/>
      <c r="BO583" s="89"/>
      <c r="BP583" s="89"/>
      <c r="BQ583" s="89"/>
      <c r="BR583" s="89"/>
      <c r="BS583" s="89"/>
    </row>
    <row r="584" spans="1:71" ht="27" customHeight="1" x14ac:dyDescent="0.2">
      <c r="A584" s="93"/>
      <c r="B584" s="89"/>
      <c r="C584" s="89"/>
      <c r="D584" s="89"/>
      <c r="E584" s="89"/>
      <c r="F584" s="89"/>
      <c r="G584" s="89"/>
      <c r="H584" s="94"/>
      <c r="I584" s="94"/>
      <c r="J584" s="94"/>
      <c r="K584" s="94"/>
      <c r="L584" s="94"/>
      <c r="M584" s="94"/>
      <c r="N584" s="94"/>
      <c r="O584" s="94"/>
      <c r="P584" s="94"/>
      <c r="Q584" s="94"/>
      <c r="R584" s="95"/>
      <c r="S584" s="94"/>
      <c r="T584" s="96"/>
      <c r="U584" s="94"/>
      <c r="V584" s="97"/>
      <c r="W584" s="94"/>
      <c r="X584" s="98"/>
      <c r="Y584" s="98"/>
      <c r="Z584" s="98"/>
      <c r="AA584" s="98"/>
      <c r="AB584" s="98"/>
      <c r="AC584" s="97"/>
      <c r="AD584" s="99"/>
      <c r="AE584" s="95"/>
      <c r="AF584" s="94"/>
      <c r="AG584" s="89"/>
      <c r="AH584" s="89"/>
      <c r="AI584" s="89"/>
      <c r="AJ584" s="89"/>
      <c r="AK584" s="89"/>
      <c r="AL584" s="89"/>
      <c r="AM584" s="89"/>
      <c r="AN584" s="89"/>
      <c r="AO584" s="89"/>
      <c r="AP584" s="89"/>
      <c r="AQ584" s="89"/>
      <c r="AR584" s="89"/>
      <c r="AS584" s="89"/>
      <c r="AT584" s="89"/>
      <c r="AU584" s="89"/>
      <c r="AV584" s="89"/>
      <c r="AW584" s="100"/>
      <c r="AX584" s="100"/>
      <c r="AY584" s="89"/>
      <c r="AZ584" s="89"/>
      <c r="BA584" s="89"/>
      <c r="BB584" s="89"/>
      <c r="BC584" s="89"/>
      <c r="BD584" s="89"/>
      <c r="BE584" s="89"/>
      <c r="BF584" s="89"/>
      <c r="BG584" s="89"/>
      <c r="BH584" s="89"/>
      <c r="BI584" s="89"/>
      <c r="BJ584" s="89"/>
      <c r="BK584" s="89"/>
      <c r="BL584" s="89"/>
      <c r="BM584" s="89"/>
      <c r="BN584" s="89"/>
      <c r="BO584" s="89"/>
      <c r="BP584" s="89"/>
      <c r="BQ584" s="89"/>
      <c r="BR584" s="89"/>
      <c r="BS584" s="89"/>
    </row>
    <row r="585" spans="1:71" ht="27" customHeight="1" x14ac:dyDescent="0.2">
      <c r="A585" s="93"/>
      <c r="B585" s="89"/>
      <c r="C585" s="89"/>
      <c r="D585" s="89"/>
      <c r="E585" s="89"/>
      <c r="F585" s="89"/>
      <c r="G585" s="89"/>
      <c r="H585" s="94"/>
      <c r="I585" s="94"/>
      <c r="J585" s="94"/>
      <c r="K585" s="94"/>
      <c r="L585" s="94"/>
      <c r="M585" s="94"/>
      <c r="N585" s="94"/>
      <c r="O585" s="94"/>
      <c r="P585" s="94"/>
      <c r="Q585" s="94"/>
      <c r="R585" s="95"/>
      <c r="S585" s="94"/>
      <c r="T585" s="96"/>
      <c r="U585" s="94"/>
      <c r="V585" s="97"/>
      <c r="W585" s="94"/>
      <c r="X585" s="98"/>
      <c r="Y585" s="98"/>
      <c r="Z585" s="98"/>
      <c r="AA585" s="98"/>
      <c r="AB585" s="98"/>
      <c r="AC585" s="97"/>
      <c r="AD585" s="99"/>
      <c r="AE585" s="95"/>
      <c r="AF585" s="94"/>
      <c r="AG585" s="89"/>
      <c r="AH585" s="89"/>
      <c r="AI585" s="89"/>
      <c r="AJ585" s="89"/>
      <c r="AK585" s="89"/>
      <c r="AL585" s="89"/>
      <c r="AM585" s="89"/>
      <c r="AN585" s="89"/>
      <c r="AO585" s="89"/>
      <c r="AP585" s="89"/>
      <c r="AQ585" s="89"/>
      <c r="AR585" s="89"/>
      <c r="AS585" s="89"/>
      <c r="AT585" s="89"/>
      <c r="AU585" s="89"/>
      <c r="AV585" s="89"/>
      <c r="AW585" s="100"/>
      <c r="AX585" s="100"/>
      <c r="AY585" s="89"/>
      <c r="AZ585" s="89"/>
      <c r="BA585" s="89"/>
      <c r="BB585" s="89"/>
      <c r="BC585" s="89"/>
      <c r="BD585" s="89"/>
      <c r="BE585" s="89"/>
      <c r="BF585" s="89"/>
      <c r="BG585" s="89"/>
      <c r="BH585" s="89"/>
      <c r="BI585" s="89"/>
      <c r="BJ585" s="89"/>
      <c r="BK585" s="89"/>
      <c r="BL585" s="89"/>
      <c r="BM585" s="89"/>
      <c r="BN585" s="89"/>
      <c r="BO585" s="89"/>
      <c r="BP585" s="89"/>
      <c r="BQ585" s="89"/>
      <c r="BR585" s="89"/>
      <c r="BS585" s="89"/>
    </row>
    <row r="586" spans="1:71" ht="27" customHeight="1" x14ac:dyDescent="0.2">
      <c r="A586" s="93"/>
      <c r="B586" s="89"/>
      <c r="C586" s="89"/>
      <c r="D586" s="89"/>
      <c r="E586" s="89"/>
      <c r="F586" s="89"/>
      <c r="G586" s="89"/>
      <c r="H586" s="94"/>
      <c r="I586" s="94"/>
      <c r="J586" s="94"/>
      <c r="K586" s="94"/>
      <c r="L586" s="94"/>
      <c r="M586" s="94"/>
      <c r="N586" s="94"/>
      <c r="O586" s="94"/>
      <c r="P586" s="94"/>
      <c r="Q586" s="94"/>
      <c r="R586" s="95"/>
      <c r="S586" s="94"/>
      <c r="T586" s="96"/>
      <c r="U586" s="94"/>
      <c r="V586" s="97"/>
      <c r="W586" s="94"/>
      <c r="X586" s="98"/>
      <c r="Y586" s="98"/>
      <c r="Z586" s="98"/>
      <c r="AA586" s="98"/>
      <c r="AB586" s="98"/>
      <c r="AC586" s="97"/>
      <c r="AD586" s="99"/>
      <c r="AE586" s="95"/>
      <c r="AF586" s="94"/>
      <c r="AG586" s="89"/>
      <c r="AH586" s="89"/>
      <c r="AI586" s="89"/>
      <c r="AJ586" s="89"/>
      <c r="AK586" s="89"/>
      <c r="AL586" s="89"/>
      <c r="AM586" s="89"/>
      <c r="AN586" s="89"/>
      <c r="AO586" s="89"/>
      <c r="AP586" s="89"/>
      <c r="AQ586" s="89"/>
      <c r="AR586" s="89"/>
      <c r="AS586" s="89"/>
      <c r="AT586" s="89"/>
      <c r="AU586" s="89"/>
      <c r="AV586" s="89"/>
      <c r="AW586" s="100"/>
      <c r="AX586" s="100"/>
      <c r="AY586" s="89"/>
      <c r="AZ586" s="89"/>
      <c r="BA586" s="89"/>
      <c r="BB586" s="89"/>
      <c r="BC586" s="89"/>
      <c r="BD586" s="89"/>
      <c r="BE586" s="89"/>
      <c r="BF586" s="89"/>
      <c r="BG586" s="89"/>
      <c r="BH586" s="89"/>
      <c r="BI586" s="89"/>
      <c r="BJ586" s="89"/>
      <c r="BK586" s="89"/>
      <c r="BL586" s="89"/>
      <c r="BM586" s="89"/>
      <c r="BN586" s="89"/>
      <c r="BO586" s="89"/>
      <c r="BP586" s="89"/>
      <c r="BQ586" s="89"/>
      <c r="BR586" s="89"/>
      <c r="BS586" s="89"/>
    </row>
    <row r="587" spans="1:71" ht="27" customHeight="1" x14ac:dyDescent="0.2">
      <c r="A587" s="93"/>
      <c r="B587" s="89"/>
      <c r="C587" s="89"/>
      <c r="D587" s="89"/>
      <c r="E587" s="89"/>
      <c r="F587" s="89"/>
      <c r="G587" s="89"/>
      <c r="H587" s="94"/>
      <c r="I587" s="94"/>
      <c r="J587" s="94"/>
      <c r="K587" s="94"/>
      <c r="L587" s="94"/>
      <c r="M587" s="94"/>
      <c r="N587" s="94"/>
      <c r="O587" s="94"/>
      <c r="P587" s="94"/>
      <c r="Q587" s="94"/>
      <c r="R587" s="95"/>
      <c r="S587" s="94"/>
      <c r="T587" s="96"/>
      <c r="U587" s="94"/>
      <c r="V587" s="97"/>
      <c r="W587" s="94"/>
      <c r="X587" s="98"/>
      <c r="Y587" s="98"/>
      <c r="Z587" s="98"/>
      <c r="AA587" s="98"/>
      <c r="AB587" s="98"/>
      <c r="AC587" s="97"/>
      <c r="AD587" s="99"/>
      <c r="AE587" s="95"/>
      <c r="AF587" s="94"/>
      <c r="AG587" s="89"/>
      <c r="AH587" s="89"/>
      <c r="AI587" s="89"/>
      <c r="AJ587" s="89"/>
      <c r="AK587" s="89"/>
      <c r="AL587" s="89"/>
      <c r="AM587" s="89"/>
      <c r="AN587" s="89"/>
      <c r="AO587" s="89"/>
      <c r="AP587" s="89"/>
      <c r="AQ587" s="89"/>
      <c r="AR587" s="89"/>
      <c r="AS587" s="89"/>
      <c r="AT587" s="89"/>
      <c r="AU587" s="89"/>
      <c r="AV587" s="89"/>
      <c r="AW587" s="100"/>
      <c r="AX587" s="100"/>
      <c r="AY587" s="89"/>
      <c r="AZ587" s="89"/>
      <c r="BA587" s="89"/>
      <c r="BB587" s="89"/>
      <c r="BC587" s="89"/>
      <c r="BD587" s="89"/>
      <c r="BE587" s="89"/>
      <c r="BF587" s="89"/>
      <c r="BG587" s="89"/>
      <c r="BH587" s="89"/>
      <c r="BI587" s="89"/>
      <c r="BJ587" s="89"/>
      <c r="BK587" s="89"/>
      <c r="BL587" s="89"/>
      <c r="BM587" s="89"/>
      <c r="BN587" s="89"/>
      <c r="BO587" s="89"/>
      <c r="BP587" s="89"/>
      <c r="BQ587" s="89"/>
      <c r="BR587" s="89"/>
      <c r="BS587" s="89"/>
    </row>
    <row r="588" spans="1:71" ht="27" customHeight="1" x14ac:dyDescent="0.2">
      <c r="A588" s="93"/>
      <c r="B588" s="89"/>
      <c r="C588" s="89"/>
      <c r="D588" s="89"/>
      <c r="E588" s="89"/>
      <c r="F588" s="89"/>
      <c r="G588" s="89"/>
      <c r="H588" s="94"/>
      <c r="I588" s="94"/>
      <c r="J588" s="94"/>
      <c r="K588" s="94"/>
      <c r="L588" s="94"/>
      <c r="M588" s="94"/>
      <c r="N588" s="94"/>
      <c r="O588" s="94"/>
      <c r="P588" s="94"/>
      <c r="Q588" s="94"/>
      <c r="R588" s="95"/>
      <c r="S588" s="94"/>
      <c r="T588" s="96"/>
      <c r="U588" s="94"/>
      <c r="V588" s="97"/>
      <c r="W588" s="94"/>
      <c r="X588" s="98"/>
      <c r="Y588" s="98"/>
      <c r="Z588" s="98"/>
      <c r="AA588" s="98"/>
      <c r="AB588" s="98"/>
      <c r="AC588" s="97"/>
      <c r="AD588" s="99"/>
      <c r="AE588" s="95"/>
      <c r="AF588" s="94"/>
      <c r="AG588" s="89"/>
      <c r="AH588" s="89"/>
      <c r="AI588" s="89"/>
      <c r="AJ588" s="89"/>
      <c r="AK588" s="89"/>
      <c r="AL588" s="89"/>
      <c r="AM588" s="89"/>
      <c r="AN588" s="89"/>
      <c r="AO588" s="89"/>
      <c r="AP588" s="89"/>
      <c r="AQ588" s="89"/>
      <c r="AR588" s="89"/>
      <c r="AS588" s="89"/>
      <c r="AT588" s="89"/>
      <c r="AU588" s="89"/>
      <c r="AV588" s="89"/>
      <c r="AW588" s="100"/>
      <c r="AX588" s="100"/>
      <c r="AY588" s="89"/>
      <c r="AZ588" s="89"/>
      <c r="BA588" s="89"/>
      <c r="BB588" s="89"/>
      <c r="BC588" s="89"/>
      <c r="BD588" s="89"/>
      <c r="BE588" s="89"/>
      <c r="BF588" s="89"/>
      <c r="BG588" s="89"/>
      <c r="BH588" s="89"/>
      <c r="BI588" s="89"/>
      <c r="BJ588" s="89"/>
      <c r="BK588" s="89"/>
      <c r="BL588" s="89"/>
      <c r="BM588" s="89"/>
      <c r="BN588" s="89"/>
      <c r="BO588" s="89"/>
      <c r="BP588" s="89"/>
      <c r="BQ588" s="89"/>
      <c r="BR588" s="89"/>
      <c r="BS588" s="89"/>
    </row>
    <row r="589" spans="1:71" ht="27" customHeight="1" x14ac:dyDescent="0.2">
      <c r="A589" s="93"/>
      <c r="B589" s="89"/>
      <c r="C589" s="89"/>
      <c r="D589" s="89"/>
      <c r="E589" s="89"/>
      <c r="F589" s="89"/>
      <c r="G589" s="89"/>
      <c r="H589" s="94"/>
      <c r="I589" s="94"/>
      <c r="J589" s="94"/>
      <c r="K589" s="94"/>
      <c r="L589" s="94"/>
      <c r="M589" s="94"/>
      <c r="N589" s="94"/>
      <c r="O589" s="94"/>
      <c r="P589" s="94"/>
      <c r="Q589" s="94"/>
      <c r="R589" s="95"/>
      <c r="S589" s="94"/>
      <c r="T589" s="96"/>
      <c r="U589" s="94"/>
      <c r="V589" s="97"/>
      <c r="W589" s="94"/>
      <c r="X589" s="98"/>
      <c r="Y589" s="98"/>
      <c r="Z589" s="98"/>
      <c r="AA589" s="98"/>
      <c r="AB589" s="98"/>
      <c r="AC589" s="97"/>
      <c r="AD589" s="99"/>
      <c r="AE589" s="95"/>
      <c r="AF589" s="94"/>
      <c r="AG589" s="89"/>
      <c r="AH589" s="89"/>
      <c r="AI589" s="89"/>
      <c r="AJ589" s="89"/>
      <c r="AK589" s="89"/>
      <c r="AL589" s="89"/>
      <c r="AM589" s="89"/>
      <c r="AN589" s="89"/>
      <c r="AO589" s="89"/>
      <c r="AP589" s="89"/>
      <c r="AQ589" s="89"/>
      <c r="AR589" s="89"/>
      <c r="AS589" s="89"/>
      <c r="AT589" s="89"/>
      <c r="AU589" s="89"/>
      <c r="AV589" s="89"/>
      <c r="AW589" s="100"/>
      <c r="AX589" s="100"/>
      <c r="AY589" s="89"/>
      <c r="AZ589" s="89"/>
      <c r="BA589" s="89"/>
      <c r="BB589" s="89"/>
      <c r="BC589" s="89"/>
      <c r="BD589" s="89"/>
      <c r="BE589" s="89"/>
      <c r="BF589" s="89"/>
      <c r="BG589" s="89"/>
      <c r="BH589" s="89"/>
      <c r="BI589" s="89"/>
      <c r="BJ589" s="89"/>
      <c r="BK589" s="89"/>
      <c r="BL589" s="89"/>
      <c r="BM589" s="89"/>
      <c r="BN589" s="89"/>
      <c r="BO589" s="89"/>
      <c r="BP589" s="89"/>
      <c r="BQ589" s="89"/>
      <c r="BR589" s="89"/>
      <c r="BS589" s="89"/>
    </row>
    <row r="590" spans="1:71" ht="27" customHeight="1" x14ac:dyDescent="0.2">
      <c r="A590" s="93"/>
      <c r="B590" s="89"/>
      <c r="C590" s="89"/>
      <c r="D590" s="89"/>
      <c r="E590" s="89"/>
      <c r="F590" s="89"/>
      <c r="G590" s="89"/>
      <c r="H590" s="94"/>
      <c r="I590" s="94"/>
      <c r="J590" s="94"/>
      <c r="K590" s="94"/>
      <c r="L590" s="94"/>
      <c r="M590" s="94"/>
      <c r="N590" s="94"/>
      <c r="O590" s="94"/>
      <c r="P590" s="94"/>
      <c r="Q590" s="94"/>
      <c r="R590" s="95"/>
      <c r="S590" s="94"/>
      <c r="T590" s="96"/>
      <c r="U590" s="94"/>
      <c r="V590" s="97"/>
      <c r="W590" s="94"/>
      <c r="X590" s="98"/>
      <c r="Y590" s="98"/>
      <c r="Z590" s="98"/>
      <c r="AA590" s="98"/>
      <c r="AB590" s="98"/>
      <c r="AC590" s="97"/>
      <c r="AD590" s="99"/>
      <c r="AE590" s="95"/>
      <c r="AF590" s="94"/>
      <c r="AG590" s="89"/>
      <c r="AH590" s="89"/>
      <c r="AI590" s="89"/>
      <c r="AJ590" s="89"/>
      <c r="AK590" s="89"/>
      <c r="AL590" s="89"/>
      <c r="AM590" s="89"/>
      <c r="AN590" s="89"/>
      <c r="AO590" s="89"/>
      <c r="AP590" s="89"/>
      <c r="AQ590" s="89"/>
      <c r="AR590" s="89"/>
      <c r="AS590" s="89"/>
      <c r="AT590" s="89"/>
      <c r="AU590" s="89"/>
      <c r="AV590" s="89"/>
      <c r="AW590" s="100"/>
      <c r="AX590" s="100"/>
      <c r="AY590" s="89"/>
      <c r="AZ590" s="89"/>
      <c r="BA590" s="89"/>
      <c r="BB590" s="89"/>
      <c r="BC590" s="89"/>
      <c r="BD590" s="89"/>
      <c r="BE590" s="89"/>
      <c r="BF590" s="89"/>
      <c r="BG590" s="89"/>
      <c r="BH590" s="89"/>
      <c r="BI590" s="89"/>
      <c r="BJ590" s="89"/>
      <c r="BK590" s="89"/>
      <c r="BL590" s="89"/>
      <c r="BM590" s="89"/>
      <c r="BN590" s="89"/>
      <c r="BO590" s="89"/>
      <c r="BP590" s="89"/>
      <c r="BQ590" s="89"/>
      <c r="BR590" s="89"/>
      <c r="BS590" s="89"/>
    </row>
    <row r="591" spans="1:71" ht="27" customHeight="1" x14ac:dyDescent="0.2">
      <c r="A591" s="93"/>
      <c r="B591" s="89"/>
      <c r="C591" s="89"/>
      <c r="D591" s="89"/>
      <c r="E591" s="89"/>
      <c r="F591" s="89"/>
      <c r="G591" s="89"/>
      <c r="H591" s="94"/>
      <c r="I591" s="94"/>
      <c r="J591" s="94"/>
      <c r="K591" s="94"/>
      <c r="L591" s="94"/>
      <c r="M591" s="94"/>
      <c r="N591" s="94"/>
      <c r="O591" s="94"/>
      <c r="P591" s="94"/>
      <c r="Q591" s="94"/>
      <c r="R591" s="95"/>
      <c r="S591" s="94"/>
      <c r="T591" s="96"/>
      <c r="U591" s="94"/>
      <c r="V591" s="97"/>
      <c r="W591" s="94"/>
      <c r="X591" s="98"/>
      <c r="Y591" s="98"/>
      <c r="Z591" s="98"/>
      <c r="AA591" s="98"/>
      <c r="AB591" s="98"/>
      <c r="AC591" s="97"/>
      <c r="AD591" s="99"/>
      <c r="AE591" s="95"/>
      <c r="AF591" s="94"/>
      <c r="AG591" s="89"/>
      <c r="AH591" s="89"/>
      <c r="AI591" s="89"/>
      <c r="AJ591" s="89"/>
      <c r="AK591" s="89"/>
      <c r="AL591" s="89"/>
      <c r="AM591" s="89"/>
      <c r="AN591" s="89"/>
      <c r="AO591" s="89"/>
      <c r="AP591" s="89"/>
      <c r="AQ591" s="89"/>
      <c r="AR591" s="89"/>
      <c r="AS591" s="89"/>
      <c r="AT591" s="89"/>
      <c r="AU591" s="89"/>
      <c r="AV591" s="89"/>
      <c r="AW591" s="100"/>
      <c r="AX591" s="100"/>
      <c r="AY591" s="89"/>
      <c r="AZ591" s="89"/>
      <c r="BA591" s="89"/>
      <c r="BB591" s="89"/>
      <c r="BC591" s="89"/>
      <c r="BD591" s="89"/>
      <c r="BE591" s="89"/>
      <c r="BF591" s="89"/>
      <c r="BG591" s="89"/>
      <c r="BH591" s="89"/>
      <c r="BI591" s="89"/>
      <c r="BJ591" s="89"/>
      <c r="BK591" s="89"/>
      <c r="BL591" s="89"/>
      <c r="BM591" s="89"/>
      <c r="BN591" s="89"/>
      <c r="BO591" s="89"/>
      <c r="BP591" s="89"/>
      <c r="BQ591" s="89"/>
      <c r="BR591" s="89"/>
      <c r="BS591" s="89"/>
    </row>
    <row r="592" spans="1:71" ht="27" customHeight="1" x14ac:dyDescent="0.2">
      <c r="A592" s="93"/>
      <c r="B592" s="89"/>
      <c r="C592" s="89"/>
      <c r="D592" s="89"/>
      <c r="E592" s="89"/>
      <c r="F592" s="89"/>
      <c r="G592" s="89"/>
      <c r="H592" s="94"/>
      <c r="I592" s="94"/>
      <c r="J592" s="94"/>
      <c r="K592" s="94"/>
      <c r="L592" s="94"/>
      <c r="M592" s="94"/>
      <c r="N592" s="94"/>
      <c r="O592" s="94"/>
      <c r="P592" s="94"/>
      <c r="Q592" s="94"/>
      <c r="R592" s="95"/>
      <c r="S592" s="94"/>
      <c r="T592" s="96"/>
      <c r="U592" s="94"/>
      <c r="V592" s="97"/>
      <c r="W592" s="94"/>
      <c r="X592" s="98"/>
      <c r="Y592" s="98"/>
      <c r="Z592" s="98"/>
      <c r="AA592" s="98"/>
      <c r="AB592" s="98"/>
      <c r="AC592" s="97"/>
      <c r="AD592" s="99"/>
      <c r="AE592" s="95"/>
      <c r="AF592" s="94"/>
      <c r="AG592" s="89"/>
      <c r="AH592" s="89"/>
      <c r="AI592" s="89"/>
      <c r="AJ592" s="89"/>
      <c r="AK592" s="89"/>
      <c r="AL592" s="89"/>
      <c r="AM592" s="89"/>
      <c r="AN592" s="89"/>
      <c r="AO592" s="89"/>
      <c r="AP592" s="89"/>
      <c r="AQ592" s="89"/>
      <c r="AR592" s="89"/>
      <c r="AS592" s="89"/>
      <c r="AT592" s="89"/>
      <c r="AU592" s="89"/>
      <c r="AV592" s="89"/>
      <c r="AW592" s="100"/>
      <c r="AX592" s="100"/>
      <c r="AY592" s="89"/>
      <c r="AZ592" s="89"/>
      <c r="BA592" s="89"/>
      <c r="BB592" s="89"/>
      <c r="BC592" s="89"/>
      <c r="BD592" s="89"/>
      <c r="BE592" s="89"/>
      <c r="BF592" s="89"/>
      <c r="BG592" s="89"/>
      <c r="BH592" s="89"/>
      <c r="BI592" s="89"/>
      <c r="BJ592" s="89"/>
      <c r="BK592" s="89"/>
      <c r="BL592" s="89"/>
      <c r="BM592" s="89"/>
      <c r="BN592" s="89"/>
      <c r="BO592" s="89"/>
      <c r="BP592" s="89"/>
      <c r="BQ592" s="89"/>
      <c r="BR592" s="89"/>
      <c r="BS592" s="89"/>
    </row>
    <row r="593" spans="1:71" ht="27" customHeight="1" x14ac:dyDescent="0.2">
      <c r="A593" s="93"/>
      <c r="B593" s="89"/>
      <c r="C593" s="89"/>
      <c r="D593" s="89"/>
      <c r="E593" s="89"/>
      <c r="F593" s="89"/>
      <c r="G593" s="89"/>
      <c r="H593" s="94"/>
      <c r="I593" s="94"/>
      <c r="J593" s="94"/>
      <c r="K593" s="94"/>
      <c r="L593" s="94"/>
      <c r="M593" s="94"/>
      <c r="N593" s="94"/>
      <c r="O593" s="94"/>
      <c r="P593" s="94"/>
      <c r="Q593" s="94"/>
      <c r="R593" s="95"/>
      <c r="S593" s="94"/>
      <c r="T593" s="96"/>
      <c r="U593" s="94"/>
      <c r="V593" s="97"/>
      <c r="W593" s="94"/>
      <c r="X593" s="98"/>
      <c r="Y593" s="98"/>
      <c r="Z593" s="98"/>
      <c r="AA593" s="98"/>
      <c r="AB593" s="98"/>
      <c r="AC593" s="97"/>
      <c r="AD593" s="99"/>
      <c r="AE593" s="95"/>
      <c r="AF593" s="94"/>
      <c r="AG593" s="89"/>
      <c r="AH593" s="89"/>
      <c r="AI593" s="89"/>
      <c r="AJ593" s="89"/>
      <c r="AK593" s="89"/>
      <c r="AL593" s="89"/>
      <c r="AM593" s="89"/>
      <c r="AN593" s="89"/>
      <c r="AO593" s="89"/>
      <c r="AP593" s="89"/>
      <c r="AQ593" s="89"/>
      <c r="AR593" s="89"/>
      <c r="AS593" s="89"/>
      <c r="AT593" s="89"/>
      <c r="AU593" s="89"/>
      <c r="AV593" s="89"/>
      <c r="AW593" s="100"/>
      <c r="AX593" s="100"/>
      <c r="AY593" s="89"/>
      <c r="AZ593" s="89"/>
      <c r="BA593" s="89"/>
      <c r="BB593" s="89"/>
      <c r="BC593" s="89"/>
      <c r="BD593" s="89"/>
      <c r="BE593" s="89"/>
      <c r="BF593" s="89"/>
      <c r="BG593" s="89"/>
      <c r="BH593" s="89"/>
      <c r="BI593" s="89"/>
      <c r="BJ593" s="89"/>
      <c r="BK593" s="89"/>
      <c r="BL593" s="89"/>
      <c r="BM593" s="89"/>
      <c r="BN593" s="89"/>
      <c r="BO593" s="89"/>
      <c r="BP593" s="89"/>
      <c r="BQ593" s="89"/>
      <c r="BR593" s="89"/>
      <c r="BS593" s="89"/>
    </row>
    <row r="594" spans="1:71" ht="27" customHeight="1" x14ac:dyDescent="0.2">
      <c r="A594" s="93"/>
      <c r="B594" s="89"/>
      <c r="C594" s="89"/>
      <c r="D594" s="89"/>
      <c r="E594" s="89"/>
      <c r="F594" s="89"/>
      <c r="G594" s="89"/>
      <c r="H594" s="94"/>
      <c r="I594" s="94"/>
      <c r="J594" s="94"/>
      <c r="K594" s="94"/>
      <c r="L594" s="94"/>
      <c r="M594" s="94"/>
      <c r="N594" s="94"/>
      <c r="O594" s="94"/>
      <c r="P594" s="94"/>
      <c r="Q594" s="94"/>
      <c r="R594" s="95"/>
      <c r="S594" s="94"/>
      <c r="T594" s="96"/>
      <c r="U594" s="94"/>
      <c r="V594" s="97"/>
      <c r="W594" s="94"/>
      <c r="X594" s="98"/>
      <c r="Y594" s="98"/>
      <c r="Z594" s="98"/>
      <c r="AA594" s="98"/>
      <c r="AB594" s="98"/>
      <c r="AC594" s="97"/>
      <c r="AD594" s="99"/>
      <c r="AE594" s="95"/>
      <c r="AF594" s="94"/>
      <c r="AG594" s="89"/>
      <c r="AH594" s="89"/>
      <c r="AI594" s="89"/>
      <c r="AJ594" s="89"/>
      <c r="AK594" s="89"/>
      <c r="AL594" s="89"/>
      <c r="AM594" s="89"/>
      <c r="AN594" s="89"/>
      <c r="AO594" s="89"/>
      <c r="AP594" s="89"/>
      <c r="AQ594" s="89"/>
      <c r="AR594" s="89"/>
      <c r="AS594" s="89"/>
      <c r="AT594" s="89"/>
      <c r="AU594" s="89"/>
      <c r="AV594" s="89"/>
      <c r="AW594" s="100"/>
      <c r="AX594" s="100"/>
      <c r="AY594" s="89"/>
      <c r="AZ594" s="89"/>
      <c r="BA594" s="89"/>
      <c r="BB594" s="89"/>
      <c r="BC594" s="89"/>
      <c r="BD594" s="89"/>
      <c r="BE594" s="89"/>
      <c r="BF594" s="89"/>
      <c r="BG594" s="89"/>
      <c r="BH594" s="89"/>
      <c r="BI594" s="89"/>
      <c r="BJ594" s="89"/>
      <c r="BK594" s="89"/>
      <c r="BL594" s="89"/>
      <c r="BM594" s="89"/>
      <c r="BN594" s="89"/>
      <c r="BO594" s="89"/>
      <c r="BP594" s="89"/>
      <c r="BQ594" s="89"/>
      <c r="BR594" s="89"/>
      <c r="BS594" s="89"/>
    </row>
    <row r="595" spans="1:71" ht="27" customHeight="1" x14ac:dyDescent="0.2">
      <c r="A595" s="93"/>
      <c r="B595" s="89"/>
      <c r="C595" s="89"/>
      <c r="D595" s="89"/>
      <c r="E595" s="89"/>
      <c r="F595" s="89"/>
      <c r="G595" s="89"/>
      <c r="H595" s="94"/>
      <c r="I595" s="94"/>
      <c r="J595" s="94"/>
      <c r="K595" s="94"/>
      <c r="L595" s="94"/>
      <c r="M595" s="94"/>
      <c r="N595" s="94"/>
      <c r="O595" s="94"/>
      <c r="P595" s="94"/>
      <c r="Q595" s="94"/>
      <c r="R595" s="95"/>
      <c r="S595" s="94"/>
      <c r="T595" s="96"/>
      <c r="U595" s="94"/>
      <c r="V595" s="97"/>
      <c r="W595" s="94"/>
      <c r="X595" s="98"/>
      <c r="Y595" s="98"/>
      <c r="Z595" s="98"/>
      <c r="AA595" s="98"/>
      <c r="AB595" s="98"/>
      <c r="AC595" s="97"/>
      <c r="AD595" s="99"/>
      <c r="AE595" s="95"/>
      <c r="AF595" s="94"/>
      <c r="AG595" s="89"/>
      <c r="AH595" s="89"/>
      <c r="AI595" s="89"/>
      <c r="AJ595" s="89"/>
      <c r="AK595" s="89"/>
      <c r="AL595" s="89"/>
      <c r="AM595" s="89"/>
      <c r="AN595" s="89"/>
      <c r="AO595" s="89"/>
      <c r="AP595" s="89"/>
      <c r="AQ595" s="89"/>
      <c r="AR595" s="89"/>
      <c r="AS595" s="89"/>
      <c r="AT595" s="89"/>
      <c r="AU595" s="89"/>
      <c r="AV595" s="89"/>
      <c r="AW595" s="100"/>
      <c r="AX595" s="100"/>
      <c r="AY595" s="89"/>
      <c r="AZ595" s="89"/>
      <c r="BA595" s="89"/>
      <c r="BB595" s="89"/>
      <c r="BC595" s="89"/>
      <c r="BD595" s="89"/>
      <c r="BE595" s="89"/>
      <c r="BF595" s="89"/>
      <c r="BG595" s="89"/>
      <c r="BH595" s="89"/>
      <c r="BI595" s="89"/>
      <c r="BJ595" s="89"/>
      <c r="BK595" s="89"/>
      <c r="BL595" s="89"/>
      <c r="BM595" s="89"/>
      <c r="BN595" s="89"/>
      <c r="BO595" s="89"/>
      <c r="BP595" s="89"/>
      <c r="BQ595" s="89"/>
      <c r="BR595" s="89"/>
      <c r="BS595" s="89"/>
    </row>
    <row r="596" spans="1:71" ht="27" customHeight="1" x14ac:dyDescent="0.2">
      <c r="A596" s="93"/>
      <c r="B596" s="89"/>
      <c r="C596" s="89"/>
      <c r="D596" s="89"/>
      <c r="E596" s="89"/>
      <c r="F596" s="89"/>
      <c r="G596" s="89"/>
      <c r="H596" s="94"/>
      <c r="I596" s="94"/>
      <c r="J596" s="94"/>
      <c r="K596" s="94"/>
      <c r="L596" s="94"/>
      <c r="M596" s="94"/>
      <c r="N596" s="94"/>
      <c r="O596" s="94"/>
      <c r="P596" s="94"/>
      <c r="Q596" s="94"/>
      <c r="R596" s="95"/>
      <c r="S596" s="94"/>
      <c r="T596" s="96"/>
      <c r="U596" s="94"/>
      <c r="V596" s="97"/>
      <c r="W596" s="94"/>
      <c r="X596" s="98"/>
      <c r="Y596" s="98"/>
      <c r="Z596" s="98"/>
      <c r="AA596" s="98"/>
      <c r="AB596" s="98"/>
      <c r="AC596" s="97"/>
      <c r="AD596" s="99"/>
      <c r="AE596" s="95"/>
      <c r="AF596" s="94"/>
      <c r="AG596" s="89"/>
      <c r="AH596" s="89"/>
      <c r="AI596" s="89"/>
      <c r="AJ596" s="89"/>
      <c r="AK596" s="89"/>
      <c r="AL596" s="89"/>
      <c r="AM596" s="89"/>
      <c r="AN596" s="89"/>
      <c r="AO596" s="89"/>
      <c r="AP596" s="89"/>
      <c r="AQ596" s="89"/>
      <c r="AR596" s="89"/>
      <c r="AS596" s="89"/>
      <c r="AT596" s="89"/>
      <c r="AU596" s="89"/>
      <c r="AV596" s="89"/>
      <c r="AW596" s="100"/>
      <c r="AX596" s="100"/>
      <c r="AY596" s="89"/>
      <c r="AZ596" s="89"/>
      <c r="BA596" s="89"/>
      <c r="BB596" s="89"/>
      <c r="BC596" s="89"/>
      <c r="BD596" s="89"/>
      <c r="BE596" s="89"/>
      <c r="BF596" s="89"/>
      <c r="BG596" s="89"/>
      <c r="BH596" s="89"/>
      <c r="BI596" s="89"/>
      <c r="BJ596" s="89"/>
      <c r="BK596" s="89"/>
      <c r="BL596" s="89"/>
      <c r="BM596" s="89"/>
      <c r="BN596" s="89"/>
      <c r="BO596" s="89"/>
      <c r="BP596" s="89"/>
      <c r="BQ596" s="89"/>
      <c r="BR596" s="89"/>
      <c r="BS596" s="89"/>
    </row>
    <row r="597" spans="1:71" ht="27" customHeight="1" x14ac:dyDescent="0.2">
      <c r="A597" s="93"/>
      <c r="B597" s="89"/>
      <c r="C597" s="89"/>
      <c r="D597" s="89"/>
      <c r="E597" s="89"/>
      <c r="F597" s="89"/>
      <c r="G597" s="89"/>
      <c r="H597" s="94"/>
      <c r="I597" s="94"/>
      <c r="J597" s="94"/>
      <c r="K597" s="94"/>
      <c r="L597" s="94"/>
      <c r="M597" s="94"/>
      <c r="N597" s="94"/>
      <c r="O597" s="94"/>
      <c r="P597" s="94"/>
      <c r="Q597" s="94"/>
      <c r="R597" s="95"/>
      <c r="S597" s="94"/>
      <c r="T597" s="96"/>
      <c r="U597" s="94"/>
      <c r="V597" s="97"/>
      <c r="W597" s="94"/>
      <c r="X597" s="98"/>
      <c r="Y597" s="98"/>
      <c r="Z597" s="98"/>
      <c r="AA597" s="98"/>
      <c r="AB597" s="98"/>
      <c r="AC597" s="97"/>
      <c r="AD597" s="99"/>
      <c r="AE597" s="95"/>
      <c r="AF597" s="94"/>
      <c r="AG597" s="89"/>
      <c r="AH597" s="89"/>
      <c r="AI597" s="89"/>
      <c r="AJ597" s="89"/>
      <c r="AK597" s="89"/>
      <c r="AL597" s="89"/>
      <c r="AM597" s="89"/>
      <c r="AN597" s="89"/>
      <c r="AO597" s="89"/>
      <c r="AP597" s="89"/>
      <c r="AQ597" s="89"/>
      <c r="AR597" s="89"/>
      <c r="AS597" s="89"/>
      <c r="AT597" s="89"/>
      <c r="AU597" s="89"/>
      <c r="AV597" s="89"/>
      <c r="AW597" s="100"/>
      <c r="AX597" s="100"/>
      <c r="AY597" s="89"/>
      <c r="AZ597" s="89"/>
      <c r="BA597" s="89"/>
      <c r="BB597" s="89"/>
      <c r="BC597" s="89"/>
      <c r="BD597" s="89"/>
      <c r="BE597" s="89"/>
      <c r="BF597" s="89"/>
      <c r="BG597" s="89"/>
      <c r="BH597" s="89"/>
      <c r="BI597" s="89"/>
      <c r="BJ597" s="89"/>
      <c r="BK597" s="89"/>
      <c r="BL597" s="89"/>
      <c r="BM597" s="89"/>
      <c r="BN597" s="89"/>
      <c r="BO597" s="89"/>
      <c r="BP597" s="89"/>
      <c r="BQ597" s="89"/>
      <c r="BR597" s="89"/>
      <c r="BS597" s="89"/>
    </row>
    <row r="598" spans="1:71" ht="27" customHeight="1" x14ac:dyDescent="0.2">
      <c r="A598" s="93"/>
      <c r="B598" s="89"/>
      <c r="C598" s="89"/>
      <c r="D598" s="89"/>
      <c r="E598" s="89"/>
      <c r="F598" s="89"/>
      <c r="G598" s="89"/>
      <c r="H598" s="94"/>
      <c r="I598" s="94"/>
      <c r="J598" s="94"/>
      <c r="K598" s="94"/>
      <c r="L598" s="94"/>
      <c r="M598" s="94"/>
      <c r="N598" s="94"/>
      <c r="O598" s="94"/>
      <c r="P598" s="94"/>
      <c r="Q598" s="94"/>
      <c r="R598" s="95"/>
      <c r="S598" s="94"/>
      <c r="T598" s="96"/>
      <c r="U598" s="94"/>
      <c r="V598" s="97"/>
      <c r="W598" s="94"/>
      <c r="X598" s="98"/>
      <c r="Y598" s="98"/>
      <c r="Z598" s="98"/>
      <c r="AA598" s="98"/>
      <c r="AB598" s="98"/>
      <c r="AC598" s="97"/>
      <c r="AD598" s="99"/>
      <c r="AE598" s="95"/>
      <c r="AF598" s="94"/>
      <c r="AG598" s="89"/>
      <c r="AH598" s="89"/>
      <c r="AI598" s="89"/>
      <c r="AJ598" s="89"/>
      <c r="AK598" s="89"/>
      <c r="AL598" s="89"/>
      <c r="AM598" s="89"/>
      <c r="AN598" s="89"/>
      <c r="AO598" s="89"/>
      <c r="AP598" s="89"/>
      <c r="AQ598" s="89"/>
      <c r="AR598" s="89"/>
      <c r="AS598" s="89"/>
      <c r="AT598" s="89"/>
      <c r="AU598" s="89"/>
      <c r="AV598" s="89"/>
      <c r="AW598" s="100"/>
      <c r="AX598" s="100"/>
      <c r="AY598" s="89"/>
      <c r="AZ598" s="89"/>
      <c r="BA598" s="89"/>
      <c r="BB598" s="89"/>
      <c r="BC598" s="89"/>
      <c r="BD598" s="89"/>
      <c r="BE598" s="89"/>
      <c r="BF598" s="89"/>
      <c r="BG598" s="89"/>
      <c r="BH598" s="89"/>
      <c r="BI598" s="89"/>
      <c r="BJ598" s="89"/>
      <c r="BK598" s="89"/>
      <c r="BL598" s="89"/>
      <c r="BM598" s="89"/>
      <c r="BN598" s="89"/>
      <c r="BO598" s="89"/>
      <c r="BP598" s="89"/>
      <c r="BQ598" s="89"/>
      <c r="BR598" s="89"/>
      <c r="BS598" s="89"/>
    </row>
    <row r="599" spans="1:71" ht="27" customHeight="1" x14ac:dyDescent="0.2">
      <c r="A599" s="93"/>
      <c r="B599" s="89"/>
      <c r="C599" s="89"/>
      <c r="D599" s="89"/>
      <c r="E599" s="89"/>
      <c r="F599" s="89"/>
      <c r="G599" s="89"/>
      <c r="H599" s="94"/>
      <c r="I599" s="94"/>
      <c r="J599" s="94"/>
      <c r="K599" s="94"/>
      <c r="L599" s="94"/>
      <c r="M599" s="94"/>
      <c r="N599" s="94"/>
      <c r="O599" s="94"/>
      <c r="P599" s="94"/>
      <c r="Q599" s="94"/>
      <c r="R599" s="95"/>
      <c r="S599" s="94"/>
      <c r="T599" s="96"/>
      <c r="U599" s="94"/>
      <c r="V599" s="97"/>
      <c r="W599" s="94"/>
      <c r="X599" s="98"/>
      <c r="Y599" s="98"/>
      <c r="Z599" s="98"/>
      <c r="AA599" s="98"/>
      <c r="AB599" s="98"/>
      <c r="AC599" s="97"/>
      <c r="AD599" s="99"/>
      <c r="AE599" s="95"/>
      <c r="AF599" s="94"/>
      <c r="AG599" s="89"/>
      <c r="AH599" s="89"/>
      <c r="AI599" s="89"/>
      <c r="AJ599" s="89"/>
      <c r="AK599" s="89"/>
      <c r="AL599" s="89"/>
      <c r="AM599" s="89"/>
      <c r="AN599" s="89"/>
      <c r="AO599" s="89"/>
      <c r="AP599" s="89"/>
      <c r="AQ599" s="89"/>
      <c r="AR599" s="89"/>
      <c r="AS599" s="89"/>
      <c r="AT599" s="89"/>
      <c r="AU599" s="89"/>
      <c r="AV599" s="89"/>
      <c r="AW599" s="100"/>
      <c r="AX599" s="100"/>
      <c r="AY599" s="89"/>
      <c r="AZ599" s="89"/>
      <c r="BA599" s="89"/>
      <c r="BB599" s="89"/>
      <c r="BC599" s="89"/>
      <c r="BD599" s="89"/>
      <c r="BE599" s="89"/>
      <c r="BF599" s="89"/>
      <c r="BG599" s="89"/>
      <c r="BH599" s="89"/>
      <c r="BI599" s="89"/>
      <c r="BJ599" s="89"/>
      <c r="BK599" s="89"/>
      <c r="BL599" s="89"/>
      <c r="BM599" s="89"/>
      <c r="BN599" s="89"/>
      <c r="BO599" s="89"/>
      <c r="BP599" s="89"/>
      <c r="BQ599" s="89"/>
      <c r="BR599" s="89"/>
      <c r="BS599" s="89"/>
    </row>
    <row r="600" spans="1:71" ht="27" customHeight="1" x14ac:dyDescent="0.2">
      <c r="A600" s="93"/>
      <c r="B600" s="89"/>
      <c r="C600" s="89"/>
      <c r="D600" s="89"/>
      <c r="E600" s="89"/>
      <c r="F600" s="89"/>
      <c r="G600" s="89"/>
      <c r="H600" s="94"/>
      <c r="I600" s="94"/>
      <c r="J600" s="94"/>
      <c r="K600" s="94"/>
      <c r="L600" s="94"/>
      <c r="M600" s="94"/>
      <c r="N600" s="94"/>
      <c r="O600" s="94"/>
      <c r="P600" s="94"/>
      <c r="Q600" s="94"/>
      <c r="R600" s="95"/>
      <c r="S600" s="94"/>
      <c r="T600" s="96"/>
      <c r="U600" s="94"/>
      <c r="V600" s="97"/>
      <c r="W600" s="94"/>
      <c r="X600" s="98"/>
      <c r="Y600" s="98"/>
      <c r="Z600" s="98"/>
      <c r="AA600" s="98"/>
      <c r="AB600" s="98"/>
      <c r="AC600" s="97"/>
      <c r="AD600" s="99"/>
      <c r="AE600" s="95"/>
      <c r="AF600" s="94"/>
      <c r="AG600" s="89"/>
      <c r="AH600" s="89"/>
      <c r="AI600" s="89"/>
      <c r="AJ600" s="89"/>
      <c r="AK600" s="89"/>
      <c r="AL600" s="89"/>
      <c r="AM600" s="89"/>
      <c r="AN600" s="89"/>
      <c r="AO600" s="89"/>
      <c r="AP600" s="89"/>
      <c r="AQ600" s="89"/>
      <c r="AR600" s="89"/>
      <c r="AS600" s="89"/>
      <c r="AT600" s="89"/>
      <c r="AU600" s="89"/>
      <c r="AV600" s="89"/>
      <c r="AW600" s="100"/>
      <c r="AX600" s="100"/>
      <c r="AY600" s="89"/>
      <c r="AZ600" s="89"/>
      <c r="BA600" s="89"/>
      <c r="BB600" s="89"/>
      <c r="BC600" s="89"/>
      <c r="BD600" s="89"/>
      <c r="BE600" s="89"/>
      <c r="BF600" s="89"/>
      <c r="BG600" s="89"/>
      <c r="BH600" s="89"/>
      <c r="BI600" s="89"/>
      <c r="BJ600" s="89"/>
      <c r="BK600" s="89"/>
      <c r="BL600" s="89"/>
      <c r="BM600" s="89"/>
      <c r="BN600" s="89"/>
      <c r="BO600" s="89"/>
      <c r="BP600" s="89"/>
      <c r="BQ600" s="89"/>
      <c r="BR600" s="89"/>
      <c r="BS600" s="89"/>
    </row>
    <row r="601" spans="1:71" ht="27" customHeight="1" x14ac:dyDescent="0.2">
      <c r="A601" s="93"/>
      <c r="B601" s="89"/>
      <c r="C601" s="89"/>
      <c r="D601" s="89"/>
      <c r="E601" s="89"/>
      <c r="F601" s="89"/>
      <c r="G601" s="89"/>
      <c r="H601" s="94"/>
      <c r="I601" s="94"/>
      <c r="J601" s="94"/>
      <c r="K601" s="94"/>
      <c r="L601" s="94"/>
      <c r="M601" s="94"/>
      <c r="N601" s="94"/>
      <c r="O601" s="94"/>
      <c r="P601" s="94"/>
      <c r="Q601" s="94"/>
      <c r="R601" s="95"/>
      <c r="S601" s="94"/>
      <c r="T601" s="96"/>
      <c r="U601" s="94"/>
      <c r="V601" s="97"/>
      <c r="W601" s="94"/>
      <c r="X601" s="98"/>
      <c r="Y601" s="98"/>
      <c r="Z601" s="98"/>
      <c r="AA601" s="98"/>
      <c r="AB601" s="98"/>
      <c r="AC601" s="97"/>
      <c r="AD601" s="99"/>
      <c r="AE601" s="95"/>
      <c r="AF601" s="94"/>
      <c r="AG601" s="89"/>
      <c r="AH601" s="89"/>
      <c r="AI601" s="89"/>
      <c r="AJ601" s="89"/>
      <c r="AK601" s="89"/>
      <c r="AL601" s="89"/>
      <c r="AM601" s="89"/>
      <c r="AN601" s="89"/>
      <c r="AO601" s="89"/>
      <c r="AP601" s="89"/>
      <c r="AQ601" s="89"/>
      <c r="AR601" s="89"/>
      <c r="AS601" s="89"/>
      <c r="AT601" s="89"/>
      <c r="AU601" s="89"/>
      <c r="AV601" s="89"/>
      <c r="AW601" s="100"/>
      <c r="AX601" s="100"/>
      <c r="AY601" s="89"/>
      <c r="AZ601" s="89"/>
      <c r="BA601" s="89"/>
      <c r="BB601" s="89"/>
      <c r="BC601" s="89"/>
      <c r="BD601" s="89"/>
      <c r="BE601" s="89"/>
      <c r="BF601" s="89"/>
      <c r="BG601" s="89"/>
      <c r="BH601" s="89"/>
      <c r="BI601" s="89"/>
      <c r="BJ601" s="89"/>
      <c r="BK601" s="89"/>
      <c r="BL601" s="89"/>
      <c r="BM601" s="89"/>
      <c r="BN601" s="89"/>
      <c r="BO601" s="89"/>
      <c r="BP601" s="89"/>
      <c r="BQ601" s="89"/>
      <c r="BR601" s="89"/>
      <c r="BS601" s="89"/>
    </row>
    <row r="602" spans="1:71" ht="27" customHeight="1" x14ac:dyDescent="0.2">
      <c r="A602" s="93"/>
      <c r="B602" s="89"/>
      <c r="C602" s="89"/>
      <c r="D602" s="89"/>
      <c r="E602" s="89"/>
      <c r="F602" s="89"/>
      <c r="G602" s="89"/>
      <c r="H602" s="94"/>
      <c r="I602" s="94"/>
      <c r="J602" s="94"/>
      <c r="K602" s="94"/>
      <c r="L602" s="94"/>
      <c r="M602" s="94"/>
      <c r="N602" s="94"/>
      <c r="O602" s="94"/>
      <c r="P602" s="94"/>
      <c r="Q602" s="94"/>
      <c r="R602" s="95"/>
      <c r="S602" s="94"/>
      <c r="T602" s="96"/>
      <c r="U602" s="94"/>
      <c r="V602" s="97"/>
      <c r="W602" s="94"/>
      <c r="X602" s="98"/>
      <c r="Y602" s="98"/>
      <c r="Z602" s="98"/>
      <c r="AA602" s="98"/>
      <c r="AB602" s="98"/>
      <c r="AC602" s="97"/>
      <c r="AD602" s="99"/>
      <c r="AE602" s="95"/>
      <c r="AF602" s="94"/>
      <c r="AG602" s="89"/>
      <c r="AH602" s="89"/>
      <c r="AI602" s="89"/>
      <c r="AJ602" s="89"/>
      <c r="AK602" s="89"/>
      <c r="AL602" s="89"/>
      <c r="AM602" s="89"/>
      <c r="AN602" s="89"/>
      <c r="AO602" s="89"/>
      <c r="AP602" s="89"/>
      <c r="AQ602" s="89"/>
      <c r="AR602" s="89"/>
      <c r="AS602" s="89"/>
      <c r="AT602" s="89"/>
      <c r="AU602" s="89"/>
      <c r="AV602" s="89"/>
      <c r="AW602" s="100"/>
      <c r="AX602" s="100"/>
      <c r="AY602" s="89"/>
      <c r="AZ602" s="89"/>
      <c r="BA602" s="89"/>
      <c r="BB602" s="89"/>
      <c r="BC602" s="89"/>
      <c r="BD602" s="89"/>
      <c r="BE602" s="89"/>
      <c r="BF602" s="89"/>
      <c r="BG602" s="89"/>
      <c r="BH602" s="89"/>
      <c r="BI602" s="89"/>
      <c r="BJ602" s="89"/>
      <c r="BK602" s="89"/>
      <c r="BL602" s="89"/>
      <c r="BM602" s="89"/>
      <c r="BN602" s="89"/>
      <c r="BO602" s="89"/>
      <c r="BP602" s="89"/>
      <c r="BQ602" s="89"/>
      <c r="BR602" s="89"/>
      <c r="BS602" s="89"/>
    </row>
    <row r="603" spans="1:71" ht="27" customHeight="1" x14ac:dyDescent="0.2">
      <c r="A603" s="93"/>
      <c r="B603" s="89"/>
      <c r="C603" s="89"/>
      <c r="D603" s="89"/>
      <c r="E603" s="89"/>
      <c r="F603" s="89"/>
      <c r="G603" s="89"/>
      <c r="H603" s="94"/>
      <c r="I603" s="94"/>
      <c r="J603" s="94"/>
      <c r="K603" s="94"/>
      <c r="L603" s="94"/>
      <c r="M603" s="94"/>
      <c r="N603" s="94"/>
      <c r="O603" s="94"/>
      <c r="P603" s="94"/>
      <c r="Q603" s="94"/>
      <c r="R603" s="95"/>
      <c r="S603" s="94"/>
      <c r="T603" s="96"/>
      <c r="U603" s="94"/>
      <c r="V603" s="97"/>
      <c r="W603" s="94"/>
      <c r="X603" s="98"/>
      <c r="Y603" s="98"/>
      <c r="Z603" s="98"/>
      <c r="AA603" s="98"/>
      <c r="AB603" s="98"/>
      <c r="AC603" s="97"/>
      <c r="AD603" s="99"/>
      <c r="AE603" s="95"/>
      <c r="AF603" s="94"/>
      <c r="AG603" s="89"/>
      <c r="AH603" s="89"/>
      <c r="AI603" s="89"/>
      <c r="AJ603" s="89"/>
      <c r="AK603" s="89"/>
      <c r="AL603" s="89"/>
      <c r="AM603" s="89"/>
      <c r="AN603" s="89"/>
      <c r="AO603" s="89"/>
      <c r="AP603" s="89"/>
      <c r="AQ603" s="89"/>
      <c r="AR603" s="89"/>
      <c r="AS603" s="89"/>
      <c r="AT603" s="89"/>
      <c r="AU603" s="89"/>
      <c r="AV603" s="89"/>
      <c r="AW603" s="100"/>
      <c r="AX603" s="100"/>
      <c r="AY603" s="89"/>
      <c r="AZ603" s="89"/>
      <c r="BA603" s="89"/>
      <c r="BB603" s="89"/>
      <c r="BC603" s="89"/>
      <c r="BD603" s="89"/>
      <c r="BE603" s="89"/>
      <c r="BF603" s="89"/>
      <c r="BG603" s="89"/>
      <c r="BH603" s="89"/>
      <c r="BI603" s="89"/>
      <c r="BJ603" s="89"/>
      <c r="BK603" s="89"/>
      <c r="BL603" s="89"/>
      <c r="BM603" s="89"/>
      <c r="BN603" s="89"/>
      <c r="BO603" s="89"/>
      <c r="BP603" s="89"/>
      <c r="BQ603" s="89"/>
      <c r="BR603" s="89"/>
      <c r="BS603" s="89"/>
    </row>
    <row r="604" spans="1:71" ht="27" customHeight="1" x14ac:dyDescent="0.2">
      <c r="A604" s="93"/>
      <c r="B604" s="89"/>
      <c r="C604" s="89"/>
      <c r="D604" s="89"/>
      <c r="E604" s="89"/>
      <c r="F604" s="89"/>
      <c r="G604" s="89"/>
      <c r="H604" s="94"/>
      <c r="I604" s="94"/>
      <c r="J604" s="94"/>
      <c r="K604" s="94"/>
      <c r="L604" s="94"/>
      <c r="M604" s="94"/>
      <c r="N604" s="94"/>
      <c r="O604" s="94"/>
      <c r="P604" s="94"/>
      <c r="Q604" s="94"/>
      <c r="R604" s="95"/>
      <c r="S604" s="94"/>
      <c r="T604" s="96"/>
      <c r="U604" s="94"/>
      <c r="V604" s="97"/>
      <c r="W604" s="94"/>
      <c r="X604" s="98"/>
      <c r="Y604" s="98"/>
      <c r="Z604" s="98"/>
      <c r="AA604" s="98"/>
      <c r="AB604" s="98"/>
      <c r="AC604" s="97"/>
      <c r="AD604" s="99"/>
      <c r="AE604" s="95"/>
      <c r="AF604" s="94"/>
      <c r="AG604" s="89"/>
      <c r="AH604" s="89"/>
      <c r="AI604" s="89"/>
      <c r="AJ604" s="89"/>
      <c r="AK604" s="89"/>
      <c r="AL604" s="89"/>
      <c r="AM604" s="89"/>
      <c r="AN604" s="89"/>
      <c r="AO604" s="89"/>
      <c r="AP604" s="89"/>
      <c r="AQ604" s="89"/>
      <c r="AR604" s="89"/>
      <c r="AS604" s="89"/>
      <c r="AT604" s="89"/>
      <c r="AU604" s="89"/>
      <c r="AV604" s="89"/>
      <c r="AW604" s="100"/>
      <c r="AX604" s="100"/>
      <c r="AY604" s="89"/>
      <c r="AZ604" s="89"/>
      <c r="BA604" s="89"/>
      <c r="BB604" s="89"/>
      <c r="BC604" s="89"/>
      <c r="BD604" s="89"/>
      <c r="BE604" s="89"/>
      <c r="BF604" s="89"/>
      <c r="BG604" s="89"/>
      <c r="BH604" s="89"/>
      <c r="BI604" s="89"/>
      <c r="BJ604" s="89"/>
      <c r="BK604" s="89"/>
      <c r="BL604" s="89"/>
      <c r="BM604" s="89"/>
      <c r="BN604" s="89"/>
      <c r="BO604" s="89"/>
      <c r="BP604" s="89"/>
      <c r="BQ604" s="89"/>
      <c r="BR604" s="89"/>
      <c r="BS604" s="89"/>
    </row>
    <row r="605" spans="1:71" ht="27" customHeight="1" x14ac:dyDescent="0.2">
      <c r="A605" s="93"/>
      <c r="B605" s="89"/>
      <c r="C605" s="89"/>
      <c r="D605" s="89"/>
      <c r="E605" s="89"/>
      <c r="F605" s="89"/>
      <c r="G605" s="89"/>
      <c r="H605" s="94"/>
      <c r="I605" s="94"/>
      <c r="J605" s="94"/>
      <c r="K605" s="94"/>
      <c r="L605" s="94"/>
      <c r="M605" s="94"/>
      <c r="N605" s="94"/>
      <c r="O605" s="94"/>
      <c r="P605" s="94"/>
      <c r="Q605" s="94"/>
      <c r="R605" s="95"/>
      <c r="S605" s="94"/>
      <c r="T605" s="96"/>
      <c r="U605" s="94"/>
      <c r="V605" s="97"/>
      <c r="W605" s="94"/>
      <c r="X605" s="98"/>
      <c r="Y605" s="98"/>
      <c r="Z605" s="98"/>
      <c r="AA605" s="98"/>
      <c r="AB605" s="98"/>
      <c r="AC605" s="97"/>
      <c r="AD605" s="99"/>
      <c r="AE605" s="95"/>
      <c r="AF605" s="94"/>
      <c r="AG605" s="89"/>
      <c r="AH605" s="89"/>
      <c r="AI605" s="89"/>
      <c r="AJ605" s="89"/>
      <c r="AK605" s="89"/>
      <c r="AL605" s="89"/>
      <c r="AM605" s="89"/>
      <c r="AN605" s="89"/>
      <c r="AO605" s="89"/>
      <c r="AP605" s="89"/>
      <c r="AQ605" s="89"/>
      <c r="AR605" s="89"/>
      <c r="AS605" s="89"/>
      <c r="AT605" s="89"/>
      <c r="AU605" s="89"/>
      <c r="AV605" s="89"/>
      <c r="AW605" s="100"/>
      <c r="AX605" s="100"/>
      <c r="AY605" s="89"/>
      <c r="AZ605" s="89"/>
      <c r="BA605" s="89"/>
      <c r="BB605" s="89"/>
      <c r="BC605" s="89"/>
      <c r="BD605" s="89"/>
      <c r="BE605" s="89"/>
      <c r="BF605" s="89"/>
      <c r="BG605" s="89"/>
      <c r="BH605" s="89"/>
      <c r="BI605" s="89"/>
      <c r="BJ605" s="89"/>
      <c r="BK605" s="89"/>
      <c r="BL605" s="89"/>
      <c r="BM605" s="89"/>
      <c r="BN605" s="89"/>
      <c r="BO605" s="89"/>
      <c r="BP605" s="89"/>
      <c r="BQ605" s="89"/>
      <c r="BR605" s="89"/>
      <c r="BS605" s="89"/>
    </row>
    <row r="606" spans="1:71" ht="27" customHeight="1" x14ac:dyDescent="0.2">
      <c r="A606" s="93"/>
      <c r="B606" s="89"/>
      <c r="C606" s="89"/>
      <c r="D606" s="89"/>
      <c r="E606" s="89"/>
      <c r="F606" s="89"/>
      <c r="G606" s="89"/>
      <c r="H606" s="94"/>
      <c r="I606" s="94"/>
      <c r="J606" s="94"/>
      <c r="K606" s="94"/>
      <c r="L606" s="94"/>
      <c r="M606" s="94"/>
      <c r="N606" s="94"/>
      <c r="O606" s="94"/>
      <c r="P606" s="94"/>
      <c r="Q606" s="94"/>
      <c r="R606" s="95"/>
      <c r="S606" s="94"/>
      <c r="T606" s="96"/>
      <c r="U606" s="94"/>
      <c r="V606" s="97"/>
      <c r="W606" s="94"/>
      <c r="X606" s="98"/>
      <c r="Y606" s="98"/>
      <c r="Z606" s="98"/>
      <c r="AA606" s="98"/>
      <c r="AB606" s="98"/>
      <c r="AC606" s="97"/>
      <c r="AD606" s="99"/>
      <c r="AE606" s="95"/>
      <c r="AF606" s="94"/>
      <c r="AG606" s="89"/>
      <c r="AH606" s="89"/>
      <c r="AI606" s="89"/>
      <c r="AJ606" s="89"/>
      <c r="AK606" s="89"/>
      <c r="AL606" s="89"/>
      <c r="AM606" s="89"/>
      <c r="AN606" s="89"/>
      <c r="AO606" s="89"/>
      <c r="AP606" s="89"/>
      <c r="AQ606" s="89"/>
      <c r="AR606" s="89"/>
      <c r="AS606" s="89"/>
      <c r="AT606" s="89"/>
      <c r="AU606" s="89"/>
      <c r="AV606" s="89"/>
      <c r="AW606" s="100"/>
      <c r="AX606" s="100"/>
      <c r="AY606" s="89"/>
      <c r="AZ606" s="89"/>
      <c r="BA606" s="89"/>
      <c r="BB606" s="89"/>
      <c r="BC606" s="89"/>
      <c r="BD606" s="89"/>
      <c r="BE606" s="89"/>
      <c r="BF606" s="89"/>
      <c r="BG606" s="89"/>
      <c r="BH606" s="89"/>
      <c r="BI606" s="89"/>
      <c r="BJ606" s="89"/>
      <c r="BK606" s="89"/>
      <c r="BL606" s="89"/>
      <c r="BM606" s="89"/>
      <c r="BN606" s="89"/>
      <c r="BO606" s="89"/>
      <c r="BP606" s="89"/>
      <c r="BQ606" s="89"/>
      <c r="BR606" s="89"/>
      <c r="BS606" s="89"/>
    </row>
    <row r="607" spans="1:71" ht="27" customHeight="1" x14ac:dyDescent="0.2">
      <c r="A607" s="93"/>
      <c r="B607" s="89"/>
      <c r="C607" s="89"/>
      <c r="D607" s="89"/>
      <c r="E607" s="89"/>
      <c r="F607" s="89"/>
      <c r="G607" s="89"/>
      <c r="H607" s="94"/>
      <c r="I607" s="94"/>
      <c r="J607" s="94"/>
      <c r="K607" s="94"/>
      <c r="L607" s="94"/>
      <c r="M607" s="94"/>
      <c r="N607" s="94"/>
      <c r="O607" s="94"/>
      <c r="P607" s="94"/>
      <c r="Q607" s="94"/>
      <c r="R607" s="95"/>
      <c r="S607" s="94"/>
      <c r="T607" s="96"/>
      <c r="U607" s="94"/>
      <c r="V607" s="97"/>
      <c r="W607" s="94"/>
      <c r="X607" s="98"/>
      <c r="Y607" s="98"/>
      <c r="Z607" s="98"/>
      <c r="AA607" s="98"/>
      <c r="AB607" s="98"/>
      <c r="AC607" s="97"/>
      <c r="AD607" s="99"/>
      <c r="AE607" s="95"/>
      <c r="AF607" s="94"/>
      <c r="AG607" s="89"/>
      <c r="AH607" s="89"/>
      <c r="AI607" s="89"/>
      <c r="AJ607" s="89"/>
      <c r="AK607" s="89"/>
      <c r="AL607" s="89"/>
      <c r="AM607" s="89"/>
      <c r="AN607" s="89"/>
      <c r="AO607" s="89"/>
      <c r="AP607" s="89"/>
      <c r="AQ607" s="89"/>
      <c r="AR607" s="89"/>
      <c r="AS607" s="89"/>
      <c r="AT607" s="89"/>
      <c r="AU607" s="89"/>
      <c r="AV607" s="89"/>
      <c r="AW607" s="100"/>
      <c r="AX607" s="100"/>
      <c r="AY607" s="89"/>
      <c r="AZ607" s="89"/>
      <c r="BA607" s="89"/>
      <c r="BB607" s="89"/>
      <c r="BC607" s="89"/>
      <c r="BD607" s="89"/>
      <c r="BE607" s="89"/>
      <c r="BF607" s="89"/>
      <c r="BG607" s="89"/>
      <c r="BH607" s="89"/>
      <c r="BI607" s="89"/>
      <c r="BJ607" s="89"/>
      <c r="BK607" s="89"/>
      <c r="BL607" s="89"/>
      <c r="BM607" s="89"/>
      <c r="BN607" s="89"/>
      <c r="BO607" s="89"/>
      <c r="BP607" s="89"/>
      <c r="BQ607" s="89"/>
      <c r="BR607" s="89"/>
      <c r="BS607" s="89"/>
    </row>
    <row r="608" spans="1:71" ht="27" customHeight="1" x14ac:dyDescent="0.2">
      <c r="A608" s="93"/>
      <c r="B608" s="89"/>
      <c r="C608" s="89"/>
      <c r="D608" s="89"/>
      <c r="E608" s="89"/>
      <c r="F608" s="89"/>
      <c r="G608" s="89"/>
      <c r="H608" s="94"/>
      <c r="I608" s="94"/>
      <c r="J608" s="94"/>
      <c r="K608" s="94"/>
      <c r="L608" s="94"/>
      <c r="M608" s="94"/>
      <c r="N608" s="94"/>
      <c r="O608" s="94"/>
      <c r="P608" s="94"/>
      <c r="Q608" s="94"/>
      <c r="R608" s="95"/>
      <c r="S608" s="94"/>
      <c r="T608" s="96"/>
      <c r="U608" s="94"/>
      <c r="V608" s="97"/>
      <c r="W608" s="94"/>
      <c r="X608" s="98"/>
      <c r="Y608" s="98"/>
      <c r="Z608" s="98"/>
      <c r="AA608" s="98"/>
      <c r="AB608" s="98"/>
      <c r="AC608" s="97"/>
      <c r="AD608" s="99"/>
      <c r="AE608" s="95"/>
      <c r="AF608" s="94"/>
      <c r="AG608" s="89"/>
      <c r="AH608" s="89"/>
      <c r="AI608" s="89"/>
      <c r="AJ608" s="89"/>
      <c r="AK608" s="89"/>
      <c r="AL608" s="89"/>
      <c r="AM608" s="89"/>
      <c r="AN608" s="89"/>
      <c r="AO608" s="89"/>
      <c r="AP608" s="89"/>
      <c r="AQ608" s="89"/>
      <c r="AR608" s="89"/>
      <c r="AS608" s="89"/>
      <c r="AT608" s="89"/>
      <c r="AU608" s="89"/>
      <c r="AV608" s="89"/>
      <c r="AW608" s="100"/>
      <c r="AX608" s="100"/>
      <c r="AY608" s="89"/>
      <c r="AZ608" s="89"/>
      <c r="BA608" s="89"/>
      <c r="BB608" s="89"/>
      <c r="BC608" s="89"/>
      <c r="BD608" s="89"/>
      <c r="BE608" s="89"/>
      <c r="BF608" s="89"/>
      <c r="BG608" s="89"/>
      <c r="BH608" s="89"/>
      <c r="BI608" s="89"/>
      <c r="BJ608" s="89"/>
      <c r="BK608" s="89"/>
      <c r="BL608" s="89"/>
      <c r="BM608" s="89"/>
      <c r="BN608" s="89"/>
      <c r="BO608" s="89"/>
      <c r="BP608" s="89"/>
      <c r="BQ608" s="89"/>
      <c r="BR608" s="89"/>
      <c r="BS608" s="89"/>
    </row>
    <row r="609" spans="1:71" ht="27" customHeight="1" x14ac:dyDescent="0.2">
      <c r="A609" s="93"/>
      <c r="B609" s="89"/>
      <c r="C609" s="89"/>
      <c r="D609" s="89"/>
      <c r="E609" s="89"/>
      <c r="F609" s="89"/>
      <c r="G609" s="89"/>
      <c r="H609" s="94"/>
      <c r="I609" s="94"/>
      <c r="J609" s="94"/>
      <c r="K609" s="94"/>
      <c r="L609" s="94"/>
      <c r="M609" s="94"/>
      <c r="N609" s="94"/>
      <c r="O609" s="94"/>
      <c r="P609" s="94"/>
      <c r="Q609" s="94"/>
      <c r="R609" s="95"/>
      <c r="S609" s="94"/>
      <c r="T609" s="96"/>
      <c r="U609" s="94"/>
      <c r="V609" s="97"/>
      <c r="W609" s="94"/>
      <c r="X609" s="98"/>
      <c r="Y609" s="98"/>
      <c r="Z609" s="98"/>
      <c r="AA609" s="98"/>
      <c r="AB609" s="98"/>
      <c r="AC609" s="97"/>
      <c r="AD609" s="99"/>
      <c r="AE609" s="95"/>
      <c r="AF609" s="94"/>
      <c r="AG609" s="89"/>
      <c r="AH609" s="89"/>
      <c r="AI609" s="89"/>
      <c r="AJ609" s="89"/>
      <c r="AK609" s="89"/>
      <c r="AL609" s="89"/>
      <c r="AM609" s="89"/>
      <c r="AN609" s="89"/>
      <c r="AO609" s="89"/>
      <c r="AP609" s="89"/>
      <c r="AQ609" s="89"/>
      <c r="AR609" s="89"/>
      <c r="AS609" s="89"/>
      <c r="AT609" s="89"/>
      <c r="AU609" s="89"/>
      <c r="AV609" s="89"/>
      <c r="AW609" s="100"/>
      <c r="AX609" s="100"/>
      <c r="AY609" s="89"/>
      <c r="AZ609" s="89"/>
      <c r="BA609" s="89"/>
      <c r="BB609" s="89"/>
      <c r="BC609" s="89"/>
      <c r="BD609" s="89"/>
      <c r="BE609" s="89"/>
      <c r="BF609" s="89"/>
      <c r="BG609" s="89"/>
      <c r="BH609" s="89"/>
      <c r="BI609" s="89"/>
      <c r="BJ609" s="89"/>
      <c r="BK609" s="89"/>
      <c r="BL609" s="89"/>
      <c r="BM609" s="89"/>
      <c r="BN609" s="89"/>
      <c r="BO609" s="89"/>
      <c r="BP609" s="89"/>
      <c r="BQ609" s="89"/>
      <c r="BR609" s="89"/>
      <c r="BS609" s="89"/>
    </row>
    <row r="610" spans="1:71" ht="27" customHeight="1" x14ac:dyDescent="0.2">
      <c r="A610" s="93"/>
      <c r="B610" s="89"/>
      <c r="C610" s="89"/>
      <c r="D610" s="89"/>
      <c r="E610" s="89"/>
      <c r="F610" s="89"/>
      <c r="G610" s="89"/>
      <c r="H610" s="94"/>
      <c r="I610" s="94"/>
      <c r="J610" s="94"/>
      <c r="K610" s="94"/>
      <c r="L610" s="94"/>
      <c r="M610" s="94"/>
      <c r="N610" s="94"/>
      <c r="O610" s="94"/>
      <c r="P610" s="94"/>
      <c r="Q610" s="94"/>
      <c r="R610" s="95"/>
      <c r="S610" s="94"/>
      <c r="T610" s="96"/>
      <c r="U610" s="94"/>
      <c r="V610" s="97"/>
      <c r="W610" s="94"/>
      <c r="X610" s="98"/>
      <c r="Y610" s="98"/>
      <c r="Z610" s="98"/>
      <c r="AA610" s="98"/>
      <c r="AB610" s="98"/>
      <c r="AC610" s="97"/>
      <c r="AD610" s="99"/>
      <c r="AE610" s="95"/>
      <c r="AF610" s="94"/>
      <c r="AG610" s="89"/>
      <c r="AH610" s="89"/>
      <c r="AI610" s="89"/>
      <c r="AJ610" s="89"/>
      <c r="AK610" s="89"/>
      <c r="AL610" s="89"/>
      <c r="AM610" s="89"/>
      <c r="AN610" s="89"/>
      <c r="AO610" s="89"/>
      <c r="AP610" s="89"/>
      <c r="AQ610" s="89"/>
      <c r="AR610" s="89"/>
      <c r="AS610" s="89"/>
      <c r="AT610" s="89"/>
      <c r="AU610" s="89"/>
      <c r="AV610" s="89"/>
      <c r="AW610" s="100"/>
      <c r="AX610" s="100"/>
      <c r="AY610" s="89"/>
      <c r="AZ610" s="89"/>
      <c r="BA610" s="89"/>
      <c r="BB610" s="89"/>
      <c r="BC610" s="89"/>
      <c r="BD610" s="89"/>
      <c r="BE610" s="89"/>
      <c r="BF610" s="89"/>
      <c r="BG610" s="89"/>
      <c r="BH610" s="89"/>
      <c r="BI610" s="89"/>
      <c r="BJ610" s="89"/>
      <c r="BK610" s="89"/>
      <c r="BL610" s="89"/>
      <c r="BM610" s="89"/>
      <c r="BN610" s="89"/>
      <c r="BO610" s="89"/>
      <c r="BP610" s="89"/>
      <c r="BQ610" s="89"/>
      <c r="BR610" s="89"/>
      <c r="BS610" s="89"/>
    </row>
    <row r="611" spans="1:71" ht="27" customHeight="1" x14ac:dyDescent="0.2">
      <c r="A611" s="93"/>
      <c r="B611" s="89"/>
      <c r="C611" s="89"/>
      <c r="D611" s="89"/>
      <c r="E611" s="89"/>
      <c r="F611" s="89"/>
      <c r="G611" s="89"/>
      <c r="H611" s="94"/>
      <c r="I611" s="94"/>
      <c r="J611" s="94"/>
      <c r="K611" s="94"/>
      <c r="L611" s="94"/>
      <c r="M611" s="94"/>
      <c r="N611" s="94"/>
      <c r="O611" s="94"/>
      <c r="P611" s="94"/>
      <c r="Q611" s="94"/>
      <c r="R611" s="95"/>
      <c r="S611" s="94"/>
      <c r="T611" s="96"/>
      <c r="U611" s="94"/>
      <c r="V611" s="97"/>
      <c r="W611" s="94"/>
      <c r="X611" s="98"/>
      <c r="Y611" s="98"/>
      <c r="Z611" s="98"/>
      <c r="AA611" s="98"/>
      <c r="AB611" s="98"/>
      <c r="AC611" s="97"/>
      <c r="AD611" s="99"/>
      <c r="AE611" s="95"/>
      <c r="AF611" s="94"/>
      <c r="AG611" s="89"/>
      <c r="AH611" s="89"/>
      <c r="AI611" s="89"/>
      <c r="AJ611" s="89"/>
      <c r="AK611" s="89"/>
      <c r="AL611" s="89"/>
      <c r="AM611" s="89"/>
      <c r="AN611" s="89"/>
      <c r="AO611" s="89"/>
      <c r="AP611" s="89"/>
      <c r="AQ611" s="89"/>
      <c r="AR611" s="89"/>
      <c r="AS611" s="89"/>
      <c r="AT611" s="89"/>
      <c r="AU611" s="89"/>
      <c r="AV611" s="89"/>
      <c r="AW611" s="100"/>
      <c r="AX611" s="100"/>
      <c r="AY611" s="89"/>
      <c r="AZ611" s="89"/>
      <c r="BA611" s="89"/>
      <c r="BB611" s="89"/>
      <c r="BC611" s="89"/>
      <c r="BD611" s="89"/>
      <c r="BE611" s="89"/>
      <c r="BF611" s="89"/>
      <c r="BG611" s="89"/>
      <c r="BH611" s="89"/>
      <c r="BI611" s="89"/>
      <c r="BJ611" s="89"/>
      <c r="BK611" s="89"/>
      <c r="BL611" s="89"/>
      <c r="BM611" s="89"/>
      <c r="BN611" s="89"/>
      <c r="BO611" s="89"/>
      <c r="BP611" s="89"/>
      <c r="BQ611" s="89"/>
      <c r="BR611" s="89"/>
      <c r="BS611" s="89"/>
    </row>
    <row r="612" spans="1:71" ht="27" customHeight="1" x14ac:dyDescent="0.2">
      <c r="A612" s="93"/>
      <c r="B612" s="89"/>
      <c r="C612" s="89"/>
      <c r="D612" s="89"/>
      <c r="E612" s="89"/>
      <c r="F612" s="89"/>
      <c r="G612" s="89"/>
      <c r="H612" s="94"/>
      <c r="I612" s="94"/>
      <c r="J612" s="94"/>
      <c r="K612" s="94"/>
      <c r="L612" s="94"/>
      <c r="M612" s="94"/>
      <c r="N612" s="94"/>
      <c r="O612" s="94"/>
      <c r="P612" s="94"/>
      <c r="Q612" s="94"/>
      <c r="R612" s="95"/>
      <c r="S612" s="94"/>
      <c r="T612" s="96"/>
      <c r="U612" s="94"/>
      <c r="V612" s="97"/>
      <c r="W612" s="94"/>
      <c r="X612" s="98"/>
      <c r="Y612" s="98"/>
      <c r="Z612" s="98"/>
      <c r="AA612" s="98"/>
      <c r="AB612" s="98"/>
      <c r="AC612" s="97"/>
      <c r="AD612" s="99"/>
      <c r="AE612" s="95"/>
      <c r="AF612" s="94"/>
      <c r="AG612" s="89"/>
      <c r="AH612" s="89"/>
      <c r="AI612" s="89"/>
      <c r="AJ612" s="89"/>
      <c r="AK612" s="89"/>
      <c r="AL612" s="89"/>
      <c r="AM612" s="89"/>
      <c r="AN612" s="89"/>
      <c r="AO612" s="89"/>
      <c r="AP612" s="89"/>
      <c r="AQ612" s="89"/>
      <c r="AR612" s="89"/>
      <c r="AS612" s="89"/>
      <c r="AT612" s="89"/>
      <c r="AU612" s="89"/>
      <c r="AV612" s="89"/>
      <c r="AW612" s="100"/>
      <c r="AX612" s="100"/>
      <c r="AY612" s="89"/>
      <c r="AZ612" s="89"/>
      <c r="BA612" s="89"/>
      <c r="BB612" s="89"/>
      <c r="BC612" s="89"/>
      <c r="BD612" s="89"/>
      <c r="BE612" s="89"/>
      <c r="BF612" s="89"/>
      <c r="BG612" s="89"/>
      <c r="BH612" s="89"/>
      <c r="BI612" s="89"/>
      <c r="BJ612" s="89"/>
      <c r="BK612" s="89"/>
      <c r="BL612" s="89"/>
      <c r="BM612" s="89"/>
      <c r="BN612" s="89"/>
      <c r="BO612" s="89"/>
      <c r="BP612" s="89"/>
      <c r="BQ612" s="89"/>
      <c r="BR612" s="89"/>
      <c r="BS612" s="89"/>
    </row>
    <row r="613" spans="1:71" ht="27" customHeight="1" x14ac:dyDescent="0.2">
      <c r="A613" s="93"/>
      <c r="B613" s="89"/>
      <c r="C613" s="89"/>
      <c r="D613" s="89"/>
      <c r="E613" s="89"/>
      <c r="F613" s="89"/>
      <c r="G613" s="89"/>
      <c r="H613" s="94"/>
      <c r="I613" s="94"/>
      <c r="J613" s="94"/>
      <c r="K613" s="94"/>
      <c r="L613" s="94"/>
      <c r="M613" s="94"/>
      <c r="N613" s="94"/>
      <c r="O613" s="94"/>
      <c r="P613" s="94"/>
      <c r="Q613" s="94"/>
      <c r="R613" s="95"/>
      <c r="S613" s="94"/>
      <c r="T613" s="96"/>
      <c r="U613" s="94"/>
      <c r="V613" s="97"/>
      <c r="W613" s="94"/>
      <c r="X613" s="98"/>
      <c r="Y613" s="98"/>
      <c r="Z613" s="98"/>
      <c r="AA613" s="98"/>
      <c r="AB613" s="98"/>
      <c r="AC613" s="97"/>
      <c r="AD613" s="99"/>
      <c r="AE613" s="95"/>
      <c r="AF613" s="94"/>
      <c r="AG613" s="89"/>
      <c r="AH613" s="89"/>
      <c r="AI613" s="89"/>
      <c r="AJ613" s="89"/>
      <c r="AK613" s="89"/>
      <c r="AL613" s="89"/>
      <c r="AM613" s="89"/>
      <c r="AN613" s="89"/>
      <c r="AO613" s="89"/>
      <c r="AP613" s="89"/>
      <c r="AQ613" s="89"/>
      <c r="AR613" s="89"/>
      <c r="AS613" s="89"/>
      <c r="AT613" s="89"/>
      <c r="AU613" s="89"/>
      <c r="AV613" s="89"/>
      <c r="AW613" s="100"/>
      <c r="AX613" s="100"/>
      <c r="AY613" s="89"/>
      <c r="AZ613" s="89"/>
      <c r="BA613" s="89"/>
      <c r="BB613" s="89"/>
      <c r="BC613" s="89"/>
      <c r="BD613" s="89"/>
      <c r="BE613" s="89"/>
      <c r="BF613" s="89"/>
      <c r="BG613" s="89"/>
      <c r="BH613" s="89"/>
      <c r="BI613" s="89"/>
      <c r="BJ613" s="89"/>
      <c r="BK613" s="89"/>
      <c r="BL613" s="89"/>
      <c r="BM613" s="89"/>
      <c r="BN613" s="89"/>
      <c r="BO613" s="89"/>
      <c r="BP613" s="89"/>
      <c r="BQ613" s="89"/>
      <c r="BR613" s="89"/>
      <c r="BS613" s="89"/>
    </row>
    <row r="614" spans="1:71" ht="27" customHeight="1" x14ac:dyDescent="0.2">
      <c r="A614" s="93"/>
      <c r="B614" s="89"/>
      <c r="C614" s="89"/>
      <c r="D614" s="89"/>
      <c r="E614" s="89"/>
      <c r="F614" s="89"/>
      <c r="G614" s="89"/>
      <c r="H614" s="94"/>
      <c r="I614" s="94"/>
      <c r="J614" s="94"/>
      <c r="K614" s="94"/>
      <c r="L614" s="94"/>
      <c r="M614" s="94"/>
      <c r="N614" s="94"/>
      <c r="O614" s="94"/>
      <c r="P614" s="94"/>
      <c r="Q614" s="94"/>
      <c r="R614" s="95"/>
      <c r="S614" s="94"/>
      <c r="T614" s="96"/>
      <c r="U614" s="94"/>
      <c r="V614" s="97"/>
      <c r="W614" s="94"/>
      <c r="X614" s="98"/>
      <c r="Y614" s="98"/>
      <c r="Z614" s="98"/>
      <c r="AA614" s="98"/>
      <c r="AB614" s="98"/>
      <c r="AC614" s="97"/>
      <c r="AD614" s="99"/>
      <c r="AE614" s="95"/>
      <c r="AF614" s="94"/>
      <c r="AG614" s="89"/>
      <c r="AH614" s="89"/>
      <c r="AI614" s="89"/>
      <c r="AJ614" s="89"/>
      <c r="AK614" s="89"/>
      <c r="AL614" s="89"/>
      <c r="AM614" s="89"/>
      <c r="AN614" s="89"/>
      <c r="AO614" s="89"/>
      <c r="AP614" s="89"/>
      <c r="AQ614" s="89"/>
      <c r="AR614" s="89"/>
      <c r="AS614" s="89"/>
      <c r="AT614" s="89"/>
      <c r="AU614" s="89"/>
      <c r="AV614" s="89"/>
      <c r="AW614" s="100"/>
      <c r="AX614" s="100"/>
      <c r="AY614" s="89"/>
      <c r="AZ614" s="89"/>
      <c r="BA614" s="89"/>
      <c r="BB614" s="89"/>
      <c r="BC614" s="89"/>
      <c r="BD614" s="89"/>
      <c r="BE614" s="89"/>
      <c r="BF614" s="89"/>
      <c r="BG614" s="89"/>
      <c r="BH614" s="89"/>
      <c r="BI614" s="89"/>
      <c r="BJ614" s="89"/>
      <c r="BK614" s="89"/>
      <c r="BL614" s="89"/>
      <c r="BM614" s="89"/>
      <c r="BN614" s="89"/>
      <c r="BO614" s="89"/>
      <c r="BP614" s="89"/>
      <c r="BQ614" s="89"/>
      <c r="BR614" s="89"/>
      <c r="BS614" s="89"/>
    </row>
    <row r="615" spans="1:71" ht="27" customHeight="1" x14ac:dyDescent="0.2">
      <c r="A615" s="93"/>
      <c r="B615" s="89"/>
      <c r="C615" s="89"/>
      <c r="D615" s="89"/>
      <c r="E615" s="89"/>
      <c r="F615" s="89"/>
      <c r="G615" s="89"/>
      <c r="H615" s="94"/>
      <c r="I615" s="94"/>
      <c r="J615" s="94"/>
      <c r="K615" s="94"/>
      <c r="L615" s="94"/>
      <c r="M615" s="94"/>
      <c r="N615" s="94"/>
      <c r="O615" s="94"/>
      <c r="P615" s="94"/>
      <c r="Q615" s="94"/>
      <c r="R615" s="95"/>
      <c r="S615" s="94"/>
      <c r="T615" s="96"/>
      <c r="U615" s="94"/>
      <c r="V615" s="97"/>
      <c r="W615" s="94"/>
      <c r="X615" s="98"/>
      <c r="Y615" s="98"/>
      <c r="Z615" s="98"/>
      <c r="AA615" s="98"/>
      <c r="AB615" s="98"/>
      <c r="AC615" s="97"/>
      <c r="AD615" s="99"/>
      <c r="AE615" s="95"/>
      <c r="AF615" s="94"/>
      <c r="AG615" s="89"/>
      <c r="AH615" s="89"/>
      <c r="AI615" s="89"/>
      <c r="AJ615" s="89"/>
      <c r="AK615" s="89"/>
      <c r="AL615" s="89"/>
      <c r="AM615" s="89"/>
      <c r="AN615" s="89"/>
      <c r="AO615" s="89"/>
      <c r="AP615" s="89"/>
      <c r="AQ615" s="89"/>
      <c r="AR615" s="89"/>
      <c r="AS615" s="89"/>
      <c r="AT615" s="89"/>
      <c r="AU615" s="89"/>
      <c r="AV615" s="89"/>
      <c r="AW615" s="100"/>
      <c r="AX615" s="100"/>
      <c r="AY615" s="89"/>
      <c r="AZ615" s="89"/>
      <c r="BA615" s="89"/>
      <c r="BB615" s="89"/>
      <c r="BC615" s="89"/>
      <c r="BD615" s="89"/>
      <c r="BE615" s="89"/>
      <c r="BF615" s="89"/>
      <c r="BG615" s="89"/>
      <c r="BH615" s="89"/>
      <c r="BI615" s="89"/>
      <c r="BJ615" s="89"/>
      <c r="BK615" s="89"/>
      <c r="BL615" s="89"/>
      <c r="BM615" s="89"/>
      <c r="BN615" s="89"/>
      <c r="BO615" s="89"/>
      <c r="BP615" s="89"/>
      <c r="BQ615" s="89"/>
      <c r="BR615" s="89"/>
      <c r="BS615" s="89"/>
    </row>
    <row r="616" spans="1:71" ht="27" customHeight="1" x14ac:dyDescent="0.2">
      <c r="A616" s="93"/>
      <c r="B616" s="89"/>
      <c r="C616" s="89"/>
      <c r="D616" s="89"/>
      <c r="E616" s="89"/>
      <c r="F616" s="89"/>
      <c r="G616" s="89"/>
      <c r="H616" s="94"/>
      <c r="I616" s="94"/>
      <c r="J616" s="94"/>
      <c r="K616" s="94"/>
      <c r="L616" s="94"/>
      <c r="M616" s="94"/>
      <c r="N616" s="94"/>
      <c r="O616" s="94"/>
      <c r="P616" s="94"/>
      <c r="Q616" s="94"/>
      <c r="R616" s="95"/>
      <c r="S616" s="94"/>
      <c r="T616" s="96"/>
      <c r="U616" s="94"/>
      <c r="V616" s="97"/>
      <c r="W616" s="94"/>
      <c r="X616" s="98"/>
      <c r="Y616" s="98"/>
      <c r="Z616" s="98"/>
      <c r="AA616" s="98"/>
      <c r="AB616" s="98"/>
      <c r="AC616" s="97"/>
      <c r="AD616" s="99"/>
      <c r="AE616" s="95"/>
      <c r="AF616" s="94"/>
      <c r="AG616" s="89"/>
      <c r="AH616" s="89"/>
      <c r="AI616" s="89"/>
      <c r="AJ616" s="89"/>
      <c r="AK616" s="89"/>
      <c r="AL616" s="89"/>
      <c r="AM616" s="89"/>
      <c r="AN616" s="89"/>
      <c r="AO616" s="89"/>
      <c r="AP616" s="89"/>
      <c r="AQ616" s="89"/>
      <c r="AR616" s="89"/>
      <c r="AS616" s="89"/>
      <c r="AT616" s="89"/>
      <c r="AU616" s="89"/>
      <c r="AV616" s="89"/>
      <c r="AW616" s="100"/>
      <c r="AX616" s="100"/>
      <c r="AY616" s="89"/>
      <c r="AZ616" s="89"/>
      <c r="BA616" s="89"/>
      <c r="BB616" s="89"/>
      <c r="BC616" s="89"/>
      <c r="BD616" s="89"/>
      <c r="BE616" s="89"/>
      <c r="BF616" s="89"/>
      <c r="BG616" s="89"/>
      <c r="BH616" s="89"/>
      <c r="BI616" s="89"/>
      <c r="BJ616" s="89"/>
      <c r="BK616" s="89"/>
      <c r="BL616" s="89"/>
      <c r="BM616" s="89"/>
      <c r="BN616" s="89"/>
      <c r="BO616" s="89"/>
      <c r="BP616" s="89"/>
      <c r="BQ616" s="89"/>
      <c r="BR616" s="89"/>
      <c r="BS616" s="89"/>
    </row>
    <row r="617" spans="1:71" ht="27" customHeight="1" x14ac:dyDescent="0.2">
      <c r="A617" s="93"/>
      <c r="B617" s="89"/>
      <c r="C617" s="89"/>
      <c r="D617" s="89"/>
      <c r="E617" s="89"/>
      <c r="F617" s="89"/>
      <c r="G617" s="89"/>
      <c r="H617" s="94"/>
      <c r="I617" s="94"/>
      <c r="J617" s="94"/>
      <c r="K617" s="94"/>
      <c r="L617" s="94"/>
      <c r="M617" s="94"/>
      <c r="N617" s="94"/>
      <c r="O617" s="94"/>
      <c r="P617" s="94"/>
      <c r="Q617" s="94"/>
      <c r="R617" s="95"/>
      <c r="S617" s="94"/>
      <c r="T617" s="96"/>
      <c r="U617" s="94"/>
      <c r="V617" s="97"/>
      <c r="W617" s="94"/>
      <c r="X617" s="98"/>
      <c r="Y617" s="98"/>
      <c r="Z617" s="98"/>
      <c r="AA617" s="98"/>
      <c r="AB617" s="98"/>
      <c r="AC617" s="97"/>
      <c r="AD617" s="99"/>
      <c r="AE617" s="95"/>
      <c r="AF617" s="94"/>
      <c r="AG617" s="89"/>
      <c r="AH617" s="89"/>
      <c r="AI617" s="89"/>
      <c r="AJ617" s="89"/>
      <c r="AK617" s="89"/>
      <c r="AL617" s="89"/>
      <c r="AM617" s="89"/>
      <c r="AN617" s="89"/>
      <c r="AO617" s="89"/>
      <c r="AP617" s="89"/>
      <c r="AQ617" s="89"/>
      <c r="AR617" s="89"/>
      <c r="AS617" s="89"/>
      <c r="AT617" s="89"/>
      <c r="AU617" s="89"/>
      <c r="AV617" s="89"/>
      <c r="AW617" s="100"/>
      <c r="AX617" s="100"/>
      <c r="AY617" s="89"/>
      <c r="AZ617" s="89"/>
      <c r="BA617" s="89"/>
      <c r="BB617" s="89"/>
      <c r="BC617" s="89"/>
      <c r="BD617" s="89"/>
      <c r="BE617" s="89"/>
      <c r="BF617" s="89"/>
      <c r="BG617" s="89"/>
      <c r="BH617" s="89"/>
      <c r="BI617" s="89"/>
      <c r="BJ617" s="89"/>
      <c r="BK617" s="89"/>
      <c r="BL617" s="89"/>
      <c r="BM617" s="89"/>
      <c r="BN617" s="89"/>
      <c r="BO617" s="89"/>
      <c r="BP617" s="89"/>
      <c r="BQ617" s="89"/>
      <c r="BR617" s="89"/>
      <c r="BS617" s="89"/>
    </row>
    <row r="618" spans="1:71" ht="27" customHeight="1" x14ac:dyDescent="0.2">
      <c r="A618" s="93"/>
      <c r="B618" s="89"/>
      <c r="C618" s="89"/>
      <c r="D618" s="89"/>
      <c r="E618" s="89"/>
      <c r="F618" s="89"/>
      <c r="G618" s="89"/>
      <c r="H618" s="94"/>
      <c r="I618" s="94"/>
      <c r="J618" s="94"/>
      <c r="K618" s="94"/>
      <c r="L618" s="94"/>
      <c r="M618" s="94"/>
      <c r="N618" s="94"/>
      <c r="O618" s="94"/>
      <c r="P618" s="94"/>
      <c r="Q618" s="94"/>
      <c r="R618" s="95"/>
      <c r="S618" s="94"/>
      <c r="T618" s="96"/>
      <c r="U618" s="94"/>
      <c r="V618" s="97"/>
      <c r="W618" s="94"/>
      <c r="X618" s="98"/>
      <c r="Y618" s="98"/>
      <c r="Z618" s="98"/>
      <c r="AA618" s="98"/>
      <c r="AB618" s="98"/>
      <c r="AC618" s="97"/>
      <c r="AD618" s="99"/>
      <c r="AE618" s="95"/>
      <c r="AF618" s="94"/>
      <c r="AG618" s="89"/>
      <c r="AH618" s="89"/>
      <c r="AI618" s="89"/>
      <c r="AJ618" s="89"/>
      <c r="AK618" s="89"/>
      <c r="AL618" s="89"/>
      <c r="AM618" s="89"/>
      <c r="AN618" s="89"/>
      <c r="AO618" s="89"/>
      <c r="AP618" s="89"/>
      <c r="AQ618" s="89"/>
      <c r="AR618" s="89"/>
      <c r="AS618" s="89"/>
      <c r="AT618" s="89"/>
      <c r="AU618" s="89"/>
      <c r="AV618" s="89"/>
      <c r="AW618" s="100"/>
      <c r="AX618" s="100"/>
      <c r="AY618" s="89"/>
      <c r="AZ618" s="89"/>
      <c r="BA618" s="89"/>
      <c r="BB618" s="89"/>
      <c r="BC618" s="89"/>
      <c r="BD618" s="89"/>
      <c r="BE618" s="89"/>
      <c r="BF618" s="89"/>
      <c r="BG618" s="89"/>
      <c r="BH618" s="89"/>
      <c r="BI618" s="89"/>
      <c r="BJ618" s="89"/>
      <c r="BK618" s="89"/>
      <c r="BL618" s="89"/>
      <c r="BM618" s="89"/>
      <c r="BN618" s="89"/>
      <c r="BO618" s="89"/>
      <c r="BP618" s="89"/>
      <c r="BQ618" s="89"/>
      <c r="BR618" s="89"/>
      <c r="BS618" s="89"/>
    </row>
    <row r="619" spans="1:71" ht="27" customHeight="1" x14ac:dyDescent="0.2">
      <c r="A619" s="93"/>
      <c r="B619" s="89"/>
      <c r="C619" s="89"/>
      <c r="D619" s="89"/>
      <c r="E619" s="89"/>
      <c r="F619" s="89"/>
      <c r="G619" s="89"/>
      <c r="H619" s="94"/>
      <c r="I619" s="94"/>
      <c r="J619" s="94"/>
      <c r="K619" s="94"/>
      <c r="L619" s="94"/>
      <c r="M619" s="94"/>
      <c r="N619" s="94"/>
      <c r="O619" s="94"/>
      <c r="P619" s="94"/>
      <c r="Q619" s="94"/>
      <c r="R619" s="95"/>
      <c r="S619" s="94"/>
      <c r="T619" s="96"/>
      <c r="U619" s="94"/>
      <c r="V619" s="97"/>
      <c r="W619" s="94"/>
      <c r="X619" s="98"/>
      <c r="Y619" s="98"/>
      <c r="Z619" s="98"/>
      <c r="AA619" s="98"/>
      <c r="AB619" s="98"/>
      <c r="AC619" s="97"/>
      <c r="AD619" s="99"/>
      <c r="AE619" s="95"/>
      <c r="AF619" s="94"/>
      <c r="AG619" s="89"/>
      <c r="AH619" s="89"/>
      <c r="AI619" s="89"/>
      <c r="AJ619" s="89"/>
      <c r="AK619" s="89"/>
      <c r="AL619" s="89"/>
      <c r="AM619" s="89"/>
      <c r="AN619" s="89"/>
      <c r="AO619" s="89"/>
      <c r="AP619" s="89"/>
      <c r="AQ619" s="89"/>
      <c r="AR619" s="89"/>
      <c r="AS619" s="89"/>
      <c r="AT619" s="89"/>
      <c r="AU619" s="89"/>
      <c r="AV619" s="89"/>
      <c r="AW619" s="100"/>
      <c r="AX619" s="100"/>
      <c r="AY619" s="89"/>
      <c r="AZ619" s="89"/>
      <c r="BA619" s="89"/>
      <c r="BB619" s="89"/>
      <c r="BC619" s="89"/>
      <c r="BD619" s="89"/>
      <c r="BE619" s="89"/>
      <c r="BF619" s="89"/>
      <c r="BG619" s="89"/>
      <c r="BH619" s="89"/>
      <c r="BI619" s="89"/>
      <c r="BJ619" s="89"/>
      <c r="BK619" s="89"/>
      <c r="BL619" s="89"/>
      <c r="BM619" s="89"/>
      <c r="BN619" s="89"/>
      <c r="BO619" s="89"/>
      <c r="BP619" s="89"/>
      <c r="BQ619" s="89"/>
      <c r="BR619" s="89"/>
      <c r="BS619" s="89"/>
    </row>
    <row r="620" spans="1:71" ht="27" customHeight="1" x14ac:dyDescent="0.2">
      <c r="A620" s="93"/>
      <c r="B620" s="89"/>
      <c r="C620" s="89"/>
      <c r="D620" s="89"/>
      <c r="E620" s="89"/>
      <c r="F620" s="89"/>
      <c r="G620" s="89"/>
      <c r="H620" s="94"/>
      <c r="I620" s="94"/>
      <c r="J620" s="94"/>
      <c r="K620" s="94"/>
      <c r="L620" s="94"/>
      <c r="M620" s="94"/>
      <c r="N620" s="94"/>
      <c r="O620" s="94"/>
      <c r="P620" s="94"/>
      <c r="Q620" s="94"/>
      <c r="R620" s="95"/>
      <c r="S620" s="94"/>
      <c r="T620" s="96"/>
      <c r="U620" s="94"/>
      <c r="V620" s="97"/>
      <c r="W620" s="94"/>
      <c r="X620" s="98"/>
      <c r="Y620" s="98"/>
      <c r="Z620" s="98"/>
      <c r="AA620" s="98"/>
      <c r="AB620" s="98"/>
      <c r="AC620" s="97"/>
      <c r="AD620" s="99"/>
      <c r="AE620" s="95"/>
      <c r="AF620" s="94"/>
      <c r="AG620" s="89"/>
      <c r="AH620" s="89"/>
      <c r="AI620" s="89"/>
      <c r="AJ620" s="89"/>
      <c r="AK620" s="89"/>
      <c r="AL620" s="89"/>
      <c r="AM620" s="89"/>
      <c r="AN620" s="89"/>
      <c r="AO620" s="89"/>
      <c r="AP620" s="89"/>
      <c r="AQ620" s="89"/>
      <c r="AR620" s="89"/>
      <c r="AS620" s="89"/>
      <c r="AT620" s="89"/>
      <c r="AU620" s="89"/>
      <c r="AV620" s="89"/>
      <c r="AW620" s="100"/>
      <c r="AX620" s="100"/>
      <c r="AY620" s="89"/>
      <c r="AZ620" s="89"/>
      <c r="BA620" s="89"/>
      <c r="BB620" s="89"/>
      <c r="BC620" s="89"/>
      <c r="BD620" s="89"/>
      <c r="BE620" s="89"/>
      <c r="BF620" s="89"/>
      <c r="BG620" s="89"/>
      <c r="BH620" s="89"/>
      <c r="BI620" s="89"/>
      <c r="BJ620" s="89"/>
      <c r="BK620" s="89"/>
      <c r="BL620" s="89"/>
      <c r="BM620" s="89"/>
      <c r="BN620" s="89"/>
      <c r="BO620" s="89"/>
      <c r="BP620" s="89"/>
      <c r="BQ620" s="89"/>
      <c r="BR620" s="89"/>
      <c r="BS620" s="89"/>
    </row>
    <row r="621" spans="1:71" ht="27" customHeight="1" x14ac:dyDescent="0.2">
      <c r="A621" s="93"/>
      <c r="B621" s="89"/>
      <c r="C621" s="89"/>
      <c r="D621" s="89"/>
      <c r="E621" s="89"/>
      <c r="F621" s="89"/>
      <c r="G621" s="89"/>
      <c r="H621" s="94"/>
      <c r="I621" s="94"/>
      <c r="J621" s="94"/>
      <c r="K621" s="94"/>
      <c r="L621" s="94"/>
      <c r="M621" s="94"/>
      <c r="N621" s="94"/>
      <c r="O621" s="94"/>
      <c r="P621" s="94"/>
      <c r="Q621" s="94"/>
      <c r="R621" s="95"/>
      <c r="S621" s="94"/>
      <c r="T621" s="96"/>
      <c r="U621" s="94"/>
      <c r="V621" s="97"/>
      <c r="W621" s="94"/>
      <c r="X621" s="98"/>
      <c r="Y621" s="98"/>
      <c r="Z621" s="98"/>
      <c r="AA621" s="98"/>
      <c r="AB621" s="98"/>
      <c r="AC621" s="97"/>
      <c r="AD621" s="99"/>
      <c r="AE621" s="95"/>
      <c r="AF621" s="94"/>
      <c r="AG621" s="89"/>
      <c r="AH621" s="89"/>
      <c r="AI621" s="89"/>
      <c r="AJ621" s="89"/>
      <c r="AK621" s="89"/>
      <c r="AL621" s="89"/>
      <c r="AM621" s="89"/>
      <c r="AN621" s="89"/>
      <c r="AO621" s="89"/>
      <c r="AP621" s="89"/>
      <c r="AQ621" s="89"/>
      <c r="AR621" s="89"/>
      <c r="AS621" s="89"/>
      <c r="AT621" s="89"/>
      <c r="AU621" s="89"/>
      <c r="AV621" s="89"/>
      <c r="AW621" s="100"/>
      <c r="AX621" s="100"/>
      <c r="AY621" s="89"/>
      <c r="AZ621" s="89"/>
      <c r="BA621" s="89"/>
      <c r="BB621" s="89"/>
      <c r="BC621" s="89"/>
      <c r="BD621" s="89"/>
      <c r="BE621" s="89"/>
      <c r="BF621" s="89"/>
      <c r="BG621" s="89"/>
      <c r="BH621" s="89"/>
      <c r="BI621" s="89"/>
      <c r="BJ621" s="89"/>
      <c r="BK621" s="89"/>
      <c r="BL621" s="89"/>
      <c r="BM621" s="89"/>
      <c r="BN621" s="89"/>
      <c r="BO621" s="89"/>
      <c r="BP621" s="89"/>
      <c r="BQ621" s="89"/>
      <c r="BR621" s="89"/>
      <c r="BS621" s="89"/>
    </row>
    <row r="622" spans="1:71" ht="27" customHeight="1" x14ac:dyDescent="0.2">
      <c r="A622" s="93"/>
      <c r="B622" s="89"/>
      <c r="C622" s="89"/>
      <c r="D622" s="89"/>
      <c r="E622" s="89"/>
      <c r="F622" s="89"/>
      <c r="G622" s="89"/>
      <c r="H622" s="94"/>
      <c r="I622" s="94"/>
      <c r="J622" s="94"/>
      <c r="K622" s="94"/>
      <c r="L622" s="94"/>
      <c r="M622" s="94"/>
      <c r="N622" s="94"/>
      <c r="O622" s="94"/>
      <c r="P622" s="94"/>
      <c r="Q622" s="94"/>
      <c r="R622" s="95"/>
      <c r="S622" s="94"/>
      <c r="T622" s="96"/>
      <c r="U622" s="94"/>
      <c r="V622" s="97"/>
      <c r="W622" s="94"/>
      <c r="X622" s="98"/>
      <c r="Y622" s="98"/>
      <c r="Z622" s="98"/>
      <c r="AA622" s="98"/>
      <c r="AB622" s="98"/>
      <c r="AC622" s="97"/>
      <c r="AD622" s="99"/>
      <c r="AE622" s="95"/>
      <c r="AF622" s="94"/>
      <c r="AG622" s="89"/>
      <c r="AH622" s="89"/>
      <c r="AI622" s="89"/>
      <c r="AJ622" s="89"/>
      <c r="AK622" s="89"/>
      <c r="AL622" s="89"/>
      <c r="AM622" s="89"/>
      <c r="AN622" s="89"/>
      <c r="AO622" s="89"/>
      <c r="AP622" s="89"/>
      <c r="AQ622" s="89"/>
      <c r="AR622" s="89"/>
      <c r="AS622" s="89"/>
      <c r="AT622" s="89"/>
      <c r="AU622" s="89"/>
      <c r="AV622" s="89"/>
      <c r="AW622" s="100"/>
      <c r="AX622" s="100"/>
      <c r="AY622" s="89"/>
      <c r="AZ622" s="89"/>
      <c r="BA622" s="89"/>
      <c r="BB622" s="89"/>
      <c r="BC622" s="89"/>
      <c r="BD622" s="89"/>
      <c r="BE622" s="89"/>
      <c r="BF622" s="89"/>
      <c r="BG622" s="89"/>
      <c r="BH622" s="89"/>
      <c r="BI622" s="89"/>
      <c r="BJ622" s="89"/>
      <c r="BK622" s="89"/>
      <c r="BL622" s="89"/>
      <c r="BM622" s="89"/>
      <c r="BN622" s="89"/>
      <c r="BO622" s="89"/>
      <c r="BP622" s="89"/>
      <c r="BQ622" s="89"/>
      <c r="BR622" s="89"/>
      <c r="BS622" s="89"/>
    </row>
    <row r="623" spans="1:71" ht="27" customHeight="1" x14ac:dyDescent="0.2">
      <c r="A623" s="93"/>
      <c r="B623" s="89"/>
      <c r="C623" s="89"/>
      <c r="D623" s="89"/>
      <c r="E623" s="89"/>
      <c r="F623" s="89"/>
      <c r="G623" s="89"/>
      <c r="H623" s="94"/>
      <c r="I623" s="94"/>
      <c r="J623" s="94"/>
      <c r="K623" s="94"/>
      <c r="L623" s="94"/>
      <c r="M623" s="94"/>
      <c r="N623" s="94"/>
      <c r="O623" s="94"/>
      <c r="P623" s="94"/>
      <c r="Q623" s="94"/>
      <c r="R623" s="95"/>
      <c r="S623" s="94"/>
      <c r="T623" s="96"/>
      <c r="U623" s="94"/>
      <c r="V623" s="97"/>
      <c r="W623" s="94"/>
      <c r="X623" s="98"/>
      <c r="Y623" s="98"/>
      <c r="Z623" s="98"/>
      <c r="AA623" s="98"/>
      <c r="AB623" s="98"/>
      <c r="AC623" s="97"/>
      <c r="AD623" s="99"/>
      <c r="AE623" s="95"/>
      <c r="AF623" s="94"/>
      <c r="AG623" s="89"/>
      <c r="AH623" s="89"/>
      <c r="AI623" s="89"/>
      <c r="AJ623" s="89"/>
      <c r="AK623" s="89"/>
      <c r="AL623" s="89"/>
      <c r="AM623" s="89"/>
      <c r="AN623" s="89"/>
      <c r="AO623" s="89"/>
      <c r="AP623" s="89"/>
      <c r="AQ623" s="89"/>
      <c r="AR623" s="89"/>
      <c r="AS623" s="89"/>
      <c r="AT623" s="89"/>
      <c r="AU623" s="89"/>
      <c r="AV623" s="89"/>
      <c r="AW623" s="100"/>
      <c r="AX623" s="100"/>
      <c r="AY623" s="89"/>
      <c r="AZ623" s="89"/>
      <c r="BA623" s="89"/>
      <c r="BB623" s="89"/>
      <c r="BC623" s="89"/>
      <c r="BD623" s="89"/>
      <c r="BE623" s="89"/>
      <c r="BF623" s="89"/>
      <c r="BG623" s="89"/>
      <c r="BH623" s="89"/>
      <c r="BI623" s="89"/>
      <c r="BJ623" s="89"/>
      <c r="BK623" s="89"/>
      <c r="BL623" s="89"/>
      <c r="BM623" s="89"/>
      <c r="BN623" s="89"/>
      <c r="BO623" s="89"/>
      <c r="BP623" s="89"/>
      <c r="BQ623" s="89"/>
      <c r="BR623" s="89"/>
      <c r="BS623" s="89"/>
    </row>
    <row r="624" spans="1:71" ht="27" customHeight="1" x14ac:dyDescent="0.2">
      <c r="A624" s="93"/>
      <c r="B624" s="89"/>
      <c r="C624" s="89"/>
      <c r="D624" s="89"/>
      <c r="E624" s="89"/>
      <c r="F624" s="89"/>
      <c r="G624" s="89"/>
      <c r="H624" s="94"/>
      <c r="I624" s="94"/>
      <c r="J624" s="94"/>
      <c r="K624" s="94"/>
      <c r="L624" s="94"/>
      <c r="M624" s="94"/>
      <c r="N624" s="94"/>
      <c r="O624" s="94"/>
      <c r="P624" s="94"/>
      <c r="Q624" s="94"/>
      <c r="R624" s="95"/>
      <c r="S624" s="94"/>
      <c r="T624" s="96"/>
      <c r="U624" s="94"/>
      <c r="V624" s="97"/>
      <c r="W624" s="94"/>
      <c r="X624" s="98"/>
      <c r="Y624" s="98"/>
      <c r="Z624" s="98"/>
      <c r="AA624" s="98"/>
      <c r="AB624" s="98"/>
      <c r="AC624" s="97"/>
      <c r="AD624" s="99"/>
      <c r="AE624" s="95"/>
      <c r="AF624" s="94"/>
      <c r="AG624" s="89"/>
      <c r="AH624" s="89"/>
      <c r="AI624" s="89"/>
      <c r="AJ624" s="89"/>
      <c r="AK624" s="89"/>
      <c r="AL624" s="89"/>
      <c r="AM624" s="89"/>
      <c r="AN624" s="89"/>
      <c r="AO624" s="89"/>
      <c r="AP624" s="89"/>
      <c r="AQ624" s="89"/>
      <c r="AR624" s="89"/>
      <c r="AS624" s="89"/>
      <c r="AT624" s="89"/>
      <c r="AU624" s="89"/>
      <c r="AV624" s="89"/>
      <c r="AW624" s="100"/>
      <c r="AX624" s="100"/>
      <c r="AY624" s="89"/>
      <c r="AZ624" s="89"/>
      <c r="BA624" s="89"/>
      <c r="BB624" s="89"/>
      <c r="BC624" s="89"/>
      <c r="BD624" s="89"/>
      <c r="BE624" s="89"/>
      <c r="BF624" s="89"/>
      <c r="BG624" s="89"/>
      <c r="BH624" s="89"/>
      <c r="BI624" s="89"/>
      <c r="BJ624" s="89"/>
      <c r="BK624" s="89"/>
      <c r="BL624" s="89"/>
      <c r="BM624" s="89"/>
      <c r="BN624" s="89"/>
      <c r="BO624" s="89"/>
      <c r="BP624" s="89"/>
      <c r="BQ624" s="89"/>
      <c r="BR624" s="89"/>
      <c r="BS624" s="89"/>
    </row>
    <row r="625" spans="1:71" ht="27" customHeight="1" x14ac:dyDescent="0.2">
      <c r="A625" s="93"/>
      <c r="B625" s="89"/>
      <c r="C625" s="89"/>
      <c r="D625" s="89"/>
      <c r="E625" s="89"/>
      <c r="F625" s="89"/>
      <c r="G625" s="89"/>
      <c r="H625" s="94"/>
      <c r="I625" s="94"/>
      <c r="J625" s="94"/>
      <c r="K625" s="94"/>
      <c r="L625" s="94"/>
      <c r="M625" s="94"/>
      <c r="N625" s="94"/>
      <c r="O625" s="94"/>
      <c r="P625" s="94"/>
      <c r="Q625" s="94"/>
      <c r="R625" s="95"/>
      <c r="S625" s="94"/>
      <c r="T625" s="96"/>
      <c r="U625" s="94"/>
      <c r="V625" s="97"/>
      <c r="W625" s="94"/>
      <c r="X625" s="98"/>
      <c r="Y625" s="98"/>
      <c r="Z625" s="98"/>
      <c r="AA625" s="98"/>
      <c r="AB625" s="98"/>
      <c r="AC625" s="97"/>
      <c r="AD625" s="99"/>
      <c r="AE625" s="95"/>
      <c r="AF625" s="94"/>
      <c r="AG625" s="89"/>
      <c r="AH625" s="89"/>
      <c r="AI625" s="89"/>
      <c r="AJ625" s="89"/>
      <c r="AK625" s="89"/>
      <c r="AL625" s="89"/>
      <c r="AM625" s="89"/>
      <c r="AN625" s="89"/>
      <c r="AO625" s="89"/>
      <c r="AP625" s="89"/>
      <c r="AQ625" s="89"/>
      <c r="AR625" s="89"/>
      <c r="AS625" s="89"/>
      <c r="AT625" s="89"/>
      <c r="AU625" s="89"/>
      <c r="AV625" s="89"/>
      <c r="AW625" s="100"/>
      <c r="AX625" s="100"/>
      <c r="AY625" s="89"/>
      <c r="AZ625" s="89"/>
      <c r="BA625" s="89"/>
      <c r="BB625" s="89"/>
      <c r="BC625" s="89"/>
      <c r="BD625" s="89"/>
      <c r="BE625" s="89"/>
      <c r="BF625" s="89"/>
      <c r="BG625" s="89"/>
      <c r="BH625" s="89"/>
      <c r="BI625" s="89"/>
      <c r="BJ625" s="89"/>
      <c r="BK625" s="89"/>
      <c r="BL625" s="89"/>
      <c r="BM625" s="89"/>
      <c r="BN625" s="89"/>
      <c r="BO625" s="89"/>
      <c r="BP625" s="89"/>
      <c r="BQ625" s="89"/>
      <c r="BR625" s="89"/>
      <c r="BS625" s="89"/>
    </row>
    <row r="626" spans="1:71" ht="27" customHeight="1" x14ac:dyDescent="0.2">
      <c r="A626" s="93"/>
      <c r="B626" s="89"/>
      <c r="C626" s="89"/>
      <c r="D626" s="89"/>
      <c r="E626" s="89"/>
      <c r="F626" s="89"/>
      <c r="G626" s="89"/>
      <c r="H626" s="94"/>
      <c r="I626" s="94"/>
      <c r="J626" s="94"/>
      <c r="K626" s="94"/>
      <c r="L626" s="94"/>
      <c r="M626" s="94"/>
      <c r="N626" s="94"/>
      <c r="O626" s="94"/>
      <c r="P626" s="94"/>
      <c r="Q626" s="94"/>
      <c r="R626" s="95"/>
      <c r="S626" s="94"/>
      <c r="T626" s="96"/>
      <c r="U626" s="94"/>
      <c r="V626" s="97"/>
      <c r="W626" s="94"/>
      <c r="X626" s="98"/>
      <c r="Y626" s="98"/>
      <c r="Z626" s="98"/>
      <c r="AA626" s="98"/>
      <c r="AB626" s="98"/>
      <c r="AC626" s="97"/>
      <c r="AD626" s="99"/>
      <c r="AE626" s="95"/>
      <c r="AF626" s="94"/>
      <c r="AG626" s="89"/>
      <c r="AH626" s="89"/>
      <c r="AI626" s="89"/>
      <c r="AJ626" s="89"/>
      <c r="AK626" s="89"/>
      <c r="AL626" s="89"/>
      <c r="AM626" s="89"/>
      <c r="AN626" s="89"/>
      <c r="AO626" s="89"/>
      <c r="AP626" s="89"/>
      <c r="AQ626" s="89"/>
      <c r="AR626" s="89"/>
      <c r="AS626" s="89"/>
      <c r="AT626" s="89"/>
      <c r="AU626" s="89"/>
      <c r="AV626" s="89"/>
      <c r="AW626" s="100"/>
      <c r="AX626" s="100"/>
      <c r="AY626" s="89"/>
      <c r="AZ626" s="89"/>
      <c r="BA626" s="89"/>
      <c r="BB626" s="89"/>
      <c r="BC626" s="89"/>
      <c r="BD626" s="89"/>
      <c r="BE626" s="89"/>
      <c r="BF626" s="89"/>
      <c r="BG626" s="89"/>
      <c r="BH626" s="89"/>
      <c r="BI626" s="89"/>
      <c r="BJ626" s="89"/>
      <c r="BK626" s="89"/>
      <c r="BL626" s="89"/>
      <c r="BM626" s="89"/>
      <c r="BN626" s="89"/>
      <c r="BO626" s="89"/>
      <c r="BP626" s="89"/>
      <c r="BQ626" s="89"/>
      <c r="BR626" s="89"/>
      <c r="BS626" s="89"/>
    </row>
    <row r="627" spans="1:71" ht="27" customHeight="1" x14ac:dyDescent="0.2">
      <c r="A627" s="93"/>
      <c r="B627" s="89"/>
      <c r="C627" s="89"/>
      <c r="D627" s="89"/>
      <c r="E627" s="89"/>
      <c r="F627" s="89"/>
      <c r="G627" s="89"/>
      <c r="H627" s="94"/>
      <c r="I627" s="94"/>
      <c r="J627" s="94"/>
      <c r="K627" s="94"/>
      <c r="L627" s="94"/>
      <c r="M627" s="94"/>
      <c r="N627" s="94"/>
      <c r="O627" s="94"/>
      <c r="P627" s="94"/>
      <c r="Q627" s="94"/>
      <c r="R627" s="95"/>
      <c r="S627" s="94"/>
      <c r="T627" s="96"/>
      <c r="U627" s="94"/>
      <c r="V627" s="97"/>
      <c r="W627" s="94"/>
      <c r="X627" s="98"/>
      <c r="Y627" s="98"/>
      <c r="Z627" s="98"/>
      <c r="AA627" s="98"/>
      <c r="AB627" s="98"/>
      <c r="AC627" s="97"/>
      <c r="AD627" s="99"/>
      <c r="AE627" s="95"/>
      <c r="AF627" s="94"/>
      <c r="AG627" s="89"/>
      <c r="AH627" s="89"/>
      <c r="AI627" s="89"/>
      <c r="AJ627" s="89"/>
      <c r="AK627" s="89"/>
      <c r="AL627" s="89"/>
      <c r="AM627" s="89"/>
      <c r="AN627" s="89"/>
      <c r="AO627" s="89"/>
      <c r="AP627" s="89"/>
      <c r="AQ627" s="89"/>
      <c r="AR627" s="89"/>
      <c r="AS627" s="89"/>
      <c r="AT627" s="89"/>
      <c r="AU627" s="89"/>
      <c r="AV627" s="89"/>
      <c r="AW627" s="100"/>
      <c r="AX627" s="100"/>
      <c r="AY627" s="89"/>
      <c r="AZ627" s="89"/>
      <c r="BA627" s="89"/>
      <c r="BB627" s="89"/>
      <c r="BC627" s="89"/>
      <c r="BD627" s="89"/>
      <c r="BE627" s="89"/>
      <c r="BF627" s="89"/>
      <c r="BG627" s="89"/>
      <c r="BH627" s="89"/>
      <c r="BI627" s="89"/>
      <c r="BJ627" s="89"/>
      <c r="BK627" s="89"/>
      <c r="BL627" s="89"/>
      <c r="BM627" s="89"/>
      <c r="BN627" s="89"/>
      <c r="BO627" s="89"/>
      <c r="BP627" s="89"/>
      <c r="BQ627" s="89"/>
      <c r="BR627" s="89"/>
      <c r="BS627" s="89"/>
    </row>
    <row r="628" spans="1:71" ht="27" customHeight="1" x14ac:dyDescent="0.2">
      <c r="A628" s="93"/>
      <c r="B628" s="89"/>
      <c r="C628" s="89"/>
      <c r="D628" s="89"/>
      <c r="E628" s="89"/>
      <c r="F628" s="89"/>
      <c r="G628" s="89"/>
      <c r="H628" s="94"/>
      <c r="I628" s="94"/>
      <c r="J628" s="94"/>
      <c r="K628" s="94"/>
      <c r="L628" s="94"/>
      <c r="M628" s="94"/>
      <c r="N628" s="94"/>
      <c r="O628" s="94"/>
      <c r="P628" s="94"/>
      <c r="Q628" s="94"/>
      <c r="R628" s="95"/>
      <c r="S628" s="94"/>
      <c r="T628" s="96"/>
      <c r="U628" s="94"/>
      <c r="V628" s="97"/>
      <c r="W628" s="94"/>
      <c r="X628" s="98"/>
      <c r="Y628" s="98"/>
      <c r="Z628" s="98"/>
      <c r="AA628" s="98"/>
      <c r="AB628" s="98"/>
      <c r="AC628" s="97"/>
      <c r="AD628" s="99"/>
      <c r="AE628" s="95"/>
      <c r="AF628" s="94"/>
      <c r="AG628" s="89"/>
      <c r="AH628" s="89"/>
      <c r="AI628" s="89"/>
      <c r="AJ628" s="89"/>
      <c r="AK628" s="89"/>
      <c r="AL628" s="89"/>
      <c r="AM628" s="89"/>
      <c r="AN628" s="89"/>
      <c r="AO628" s="89"/>
      <c r="AP628" s="89"/>
      <c r="AQ628" s="89"/>
      <c r="AR628" s="89"/>
      <c r="AS628" s="89"/>
      <c r="AT628" s="89"/>
      <c r="AU628" s="89"/>
      <c r="AV628" s="89"/>
      <c r="AW628" s="100"/>
      <c r="AX628" s="100"/>
      <c r="AY628" s="89"/>
      <c r="AZ628" s="89"/>
      <c r="BA628" s="89"/>
      <c r="BB628" s="89"/>
      <c r="BC628" s="89"/>
      <c r="BD628" s="89"/>
      <c r="BE628" s="89"/>
      <c r="BF628" s="89"/>
      <c r="BG628" s="89"/>
      <c r="BH628" s="89"/>
      <c r="BI628" s="89"/>
      <c r="BJ628" s="89"/>
      <c r="BK628" s="89"/>
      <c r="BL628" s="89"/>
      <c r="BM628" s="89"/>
      <c r="BN628" s="89"/>
      <c r="BO628" s="89"/>
      <c r="BP628" s="89"/>
      <c r="BQ628" s="89"/>
      <c r="BR628" s="89"/>
      <c r="BS628" s="89"/>
    </row>
    <row r="629" spans="1:71" ht="27" customHeight="1" x14ac:dyDescent="0.2">
      <c r="A629" s="93"/>
      <c r="B629" s="89"/>
      <c r="C629" s="89"/>
      <c r="D629" s="89"/>
      <c r="E629" s="89"/>
      <c r="F629" s="89"/>
      <c r="G629" s="89"/>
      <c r="H629" s="94"/>
      <c r="I629" s="94"/>
      <c r="J629" s="94"/>
      <c r="K629" s="94"/>
      <c r="L629" s="94"/>
      <c r="M629" s="94"/>
      <c r="N629" s="94"/>
      <c r="O629" s="94"/>
      <c r="P629" s="94"/>
      <c r="Q629" s="94"/>
      <c r="R629" s="95"/>
      <c r="S629" s="94"/>
      <c r="T629" s="96"/>
      <c r="U629" s="94"/>
      <c r="V629" s="97"/>
      <c r="W629" s="94"/>
      <c r="X629" s="98"/>
      <c r="Y629" s="98"/>
      <c r="Z629" s="98"/>
      <c r="AA629" s="98"/>
      <c r="AB629" s="98"/>
      <c r="AC629" s="97"/>
      <c r="AD629" s="99"/>
      <c r="AE629" s="95"/>
      <c r="AF629" s="94"/>
      <c r="AG629" s="89"/>
      <c r="AH629" s="89"/>
      <c r="AI629" s="89"/>
      <c r="AJ629" s="89"/>
      <c r="AK629" s="89"/>
      <c r="AL629" s="89"/>
      <c r="AM629" s="89"/>
      <c r="AN629" s="89"/>
      <c r="AO629" s="89"/>
      <c r="AP629" s="89"/>
      <c r="AQ629" s="89"/>
      <c r="AR629" s="89"/>
      <c r="AS629" s="89"/>
      <c r="AT629" s="89"/>
      <c r="AU629" s="89"/>
      <c r="AV629" s="89"/>
      <c r="AW629" s="100"/>
      <c r="AX629" s="100"/>
      <c r="AY629" s="89"/>
      <c r="AZ629" s="89"/>
      <c r="BA629" s="89"/>
      <c r="BB629" s="89"/>
      <c r="BC629" s="89"/>
      <c r="BD629" s="89"/>
      <c r="BE629" s="89"/>
      <c r="BF629" s="89"/>
      <c r="BG629" s="89"/>
      <c r="BH629" s="89"/>
      <c r="BI629" s="89"/>
      <c r="BJ629" s="89"/>
      <c r="BK629" s="89"/>
      <c r="BL629" s="89"/>
      <c r="BM629" s="89"/>
      <c r="BN629" s="89"/>
      <c r="BO629" s="89"/>
      <c r="BP629" s="89"/>
      <c r="BQ629" s="89"/>
      <c r="BR629" s="89"/>
      <c r="BS629" s="89"/>
    </row>
    <row r="630" spans="1:71" ht="27" customHeight="1" x14ac:dyDescent="0.2">
      <c r="A630" s="93"/>
      <c r="B630" s="89"/>
      <c r="C630" s="89"/>
      <c r="D630" s="89"/>
      <c r="E630" s="89"/>
      <c r="F630" s="89"/>
      <c r="G630" s="89"/>
      <c r="H630" s="94"/>
      <c r="I630" s="94"/>
      <c r="J630" s="94"/>
      <c r="K630" s="94"/>
      <c r="L630" s="94"/>
      <c r="M630" s="94"/>
      <c r="N630" s="94"/>
      <c r="O630" s="94"/>
      <c r="P630" s="94"/>
      <c r="Q630" s="94"/>
      <c r="R630" s="95"/>
      <c r="S630" s="94"/>
      <c r="T630" s="96"/>
      <c r="U630" s="94"/>
      <c r="V630" s="97"/>
      <c r="W630" s="94"/>
      <c r="X630" s="98"/>
      <c r="Y630" s="98"/>
      <c r="Z630" s="98"/>
      <c r="AA630" s="98"/>
      <c r="AB630" s="98"/>
      <c r="AC630" s="97"/>
      <c r="AD630" s="99"/>
      <c r="AE630" s="95"/>
      <c r="AF630" s="94"/>
      <c r="AG630" s="89"/>
      <c r="AH630" s="89"/>
      <c r="AI630" s="89"/>
      <c r="AJ630" s="89"/>
      <c r="AK630" s="89"/>
      <c r="AL630" s="89"/>
      <c r="AM630" s="89"/>
      <c r="AN630" s="89"/>
      <c r="AO630" s="89"/>
      <c r="AP630" s="89"/>
      <c r="AQ630" s="89"/>
      <c r="AR630" s="89"/>
      <c r="AS630" s="89"/>
      <c r="AT630" s="89"/>
      <c r="AU630" s="89"/>
      <c r="AV630" s="89"/>
      <c r="AW630" s="100"/>
      <c r="AX630" s="100"/>
      <c r="AY630" s="89"/>
      <c r="AZ630" s="89"/>
      <c r="BA630" s="89"/>
      <c r="BB630" s="89"/>
      <c r="BC630" s="89"/>
      <c r="BD630" s="89"/>
      <c r="BE630" s="89"/>
      <c r="BF630" s="89"/>
      <c r="BG630" s="89"/>
      <c r="BH630" s="89"/>
      <c r="BI630" s="89"/>
      <c r="BJ630" s="89"/>
      <c r="BK630" s="89"/>
      <c r="BL630" s="89"/>
      <c r="BM630" s="89"/>
      <c r="BN630" s="89"/>
      <c r="BO630" s="89"/>
      <c r="BP630" s="89"/>
      <c r="BQ630" s="89"/>
      <c r="BR630" s="89"/>
      <c r="BS630" s="89"/>
    </row>
    <row r="631" spans="1:71" ht="27" customHeight="1" x14ac:dyDescent="0.2">
      <c r="A631" s="93"/>
      <c r="B631" s="89"/>
      <c r="C631" s="89"/>
      <c r="D631" s="89"/>
      <c r="E631" s="89"/>
      <c r="F631" s="89"/>
      <c r="G631" s="89"/>
      <c r="H631" s="94"/>
      <c r="I631" s="94"/>
      <c r="J631" s="94"/>
      <c r="K631" s="94"/>
      <c r="L631" s="94"/>
      <c r="M631" s="94"/>
      <c r="N631" s="94"/>
      <c r="O631" s="94"/>
      <c r="P631" s="94"/>
      <c r="Q631" s="94"/>
      <c r="R631" s="95"/>
      <c r="S631" s="94"/>
      <c r="T631" s="96"/>
      <c r="U631" s="94"/>
      <c r="V631" s="97"/>
      <c r="W631" s="94"/>
      <c r="X631" s="98"/>
      <c r="Y631" s="98"/>
      <c r="Z631" s="98"/>
      <c r="AA631" s="98"/>
      <c r="AB631" s="98"/>
      <c r="AC631" s="97"/>
      <c r="AD631" s="99"/>
      <c r="AE631" s="95"/>
      <c r="AF631" s="94"/>
      <c r="AG631" s="89"/>
      <c r="AH631" s="89"/>
      <c r="AI631" s="89"/>
      <c r="AJ631" s="89"/>
      <c r="AK631" s="89"/>
      <c r="AL631" s="89"/>
      <c r="AM631" s="89"/>
      <c r="AN631" s="89"/>
      <c r="AO631" s="89"/>
      <c r="AP631" s="89"/>
      <c r="AQ631" s="89"/>
      <c r="AR631" s="89"/>
      <c r="AS631" s="89"/>
      <c r="AT631" s="89"/>
      <c r="AU631" s="89"/>
      <c r="AV631" s="89"/>
      <c r="AW631" s="100"/>
      <c r="AX631" s="100"/>
      <c r="AY631" s="89"/>
      <c r="AZ631" s="89"/>
      <c r="BA631" s="89"/>
      <c r="BB631" s="89"/>
      <c r="BC631" s="89"/>
      <c r="BD631" s="89"/>
      <c r="BE631" s="89"/>
      <c r="BF631" s="89"/>
      <c r="BG631" s="89"/>
      <c r="BH631" s="89"/>
      <c r="BI631" s="89"/>
      <c r="BJ631" s="89"/>
      <c r="BK631" s="89"/>
      <c r="BL631" s="89"/>
      <c r="BM631" s="89"/>
      <c r="BN631" s="89"/>
      <c r="BO631" s="89"/>
      <c r="BP631" s="89"/>
      <c r="BQ631" s="89"/>
      <c r="BR631" s="89"/>
      <c r="BS631" s="89"/>
    </row>
    <row r="632" spans="1:71" ht="27" customHeight="1" x14ac:dyDescent="0.2">
      <c r="A632" s="93"/>
      <c r="B632" s="89"/>
      <c r="C632" s="89"/>
      <c r="D632" s="89"/>
      <c r="E632" s="89"/>
      <c r="F632" s="89"/>
      <c r="G632" s="89"/>
      <c r="H632" s="94"/>
      <c r="I632" s="94"/>
      <c r="J632" s="94"/>
      <c r="K632" s="94"/>
      <c r="L632" s="94"/>
      <c r="M632" s="94"/>
      <c r="N632" s="94"/>
      <c r="O632" s="94"/>
      <c r="P632" s="94"/>
      <c r="Q632" s="94"/>
      <c r="R632" s="95"/>
      <c r="S632" s="94"/>
      <c r="T632" s="96"/>
      <c r="U632" s="94"/>
      <c r="V632" s="97"/>
      <c r="W632" s="94"/>
      <c r="X632" s="98"/>
      <c r="Y632" s="98"/>
      <c r="Z632" s="98"/>
      <c r="AA632" s="98"/>
      <c r="AB632" s="98"/>
      <c r="AC632" s="97"/>
      <c r="AD632" s="99"/>
      <c r="AE632" s="95"/>
      <c r="AF632" s="94"/>
      <c r="AG632" s="89"/>
      <c r="AH632" s="89"/>
      <c r="AI632" s="89"/>
      <c r="AJ632" s="89"/>
      <c r="AK632" s="89"/>
      <c r="AL632" s="89"/>
      <c r="AM632" s="89"/>
      <c r="AN632" s="89"/>
      <c r="AO632" s="89"/>
      <c r="AP632" s="89"/>
      <c r="AQ632" s="89"/>
      <c r="AR632" s="89"/>
      <c r="AS632" s="89"/>
      <c r="AT632" s="89"/>
      <c r="AU632" s="89"/>
      <c r="AV632" s="89"/>
      <c r="AW632" s="100"/>
      <c r="AX632" s="100"/>
      <c r="AY632" s="89"/>
      <c r="AZ632" s="89"/>
      <c r="BA632" s="89"/>
      <c r="BB632" s="89"/>
      <c r="BC632" s="89"/>
      <c r="BD632" s="89"/>
      <c r="BE632" s="89"/>
      <c r="BF632" s="89"/>
      <c r="BG632" s="89"/>
      <c r="BH632" s="89"/>
      <c r="BI632" s="89"/>
      <c r="BJ632" s="89"/>
      <c r="BK632" s="89"/>
      <c r="BL632" s="89"/>
      <c r="BM632" s="89"/>
      <c r="BN632" s="89"/>
      <c r="BO632" s="89"/>
      <c r="BP632" s="89"/>
      <c r="BQ632" s="89"/>
      <c r="BR632" s="89"/>
      <c r="BS632" s="89"/>
    </row>
    <row r="633" spans="1:71" ht="27" customHeight="1" x14ac:dyDescent="0.2">
      <c r="A633" s="93"/>
      <c r="B633" s="89"/>
      <c r="C633" s="89"/>
      <c r="D633" s="89"/>
      <c r="E633" s="89"/>
      <c r="F633" s="89"/>
      <c r="G633" s="89"/>
      <c r="H633" s="94"/>
      <c r="I633" s="94"/>
      <c r="J633" s="94"/>
      <c r="K633" s="94"/>
      <c r="L633" s="94"/>
      <c r="M633" s="94"/>
      <c r="N633" s="94"/>
      <c r="O633" s="94"/>
      <c r="P633" s="94"/>
      <c r="Q633" s="94"/>
      <c r="R633" s="95"/>
      <c r="S633" s="94"/>
      <c r="T633" s="96"/>
      <c r="U633" s="94"/>
      <c r="V633" s="97"/>
      <c r="W633" s="94"/>
      <c r="X633" s="98"/>
      <c r="Y633" s="98"/>
      <c r="Z633" s="98"/>
      <c r="AA633" s="98"/>
      <c r="AB633" s="98"/>
      <c r="AC633" s="97"/>
      <c r="AD633" s="99"/>
      <c r="AE633" s="95"/>
      <c r="AF633" s="94"/>
      <c r="AG633" s="89"/>
      <c r="AH633" s="89"/>
      <c r="AI633" s="89"/>
      <c r="AJ633" s="89"/>
      <c r="AK633" s="89"/>
      <c r="AL633" s="89"/>
      <c r="AM633" s="89"/>
      <c r="AN633" s="89"/>
      <c r="AO633" s="89"/>
      <c r="AP633" s="89"/>
      <c r="AQ633" s="89"/>
      <c r="AR633" s="89"/>
      <c r="AS633" s="89"/>
      <c r="AT633" s="89"/>
      <c r="AU633" s="89"/>
      <c r="AV633" s="89"/>
      <c r="AW633" s="100"/>
      <c r="AX633" s="100"/>
      <c r="AY633" s="89"/>
      <c r="AZ633" s="89"/>
      <c r="BA633" s="89"/>
      <c r="BB633" s="89"/>
      <c r="BC633" s="89"/>
      <c r="BD633" s="89"/>
      <c r="BE633" s="89"/>
      <c r="BF633" s="89"/>
      <c r="BG633" s="89"/>
      <c r="BH633" s="89"/>
      <c r="BI633" s="89"/>
      <c r="BJ633" s="89"/>
      <c r="BK633" s="89"/>
      <c r="BL633" s="89"/>
      <c r="BM633" s="89"/>
      <c r="BN633" s="89"/>
      <c r="BO633" s="89"/>
      <c r="BP633" s="89"/>
      <c r="BQ633" s="89"/>
      <c r="BR633" s="89"/>
      <c r="BS633" s="89"/>
    </row>
    <row r="634" spans="1:71" ht="27" customHeight="1" x14ac:dyDescent="0.2">
      <c r="A634" s="93"/>
      <c r="B634" s="89"/>
      <c r="C634" s="89"/>
      <c r="D634" s="89"/>
      <c r="E634" s="89"/>
      <c r="F634" s="89"/>
      <c r="G634" s="89"/>
      <c r="H634" s="94"/>
      <c r="I634" s="94"/>
      <c r="J634" s="94"/>
      <c r="K634" s="94"/>
      <c r="L634" s="94"/>
      <c r="M634" s="94"/>
      <c r="N634" s="94"/>
      <c r="O634" s="94"/>
      <c r="P634" s="94"/>
      <c r="Q634" s="94"/>
      <c r="R634" s="95"/>
      <c r="S634" s="94"/>
      <c r="T634" s="96"/>
      <c r="U634" s="94"/>
      <c r="V634" s="97"/>
      <c r="W634" s="94"/>
      <c r="X634" s="98"/>
      <c r="Y634" s="98"/>
      <c r="Z634" s="98"/>
      <c r="AA634" s="98"/>
      <c r="AB634" s="98"/>
      <c r="AC634" s="97"/>
      <c r="AD634" s="99"/>
      <c r="AE634" s="95"/>
      <c r="AF634" s="94"/>
      <c r="AG634" s="89"/>
      <c r="AH634" s="89"/>
      <c r="AI634" s="89"/>
      <c r="AJ634" s="89"/>
      <c r="AK634" s="89"/>
      <c r="AL634" s="89"/>
      <c r="AM634" s="89"/>
      <c r="AN634" s="89"/>
      <c r="AO634" s="89"/>
      <c r="AP634" s="89"/>
      <c r="AQ634" s="89"/>
      <c r="AR634" s="89"/>
      <c r="AS634" s="89"/>
      <c r="AT634" s="89"/>
      <c r="AU634" s="89"/>
      <c r="AV634" s="89"/>
      <c r="AW634" s="100"/>
      <c r="AX634" s="100"/>
      <c r="AY634" s="89"/>
      <c r="AZ634" s="89"/>
      <c r="BA634" s="89"/>
      <c r="BB634" s="89"/>
      <c r="BC634" s="89"/>
      <c r="BD634" s="89"/>
      <c r="BE634" s="89"/>
      <c r="BF634" s="89"/>
      <c r="BG634" s="89"/>
      <c r="BH634" s="89"/>
      <c r="BI634" s="89"/>
      <c r="BJ634" s="89"/>
      <c r="BK634" s="89"/>
      <c r="BL634" s="89"/>
      <c r="BM634" s="89"/>
      <c r="BN634" s="89"/>
      <c r="BO634" s="89"/>
      <c r="BP634" s="89"/>
      <c r="BQ634" s="89"/>
      <c r="BR634" s="89"/>
      <c r="BS634" s="89"/>
    </row>
    <row r="635" spans="1:71" ht="27" customHeight="1" x14ac:dyDescent="0.2">
      <c r="A635" s="93"/>
      <c r="B635" s="89"/>
      <c r="C635" s="89"/>
      <c r="D635" s="89"/>
      <c r="E635" s="89"/>
      <c r="F635" s="89"/>
      <c r="G635" s="89"/>
      <c r="H635" s="94"/>
      <c r="I635" s="94"/>
      <c r="J635" s="94"/>
      <c r="K635" s="94"/>
      <c r="L635" s="94"/>
      <c r="M635" s="94"/>
      <c r="N635" s="94"/>
      <c r="O635" s="94"/>
      <c r="P635" s="94"/>
      <c r="Q635" s="94"/>
      <c r="R635" s="95"/>
      <c r="S635" s="94"/>
      <c r="T635" s="96"/>
      <c r="U635" s="94"/>
      <c r="V635" s="97"/>
      <c r="W635" s="94"/>
      <c r="X635" s="98"/>
      <c r="Y635" s="98"/>
      <c r="Z635" s="98"/>
      <c r="AA635" s="98"/>
      <c r="AB635" s="98"/>
      <c r="AC635" s="97"/>
      <c r="AD635" s="99"/>
      <c r="AE635" s="95"/>
      <c r="AF635" s="94"/>
      <c r="AG635" s="89"/>
      <c r="AH635" s="89"/>
      <c r="AI635" s="89"/>
      <c r="AJ635" s="89"/>
      <c r="AK635" s="89"/>
      <c r="AL635" s="89"/>
      <c r="AM635" s="89"/>
      <c r="AN635" s="89"/>
      <c r="AO635" s="89"/>
      <c r="AP635" s="89"/>
      <c r="AQ635" s="89"/>
      <c r="AR635" s="89"/>
      <c r="AS635" s="89"/>
      <c r="AT635" s="89"/>
      <c r="AU635" s="89"/>
      <c r="AV635" s="89"/>
      <c r="AW635" s="100"/>
      <c r="AX635" s="100"/>
      <c r="AY635" s="89"/>
      <c r="AZ635" s="89"/>
      <c r="BA635" s="89"/>
      <c r="BB635" s="89"/>
      <c r="BC635" s="89"/>
      <c r="BD635" s="89"/>
      <c r="BE635" s="89"/>
      <c r="BF635" s="89"/>
      <c r="BG635" s="89"/>
      <c r="BH635" s="89"/>
      <c r="BI635" s="89"/>
      <c r="BJ635" s="89"/>
      <c r="BK635" s="89"/>
      <c r="BL635" s="89"/>
      <c r="BM635" s="89"/>
      <c r="BN635" s="89"/>
      <c r="BO635" s="89"/>
      <c r="BP635" s="89"/>
      <c r="BQ635" s="89"/>
      <c r="BR635" s="89"/>
      <c r="BS635" s="89"/>
    </row>
    <row r="636" spans="1:71" ht="27" customHeight="1" x14ac:dyDescent="0.2">
      <c r="A636" s="93"/>
      <c r="B636" s="89"/>
      <c r="C636" s="89"/>
      <c r="D636" s="89"/>
      <c r="E636" s="89"/>
      <c r="F636" s="89"/>
      <c r="G636" s="89"/>
      <c r="H636" s="94"/>
      <c r="I636" s="94"/>
      <c r="J636" s="94"/>
      <c r="K636" s="94"/>
      <c r="L636" s="94"/>
      <c r="M636" s="94"/>
      <c r="N636" s="94"/>
      <c r="O636" s="94"/>
      <c r="P636" s="94"/>
      <c r="Q636" s="94"/>
      <c r="R636" s="95"/>
      <c r="S636" s="94"/>
      <c r="T636" s="96"/>
      <c r="U636" s="94"/>
      <c r="V636" s="97"/>
      <c r="W636" s="94"/>
      <c r="X636" s="98"/>
      <c r="Y636" s="98"/>
      <c r="Z636" s="98"/>
      <c r="AA636" s="98"/>
      <c r="AB636" s="98"/>
      <c r="AC636" s="97"/>
      <c r="AD636" s="99"/>
      <c r="AE636" s="95"/>
      <c r="AF636" s="94"/>
      <c r="AG636" s="89"/>
      <c r="AH636" s="89"/>
      <c r="AI636" s="89"/>
      <c r="AJ636" s="89"/>
      <c r="AK636" s="89"/>
      <c r="AL636" s="89"/>
      <c r="AM636" s="89"/>
      <c r="AN636" s="89"/>
      <c r="AO636" s="89"/>
      <c r="AP636" s="89"/>
      <c r="AQ636" s="89"/>
      <c r="AR636" s="89"/>
      <c r="AS636" s="89"/>
      <c r="AT636" s="89"/>
      <c r="AU636" s="89"/>
      <c r="AV636" s="89"/>
      <c r="AW636" s="100"/>
      <c r="AX636" s="100"/>
      <c r="AY636" s="89"/>
      <c r="AZ636" s="89"/>
      <c r="BA636" s="89"/>
      <c r="BB636" s="89"/>
      <c r="BC636" s="89"/>
      <c r="BD636" s="89"/>
      <c r="BE636" s="89"/>
      <c r="BF636" s="89"/>
      <c r="BG636" s="89"/>
      <c r="BH636" s="89"/>
      <c r="BI636" s="89"/>
      <c r="BJ636" s="89"/>
      <c r="BK636" s="89"/>
      <c r="BL636" s="89"/>
      <c r="BM636" s="89"/>
      <c r="BN636" s="89"/>
      <c r="BO636" s="89"/>
      <c r="BP636" s="89"/>
      <c r="BQ636" s="89"/>
      <c r="BR636" s="89"/>
      <c r="BS636" s="89"/>
    </row>
    <row r="637" spans="1:71" ht="27" customHeight="1" x14ac:dyDescent="0.2">
      <c r="A637" s="93"/>
      <c r="B637" s="89"/>
      <c r="C637" s="89"/>
      <c r="D637" s="89"/>
      <c r="E637" s="89"/>
      <c r="F637" s="89"/>
      <c r="G637" s="89"/>
      <c r="H637" s="94"/>
      <c r="I637" s="94"/>
      <c r="J637" s="94"/>
      <c r="K637" s="94"/>
      <c r="L637" s="94"/>
      <c r="M637" s="94"/>
      <c r="N637" s="94"/>
      <c r="O637" s="94"/>
      <c r="P637" s="94"/>
      <c r="Q637" s="94"/>
      <c r="R637" s="95"/>
      <c r="S637" s="94"/>
      <c r="T637" s="96"/>
      <c r="U637" s="94"/>
      <c r="V637" s="97"/>
      <c r="W637" s="94"/>
      <c r="X637" s="98"/>
      <c r="Y637" s="98"/>
      <c r="Z637" s="98"/>
      <c r="AA637" s="98"/>
      <c r="AB637" s="98"/>
      <c r="AC637" s="97"/>
      <c r="AD637" s="99"/>
      <c r="AE637" s="95"/>
      <c r="AF637" s="94"/>
      <c r="AG637" s="89"/>
      <c r="AH637" s="89"/>
      <c r="AI637" s="89"/>
      <c r="AJ637" s="89"/>
      <c r="AK637" s="89"/>
      <c r="AL637" s="89"/>
      <c r="AM637" s="89"/>
      <c r="AN637" s="89"/>
      <c r="AO637" s="89"/>
      <c r="AP637" s="89"/>
      <c r="AQ637" s="89"/>
      <c r="AR637" s="89"/>
      <c r="AS637" s="89"/>
      <c r="AT637" s="89"/>
      <c r="AU637" s="89"/>
      <c r="AV637" s="89"/>
      <c r="AW637" s="100"/>
      <c r="AX637" s="100"/>
      <c r="AY637" s="89"/>
      <c r="AZ637" s="89"/>
      <c r="BA637" s="89"/>
      <c r="BB637" s="89"/>
      <c r="BC637" s="89"/>
      <c r="BD637" s="89"/>
      <c r="BE637" s="89"/>
      <c r="BF637" s="89"/>
      <c r="BG637" s="89"/>
      <c r="BH637" s="89"/>
      <c r="BI637" s="89"/>
      <c r="BJ637" s="89"/>
      <c r="BK637" s="89"/>
      <c r="BL637" s="89"/>
      <c r="BM637" s="89"/>
      <c r="BN637" s="89"/>
      <c r="BO637" s="89"/>
      <c r="BP637" s="89"/>
      <c r="BQ637" s="89"/>
      <c r="BR637" s="89"/>
      <c r="BS637" s="89"/>
    </row>
    <row r="638" spans="1:71" ht="27" customHeight="1" x14ac:dyDescent="0.2">
      <c r="A638" s="93"/>
      <c r="B638" s="89"/>
      <c r="C638" s="89"/>
      <c r="D638" s="89"/>
      <c r="E638" s="89"/>
      <c r="F638" s="89"/>
      <c r="G638" s="89"/>
      <c r="H638" s="94"/>
      <c r="I638" s="94"/>
      <c r="J638" s="94"/>
      <c r="K638" s="94"/>
      <c r="L638" s="94"/>
      <c r="M638" s="94"/>
      <c r="N638" s="94"/>
      <c r="O638" s="94"/>
      <c r="P638" s="94"/>
      <c r="Q638" s="94"/>
      <c r="R638" s="95"/>
      <c r="S638" s="94"/>
      <c r="T638" s="96"/>
      <c r="U638" s="94"/>
      <c r="V638" s="97"/>
      <c r="W638" s="94"/>
      <c r="X638" s="98"/>
      <c r="Y638" s="98"/>
      <c r="Z638" s="98"/>
      <c r="AA638" s="98"/>
      <c r="AB638" s="98"/>
      <c r="AC638" s="97"/>
      <c r="AD638" s="99"/>
      <c r="AE638" s="95"/>
      <c r="AF638" s="94"/>
      <c r="AG638" s="89"/>
      <c r="AH638" s="89"/>
      <c r="AI638" s="89"/>
      <c r="AJ638" s="89"/>
      <c r="AK638" s="89"/>
      <c r="AL638" s="89"/>
      <c r="AM638" s="89"/>
      <c r="AN638" s="89"/>
      <c r="AO638" s="89"/>
      <c r="AP638" s="89"/>
      <c r="AQ638" s="89"/>
      <c r="AR638" s="89"/>
      <c r="AS638" s="89"/>
      <c r="AT638" s="89"/>
      <c r="AU638" s="89"/>
      <c r="AV638" s="89"/>
      <c r="AW638" s="100"/>
      <c r="AX638" s="100"/>
      <c r="AY638" s="89"/>
      <c r="AZ638" s="89"/>
      <c r="BA638" s="89"/>
      <c r="BB638" s="89"/>
      <c r="BC638" s="89"/>
      <c r="BD638" s="89"/>
      <c r="BE638" s="89"/>
      <c r="BF638" s="89"/>
      <c r="BG638" s="89"/>
      <c r="BH638" s="89"/>
      <c r="BI638" s="89"/>
      <c r="BJ638" s="89"/>
      <c r="BK638" s="89"/>
      <c r="BL638" s="89"/>
      <c r="BM638" s="89"/>
      <c r="BN638" s="89"/>
      <c r="BO638" s="89"/>
      <c r="BP638" s="89"/>
      <c r="BQ638" s="89"/>
      <c r="BR638" s="89"/>
      <c r="BS638" s="89"/>
    </row>
    <row r="639" spans="1:71" ht="27" customHeight="1" x14ac:dyDescent="0.2">
      <c r="A639" s="93"/>
      <c r="B639" s="89"/>
      <c r="C639" s="89"/>
      <c r="D639" s="89"/>
      <c r="E639" s="89"/>
      <c r="F639" s="89"/>
      <c r="G639" s="89"/>
      <c r="H639" s="94"/>
      <c r="I639" s="94"/>
      <c r="J639" s="94"/>
      <c r="K639" s="94"/>
      <c r="L639" s="94"/>
      <c r="M639" s="94"/>
      <c r="N639" s="94"/>
      <c r="O639" s="94"/>
      <c r="P639" s="94"/>
      <c r="Q639" s="94"/>
      <c r="R639" s="95"/>
      <c r="S639" s="94"/>
      <c r="T639" s="96"/>
      <c r="U639" s="94"/>
      <c r="V639" s="97"/>
      <c r="W639" s="94"/>
      <c r="X639" s="98"/>
      <c r="Y639" s="98"/>
      <c r="Z639" s="98"/>
      <c r="AA639" s="98"/>
      <c r="AB639" s="98"/>
      <c r="AC639" s="97"/>
      <c r="AD639" s="99"/>
      <c r="AE639" s="95"/>
      <c r="AF639" s="94"/>
      <c r="AG639" s="89"/>
      <c r="AH639" s="89"/>
      <c r="AI639" s="89"/>
      <c r="AJ639" s="89"/>
      <c r="AK639" s="89"/>
      <c r="AL639" s="89"/>
      <c r="AM639" s="89"/>
      <c r="AN639" s="89"/>
      <c r="AO639" s="89"/>
      <c r="AP639" s="89"/>
      <c r="AQ639" s="89"/>
      <c r="AR639" s="89"/>
      <c r="AS639" s="89"/>
      <c r="AT639" s="89"/>
      <c r="AU639" s="89"/>
      <c r="AV639" s="89"/>
      <c r="AW639" s="100"/>
      <c r="AX639" s="100"/>
      <c r="AY639" s="89"/>
      <c r="AZ639" s="89"/>
      <c r="BA639" s="89"/>
      <c r="BB639" s="89"/>
      <c r="BC639" s="89"/>
      <c r="BD639" s="89"/>
      <c r="BE639" s="89"/>
      <c r="BF639" s="89"/>
      <c r="BG639" s="89"/>
      <c r="BH639" s="89"/>
      <c r="BI639" s="89"/>
      <c r="BJ639" s="89"/>
      <c r="BK639" s="89"/>
      <c r="BL639" s="89"/>
      <c r="BM639" s="89"/>
      <c r="BN639" s="89"/>
      <c r="BO639" s="89"/>
      <c r="BP639" s="89"/>
      <c r="BQ639" s="89"/>
      <c r="BR639" s="89"/>
      <c r="BS639" s="89"/>
    </row>
    <row r="640" spans="1:71" ht="27" customHeight="1" x14ac:dyDescent="0.2">
      <c r="A640" s="93"/>
      <c r="B640" s="89"/>
      <c r="C640" s="89"/>
      <c r="D640" s="89"/>
      <c r="E640" s="89"/>
      <c r="F640" s="89"/>
      <c r="G640" s="89"/>
      <c r="H640" s="94"/>
      <c r="I640" s="94"/>
      <c r="J640" s="94"/>
      <c r="K640" s="94"/>
      <c r="L640" s="94"/>
      <c r="M640" s="94"/>
      <c r="N640" s="94"/>
      <c r="O640" s="94"/>
      <c r="P640" s="94"/>
      <c r="Q640" s="94"/>
      <c r="R640" s="95"/>
      <c r="S640" s="94"/>
      <c r="T640" s="96"/>
      <c r="U640" s="94"/>
      <c r="V640" s="97"/>
      <c r="W640" s="94"/>
      <c r="X640" s="98"/>
      <c r="Y640" s="98"/>
      <c r="Z640" s="98"/>
      <c r="AA640" s="98"/>
      <c r="AB640" s="98"/>
      <c r="AC640" s="97"/>
      <c r="AD640" s="99"/>
      <c r="AE640" s="95"/>
      <c r="AF640" s="94"/>
      <c r="AG640" s="89"/>
      <c r="AH640" s="89"/>
      <c r="AI640" s="89"/>
      <c r="AJ640" s="89"/>
      <c r="AK640" s="89"/>
      <c r="AL640" s="89"/>
      <c r="AM640" s="89"/>
      <c r="AN640" s="89"/>
      <c r="AO640" s="89"/>
      <c r="AP640" s="89"/>
      <c r="AQ640" s="89"/>
      <c r="AR640" s="89"/>
      <c r="AS640" s="89"/>
      <c r="AT640" s="89"/>
      <c r="AU640" s="89"/>
      <c r="AV640" s="89"/>
      <c r="AW640" s="100"/>
      <c r="AX640" s="100"/>
      <c r="AY640" s="89"/>
      <c r="AZ640" s="89"/>
      <c r="BA640" s="89"/>
      <c r="BB640" s="89"/>
      <c r="BC640" s="89"/>
      <c r="BD640" s="89"/>
      <c r="BE640" s="89"/>
      <c r="BF640" s="89"/>
      <c r="BG640" s="89"/>
      <c r="BH640" s="89"/>
      <c r="BI640" s="89"/>
      <c r="BJ640" s="89"/>
      <c r="BK640" s="89"/>
      <c r="BL640" s="89"/>
      <c r="BM640" s="89"/>
      <c r="BN640" s="89"/>
      <c r="BO640" s="89"/>
      <c r="BP640" s="89"/>
      <c r="BQ640" s="89"/>
      <c r="BR640" s="89"/>
      <c r="BS640" s="89"/>
    </row>
    <row r="641" spans="1:71" ht="27" customHeight="1" x14ac:dyDescent="0.2">
      <c r="A641" s="93"/>
      <c r="B641" s="89"/>
      <c r="C641" s="89"/>
      <c r="D641" s="89"/>
      <c r="E641" s="89"/>
      <c r="F641" s="89"/>
      <c r="G641" s="89"/>
      <c r="H641" s="94"/>
      <c r="I641" s="94"/>
      <c r="J641" s="94"/>
      <c r="K641" s="94"/>
      <c r="L641" s="94"/>
      <c r="M641" s="94"/>
      <c r="N641" s="94"/>
      <c r="O641" s="94"/>
      <c r="P641" s="94"/>
      <c r="Q641" s="94"/>
      <c r="R641" s="95"/>
      <c r="S641" s="94"/>
      <c r="T641" s="96"/>
      <c r="U641" s="94"/>
      <c r="V641" s="97"/>
      <c r="W641" s="94"/>
      <c r="X641" s="98"/>
      <c r="Y641" s="98"/>
      <c r="Z641" s="98"/>
      <c r="AA641" s="98"/>
      <c r="AB641" s="98"/>
      <c r="AC641" s="97"/>
      <c r="AD641" s="99"/>
      <c r="AE641" s="95"/>
      <c r="AF641" s="94"/>
      <c r="AG641" s="89"/>
      <c r="AH641" s="89"/>
      <c r="AI641" s="89"/>
      <c r="AJ641" s="89"/>
      <c r="AK641" s="89"/>
      <c r="AL641" s="89"/>
      <c r="AM641" s="89"/>
      <c r="AN641" s="89"/>
      <c r="AO641" s="89"/>
      <c r="AP641" s="89"/>
      <c r="AQ641" s="89"/>
      <c r="AR641" s="89"/>
      <c r="AS641" s="89"/>
      <c r="AT641" s="89"/>
      <c r="AU641" s="89"/>
      <c r="AV641" s="89"/>
      <c r="AW641" s="100"/>
      <c r="AX641" s="100"/>
      <c r="AY641" s="89"/>
      <c r="AZ641" s="89"/>
      <c r="BA641" s="89"/>
      <c r="BB641" s="89"/>
      <c r="BC641" s="89"/>
      <c r="BD641" s="89"/>
      <c r="BE641" s="89"/>
      <c r="BF641" s="89"/>
      <c r="BG641" s="89"/>
      <c r="BH641" s="89"/>
      <c r="BI641" s="89"/>
      <c r="BJ641" s="89"/>
      <c r="BK641" s="89"/>
      <c r="BL641" s="89"/>
      <c r="BM641" s="89"/>
      <c r="BN641" s="89"/>
      <c r="BO641" s="89"/>
      <c r="BP641" s="89"/>
      <c r="BQ641" s="89"/>
      <c r="BR641" s="89"/>
      <c r="BS641" s="89"/>
    </row>
    <row r="642" spans="1:71" ht="27" customHeight="1" x14ac:dyDescent="0.2">
      <c r="A642" s="93"/>
      <c r="B642" s="89"/>
      <c r="C642" s="89"/>
      <c r="D642" s="89"/>
      <c r="E642" s="89"/>
      <c r="F642" s="89"/>
      <c r="G642" s="89"/>
      <c r="H642" s="94"/>
      <c r="I642" s="94"/>
      <c r="J642" s="94"/>
      <c r="K642" s="94"/>
      <c r="L642" s="94"/>
      <c r="M642" s="94"/>
      <c r="N642" s="94"/>
      <c r="O642" s="94"/>
      <c r="P642" s="94"/>
      <c r="Q642" s="94"/>
      <c r="R642" s="95"/>
      <c r="S642" s="94"/>
      <c r="T642" s="96"/>
      <c r="U642" s="94"/>
      <c r="V642" s="97"/>
      <c r="W642" s="94"/>
      <c r="X642" s="98"/>
      <c r="Y642" s="98"/>
      <c r="Z642" s="98"/>
      <c r="AA642" s="98"/>
      <c r="AB642" s="98"/>
      <c r="AC642" s="97"/>
      <c r="AD642" s="99"/>
      <c r="AE642" s="95"/>
      <c r="AF642" s="94"/>
      <c r="AG642" s="89"/>
      <c r="AH642" s="89"/>
      <c r="AI642" s="89"/>
      <c r="AJ642" s="89"/>
      <c r="AK642" s="89"/>
      <c r="AL642" s="89"/>
      <c r="AM642" s="89"/>
      <c r="AN642" s="89"/>
      <c r="AO642" s="89"/>
      <c r="AP642" s="89"/>
      <c r="AQ642" s="89"/>
      <c r="AR642" s="89"/>
      <c r="AS642" s="89"/>
      <c r="AT642" s="89"/>
      <c r="AU642" s="89"/>
      <c r="AV642" s="89"/>
      <c r="AW642" s="100"/>
      <c r="AX642" s="100"/>
      <c r="AY642" s="89"/>
      <c r="AZ642" s="89"/>
      <c r="BA642" s="89"/>
      <c r="BB642" s="89"/>
      <c r="BC642" s="89"/>
      <c r="BD642" s="89"/>
      <c r="BE642" s="89"/>
      <c r="BF642" s="89"/>
      <c r="BG642" s="89"/>
      <c r="BH642" s="89"/>
      <c r="BI642" s="89"/>
      <c r="BJ642" s="89"/>
      <c r="BK642" s="89"/>
      <c r="BL642" s="89"/>
      <c r="BM642" s="89"/>
      <c r="BN642" s="89"/>
      <c r="BO642" s="89"/>
      <c r="BP642" s="89"/>
      <c r="BQ642" s="89"/>
      <c r="BR642" s="89"/>
      <c r="BS642" s="89"/>
    </row>
    <row r="643" spans="1:71" ht="27" customHeight="1" x14ac:dyDescent="0.2">
      <c r="A643" s="93"/>
      <c r="B643" s="89"/>
      <c r="C643" s="89"/>
      <c r="D643" s="89"/>
      <c r="E643" s="89"/>
      <c r="F643" s="89"/>
      <c r="G643" s="89"/>
      <c r="H643" s="94"/>
      <c r="I643" s="94"/>
      <c r="J643" s="94"/>
      <c r="K643" s="94"/>
      <c r="L643" s="94"/>
      <c r="M643" s="94"/>
      <c r="N643" s="94"/>
      <c r="O643" s="94"/>
      <c r="P643" s="94"/>
      <c r="Q643" s="94"/>
      <c r="R643" s="95"/>
      <c r="S643" s="94"/>
      <c r="T643" s="96"/>
      <c r="U643" s="94"/>
      <c r="V643" s="97"/>
      <c r="W643" s="94"/>
      <c r="X643" s="98"/>
      <c r="Y643" s="98"/>
      <c r="Z643" s="98"/>
      <c r="AA643" s="98"/>
      <c r="AB643" s="98"/>
      <c r="AC643" s="97"/>
      <c r="AD643" s="99"/>
      <c r="AE643" s="95"/>
      <c r="AF643" s="94"/>
      <c r="AG643" s="89"/>
      <c r="AH643" s="89"/>
      <c r="AI643" s="89"/>
      <c r="AJ643" s="89"/>
      <c r="AK643" s="89"/>
      <c r="AL643" s="89"/>
      <c r="AM643" s="89"/>
      <c r="AN643" s="89"/>
      <c r="AO643" s="89"/>
      <c r="AP643" s="89"/>
      <c r="AQ643" s="89"/>
      <c r="AR643" s="89"/>
      <c r="AS643" s="89"/>
      <c r="AT643" s="89"/>
      <c r="AU643" s="89"/>
      <c r="AV643" s="89"/>
      <c r="AW643" s="100"/>
      <c r="AX643" s="100"/>
      <c r="AY643" s="89"/>
      <c r="AZ643" s="89"/>
      <c r="BA643" s="89"/>
      <c r="BB643" s="89"/>
      <c r="BC643" s="89"/>
      <c r="BD643" s="89"/>
      <c r="BE643" s="89"/>
      <c r="BF643" s="89"/>
      <c r="BG643" s="89"/>
      <c r="BH643" s="89"/>
      <c r="BI643" s="89"/>
      <c r="BJ643" s="89"/>
      <c r="BK643" s="89"/>
      <c r="BL643" s="89"/>
      <c r="BM643" s="89"/>
      <c r="BN643" s="89"/>
      <c r="BO643" s="89"/>
      <c r="BP643" s="89"/>
      <c r="BQ643" s="89"/>
      <c r="BR643" s="89"/>
      <c r="BS643" s="89"/>
    </row>
    <row r="644" spans="1:71" ht="27" customHeight="1" x14ac:dyDescent="0.2">
      <c r="A644" s="93"/>
      <c r="B644" s="89"/>
      <c r="C644" s="89"/>
      <c r="D644" s="89"/>
      <c r="E644" s="89"/>
      <c r="F644" s="89"/>
      <c r="G644" s="89"/>
      <c r="H644" s="94"/>
      <c r="I644" s="94"/>
      <c r="J644" s="94"/>
      <c r="K644" s="94"/>
      <c r="L644" s="94"/>
      <c r="M644" s="94"/>
      <c r="N644" s="94"/>
      <c r="O644" s="94"/>
      <c r="P644" s="94"/>
      <c r="Q644" s="94"/>
      <c r="R644" s="95"/>
      <c r="S644" s="94"/>
      <c r="T644" s="96"/>
      <c r="U644" s="94"/>
      <c r="V644" s="97"/>
      <c r="W644" s="94"/>
      <c r="X644" s="98"/>
      <c r="Y644" s="98"/>
      <c r="Z644" s="98"/>
      <c r="AA644" s="98"/>
      <c r="AB644" s="98"/>
      <c r="AC644" s="97"/>
      <c r="AD644" s="99"/>
      <c r="AE644" s="95"/>
      <c r="AF644" s="94"/>
      <c r="AG644" s="89"/>
      <c r="AH644" s="89"/>
      <c r="AI644" s="89"/>
      <c r="AJ644" s="89"/>
      <c r="AK644" s="89"/>
      <c r="AL644" s="89"/>
      <c r="AM644" s="89"/>
      <c r="AN644" s="89"/>
      <c r="AO644" s="89"/>
      <c r="AP644" s="89"/>
      <c r="AQ644" s="89"/>
      <c r="AR644" s="89"/>
      <c r="AS644" s="89"/>
      <c r="AT644" s="89"/>
      <c r="AU644" s="89"/>
      <c r="AV644" s="89"/>
      <c r="AW644" s="100"/>
      <c r="AX644" s="100"/>
      <c r="AY644" s="89"/>
      <c r="AZ644" s="89"/>
      <c r="BA644" s="89"/>
      <c r="BB644" s="89"/>
      <c r="BC644" s="89"/>
      <c r="BD644" s="89"/>
      <c r="BE644" s="89"/>
      <c r="BF644" s="89"/>
      <c r="BG644" s="89"/>
      <c r="BH644" s="89"/>
      <c r="BI644" s="89"/>
      <c r="BJ644" s="89"/>
      <c r="BK644" s="89"/>
      <c r="BL644" s="89"/>
      <c r="BM644" s="89"/>
      <c r="BN644" s="89"/>
      <c r="BO644" s="89"/>
      <c r="BP644" s="89"/>
      <c r="BQ644" s="89"/>
      <c r="BR644" s="89"/>
      <c r="BS644" s="89"/>
    </row>
    <row r="645" spans="1:71" ht="27" customHeight="1" x14ac:dyDescent="0.2">
      <c r="A645" s="93"/>
      <c r="B645" s="89"/>
      <c r="C645" s="89"/>
      <c r="D645" s="89"/>
      <c r="E645" s="89"/>
      <c r="F645" s="89"/>
      <c r="G645" s="89"/>
      <c r="H645" s="94"/>
      <c r="I645" s="94"/>
      <c r="J645" s="94"/>
      <c r="K645" s="94"/>
      <c r="L645" s="94"/>
      <c r="M645" s="94"/>
      <c r="N645" s="94"/>
      <c r="O645" s="94"/>
      <c r="P645" s="94"/>
      <c r="Q645" s="94"/>
      <c r="R645" s="95"/>
      <c r="S645" s="94"/>
      <c r="T645" s="96"/>
      <c r="U645" s="94"/>
      <c r="V645" s="97"/>
      <c r="W645" s="94"/>
      <c r="X645" s="98"/>
      <c r="Y645" s="98"/>
      <c r="Z645" s="98"/>
      <c r="AA645" s="98"/>
      <c r="AB645" s="98"/>
      <c r="AC645" s="97"/>
      <c r="AD645" s="99"/>
      <c r="AE645" s="95"/>
      <c r="AF645" s="94"/>
      <c r="AG645" s="89"/>
      <c r="AH645" s="89"/>
      <c r="AI645" s="89"/>
      <c r="AJ645" s="89"/>
      <c r="AK645" s="89"/>
      <c r="AL645" s="89"/>
      <c r="AM645" s="89"/>
      <c r="AN645" s="89"/>
      <c r="AO645" s="89"/>
      <c r="AP645" s="89"/>
      <c r="AQ645" s="89"/>
      <c r="AR645" s="89"/>
      <c r="AS645" s="89"/>
      <c r="AT645" s="89"/>
      <c r="AU645" s="89"/>
      <c r="AV645" s="89"/>
      <c r="AW645" s="100"/>
      <c r="AX645" s="100"/>
      <c r="AY645" s="89"/>
      <c r="AZ645" s="89"/>
      <c r="BA645" s="89"/>
      <c r="BB645" s="89"/>
      <c r="BC645" s="89"/>
      <c r="BD645" s="89"/>
      <c r="BE645" s="89"/>
      <c r="BF645" s="89"/>
      <c r="BG645" s="89"/>
      <c r="BH645" s="89"/>
      <c r="BI645" s="89"/>
      <c r="BJ645" s="89"/>
      <c r="BK645" s="89"/>
      <c r="BL645" s="89"/>
      <c r="BM645" s="89"/>
      <c r="BN645" s="89"/>
      <c r="BO645" s="89"/>
      <c r="BP645" s="89"/>
      <c r="BQ645" s="89"/>
      <c r="BR645" s="89"/>
      <c r="BS645" s="89"/>
    </row>
    <row r="646" spans="1:71" ht="27" customHeight="1" x14ac:dyDescent="0.2">
      <c r="A646" s="93"/>
      <c r="B646" s="89"/>
      <c r="C646" s="89"/>
      <c r="D646" s="89"/>
      <c r="E646" s="89"/>
      <c r="F646" s="89"/>
      <c r="G646" s="89"/>
      <c r="H646" s="94"/>
      <c r="I646" s="94"/>
      <c r="J646" s="94"/>
      <c r="K646" s="94"/>
      <c r="L646" s="94"/>
      <c r="M646" s="94"/>
      <c r="N646" s="94"/>
      <c r="O646" s="94"/>
      <c r="P646" s="94"/>
      <c r="Q646" s="94"/>
      <c r="R646" s="95"/>
      <c r="S646" s="94"/>
      <c r="T646" s="96"/>
      <c r="U646" s="94"/>
      <c r="V646" s="97"/>
      <c r="W646" s="94"/>
      <c r="X646" s="98"/>
      <c r="Y646" s="98"/>
      <c r="Z646" s="98"/>
      <c r="AA646" s="98"/>
      <c r="AB646" s="98"/>
      <c r="AC646" s="97"/>
      <c r="AD646" s="99"/>
      <c r="AE646" s="95"/>
      <c r="AF646" s="94"/>
      <c r="AG646" s="89"/>
      <c r="AH646" s="89"/>
      <c r="AI646" s="89"/>
      <c r="AJ646" s="89"/>
      <c r="AK646" s="89"/>
      <c r="AL646" s="89"/>
      <c r="AM646" s="89"/>
      <c r="AN646" s="89"/>
      <c r="AO646" s="89"/>
      <c r="AP646" s="89"/>
      <c r="AQ646" s="89"/>
      <c r="AR646" s="89"/>
      <c r="AS646" s="89"/>
      <c r="AT646" s="89"/>
      <c r="AU646" s="89"/>
      <c r="AV646" s="89"/>
      <c r="AW646" s="100"/>
      <c r="AX646" s="100"/>
      <c r="AY646" s="89"/>
      <c r="AZ646" s="89"/>
      <c r="BA646" s="89"/>
      <c r="BB646" s="89"/>
      <c r="BC646" s="89"/>
      <c r="BD646" s="89"/>
      <c r="BE646" s="89"/>
      <c r="BF646" s="89"/>
      <c r="BG646" s="89"/>
      <c r="BH646" s="89"/>
      <c r="BI646" s="89"/>
      <c r="BJ646" s="89"/>
      <c r="BK646" s="89"/>
      <c r="BL646" s="89"/>
      <c r="BM646" s="89"/>
      <c r="BN646" s="89"/>
      <c r="BO646" s="89"/>
      <c r="BP646" s="89"/>
      <c r="BQ646" s="89"/>
      <c r="BR646" s="89"/>
      <c r="BS646" s="89"/>
    </row>
    <row r="647" spans="1:71" ht="27" customHeight="1" x14ac:dyDescent="0.2">
      <c r="A647" s="93"/>
      <c r="B647" s="89"/>
      <c r="C647" s="89"/>
      <c r="D647" s="89"/>
      <c r="E647" s="89"/>
      <c r="F647" s="89"/>
      <c r="G647" s="89"/>
      <c r="H647" s="94"/>
      <c r="I647" s="94"/>
      <c r="J647" s="94"/>
      <c r="K647" s="94"/>
      <c r="L647" s="94"/>
      <c r="M647" s="94"/>
      <c r="N647" s="94"/>
      <c r="O647" s="94"/>
      <c r="P647" s="94"/>
      <c r="Q647" s="94"/>
      <c r="R647" s="95"/>
      <c r="S647" s="94"/>
      <c r="T647" s="96"/>
      <c r="U647" s="94"/>
      <c r="V647" s="97"/>
      <c r="W647" s="94"/>
      <c r="X647" s="98"/>
      <c r="Y647" s="98"/>
      <c r="Z647" s="98"/>
      <c r="AA647" s="98"/>
      <c r="AB647" s="98"/>
      <c r="AC647" s="97"/>
      <c r="AD647" s="99"/>
      <c r="AE647" s="95"/>
      <c r="AF647" s="94"/>
      <c r="AG647" s="89"/>
      <c r="AH647" s="89"/>
      <c r="AI647" s="89"/>
      <c r="AJ647" s="89"/>
      <c r="AK647" s="89"/>
      <c r="AL647" s="89"/>
      <c r="AM647" s="89"/>
      <c r="AN647" s="89"/>
      <c r="AO647" s="89"/>
      <c r="AP647" s="89"/>
      <c r="AQ647" s="89"/>
      <c r="AR647" s="89"/>
      <c r="AS647" s="89"/>
      <c r="AT647" s="89"/>
      <c r="AU647" s="89"/>
      <c r="AV647" s="89"/>
      <c r="AW647" s="100"/>
      <c r="AX647" s="100"/>
      <c r="AY647" s="89"/>
      <c r="AZ647" s="89"/>
      <c r="BA647" s="89"/>
      <c r="BB647" s="89"/>
      <c r="BC647" s="89"/>
      <c r="BD647" s="89"/>
      <c r="BE647" s="89"/>
      <c r="BF647" s="89"/>
      <c r="BG647" s="89"/>
      <c r="BH647" s="89"/>
      <c r="BI647" s="89"/>
      <c r="BJ647" s="89"/>
      <c r="BK647" s="89"/>
      <c r="BL647" s="89"/>
      <c r="BM647" s="89"/>
      <c r="BN647" s="89"/>
      <c r="BO647" s="89"/>
      <c r="BP647" s="89"/>
      <c r="BQ647" s="89"/>
      <c r="BR647" s="89"/>
      <c r="BS647" s="89"/>
    </row>
    <row r="648" spans="1:71" ht="27" customHeight="1" x14ac:dyDescent="0.2">
      <c r="A648" s="93"/>
      <c r="B648" s="89"/>
      <c r="C648" s="89"/>
      <c r="D648" s="89"/>
      <c r="E648" s="89"/>
      <c r="F648" s="89"/>
      <c r="G648" s="89"/>
      <c r="H648" s="94"/>
      <c r="I648" s="94"/>
      <c r="J648" s="94"/>
      <c r="K648" s="94"/>
      <c r="L648" s="94"/>
      <c r="M648" s="94"/>
      <c r="N648" s="94"/>
      <c r="O648" s="94"/>
      <c r="P648" s="94"/>
      <c r="Q648" s="94"/>
      <c r="R648" s="95"/>
      <c r="S648" s="94"/>
      <c r="T648" s="96"/>
      <c r="U648" s="94"/>
      <c r="V648" s="97"/>
      <c r="W648" s="94"/>
      <c r="X648" s="98"/>
      <c r="Y648" s="98"/>
      <c r="Z648" s="98"/>
      <c r="AA648" s="98"/>
      <c r="AB648" s="98"/>
      <c r="AC648" s="97"/>
      <c r="AD648" s="99"/>
      <c r="AE648" s="95"/>
      <c r="AF648" s="94"/>
      <c r="AG648" s="89"/>
      <c r="AH648" s="89"/>
      <c r="AI648" s="89"/>
      <c r="AJ648" s="89"/>
      <c r="AK648" s="89"/>
      <c r="AL648" s="89"/>
      <c r="AM648" s="89"/>
      <c r="AN648" s="89"/>
      <c r="AO648" s="89"/>
      <c r="AP648" s="89"/>
      <c r="AQ648" s="89"/>
      <c r="AR648" s="89"/>
      <c r="AS648" s="89"/>
      <c r="AT648" s="89"/>
      <c r="AU648" s="89"/>
      <c r="AV648" s="89"/>
      <c r="AW648" s="100"/>
      <c r="AX648" s="100"/>
      <c r="AY648" s="89"/>
      <c r="AZ648" s="89"/>
      <c r="BA648" s="89"/>
      <c r="BB648" s="89"/>
      <c r="BC648" s="89"/>
      <c r="BD648" s="89"/>
      <c r="BE648" s="89"/>
      <c r="BF648" s="89"/>
      <c r="BG648" s="89"/>
      <c r="BH648" s="89"/>
      <c r="BI648" s="89"/>
      <c r="BJ648" s="89"/>
      <c r="BK648" s="89"/>
      <c r="BL648" s="89"/>
      <c r="BM648" s="89"/>
      <c r="BN648" s="89"/>
      <c r="BO648" s="89"/>
      <c r="BP648" s="89"/>
      <c r="BQ648" s="89"/>
      <c r="BR648" s="89"/>
      <c r="BS648" s="89"/>
    </row>
    <row r="649" spans="1:71" ht="27" customHeight="1" x14ac:dyDescent="0.2">
      <c r="A649" s="93"/>
      <c r="B649" s="89"/>
      <c r="C649" s="89"/>
      <c r="D649" s="89"/>
      <c r="E649" s="89"/>
      <c r="F649" s="89"/>
      <c r="G649" s="89"/>
      <c r="H649" s="94"/>
      <c r="I649" s="94"/>
      <c r="J649" s="94"/>
      <c r="K649" s="94"/>
      <c r="L649" s="94"/>
      <c r="M649" s="94"/>
      <c r="N649" s="94"/>
      <c r="O649" s="94"/>
      <c r="P649" s="94"/>
      <c r="Q649" s="94"/>
      <c r="R649" s="95"/>
      <c r="S649" s="94"/>
      <c r="T649" s="96"/>
      <c r="U649" s="94"/>
      <c r="V649" s="97"/>
      <c r="W649" s="94"/>
      <c r="X649" s="98"/>
      <c r="Y649" s="98"/>
      <c r="Z649" s="98"/>
      <c r="AA649" s="98"/>
      <c r="AB649" s="98"/>
      <c r="AC649" s="97"/>
      <c r="AD649" s="99"/>
      <c r="AE649" s="95"/>
      <c r="AF649" s="94"/>
      <c r="AG649" s="89"/>
      <c r="AH649" s="89"/>
      <c r="AI649" s="89"/>
      <c r="AJ649" s="89"/>
      <c r="AK649" s="89"/>
      <c r="AL649" s="89"/>
      <c r="AM649" s="89"/>
      <c r="AN649" s="89"/>
      <c r="AO649" s="89"/>
      <c r="AP649" s="89"/>
      <c r="AQ649" s="89"/>
      <c r="AR649" s="89"/>
      <c r="AS649" s="89"/>
      <c r="AT649" s="89"/>
      <c r="AU649" s="89"/>
      <c r="AV649" s="89"/>
      <c r="AW649" s="100"/>
      <c r="AX649" s="100"/>
      <c r="AY649" s="89"/>
      <c r="AZ649" s="89"/>
      <c r="BA649" s="89"/>
      <c r="BB649" s="89"/>
      <c r="BC649" s="89"/>
      <c r="BD649" s="89"/>
      <c r="BE649" s="89"/>
      <c r="BF649" s="89"/>
      <c r="BG649" s="89"/>
      <c r="BH649" s="89"/>
      <c r="BI649" s="89"/>
      <c r="BJ649" s="89"/>
      <c r="BK649" s="89"/>
      <c r="BL649" s="89"/>
      <c r="BM649" s="89"/>
      <c r="BN649" s="89"/>
      <c r="BO649" s="89"/>
      <c r="BP649" s="89"/>
      <c r="BQ649" s="89"/>
      <c r="BR649" s="89"/>
      <c r="BS649" s="89"/>
    </row>
    <row r="650" spans="1:71" ht="27" customHeight="1" x14ac:dyDescent="0.2">
      <c r="A650" s="93"/>
      <c r="B650" s="89"/>
      <c r="C650" s="89"/>
      <c r="D650" s="89"/>
      <c r="E650" s="89"/>
      <c r="F650" s="89"/>
      <c r="G650" s="89"/>
      <c r="H650" s="94"/>
      <c r="I650" s="94"/>
      <c r="J650" s="94"/>
      <c r="K650" s="94"/>
      <c r="L650" s="94"/>
      <c r="M650" s="94"/>
      <c r="N650" s="94"/>
      <c r="O650" s="94"/>
      <c r="P650" s="94"/>
      <c r="Q650" s="94"/>
      <c r="R650" s="95"/>
      <c r="S650" s="94"/>
      <c r="T650" s="96"/>
      <c r="U650" s="94"/>
      <c r="V650" s="97"/>
      <c r="W650" s="94"/>
      <c r="X650" s="98"/>
      <c r="Y650" s="98"/>
      <c r="Z650" s="98"/>
      <c r="AA650" s="98"/>
      <c r="AB650" s="98"/>
      <c r="AC650" s="97"/>
      <c r="AD650" s="99"/>
      <c r="AE650" s="95"/>
      <c r="AF650" s="94"/>
      <c r="AG650" s="89"/>
      <c r="AH650" s="89"/>
      <c r="AI650" s="89"/>
      <c r="AJ650" s="89"/>
      <c r="AK650" s="89"/>
      <c r="AL650" s="89"/>
      <c r="AM650" s="89"/>
      <c r="AN650" s="89"/>
      <c r="AO650" s="89"/>
      <c r="AP650" s="89"/>
      <c r="AQ650" s="89"/>
      <c r="AR650" s="89"/>
      <c r="AS650" s="89"/>
      <c r="AT650" s="89"/>
      <c r="AU650" s="89"/>
      <c r="AV650" s="89"/>
      <c r="AW650" s="100"/>
      <c r="AX650" s="100"/>
      <c r="AY650" s="89"/>
      <c r="AZ650" s="89"/>
      <c r="BA650" s="89"/>
      <c r="BB650" s="89"/>
      <c r="BC650" s="89"/>
      <c r="BD650" s="89"/>
      <c r="BE650" s="89"/>
      <c r="BF650" s="89"/>
      <c r="BG650" s="89"/>
      <c r="BH650" s="89"/>
      <c r="BI650" s="89"/>
      <c r="BJ650" s="89"/>
      <c r="BK650" s="89"/>
      <c r="BL650" s="89"/>
      <c r="BM650" s="89"/>
      <c r="BN650" s="89"/>
      <c r="BO650" s="89"/>
      <c r="BP650" s="89"/>
      <c r="BQ650" s="89"/>
      <c r="BR650" s="89"/>
      <c r="BS650" s="89"/>
    </row>
    <row r="651" spans="1:71" ht="27" customHeight="1" x14ac:dyDescent="0.2">
      <c r="A651" s="93"/>
      <c r="B651" s="89"/>
      <c r="C651" s="89"/>
      <c r="D651" s="89"/>
      <c r="E651" s="89"/>
      <c r="F651" s="89"/>
      <c r="G651" s="89"/>
      <c r="H651" s="94"/>
      <c r="I651" s="94"/>
      <c r="J651" s="94"/>
      <c r="K651" s="94"/>
      <c r="L651" s="94"/>
      <c r="M651" s="94"/>
      <c r="N651" s="94"/>
      <c r="O651" s="94"/>
      <c r="P651" s="94"/>
      <c r="Q651" s="94"/>
      <c r="R651" s="95"/>
      <c r="S651" s="94"/>
      <c r="T651" s="96"/>
      <c r="U651" s="94"/>
      <c r="V651" s="97"/>
      <c r="W651" s="94"/>
      <c r="X651" s="98"/>
      <c r="Y651" s="98"/>
      <c r="Z651" s="98"/>
      <c r="AA651" s="98"/>
      <c r="AB651" s="98"/>
      <c r="AC651" s="97"/>
      <c r="AD651" s="99"/>
      <c r="AE651" s="95"/>
      <c r="AF651" s="94"/>
      <c r="AG651" s="89"/>
      <c r="AH651" s="89"/>
      <c r="AI651" s="89"/>
      <c r="AJ651" s="89"/>
      <c r="AK651" s="89"/>
      <c r="AL651" s="89"/>
      <c r="AM651" s="89"/>
      <c r="AN651" s="89"/>
      <c r="AO651" s="89"/>
      <c r="AP651" s="89"/>
      <c r="AQ651" s="89"/>
      <c r="AR651" s="89"/>
      <c r="AS651" s="89"/>
      <c r="AT651" s="89"/>
      <c r="AU651" s="89"/>
      <c r="AV651" s="89"/>
      <c r="AW651" s="100"/>
      <c r="AX651" s="100"/>
      <c r="AY651" s="89"/>
      <c r="AZ651" s="89"/>
      <c r="BA651" s="89"/>
      <c r="BB651" s="89"/>
      <c r="BC651" s="89"/>
      <c r="BD651" s="89"/>
      <c r="BE651" s="89"/>
      <c r="BF651" s="89"/>
      <c r="BG651" s="89"/>
      <c r="BH651" s="89"/>
      <c r="BI651" s="89"/>
      <c r="BJ651" s="89"/>
      <c r="BK651" s="89"/>
      <c r="BL651" s="89"/>
      <c r="BM651" s="89"/>
      <c r="BN651" s="89"/>
      <c r="BO651" s="89"/>
      <c r="BP651" s="89"/>
      <c r="BQ651" s="89"/>
      <c r="BR651" s="89"/>
      <c r="BS651" s="89"/>
    </row>
    <row r="652" spans="1:71" ht="27" customHeight="1" x14ac:dyDescent="0.2">
      <c r="A652" s="93"/>
      <c r="B652" s="89"/>
      <c r="C652" s="89"/>
      <c r="D652" s="89"/>
      <c r="E652" s="89"/>
      <c r="F652" s="89"/>
      <c r="G652" s="89"/>
      <c r="H652" s="94"/>
      <c r="I652" s="94"/>
      <c r="J652" s="94"/>
      <c r="K652" s="94"/>
      <c r="L652" s="94"/>
      <c r="M652" s="94"/>
      <c r="N652" s="94"/>
      <c r="O652" s="94"/>
      <c r="P652" s="94"/>
      <c r="Q652" s="94"/>
      <c r="R652" s="95"/>
      <c r="S652" s="94"/>
      <c r="T652" s="96"/>
      <c r="U652" s="94"/>
      <c r="V652" s="97"/>
      <c r="W652" s="94"/>
      <c r="X652" s="98"/>
      <c r="Y652" s="98"/>
      <c r="Z652" s="98"/>
      <c r="AA652" s="98"/>
      <c r="AB652" s="98"/>
      <c r="AC652" s="97"/>
      <c r="AD652" s="99"/>
      <c r="AE652" s="95"/>
      <c r="AF652" s="94"/>
      <c r="AG652" s="89"/>
      <c r="AH652" s="89"/>
      <c r="AI652" s="89"/>
      <c r="AJ652" s="89"/>
      <c r="AK652" s="89"/>
      <c r="AL652" s="89"/>
      <c r="AM652" s="89"/>
      <c r="AN652" s="89"/>
      <c r="AO652" s="89"/>
      <c r="AP652" s="89"/>
      <c r="AQ652" s="89"/>
      <c r="AR652" s="89"/>
      <c r="AS652" s="89"/>
      <c r="AT652" s="89"/>
      <c r="AU652" s="89"/>
      <c r="AV652" s="89"/>
      <c r="AW652" s="100"/>
      <c r="AX652" s="100"/>
      <c r="AY652" s="89"/>
      <c r="AZ652" s="89"/>
      <c r="BA652" s="89"/>
      <c r="BB652" s="89"/>
      <c r="BC652" s="89"/>
      <c r="BD652" s="89"/>
      <c r="BE652" s="89"/>
      <c r="BF652" s="89"/>
      <c r="BG652" s="89"/>
      <c r="BH652" s="89"/>
      <c r="BI652" s="89"/>
      <c r="BJ652" s="89"/>
      <c r="BK652" s="89"/>
      <c r="BL652" s="89"/>
      <c r="BM652" s="89"/>
      <c r="BN652" s="89"/>
      <c r="BO652" s="89"/>
      <c r="BP652" s="89"/>
      <c r="BQ652" s="89"/>
      <c r="BR652" s="89"/>
      <c r="BS652" s="89"/>
    </row>
    <row r="653" spans="1:71" ht="27" customHeight="1" x14ac:dyDescent="0.2">
      <c r="A653" s="93"/>
      <c r="B653" s="89"/>
      <c r="C653" s="89"/>
      <c r="D653" s="89"/>
      <c r="E653" s="89"/>
      <c r="F653" s="89"/>
      <c r="G653" s="89"/>
      <c r="H653" s="94"/>
      <c r="I653" s="94"/>
      <c r="J653" s="94"/>
      <c r="K653" s="94"/>
      <c r="L653" s="94"/>
      <c r="M653" s="94"/>
      <c r="N653" s="94"/>
      <c r="O653" s="94"/>
      <c r="P653" s="94"/>
      <c r="Q653" s="94"/>
      <c r="R653" s="95"/>
      <c r="S653" s="94"/>
      <c r="T653" s="96"/>
      <c r="U653" s="94"/>
      <c r="V653" s="97"/>
      <c r="W653" s="94"/>
      <c r="X653" s="98"/>
      <c r="Y653" s="98"/>
      <c r="Z653" s="98"/>
      <c r="AA653" s="98"/>
      <c r="AB653" s="98"/>
      <c r="AC653" s="97"/>
      <c r="AD653" s="99"/>
      <c r="AE653" s="95"/>
      <c r="AF653" s="94"/>
      <c r="AG653" s="89"/>
      <c r="AH653" s="89"/>
      <c r="AI653" s="89"/>
      <c r="AJ653" s="89"/>
      <c r="AK653" s="89"/>
      <c r="AL653" s="89"/>
      <c r="AM653" s="89"/>
      <c r="AN653" s="89"/>
      <c r="AO653" s="89"/>
      <c r="AP653" s="89"/>
      <c r="AQ653" s="89"/>
      <c r="AR653" s="89"/>
      <c r="AS653" s="89"/>
      <c r="AT653" s="89"/>
      <c r="AU653" s="89"/>
      <c r="AV653" s="89"/>
      <c r="AW653" s="100"/>
      <c r="AX653" s="100"/>
      <c r="AY653" s="89"/>
      <c r="AZ653" s="89"/>
      <c r="BA653" s="89"/>
      <c r="BB653" s="89"/>
      <c r="BC653" s="89"/>
      <c r="BD653" s="89"/>
      <c r="BE653" s="89"/>
      <c r="BF653" s="89"/>
      <c r="BG653" s="89"/>
      <c r="BH653" s="89"/>
      <c r="BI653" s="89"/>
      <c r="BJ653" s="89"/>
      <c r="BK653" s="89"/>
      <c r="BL653" s="89"/>
      <c r="BM653" s="89"/>
      <c r="BN653" s="89"/>
      <c r="BO653" s="89"/>
      <c r="BP653" s="89"/>
      <c r="BQ653" s="89"/>
      <c r="BR653" s="89"/>
      <c r="BS653" s="89"/>
    </row>
    <row r="654" spans="1:71" ht="27" customHeight="1" x14ac:dyDescent="0.2">
      <c r="A654" s="93"/>
      <c r="B654" s="89"/>
      <c r="C654" s="89"/>
      <c r="D654" s="89"/>
      <c r="E654" s="89"/>
      <c r="F654" s="89"/>
      <c r="G654" s="89"/>
      <c r="H654" s="94"/>
      <c r="I654" s="94"/>
      <c r="J654" s="94"/>
      <c r="K654" s="94"/>
      <c r="L654" s="94"/>
      <c r="M654" s="94"/>
      <c r="N654" s="94"/>
      <c r="O654" s="94"/>
      <c r="P654" s="94"/>
      <c r="Q654" s="94"/>
      <c r="R654" s="95"/>
      <c r="S654" s="94"/>
      <c r="T654" s="96"/>
      <c r="U654" s="94"/>
      <c r="V654" s="97"/>
      <c r="W654" s="94"/>
      <c r="X654" s="98"/>
      <c r="Y654" s="98"/>
      <c r="Z654" s="98"/>
      <c r="AA654" s="98"/>
      <c r="AB654" s="98"/>
      <c r="AC654" s="97"/>
      <c r="AD654" s="99"/>
      <c r="AE654" s="95"/>
      <c r="AF654" s="94"/>
      <c r="AG654" s="89"/>
      <c r="AH654" s="89"/>
      <c r="AI654" s="89"/>
      <c r="AJ654" s="89"/>
      <c r="AK654" s="89"/>
      <c r="AL654" s="89"/>
      <c r="AM654" s="89"/>
      <c r="AN654" s="89"/>
      <c r="AO654" s="89"/>
      <c r="AP654" s="89"/>
      <c r="AQ654" s="89"/>
      <c r="AR654" s="89"/>
      <c r="AS654" s="89"/>
      <c r="AT654" s="89"/>
      <c r="AU654" s="89"/>
      <c r="AV654" s="89"/>
      <c r="AW654" s="100"/>
      <c r="AX654" s="100"/>
      <c r="AY654" s="89"/>
      <c r="AZ654" s="89"/>
      <c r="BA654" s="89"/>
      <c r="BB654" s="89"/>
      <c r="BC654" s="89"/>
      <c r="BD654" s="89"/>
      <c r="BE654" s="89"/>
      <c r="BF654" s="89"/>
      <c r="BG654" s="89"/>
      <c r="BH654" s="89"/>
      <c r="BI654" s="89"/>
      <c r="BJ654" s="89"/>
      <c r="BK654" s="89"/>
      <c r="BL654" s="89"/>
      <c r="BM654" s="89"/>
      <c r="BN654" s="89"/>
      <c r="BO654" s="89"/>
      <c r="BP654" s="89"/>
      <c r="BQ654" s="89"/>
      <c r="BR654" s="89"/>
      <c r="BS654" s="89"/>
    </row>
    <row r="655" spans="1:71" ht="27" customHeight="1" x14ac:dyDescent="0.2">
      <c r="A655" s="93"/>
      <c r="B655" s="89"/>
      <c r="C655" s="89"/>
      <c r="D655" s="89"/>
      <c r="E655" s="89"/>
      <c r="F655" s="89"/>
      <c r="G655" s="89"/>
      <c r="H655" s="94"/>
      <c r="I655" s="94"/>
      <c r="J655" s="94"/>
      <c r="K655" s="94"/>
      <c r="L655" s="94"/>
      <c r="M655" s="94"/>
      <c r="N655" s="94"/>
      <c r="O655" s="94"/>
      <c r="P655" s="94"/>
      <c r="Q655" s="94"/>
      <c r="R655" s="95"/>
      <c r="S655" s="94"/>
      <c r="T655" s="96"/>
      <c r="U655" s="94"/>
      <c r="V655" s="97"/>
      <c r="W655" s="94"/>
      <c r="X655" s="98"/>
      <c r="Y655" s="98"/>
      <c r="Z655" s="98"/>
      <c r="AA655" s="98"/>
      <c r="AB655" s="98"/>
      <c r="AC655" s="97"/>
      <c r="AD655" s="99"/>
      <c r="AE655" s="95"/>
      <c r="AF655" s="94"/>
      <c r="AG655" s="89"/>
      <c r="AH655" s="89"/>
      <c r="AI655" s="89"/>
      <c r="AJ655" s="89"/>
      <c r="AK655" s="89"/>
      <c r="AL655" s="89"/>
      <c r="AM655" s="89"/>
      <c r="AN655" s="89"/>
      <c r="AO655" s="89"/>
      <c r="AP655" s="89"/>
      <c r="AQ655" s="89"/>
      <c r="AR655" s="89"/>
      <c r="AS655" s="89"/>
      <c r="AT655" s="89"/>
      <c r="AU655" s="89"/>
      <c r="AV655" s="89"/>
      <c r="AW655" s="100"/>
      <c r="AX655" s="100"/>
      <c r="AY655" s="89"/>
      <c r="AZ655" s="89"/>
      <c r="BA655" s="89"/>
      <c r="BB655" s="89"/>
      <c r="BC655" s="89"/>
      <c r="BD655" s="89"/>
      <c r="BE655" s="89"/>
      <c r="BF655" s="89"/>
      <c r="BG655" s="89"/>
      <c r="BH655" s="89"/>
      <c r="BI655" s="89"/>
      <c r="BJ655" s="89"/>
      <c r="BK655" s="89"/>
      <c r="BL655" s="89"/>
      <c r="BM655" s="89"/>
      <c r="BN655" s="89"/>
      <c r="BO655" s="89"/>
      <c r="BP655" s="89"/>
      <c r="BQ655" s="89"/>
      <c r="BR655" s="89"/>
      <c r="BS655" s="89"/>
    </row>
    <row r="656" spans="1:71" ht="27" customHeight="1" x14ac:dyDescent="0.2">
      <c r="A656" s="93"/>
      <c r="B656" s="89"/>
      <c r="C656" s="89"/>
      <c r="D656" s="89"/>
      <c r="E656" s="89"/>
      <c r="F656" s="89"/>
      <c r="G656" s="89"/>
      <c r="H656" s="94"/>
      <c r="I656" s="94"/>
      <c r="J656" s="94"/>
      <c r="K656" s="94"/>
      <c r="L656" s="94"/>
      <c r="M656" s="94"/>
      <c r="N656" s="94"/>
      <c r="O656" s="94"/>
      <c r="P656" s="94"/>
      <c r="Q656" s="94"/>
      <c r="R656" s="95"/>
      <c r="S656" s="94"/>
      <c r="T656" s="96"/>
      <c r="U656" s="94"/>
      <c r="V656" s="97"/>
      <c r="W656" s="94"/>
      <c r="X656" s="98"/>
      <c r="Y656" s="98"/>
      <c r="Z656" s="98"/>
      <c r="AA656" s="98"/>
      <c r="AB656" s="98"/>
      <c r="AC656" s="97"/>
      <c r="AD656" s="99"/>
      <c r="AE656" s="95"/>
      <c r="AF656" s="94"/>
      <c r="AG656" s="89"/>
      <c r="AH656" s="89"/>
      <c r="AI656" s="89"/>
      <c r="AJ656" s="89"/>
      <c r="AK656" s="89"/>
      <c r="AL656" s="89"/>
      <c r="AM656" s="89"/>
      <c r="AN656" s="89"/>
      <c r="AO656" s="89"/>
      <c r="AP656" s="89"/>
      <c r="AQ656" s="89"/>
      <c r="AR656" s="89"/>
      <c r="AS656" s="89"/>
      <c r="AT656" s="89"/>
      <c r="AU656" s="89"/>
      <c r="AV656" s="89"/>
      <c r="AW656" s="100"/>
      <c r="AX656" s="100"/>
      <c r="AY656" s="89"/>
      <c r="AZ656" s="89"/>
      <c r="BA656" s="89"/>
      <c r="BB656" s="89"/>
      <c r="BC656" s="89"/>
      <c r="BD656" s="89"/>
      <c r="BE656" s="89"/>
      <c r="BF656" s="89"/>
      <c r="BG656" s="89"/>
      <c r="BH656" s="89"/>
      <c r="BI656" s="89"/>
      <c r="BJ656" s="89"/>
      <c r="BK656" s="89"/>
      <c r="BL656" s="89"/>
      <c r="BM656" s="89"/>
      <c r="BN656" s="89"/>
      <c r="BO656" s="89"/>
      <c r="BP656" s="89"/>
      <c r="BQ656" s="89"/>
      <c r="BR656" s="89"/>
      <c r="BS656" s="89"/>
    </row>
    <row r="657" spans="1:71" ht="27" customHeight="1" x14ac:dyDescent="0.2">
      <c r="A657" s="93"/>
      <c r="B657" s="89"/>
      <c r="C657" s="89"/>
      <c r="D657" s="89"/>
      <c r="E657" s="89"/>
      <c r="F657" s="89"/>
      <c r="G657" s="89"/>
      <c r="H657" s="94"/>
      <c r="I657" s="94"/>
      <c r="J657" s="94"/>
      <c r="K657" s="94"/>
      <c r="L657" s="94"/>
      <c r="M657" s="94"/>
      <c r="N657" s="94"/>
      <c r="O657" s="94"/>
      <c r="P657" s="94"/>
      <c r="Q657" s="94"/>
      <c r="R657" s="95"/>
      <c r="S657" s="94"/>
      <c r="T657" s="96"/>
      <c r="U657" s="94"/>
      <c r="V657" s="97"/>
      <c r="W657" s="94"/>
      <c r="X657" s="98"/>
      <c r="Y657" s="98"/>
      <c r="Z657" s="98"/>
      <c r="AA657" s="98"/>
      <c r="AB657" s="98"/>
      <c r="AC657" s="97"/>
      <c r="AD657" s="99"/>
      <c r="AE657" s="95"/>
      <c r="AF657" s="94"/>
      <c r="AG657" s="89"/>
      <c r="AH657" s="89"/>
      <c r="AI657" s="89"/>
      <c r="AJ657" s="89"/>
      <c r="AK657" s="89"/>
      <c r="AL657" s="89"/>
      <c r="AM657" s="89"/>
      <c r="AN657" s="89"/>
      <c r="AO657" s="89"/>
      <c r="AP657" s="89"/>
      <c r="AQ657" s="89"/>
      <c r="AR657" s="89"/>
      <c r="AS657" s="89"/>
      <c r="AT657" s="89"/>
      <c r="AU657" s="89"/>
      <c r="AV657" s="89"/>
      <c r="AW657" s="100"/>
      <c r="AX657" s="100"/>
      <c r="AY657" s="89"/>
      <c r="AZ657" s="89"/>
      <c r="BA657" s="89"/>
      <c r="BB657" s="89"/>
      <c r="BC657" s="89"/>
      <c r="BD657" s="89"/>
      <c r="BE657" s="89"/>
      <c r="BF657" s="89"/>
      <c r="BG657" s="89"/>
      <c r="BH657" s="89"/>
      <c r="BI657" s="89"/>
      <c r="BJ657" s="89"/>
      <c r="BK657" s="89"/>
      <c r="BL657" s="89"/>
      <c r="BM657" s="89"/>
      <c r="BN657" s="89"/>
      <c r="BO657" s="89"/>
      <c r="BP657" s="89"/>
      <c r="BQ657" s="89"/>
      <c r="BR657" s="89"/>
      <c r="BS657" s="89"/>
    </row>
    <row r="658" spans="1:71" ht="27" customHeight="1" x14ac:dyDescent="0.2">
      <c r="A658" s="93"/>
      <c r="B658" s="89"/>
      <c r="C658" s="89"/>
      <c r="D658" s="89"/>
      <c r="E658" s="89"/>
      <c r="F658" s="89"/>
      <c r="G658" s="89"/>
      <c r="H658" s="94"/>
      <c r="I658" s="94"/>
      <c r="J658" s="94"/>
      <c r="K658" s="94"/>
      <c r="L658" s="94"/>
      <c r="M658" s="94"/>
      <c r="N658" s="94"/>
      <c r="O658" s="94"/>
      <c r="P658" s="94"/>
      <c r="Q658" s="94"/>
      <c r="R658" s="95"/>
      <c r="S658" s="94"/>
      <c r="T658" s="96"/>
      <c r="U658" s="94"/>
      <c r="V658" s="97"/>
      <c r="W658" s="94"/>
      <c r="X658" s="98"/>
      <c r="Y658" s="98"/>
      <c r="Z658" s="98"/>
      <c r="AA658" s="98"/>
      <c r="AB658" s="98"/>
      <c r="AC658" s="97"/>
      <c r="AD658" s="99"/>
      <c r="AE658" s="95"/>
      <c r="AF658" s="94"/>
      <c r="AG658" s="89"/>
      <c r="AH658" s="89"/>
      <c r="AI658" s="89"/>
      <c r="AJ658" s="89"/>
      <c r="AK658" s="89"/>
      <c r="AL658" s="89"/>
      <c r="AM658" s="89"/>
      <c r="AN658" s="89"/>
      <c r="AO658" s="89"/>
      <c r="AP658" s="89"/>
      <c r="AQ658" s="89"/>
      <c r="AR658" s="89"/>
      <c r="AS658" s="89"/>
      <c r="AT658" s="89"/>
      <c r="AU658" s="89"/>
      <c r="AV658" s="89"/>
      <c r="AW658" s="100"/>
      <c r="AX658" s="100"/>
      <c r="AY658" s="89"/>
      <c r="AZ658" s="89"/>
      <c r="BA658" s="89"/>
      <c r="BB658" s="89"/>
      <c r="BC658" s="89"/>
      <c r="BD658" s="89"/>
      <c r="BE658" s="89"/>
      <c r="BF658" s="89"/>
      <c r="BG658" s="89"/>
      <c r="BH658" s="89"/>
      <c r="BI658" s="89"/>
      <c r="BJ658" s="89"/>
      <c r="BK658" s="89"/>
      <c r="BL658" s="89"/>
      <c r="BM658" s="89"/>
      <c r="BN658" s="89"/>
      <c r="BO658" s="89"/>
      <c r="BP658" s="89"/>
      <c r="BQ658" s="89"/>
      <c r="BR658" s="89"/>
      <c r="BS658" s="89"/>
    </row>
    <row r="659" spans="1:71" ht="27" customHeight="1" x14ac:dyDescent="0.2">
      <c r="A659" s="93"/>
      <c r="B659" s="89"/>
      <c r="C659" s="89"/>
      <c r="D659" s="89"/>
      <c r="E659" s="89"/>
      <c r="F659" s="89"/>
      <c r="G659" s="89"/>
      <c r="H659" s="94"/>
      <c r="I659" s="94"/>
      <c r="J659" s="94"/>
      <c r="K659" s="94"/>
      <c r="L659" s="94"/>
      <c r="M659" s="94"/>
      <c r="N659" s="94"/>
      <c r="O659" s="94"/>
      <c r="P659" s="94"/>
      <c r="Q659" s="94"/>
      <c r="R659" s="95"/>
      <c r="S659" s="94"/>
      <c r="T659" s="96"/>
      <c r="U659" s="94"/>
      <c r="V659" s="97"/>
      <c r="W659" s="94"/>
      <c r="X659" s="98"/>
      <c r="Y659" s="98"/>
      <c r="Z659" s="98"/>
      <c r="AA659" s="98"/>
      <c r="AB659" s="98"/>
      <c r="AC659" s="97"/>
      <c r="AD659" s="99"/>
      <c r="AE659" s="95"/>
      <c r="AF659" s="94"/>
      <c r="AG659" s="89"/>
      <c r="AH659" s="89"/>
      <c r="AI659" s="89"/>
      <c r="AJ659" s="89"/>
      <c r="AK659" s="89"/>
      <c r="AL659" s="89"/>
      <c r="AM659" s="89"/>
      <c r="AN659" s="89"/>
      <c r="AO659" s="89"/>
      <c r="AP659" s="89"/>
      <c r="AQ659" s="89"/>
      <c r="AR659" s="89"/>
      <c r="AS659" s="89"/>
      <c r="AT659" s="89"/>
      <c r="AU659" s="89"/>
      <c r="AV659" s="89"/>
      <c r="AW659" s="100"/>
      <c r="AX659" s="100"/>
      <c r="AY659" s="89"/>
      <c r="AZ659" s="89"/>
      <c r="BA659" s="89"/>
      <c r="BB659" s="89"/>
      <c r="BC659" s="89"/>
      <c r="BD659" s="89"/>
      <c r="BE659" s="89"/>
      <c r="BF659" s="89"/>
      <c r="BG659" s="89"/>
      <c r="BH659" s="89"/>
      <c r="BI659" s="89"/>
      <c r="BJ659" s="89"/>
      <c r="BK659" s="89"/>
      <c r="BL659" s="89"/>
      <c r="BM659" s="89"/>
      <c r="BN659" s="89"/>
      <c r="BO659" s="89"/>
      <c r="BP659" s="89"/>
      <c r="BQ659" s="89"/>
      <c r="BR659" s="89"/>
      <c r="BS659" s="89"/>
    </row>
    <row r="660" spans="1:71" ht="27" customHeight="1" x14ac:dyDescent="0.2">
      <c r="A660" s="93"/>
      <c r="B660" s="89"/>
      <c r="C660" s="89"/>
      <c r="D660" s="89"/>
      <c r="E660" s="89"/>
      <c r="F660" s="89"/>
      <c r="G660" s="89"/>
      <c r="H660" s="94"/>
      <c r="I660" s="94"/>
      <c r="J660" s="94"/>
      <c r="K660" s="94"/>
      <c r="L660" s="94"/>
      <c r="M660" s="94"/>
      <c r="N660" s="94"/>
      <c r="O660" s="94"/>
      <c r="P660" s="94"/>
      <c r="Q660" s="94"/>
      <c r="R660" s="95"/>
      <c r="S660" s="94"/>
      <c r="T660" s="96"/>
      <c r="U660" s="94"/>
      <c r="V660" s="97"/>
      <c r="W660" s="94"/>
      <c r="X660" s="98"/>
      <c r="Y660" s="98"/>
      <c r="Z660" s="98"/>
      <c r="AA660" s="98"/>
      <c r="AB660" s="98"/>
      <c r="AC660" s="97"/>
      <c r="AD660" s="99"/>
      <c r="AE660" s="95"/>
      <c r="AF660" s="94"/>
      <c r="AG660" s="89"/>
      <c r="AH660" s="89"/>
      <c r="AI660" s="89"/>
      <c r="AJ660" s="89"/>
      <c r="AK660" s="89"/>
      <c r="AL660" s="89"/>
      <c r="AM660" s="89"/>
      <c r="AN660" s="89"/>
      <c r="AO660" s="89"/>
      <c r="AP660" s="89"/>
      <c r="AQ660" s="89"/>
      <c r="AR660" s="89"/>
      <c r="AS660" s="89"/>
      <c r="AT660" s="89"/>
      <c r="AU660" s="89"/>
      <c r="AV660" s="89"/>
      <c r="AW660" s="100"/>
      <c r="AX660" s="100"/>
      <c r="AY660" s="89"/>
      <c r="AZ660" s="89"/>
      <c r="BA660" s="89"/>
      <c r="BB660" s="89"/>
      <c r="BC660" s="89"/>
      <c r="BD660" s="89"/>
      <c r="BE660" s="89"/>
      <c r="BF660" s="89"/>
      <c r="BG660" s="89"/>
      <c r="BH660" s="89"/>
      <c r="BI660" s="89"/>
      <c r="BJ660" s="89"/>
      <c r="BK660" s="89"/>
      <c r="BL660" s="89"/>
      <c r="BM660" s="89"/>
      <c r="BN660" s="89"/>
      <c r="BO660" s="89"/>
      <c r="BP660" s="89"/>
      <c r="BQ660" s="89"/>
      <c r="BR660" s="89"/>
      <c r="BS660" s="89"/>
    </row>
    <row r="661" spans="1:71" ht="27" customHeight="1" x14ac:dyDescent="0.2">
      <c r="A661" s="93"/>
      <c r="B661" s="89"/>
      <c r="C661" s="89"/>
      <c r="D661" s="89"/>
      <c r="E661" s="89"/>
      <c r="F661" s="89"/>
      <c r="G661" s="89"/>
      <c r="H661" s="94"/>
      <c r="I661" s="94"/>
      <c r="J661" s="94"/>
      <c r="K661" s="94"/>
      <c r="L661" s="94"/>
      <c r="M661" s="94"/>
      <c r="N661" s="94"/>
      <c r="O661" s="94"/>
      <c r="P661" s="94"/>
      <c r="Q661" s="94"/>
      <c r="R661" s="95"/>
      <c r="S661" s="94"/>
      <c r="T661" s="96"/>
      <c r="U661" s="94"/>
      <c r="V661" s="97"/>
      <c r="W661" s="94"/>
      <c r="X661" s="98"/>
      <c r="Y661" s="98"/>
      <c r="Z661" s="98"/>
      <c r="AA661" s="98"/>
      <c r="AB661" s="98"/>
      <c r="AC661" s="97"/>
      <c r="AD661" s="99"/>
      <c r="AE661" s="95"/>
      <c r="AF661" s="94"/>
      <c r="AG661" s="89"/>
      <c r="AH661" s="89"/>
      <c r="AI661" s="89"/>
      <c r="AJ661" s="89"/>
      <c r="AK661" s="89"/>
      <c r="AL661" s="89"/>
      <c r="AM661" s="89"/>
      <c r="AN661" s="89"/>
      <c r="AO661" s="89"/>
      <c r="AP661" s="89"/>
      <c r="AQ661" s="89"/>
      <c r="AR661" s="89"/>
      <c r="AS661" s="89"/>
      <c r="AT661" s="89"/>
      <c r="AU661" s="89"/>
      <c r="AV661" s="89"/>
      <c r="AW661" s="100"/>
      <c r="AX661" s="100"/>
      <c r="AY661" s="89"/>
      <c r="AZ661" s="89"/>
      <c r="BA661" s="89"/>
      <c r="BB661" s="89"/>
      <c r="BC661" s="89"/>
      <c r="BD661" s="89"/>
      <c r="BE661" s="89"/>
      <c r="BF661" s="89"/>
      <c r="BG661" s="89"/>
      <c r="BH661" s="89"/>
      <c r="BI661" s="89"/>
      <c r="BJ661" s="89"/>
      <c r="BK661" s="89"/>
      <c r="BL661" s="89"/>
      <c r="BM661" s="89"/>
      <c r="BN661" s="89"/>
      <c r="BO661" s="89"/>
      <c r="BP661" s="89"/>
      <c r="BQ661" s="89"/>
      <c r="BR661" s="89"/>
      <c r="BS661" s="89"/>
    </row>
    <row r="662" spans="1:71" ht="27" customHeight="1" x14ac:dyDescent="0.2">
      <c r="A662" s="93"/>
      <c r="B662" s="89"/>
      <c r="C662" s="89"/>
      <c r="D662" s="89"/>
      <c r="E662" s="89"/>
      <c r="F662" s="89"/>
      <c r="G662" s="89"/>
      <c r="H662" s="94"/>
      <c r="I662" s="94"/>
      <c r="J662" s="94"/>
      <c r="K662" s="94"/>
      <c r="L662" s="94"/>
      <c r="M662" s="94"/>
      <c r="N662" s="94"/>
      <c r="O662" s="94"/>
      <c r="P662" s="94"/>
      <c r="Q662" s="94"/>
      <c r="R662" s="95"/>
      <c r="S662" s="94"/>
      <c r="T662" s="96"/>
      <c r="U662" s="94"/>
      <c r="V662" s="97"/>
      <c r="W662" s="94"/>
      <c r="X662" s="98"/>
      <c r="Y662" s="98"/>
      <c r="Z662" s="98"/>
      <c r="AA662" s="98"/>
      <c r="AB662" s="98"/>
      <c r="AC662" s="97"/>
      <c r="AD662" s="99"/>
      <c r="AE662" s="95"/>
      <c r="AF662" s="94"/>
      <c r="AG662" s="89"/>
      <c r="AH662" s="89"/>
      <c r="AI662" s="89"/>
      <c r="AJ662" s="89"/>
      <c r="AK662" s="89"/>
      <c r="AL662" s="89"/>
      <c r="AM662" s="89"/>
      <c r="AN662" s="89"/>
      <c r="AO662" s="89"/>
      <c r="AP662" s="89"/>
      <c r="AQ662" s="89"/>
      <c r="AR662" s="89"/>
      <c r="AS662" s="89"/>
      <c r="AT662" s="89"/>
      <c r="AU662" s="89"/>
      <c r="AV662" s="89"/>
      <c r="AW662" s="100"/>
      <c r="AX662" s="100"/>
      <c r="AY662" s="89"/>
      <c r="AZ662" s="89"/>
      <c r="BA662" s="89"/>
      <c r="BB662" s="89"/>
      <c r="BC662" s="89"/>
      <c r="BD662" s="89"/>
      <c r="BE662" s="89"/>
      <c r="BF662" s="89"/>
      <c r="BG662" s="89"/>
      <c r="BH662" s="89"/>
      <c r="BI662" s="89"/>
      <c r="BJ662" s="89"/>
      <c r="BK662" s="89"/>
      <c r="BL662" s="89"/>
      <c r="BM662" s="89"/>
      <c r="BN662" s="89"/>
      <c r="BO662" s="89"/>
      <c r="BP662" s="89"/>
      <c r="BQ662" s="89"/>
      <c r="BR662" s="89"/>
      <c r="BS662" s="89"/>
    </row>
    <row r="663" spans="1:71" ht="27" customHeight="1" x14ac:dyDescent="0.2">
      <c r="A663" s="93"/>
      <c r="B663" s="89"/>
      <c r="C663" s="89"/>
      <c r="D663" s="89"/>
      <c r="E663" s="89"/>
      <c r="F663" s="89"/>
      <c r="G663" s="89"/>
      <c r="H663" s="94"/>
      <c r="I663" s="94"/>
      <c r="J663" s="94"/>
      <c r="K663" s="94"/>
      <c r="L663" s="94"/>
      <c r="M663" s="94"/>
      <c r="N663" s="94"/>
      <c r="O663" s="94"/>
      <c r="P663" s="94"/>
      <c r="Q663" s="94"/>
      <c r="R663" s="95"/>
      <c r="S663" s="94"/>
      <c r="T663" s="96"/>
      <c r="U663" s="94"/>
      <c r="V663" s="97"/>
      <c r="W663" s="94"/>
      <c r="X663" s="98"/>
      <c r="Y663" s="98"/>
      <c r="Z663" s="98"/>
      <c r="AA663" s="98"/>
      <c r="AB663" s="98"/>
      <c r="AC663" s="97"/>
      <c r="AD663" s="99"/>
      <c r="AE663" s="95"/>
      <c r="AF663" s="94"/>
      <c r="AG663" s="89"/>
      <c r="AH663" s="89"/>
      <c r="AI663" s="89"/>
      <c r="AJ663" s="89"/>
      <c r="AK663" s="89"/>
      <c r="AL663" s="89"/>
      <c r="AM663" s="89"/>
      <c r="AN663" s="89"/>
      <c r="AO663" s="89"/>
      <c r="AP663" s="89"/>
      <c r="AQ663" s="89"/>
      <c r="AR663" s="89"/>
      <c r="AS663" s="89"/>
      <c r="AT663" s="89"/>
      <c r="AU663" s="89"/>
      <c r="AV663" s="89"/>
      <c r="AW663" s="100"/>
      <c r="AX663" s="100"/>
      <c r="AY663" s="89"/>
      <c r="AZ663" s="89"/>
      <c r="BA663" s="89"/>
      <c r="BB663" s="89"/>
      <c r="BC663" s="89"/>
      <c r="BD663" s="89"/>
      <c r="BE663" s="89"/>
      <c r="BF663" s="89"/>
      <c r="BG663" s="89"/>
      <c r="BH663" s="89"/>
      <c r="BI663" s="89"/>
      <c r="BJ663" s="89"/>
      <c r="BK663" s="89"/>
      <c r="BL663" s="89"/>
      <c r="BM663" s="89"/>
      <c r="BN663" s="89"/>
      <c r="BO663" s="89"/>
      <c r="BP663" s="89"/>
      <c r="BQ663" s="89"/>
      <c r="BR663" s="89"/>
      <c r="BS663" s="89"/>
    </row>
    <row r="664" spans="1:71" ht="27" customHeight="1" x14ac:dyDescent="0.2">
      <c r="A664" s="93"/>
      <c r="B664" s="89"/>
      <c r="C664" s="89"/>
      <c r="D664" s="89"/>
      <c r="E664" s="89"/>
      <c r="F664" s="89"/>
      <c r="G664" s="89"/>
      <c r="H664" s="94"/>
      <c r="I664" s="94"/>
      <c r="J664" s="94"/>
      <c r="K664" s="94"/>
      <c r="L664" s="94"/>
      <c r="M664" s="94"/>
      <c r="N664" s="94"/>
      <c r="O664" s="94"/>
      <c r="P664" s="94"/>
      <c r="Q664" s="94"/>
      <c r="R664" s="95"/>
      <c r="S664" s="94"/>
      <c r="T664" s="96"/>
      <c r="U664" s="94"/>
      <c r="V664" s="97"/>
      <c r="W664" s="94"/>
      <c r="X664" s="98"/>
      <c r="Y664" s="98"/>
      <c r="Z664" s="98"/>
      <c r="AA664" s="98"/>
      <c r="AB664" s="98"/>
      <c r="AC664" s="97"/>
      <c r="AD664" s="99"/>
      <c r="AE664" s="95"/>
      <c r="AF664" s="94"/>
      <c r="AG664" s="89"/>
      <c r="AH664" s="89"/>
      <c r="AI664" s="89"/>
      <c r="AJ664" s="89"/>
      <c r="AK664" s="89"/>
      <c r="AL664" s="89"/>
      <c r="AM664" s="89"/>
      <c r="AN664" s="89"/>
      <c r="AO664" s="89"/>
      <c r="AP664" s="89"/>
      <c r="AQ664" s="89"/>
      <c r="AR664" s="89"/>
      <c r="AS664" s="89"/>
      <c r="AT664" s="89"/>
      <c r="AU664" s="89"/>
      <c r="AV664" s="89"/>
      <c r="AW664" s="100"/>
      <c r="AX664" s="100"/>
      <c r="AY664" s="89"/>
      <c r="AZ664" s="89"/>
      <c r="BA664" s="89"/>
      <c r="BB664" s="89"/>
      <c r="BC664" s="89"/>
      <c r="BD664" s="89"/>
      <c r="BE664" s="89"/>
      <c r="BF664" s="89"/>
      <c r="BG664" s="89"/>
      <c r="BH664" s="89"/>
      <c r="BI664" s="89"/>
      <c r="BJ664" s="89"/>
      <c r="BK664" s="89"/>
      <c r="BL664" s="89"/>
      <c r="BM664" s="89"/>
      <c r="BN664" s="89"/>
      <c r="BO664" s="89"/>
      <c r="BP664" s="89"/>
      <c r="BQ664" s="89"/>
      <c r="BR664" s="89"/>
      <c r="BS664" s="89"/>
    </row>
    <row r="665" spans="1:71" ht="27" customHeight="1" x14ac:dyDescent="0.2">
      <c r="A665" s="93"/>
      <c r="B665" s="89"/>
      <c r="C665" s="89"/>
      <c r="D665" s="89"/>
      <c r="E665" s="89"/>
      <c r="F665" s="89"/>
      <c r="G665" s="89"/>
      <c r="H665" s="94"/>
      <c r="I665" s="94"/>
      <c r="J665" s="94"/>
      <c r="K665" s="94"/>
      <c r="L665" s="94"/>
      <c r="M665" s="94"/>
      <c r="N665" s="94"/>
      <c r="O665" s="94"/>
      <c r="P665" s="94"/>
      <c r="Q665" s="94"/>
      <c r="R665" s="95"/>
      <c r="S665" s="94"/>
      <c r="T665" s="96"/>
      <c r="U665" s="94"/>
      <c r="V665" s="97"/>
      <c r="W665" s="94"/>
      <c r="X665" s="98"/>
      <c r="Y665" s="98"/>
      <c r="Z665" s="98"/>
      <c r="AA665" s="98"/>
      <c r="AB665" s="98"/>
      <c r="AC665" s="97"/>
      <c r="AD665" s="99"/>
      <c r="AE665" s="95"/>
      <c r="AF665" s="94"/>
      <c r="AG665" s="89"/>
      <c r="AH665" s="89"/>
      <c r="AI665" s="89"/>
      <c r="AJ665" s="89"/>
      <c r="AK665" s="89"/>
      <c r="AL665" s="89"/>
      <c r="AM665" s="89"/>
      <c r="AN665" s="89"/>
      <c r="AO665" s="89"/>
      <c r="AP665" s="89"/>
      <c r="AQ665" s="89"/>
      <c r="AR665" s="89"/>
      <c r="AS665" s="89"/>
      <c r="AT665" s="89"/>
      <c r="AU665" s="89"/>
      <c r="AV665" s="89"/>
      <c r="AW665" s="100"/>
      <c r="AX665" s="100"/>
      <c r="AY665" s="89"/>
      <c r="AZ665" s="89"/>
      <c r="BA665" s="89"/>
      <c r="BB665" s="89"/>
      <c r="BC665" s="89"/>
      <c r="BD665" s="89"/>
      <c r="BE665" s="89"/>
      <c r="BF665" s="89"/>
      <c r="BG665" s="89"/>
      <c r="BH665" s="89"/>
      <c r="BI665" s="89"/>
      <c r="BJ665" s="89"/>
      <c r="BK665" s="89"/>
      <c r="BL665" s="89"/>
      <c r="BM665" s="89"/>
      <c r="BN665" s="89"/>
      <c r="BO665" s="89"/>
      <c r="BP665" s="89"/>
      <c r="BQ665" s="89"/>
      <c r="BR665" s="89"/>
      <c r="BS665" s="89"/>
    </row>
    <row r="666" spans="1:71" ht="27" customHeight="1" x14ac:dyDescent="0.2">
      <c r="A666" s="93"/>
      <c r="B666" s="89"/>
      <c r="C666" s="89"/>
      <c r="D666" s="89"/>
      <c r="E666" s="89"/>
      <c r="F666" s="89"/>
      <c r="G666" s="89"/>
      <c r="H666" s="94"/>
      <c r="I666" s="94"/>
      <c r="J666" s="94"/>
      <c r="K666" s="94"/>
      <c r="L666" s="94"/>
      <c r="M666" s="94"/>
      <c r="N666" s="94"/>
      <c r="O666" s="94"/>
      <c r="P666" s="94"/>
      <c r="Q666" s="94"/>
      <c r="R666" s="95"/>
      <c r="S666" s="94"/>
      <c r="T666" s="96"/>
      <c r="U666" s="94"/>
      <c r="V666" s="97"/>
      <c r="W666" s="94"/>
      <c r="X666" s="98"/>
      <c r="Y666" s="98"/>
      <c r="Z666" s="98"/>
      <c r="AA666" s="98"/>
      <c r="AB666" s="98"/>
      <c r="AC666" s="97"/>
      <c r="AD666" s="99"/>
      <c r="AE666" s="95"/>
      <c r="AF666" s="94"/>
      <c r="AG666" s="89"/>
      <c r="AH666" s="89"/>
      <c r="AI666" s="89"/>
      <c r="AJ666" s="89"/>
      <c r="AK666" s="89"/>
      <c r="AL666" s="89"/>
      <c r="AM666" s="89"/>
      <c r="AN666" s="89"/>
      <c r="AO666" s="89"/>
      <c r="AP666" s="89"/>
      <c r="AQ666" s="89"/>
      <c r="AR666" s="89"/>
      <c r="AS666" s="89"/>
      <c r="AT666" s="89"/>
      <c r="AU666" s="89"/>
      <c r="AV666" s="89"/>
      <c r="AW666" s="100"/>
      <c r="AX666" s="100"/>
      <c r="AY666" s="89"/>
      <c r="AZ666" s="89"/>
      <c r="BA666" s="89"/>
      <c r="BB666" s="89"/>
      <c r="BC666" s="89"/>
      <c r="BD666" s="89"/>
      <c r="BE666" s="89"/>
      <c r="BF666" s="89"/>
      <c r="BG666" s="89"/>
      <c r="BH666" s="89"/>
      <c r="BI666" s="89"/>
      <c r="BJ666" s="89"/>
      <c r="BK666" s="89"/>
      <c r="BL666" s="89"/>
      <c r="BM666" s="89"/>
      <c r="BN666" s="89"/>
      <c r="BO666" s="89"/>
      <c r="BP666" s="89"/>
      <c r="BQ666" s="89"/>
      <c r="BR666" s="89"/>
      <c r="BS666" s="89"/>
    </row>
    <row r="667" spans="1:71" ht="27" customHeight="1" x14ac:dyDescent="0.2">
      <c r="A667" s="93"/>
      <c r="B667" s="89"/>
      <c r="C667" s="89"/>
      <c r="D667" s="89"/>
      <c r="E667" s="89"/>
      <c r="F667" s="89"/>
      <c r="G667" s="89"/>
      <c r="H667" s="94"/>
      <c r="I667" s="94"/>
      <c r="J667" s="94"/>
      <c r="K667" s="94"/>
      <c r="L667" s="94"/>
      <c r="M667" s="94"/>
      <c r="N667" s="94"/>
      <c r="O667" s="94"/>
      <c r="P667" s="94"/>
      <c r="Q667" s="94"/>
      <c r="R667" s="95"/>
      <c r="S667" s="94"/>
      <c r="T667" s="96"/>
      <c r="U667" s="94"/>
      <c r="V667" s="97"/>
      <c r="W667" s="94"/>
      <c r="X667" s="98"/>
      <c r="Y667" s="98"/>
      <c r="Z667" s="98"/>
      <c r="AA667" s="98"/>
      <c r="AB667" s="98"/>
      <c r="AC667" s="97"/>
      <c r="AD667" s="99"/>
      <c r="AE667" s="95"/>
      <c r="AF667" s="94"/>
      <c r="AG667" s="89"/>
      <c r="AH667" s="89"/>
      <c r="AI667" s="89"/>
      <c r="AJ667" s="89"/>
      <c r="AK667" s="89"/>
      <c r="AL667" s="89"/>
      <c r="AM667" s="89"/>
      <c r="AN667" s="89"/>
      <c r="AO667" s="89"/>
      <c r="AP667" s="89"/>
      <c r="AQ667" s="89"/>
      <c r="AR667" s="89"/>
      <c r="AS667" s="89"/>
      <c r="AT667" s="89"/>
      <c r="AU667" s="89"/>
      <c r="AV667" s="89"/>
      <c r="AW667" s="100"/>
      <c r="AX667" s="100"/>
      <c r="AY667" s="89"/>
      <c r="AZ667" s="89"/>
      <c r="BA667" s="89"/>
      <c r="BB667" s="89"/>
      <c r="BC667" s="89"/>
      <c r="BD667" s="89"/>
      <c r="BE667" s="89"/>
      <c r="BF667" s="89"/>
      <c r="BG667" s="89"/>
      <c r="BH667" s="89"/>
      <c r="BI667" s="89"/>
      <c r="BJ667" s="89"/>
      <c r="BK667" s="89"/>
      <c r="BL667" s="89"/>
      <c r="BM667" s="89"/>
      <c r="BN667" s="89"/>
      <c r="BO667" s="89"/>
      <c r="BP667" s="89"/>
      <c r="BQ667" s="89"/>
      <c r="BR667" s="89"/>
      <c r="BS667" s="89"/>
    </row>
    <row r="668" spans="1:71" ht="27" customHeight="1" x14ac:dyDescent="0.2">
      <c r="A668" s="93"/>
      <c r="B668" s="89"/>
      <c r="C668" s="89"/>
      <c r="D668" s="89"/>
      <c r="E668" s="89"/>
      <c r="F668" s="89"/>
      <c r="G668" s="89"/>
      <c r="H668" s="94"/>
      <c r="I668" s="94"/>
      <c r="J668" s="94"/>
      <c r="K668" s="94"/>
      <c r="L668" s="94"/>
      <c r="M668" s="94"/>
      <c r="N668" s="94"/>
      <c r="O668" s="94"/>
      <c r="P668" s="94"/>
      <c r="Q668" s="94"/>
      <c r="R668" s="95"/>
      <c r="S668" s="94"/>
      <c r="T668" s="96"/>
      <c r="U668" s="94"/>
      <c r="V668" s="97"/>
      <c r="W668" s="94"/>
      <c r="X668" s="98"/>
      <c r="Y668" s="98"/>
      <c r="Z668" s="98"/>
      <c r="AA668" s="98"/>
      <c r="AB668" s="98"/>
      <c r="AC668" s="97"/>
      <c r="AD668" s="99"/>
      <c r="AE668" s="95"/>
      <c r="AF668" s="94"/>
      <c r="AG668" s="89"/>
      <c r="AH668" s="89"/>
      <c r="AI668" s="89"/>
      <c r="AJ668" s="89"/>
      <c r="AK668" s="89"/>
      <c r="AL668" s="89"/>
      <c r="AM668" s="89"/>
      <c r="AN668" s="89"/>
      <c r="AO668" s="89"/>
      <c r="AP668" s="89"/>
      <c r="AQ668" s="89"/>
      <c r="AR668" s="89"/>
      <c r="AS668" s="89"/>
      <c r="AT668" s="89"/>
      <c r="AU668" s="89"/>
      <c r="AV668" s="89"/>
      <c r="AW668" s="100"/>
      <c r="AX668" s="100"/>
      <c r="AY668" s="89"/>
      <c r="AZ668" s="89"/>
      <c r="BA668" s="89"/>
      <c r="BB668" s="89"/>
      <c r="BC668" s="89"/>
      <c r="BD668" s="89"/>
      <c r="BE668" s="89"/>
      <c r="BF668" s="89"/>
      <c r="BG668" s="89"/>
      <c r="BH668" s="89"/>
      <c r="BI668" s="89"/>
      <c r="BJ668" s="89"/>
      <c r="BK668" s="89"/>
      <c r="BL668" s="89"/>
      <c r="BM668" s="89"/>
      <c r="BN668" s="89"/>
      <c r="BO668" s="89"/>
      <c r="BP668" s="89"/>
      <c r="BQ668" s="89"/>
      <c r="BR668" s="89"/>
      <c r="BS668" s="89"/>
    </row>
    <row r="669" spans="1:71" ht="27" customHeight="1" x14ac:dyDescent="0.2">
      <c r="A669" s="93"/>
      <c r="B669" s="89"/>
      <c r="C669" s="89"/>
      <c r="D669" s="89"/>
      <c r="E669" s="89"/>
      <c r="F669" s="89"/>
      <c r="G669" s="89"/>
      <c r="H669" s="94"/>
      <c r="I669" s="94"/>
      <c r="J669" s="94"/>
      <c r="K669" s="94"/>
      <c r="L669" s="94"/>
      <c r="M669" s="94"/>
      <c r="N669" s="94"/>
      <c r="O669" s="94"/>
      <c r="P669" s="94"/>
      <c r="Q669" s="94"/>
      <c r="R669" s="95"/>
      <c r="S669" s="94"/>
      <c r="T669" s="96"/>
      <c r="U669" s="94"/>
      <c r="V669" s="97"/>
      <c r="W669" s="94"/>
      <c r="X669" s="98"/>
      <c r="Y669" s="98"/>
      <c r="Z669" s="98"/>
      <c r="AA669" s="98"/>
      <c r="AB669" s="98"/>
      <c r="AC669" s="97"/>
      <c r="AD669" s="99"/>
      <c r="AE669" s="95"/>
      <c r="AF669" s="94"/>
      <c r="AG669" s="89"/>
      <c r="AH669" s="89"/>
      <c r="AI669" s="89"/>
      <c r="AJ669" s="89"/>
      <c r="AK669" s="89"/>
      <c r="AL669" s="89"/>
      <c r="AM669" s="89"/>
      <c r="AN669" s="89"/>
      <c r="AO669" s="89"/>
      <c r="AP669" s="89"/>
      <c r="AQ669" s="89"/>
      <c r="AR669" s="89"/>
      <c r="AS669" s="89"/>
      <c r="AT669" s="89"/>
      <c r="AU669" s="89"/>
      <c r="AV669" s="89"/>
      <c r="AW669" s="100"/>
      <c r="AX669" s="100"/>
      <c r="AY669" s="89"/>
      <c r="AZ669" s="89"/>
      <c r="BA669" s="89"/>
      <c r="BB669" s="89"/>
      <c r="BC669" s="89"/>
      <c r="BD669" s="89"/>
      <c r="BE669" s="89"/>
      <c r="BF669" s="89"/>
      <c r="BG669" s="89"/>
      <c r="BH669" s="89"/>
      <c r="BI669" s="89"/>
      <c r="BJ669" s="89"/>
      <c r="BK669" s="89"/>
      <c r="BL669" s="89"/>
      <c r="BM669" s="89"/>
      <c r="BN669" s="89"/>
      <c r="BO669" s="89"/>
      <c r="BP669" s="89"/>
      <c r="BQ669" s="89"/>
      <c r="BR669" s="89"/>
      <c r="BS669" s="89"/>
    </row>
    <row r="670" spans="1:71" ht="27" customHeight="1" x14ac:dyDescent="0.2">
      <c r="A670" s="93"/>
      <c r="B670" s="89"/>
      <c r="C670" s="89"/>
      <c r="D670" s="89"/>
      <c r="E670" s="89"/>
      <c r="F670" s="89"/>
      <c r="G670" s="89"/>
      <c r="H670" s="94"/>
      <c r="I670" s="94"/>
      <c r="J670" s="94"/>
      <c r="K670" s="94"/>
      <c r="L670" s="94"/>
      <c r="M670" s="94"/>
      <c r="N670" s="94"/>
      <c r="O670" s="94"/>
      <c r="P670" s="94"/>
      <c r="Q670" s="94"/>
      <c r="R670" s="95"/>
      <c r="S670" s="94"/>
      <c r="T670" s="96"/>
      <c r="U670" s="94"/>
      <c r="V670" s="97"/>
      <c r="W670" s="94"/>
      <c r="X670" s="98"/>
      <c r="Y670" s="98"/>
      <c r="Z670" s="98"/>
      <c r="AA670" s="98"/>
      <c r="AB670" s="98"/>
      <c r="AC670" s="97"/>
      <c r="AD670" s="99"/>
      <c r="AE670" s="95"/>
      <c r="AF670" s="94"/>
      <c r="AG670" s="89"/>
      <c r="AH670" s="89"/>
      <c r="AI670" s="89"/>
      <c r="AJ670" s="89"/>
      <c r="AK670" s="89"/>
      <c r="AL670" s="89"/>
      <c r="AM670" s="89"/>
      <c r="AN670" s="89"/>
      <c r="AO670" s="89"/>
      <c r="AP670" s="89"/>
      <c r="AQ670" s="89"/>
      <c r="AR670" s="89"/>
      <c r="AS670" s="89"/>
      <c r="AT670" s="89"/>
      <c r="AU670" s="89"/>
      <c r="AV670" s="89"/>
      <c r="AW670" s="100"/>
      <c r="AX670" s="100"/>
      <c r="AY670" s="89"/>
      <c r="AZ670" s="89"/>
      <c r="BA670" s="89"/>
      <c r="BB670" s="89"/>
      <c r="BC670" s="89"/>
      <c r="BD670" s="89"/>
      <c r="BE670" s="89"/>
      <c r="BF670" s="89"/>
      <c r="BG670" s="89"/>
      <c r="BH670" s="89"/>
      <c r="BI670" s="89"/>
      <c r="BJ670" s="89"/>
      <c r="BK670" s="89"/>
      <c r="BL670" s="89"/>
      <c r="BM670" s="89"/>
      <c r="BN670" s="89"/>
      <c r="BO670" s="89"/>
      <c r="BP670" s="89"/>
      <c r="BQ670" s="89"/>
      <c r="BR670" s="89"/>
      <c r="BS670" s="89"/>
    </row>
    <row r="671" spans="1:71" ht="27" customHeight="1" x14ac:dyDescent="0.2">
      <c r="A671" s="93"/>
      <c r="B671" s="89"/>
      <c r="C671" s="89"/>
      <c r="D671" s="89"/>
      <c r="E671" s="89"/>
      <c r="F671" s="89"/>
      <c r="G671" s="89"/>
      <c r="H671" s="94"/>
      <c r="I671" s="94"/>
      <c r="J671" s="94"/>
      <c r="K671" s="94"/>
      <c r="L671" s="94"/>
      <c r="M671" s="94"/>
      <c r="N671" s="94"/>
      <c r="O671" s="94"/>
      <c r="P671" s="94"/>
      <c r="Q671" s="94"/>
      <c r="R671" s="95"/>
      <c r="S671" s="94"/>
      <c r="T671" s="96"/>
      <c r="U671" s="94"/>
      <c r="V671" s="97"/>
      <c r="W671" s="94"/>
      <c r="X671" s="98"/>
      <c r="Y671" s="98"/>
      <c r="Z671" s="98"/>
      <c r="AA671" s="98"/>
      <c r="AB671" s="98"/>
      <c r="AC671" s="97"/>
      <c r="AD671" s="99"/>
      <c r="AE671" s="95"/>
      <c r="AF671" s="94"/>
      <c r="AG671" s="89"/>
      <c r="AH671" s="89"/>
      <c r="AI671" s="89"/>
      <c r="AJ671" s="89"/>
      <c r="AK671" s="89"/>
      <c r="AL671" s="89"/>
      <c r="AM671" s="89"/>
      <c r="AN671" s="89"/>
      <c r="AO671" s="89"/>
      <c r="AP671" s="89"/>
      <c r="AQ671" s="89"/>
      <c r="AR671" s="89"/>
      <c r="AS671" s="89"/>
      <c r="AT671" s="89"/>
      <c r="AU671" s="89"/>
      <c r="AV671" s="89"/>
      <c r="AW671" s="100"/>
      <c r="AX671" s="100"/>
      <c r="AY671" s="89"/>
      <c r="AZ671" s="89"/>
      <c r="BA671" s="89"/>
      <c r="BB671" s="89"/>
      <c r="BC671" s="89"/>
      <c r="BD671" s="89"/>
      <c r="BE671" s="89"/>
      <c r="BF671" s="89"/>
      <c r="BG671" s="89"/>
      <c r="BH671" s="89"/>
      <c r="BI671" s="89"/>
      <c r="BJ671" s="89"/>
      <c r="BK671" s="89"/>
      <c r="BL671" s="89"/>
      <c r="BM671" s="89"/>
      <c r="BN671" s="89"/>
      <c r="BO671" s="89"/>
      <c r="BP671" s="89"/>
      <c r="BQ671" s="89"/>
      <c r="BR671" s="89"/>
      <c r="BS671" s="89"/>
    </row>
    <row r="672" spans="1:71" ht="27" customHeight="1" x14ac:dyDescent="0.2">
      <c r="A672" s="93"/>
      <c r="B672" s="89"/>
      <c r="C672" s="89"/>
      <c r="D672" s="89"/>
      <c r="E672" s="89"/>
      <c r="F672" s="89"/>
      <c r="G672" s="89"/>
      <c r="H672" s="94"/>
      <c r="I672" s="94"/>
      <c r="J672" s="94"/>
      <c r="K672" s="94"/>
      <c r="L672" s="94"/>
      <c r="M672" s="94"/>
      <c r="N672" s="94"/>
      <c r="O672" s="94"/>
      <c r="P672" s="94"/>
      <c r="Q672" s="94"/>
      <c r="R672" s="95"/>
      <c r="S672" s="94"/>
      <c r="T672" s="96"/>
      <c r="U672" s="94"/>
      <c r="V672" s="97"/>
      <c r="W672" s="94"/>
      <c r="X672" s="98"/>
      <c r="Y672" s="98"/>
      <c r="Z672" s="98"/>
      <c r="AA672" s="98"/>
      <c r="AB672" s="98"/>
      <c r="AC672" s="97"/>
      <c r="AD672" s="99"/>
      <c r="AE672" s="95"/>
      <c r="AF672" s="94"/>
      <c r="AG672" s="89"/>
      <c r="AH672" s="89"/>
      <c r="AI672" s="89"/>
      <c r="AJ672" s="89"/>
      <c r="AK672" s="89"/>
      <c r="AL672" s="89"/>
      <c r="AM672" s="89"/>
      <c r="AN672" s="89"/>
      <c r="AO672" s="89"/>
      <c r="AP672" s="89"/>
      <c r="AQ672" s="89"/>
      <c r="AR672" s="89"/>
      <c r="AS672" s="89"/>
      <c r="AT672" s="89"/>
      <c r="AU672" s="89"/>
      <c r="AV672" s="89"/>
      <c r="AW672" s="100"/>
      <c r="AX672" s="100"/>
      <c r="AY672" s="89"/>
      <c r="AZ672" s="89"/>
      <c r="BA672" s="89"/>
      <c r="BB672" s="89"/>
      <c r="BC672" s="89"/>
      <c r="BD672" s="89"/>
      <c r="BE672" s="89"/>
      <c r="BF672" s="89"/>
      <c r="BG672" s="89"/>
      <c r="BH672" s="89"/>
      <c r="BI672" s="89"/>
      <c r="BJ672" s="89"/>
      <c r="BK672" s="89"/>
      <c r="BL672" s="89"/>
      <c r="BM672" s="89"/>
      <c r="BN672" s="89"/>
      <c r="BO672" s="89"/>
      <c r="BP672" s="89"/>
      <c r="BQ672" s="89"/>
      <c r="BR672" s="89"/>
      <c r="BS672" s="89"/>
    </row>
    <row r="673" spans="1:71" ht="27" customHeight="1" x14ac:dyDescent="0.2">
      <c r="A673" s="93"/>
      <c r="B673" s="89"/>
      <c r="C673" s="89"/>
      <c r="D673" s="89"/>
      <c r="E673" s="89"/>
      <c r="F673" s="89"/>
      <c r="G673" s="89"/>
      <c r="H673" s="94"/>
      <c r="I673" s="94"/>
      <c r="J673" s="94"/>
      <c r="K673" s="94"/>
      <c r="L673" s="94"/>
      <c r="M673" s="94"/>
      <c r="N673" s="94"/>
      <c r="O673" s="94"/>
      <c r="P673" s="94"/>
      <c r="Q673" s="94"/>
      <c r="R673" s="95"/>
      <c r="S673" s="94"/>
      <c r="T673" s="96"/>
      <c r="U673" s="94"/>
      <c r="V673" s="97"/>
      <c r="W673" s="94"/>
      <c r="X673" s="98"/>
      <c r="Y673" s="98"/>
      <c r="Z673" s="98"/>
      <c r="AA673" s="98"/>
      <c r="AB673" s="98"/>
      <c r="AC673" s="97"/>
      <c r="AD673" s="99"/>
      <c r="AE673" s="95"/>
      <c r="AF673" s="94"/>
      <c r="AG673" s="89"/>
      <c r="AH673" s="89"/>
      <c r="AI673" s="89"/>
      <c r="AJ673" s="89"/>
      <c r="AK673" s="89"/>
      <c r="AL673" s="89"/>
      <c r="AM673" s="89"/>
      <c r="AN673" s="89"/>
      <c r="AO673" s="89"/>
      <c r="AP673" s="89"/>
      <c r="AQ673" s="89"/>
      <c r="AR673" s="89"/>
      <c r="AS673" s="89"/>
      <c r="AT673" s="89"/>
      <c r="AU673" s="89"/>
      <c r="AV673" s="89"/>
      <c r="AW673" s="100"/>
      <c r="AX673" s="100"/>
      <c r="AY673" s="89"/>
      <c r="AZ673" s="89"/>
      <c r="BA673" s="89"/>
      <c r="BB673" s="89"/>
      <c r="BC673" s="89"/>
      <c r="BD673" s="89"/>
      <c r="BE673" s="89"/>
      <c r="BF673" s="89"/>
      <c r="BG673" s="89"/>
      <c r="BH673" s="89"/>
      <c r="BI673" s="89"/>
      <c r="BJ673" s="89"/>
      <c r="BK673" s="89"/>
      <c r="BL673" s="89"/>
      <c r="BM673" s="89"/>
      <c r="BN673" s="89"/>
      <c r="BO673" s="89"/>
      <c r="BP673" s="89"/>
      <c r="BQ673" s="89"/>
      <c r="BR673" s="89"/>
      <c r="BS673" s="89"/>
    </row>
    <row r="674" spans="1:71" ht="27" customHeight="1" x14ac:dyDescent="0.2">
      <c r="A674" s="93"/>
      <c r="B674" s="89"/>
      <c r="C674" s="89"/>
      <c r="D674" s="89"/>
      <c r="E674" s="89"/>
      <c r="F674" s="89"/>
      <c r="G674" s="89"/>
      <c r="H674" s="94"/>
      <c r="I674" s="94"/>
      <c r="J674" s="94"/>
      <c r="K674" s="94"/>
      <c r="L674" s="94"/>
      <c r="M674" s="94"/>
      <c r="N674" s="94"/>
      <c r="O674" s="94"/>
      <c r="P674" s="94"/>
      <c r="Q674" s="94"/>
      <c r="R674" s="95"/>
      <c r="S674" s="94"/>
      <c r="T674" s="96"/>
      <c r="U674" s="94"/>
      <c r="V674" s="97"/>
      <c r="W674" s="94"/>
      <c r="X674" s="98"/>
      <c r="Y674" s="98"/>
      <c r="Z674" s="98"/>
      <c r="AA674" s="98"/>
      <c r="AB674" s="98"/>
      <c r="AC674" s="97"/>
      <c r="AD674" s="99"/>
      <c r="AE674" s="95"/>
      <c r="AF674" s="94"/>
      <c r="AG674" s="89"/>
      <c r="AH674" s="89"/>
      <c r="AI674" s="89"/>
      <c r="AJ674" s="89"/>
      <c r="AK674" s="89"/>
      <c r="AL674" s="89"/>
      <c r="AM674" s="89"/>
      <c r="AN674" s="89"/>
      <c r="AO674" s="89"/>
      <c r="AP674" s="89"/>
      <c r="AQ674" s="89"/>
      <c r="AR674" s="89"/>
      <c r="AS674" s="89"/>
      <c r="AT674" s="89"/>
      <c r="AU674" s="89"/>
      <c r="AV674" s="89"/>
      <c r="AW674" s="100"/>
      <c r="AX674" s="100"/>
      <c r="AY674" s="89"/>
      <c r="AZ674" s="89"/>
      <c r="BA674" s="89"/>
      <c r="BB674" s="89"/>
      <c r="BC674" s="89"/>
      <c r="BD674" s="89"/>
      <c r="BE674" s="89"/>
      <c r="BF674" s="89"/>
      <c r="BG674" s="89"/>
      <c r="BH674" s="89"/>
      <c r="BI674" s="89"/>
      <c r="BJ674" s="89"/>
      <c r="BK674" s="89"/>
      <c r="BL674" s="89"/>
      <c r="BM674" s="89"/>
      <c r="BN674" s="89"/>
      <c r="BO674" s="89"/>
      <c r="BP674" s="89"/>
      <c r="BQ674" s="89"/>
      <c r="BR674" s="89"/>
      <c r="BS674" s="89"/>
    </row>
    <row r="675" spans="1:71" ht="27" customHeight="1" x14ac:dyDescent="0.2">
      <c r="A675" s="93"/>
      <c r="B675" s="89"/>
      <c r="C675" s="89"/>
      <c r="D675" s="89"/>
      <c r="E675" s="89"/>
      <c r="F675" s="89"/>
      <c r="G675" s="89"/>
      <c r="H675" s="94"/>
      <c r="I675" s="94"/>
      <c r="J675" s="94"/>
      <c r="K675" s="94"/>
      <c r="L675" s="94"/>
      <c r="M675" s="94"/>
      <c r="N675" s="94"/>
      <c r="O675" s="94"/>
      <c r="P675" s="94"/>
      <c r="Q675" s="94"/>
      <c r="R675" s="95"/>
      <c r="S675" s="94"/>
      <c r="T675" s="96"/>
      <c r="U675" s="94"/>
      <c r="V675" s="97"/>
      <c r="W675" s="94"/>
      <c r="X675" s="98"/>
      <c r="Y675" s="98"/>
      <c r="Z675" s="98"/>
      <c r="AA675" s="98"/>
      <c r="AB675" s="98"/>
      <c r="AC675" s="97"/>
      <c r="AD675" s="99"/>
      <c r="AE675" s="95"/>
      <c r="AF675" s="94"/>
      <c r="AG675" s="89"/>
      <c r="AH675" s="89"/>
      <c r="AI675" s="89"/>
      <c r="AJ675" s="89"/>
      <c r="AK675" s="89"/>
      <c r="AL675" s="89"/>
      <c r="AM675" s="89"/>
      <c r="AN675" s="89"/>
      <c r="AO675" s="89"/>
      <c r="AP675" s="89"/>
      <c r="AQ675" s="89"/>
      <c r="AR675" s="89"/>
      <c r="AS675" s="89"/>
      <c r="AT675" s="89"/>
      <c r="AU675" s="89"/>
      <c r="AV675" s="89"/>
      <c r="AW675" s="100"/>
      <c r="AX675" s="100"/>
      <c r="AY675" s="89"/>
      <c r="AZ675" s="89"/>
      <c r="BA675" s="89"/>
      <c r="BB675" s="89"/>
      <c r="BC675" s="89"/>
      <c r="BD675" s="89"/>
      <c r="BE675" s="89"/>
      <c r="BF675" s="89"/>
      <c r="BG675" s="89"/>
      <c r="BH675" s="89"/>
      <c r="BI675" s="89"/>
      <c r="BJ675" s="89"/>
      <c r="BK675" s="89"/>
      <c r="BL675" s="89"/>
      <c r="BM675" s="89"/>
      <c r="BN675" s="89"/>
      <c r="BO675" s="89"/>
      <c r="BP675" s="89"/>
      <c r="BQ675" s="89"/>
      <c r="BR675" s="89"/>
      <c r="BS675" s="89"/>
    </row>
    <row r="676" spans="1:71" ht="27" customHeight="1" x14ac:dyDescent="0.2">
      <c r="A676" s="93"/>
      <c r="B676" s="89"/>
      <c r="C676" s="89"/>
      <c r="D676" s="89"/>
      <c r="E676" s="89"/>
      <c r="F676" s="89"/>
      <c r="G676" s="89"/>
      <c r="H676" s="94"/>
      <c r="I676" s="94"/>
      <c r="J676" s="94"/>
      <c r="K676" s="94"/>
      <c r="L676" s="94"/>
      <c r="M676" s="94"/>
      <c r="N676" s="94"/>
      <c r="O676" s="94"/>
      <c r="P676" s="94"/>
      <c r="Q676" s="94"/>
      <c r="R676" s="95"/>
      <c r="S676" s="94"/>
      <c r="T676" s="96"/>
      <c r="U676" s="94"/>
      <c r="V676" s="97"/>
      <c r="W676" s="94"/>
      <c r="X676" s="98"/>
      <c r="Y676" s="98"/>
      <c r="Z676" s="98"/>
      <c r="AA676" s="98"/>
      <c r="AB676" s="98"/>
      <c r="AC676" s="97"/>
      <c r="AD676" s="99"/>
      <c r="AE676" s="95"/>
      <c r="AF676" s="94"/>
      <c r="AG676" s="89"/>
      <c r="AH676" s="89"/>
      <c r="AI676" s="89"/>
      <c r="AJ676" s="89"/>
      <c r="AK676" s="89"/>
      <c r="AL676" s="89"/>
      <c r="AM676" s="89"/>
      <c r="AN676" s="89"/>
      <c r="AO676" s="89"/>
      <c r="AP676" s="89"/>
      <c r="AQ676" s="89"/>
      <c r="AR676" s="89"/>
      <c r="AS676" s="89"/>
      <c r="AT676" s="89"/>
      <c r="AU676" s="89"/>
      <c r="AV676" s="89"/>
      <c r="AW676" s="100"/>
      <c r="AX676" s="100"/>
      <c r="AY676" s="89"/>
      <c r="AZ676" s="89"/>
      <c r="BA676" s="89"/>
      <c r="BB676" s="89"/>
      <c r="BC676" s="89"/>
      <c r="BD676" s="89"/>
      <c r="BE676" s="89"/>
      <c r="BF676" s="89"/>
      <c r="BG676" s="89"/>
      <c r="BH676" s="89"/>
      <c r="BI676" s="89"/>
      <c r="BJ676" s="89"/>
      <c r="BK676" s="89"/>
      <c r="BL676" s="89"/>
      <c r="BM676" s="89"/>
      <c r="BN676" s="89"/>
      <c r="BO676" s="89"/>
      <c r="BP676" s="89"/>
      <c r="BQ676" s="89"/>
      <c r="BR676" s="89"/>
      <c r="BS676" s="89"/>
    </row>
    <row r="677" spans="1:71" ht="27" customHeight="1" x14ac:dyDescent="0.2">
      <c r="A677" s="93"/>
      <c r="B677" s="89"/>
      <c r="C677" s="89"/>
      <c r="D677" s="89"/>
      <c r="E677" s="89"/>
      <c r="F677" s="89"/>
      <c r="G677" s="89"/>
      <c r="H677" s="94"/>
      <c r="I677" s="94"/>
      <c r="J677" s="94"/>
      <c r="K677" s="94"/>
      <c r="L677" s="94"/>
      <c r="M677" s="94"/>
      <c r="N677" s="94"/>
      <c r="O677" s="94"/>
      <c r="P677" s="94"/>
      <c r="Q677" s="94"/>
      <c r="R677" s="95"/>
      <c r="S677" s="94"/>
      <c r="T677" s="96"/>
      <c r="U677" s="94"/>
      <c r="V677" s="97"/>
      <c r="W677" s="94"/>
      <c r="X677" s="98"/>
      <c r="Y677" s="98"/>
      <c r="Z677" s="98"/>
      <c r="AA677" s="98"/>
      <c r="AB677" s="98"/>
      <c r="AC677" s="97"/>
      <c r="AD677" s="99"/>
      <c r="AE677" s="95"/>
      <c r="AF677" s="94"/>
      <c r="AG677" s="89"/>
      <c r="AH677" s="89"/>
      <c r="AI677" s="89"/>
      <c r="AJ677" s="89"/>
      <c r="AK677" s="89"/>
      <c r="AL677" s="89"/>
      <c r="AM677" s="89"/>
      <c r="AN677" s="89"/>
      <c r="AO677" s="89"/>
      <c r="AP677" s="89"/>
      <c r="AQ677" s="89"/>
      <c r="AR677" s="89"/>
      <c r="AS677" s="89"/>
      <c r="AT677" s="89"/>
      <c r="AU677" s="89"/>
      <c r="AV677" s="89"/>
      <c r="AW677" s="100"/>
      <c r="AX677" s="100"/>
      <c r="AY677" s="89"/>
      <c r="AZ677" s="89"/>
      <c r="BA677" s="89"/>
      <c r="BB677" s="89"/>
      <c r="BC677" s="89"/>
      <c r="BD677" s="89"/>
      <c r="BE677" s="89"/>
      <c r="BF677" s="89"/>
      <c r="BG677" s="89"/>
      <c r="BH677" s="89"/>
      <c r="BI677" s="89"/>
      <c r="BJ677" s="89"/>
      <c r="BK677" s="89"/>
      <c r="BL677" s="89"/>
      <c r="BM677" s="89"/>
      <c r="BN677" s="89"/>
      <c r="BO677" s="89"/>
      <c r="BP677" s="89"/>
      <c r="BQ677" s="89"/>
      <c r="BR677" s="89"/>
      <c r="BS677" s="89"/>
    </row>
    <row r="678" spans="1:71" ht="27" customHeight="1" x14ac:dyDescent="0.2">
      <c r="A678" s="93"/>
      <c r="B678" s="89"/>
      <c r="C678" s="89"/>
      <c r="D678" s="89"/>
      <c r="E678" s="89"/>
      <c r="F678" s="89"/>
      <c r="G678" s="89"/>
      <c r="H678" s="94"/>
      <c r="I678" s="94"/>
      <c r="J678" s="94"/>
      <c r="K678" s="94"/>
      <c r="L678" s="94"/>
      <c r="M678" s="94"/>
      <c r="N678" s="94"/>
      <c r="O678" s="94"/>
      <c r="P678" s="94"/>
      <c r="Q678" s="94"/>
      <c r="R678" s="95"/>
      <c r="S678" s="94"/>
      <c r="T678" s="96"/>
      <c r="U678" s="94"/>
      <c r="V678" s="97"/>
      <c r="W678" s="94"/>
      <c r="X678" s="98"/>
      <c r="Y678" s="98"/>
      <c r="Z678" s="98"/>
      <c r="AA678" s="98"/>
      <c r="AB678" s="98"/>
      <c r="AC678" s="97"/>
      <c r="AD678" s="99"/>
      <c r="AE678" s="95"/>
      <c r="AF678" s="94"/>
      <c r="AG678" s="89"/>
      <c r="AH678" s="89"/>
      <c r="AI678" s="89"/>
      <c r="AJ678" s="89"/>
      <c r="AK678" s="89"/>
      <c r="AL678" s="89"/>
      <c r="AM678" s="89"/>
      <c r="AN678" s="89"/>
      <c r="AO678" s="89"/>
      <c r="AP678" s="89"/>
      <c r="AQ678" s="89"/>
      <c r="AR678" s="89"/>
      <c r="AS678" s="89"/>
      <c r="AT678" s="89"/>
      <c r="AU678" s="89"/>
      <c r="AV678" s="89"/>
      <c r="AW678" s="100"/>
      <c r="AX678" s="100"/>
      <c r="AY678" s="89"/>
      <c r="AZ678" s="89"/>
      <c r="BA678" s="89"/>
      <c r="BB678" s="89"/>
      <c r="BC678" s="89"/>
      <c r="BD678" s="89"/>
      <c r="BE678" s="89"/>
      <c r="BF678" s="89"/>
      <c r="BG678" s="89"/>
      <c r="BH678" s="89"/>
      <c r="BI678" s="89"/>
      <c r="BJ678" s="89"/>
      <c r="BK678" s="89"/>
      <c r="BL678" s="89"/>
      <c r="BM678" s="89"/>
      <c r="BN678" s="89"/>
      <c r="BO678" s="89"/>
      <c r="BP678" s="89"/>
      <c r="BQ678" s="89"/>
      <c r="BR678" s="89"/>
      <c r="BS678" s="89"/>
    </row>
    <row r="679" spans="1:71" ht="27" customHeight="1" x14ac:dyDescent="0.2">
      <c r="A679" s="93"/>
      <c r="B679" s="89"/>
      <c r="C679" s="89"/>
      <c r="D679" s="89"/>
      <c r="E679" s="89"/>
      <c r="F679" s="89"/>
      <c r="G679" s="89"/>
      <c r="H679" s="94"/>
      <c r="I679" s="94"/>
      <c r="J679" s="94"/>
      <c r="K679" s="94"/>
      <c r="L679" s="94"/>
      <c r="M679" s="94"/>
      <c r="N679" s="94"/>
      <c r="O679" s="94"/>
      <c r="P679" s="94"/>
      <c r="Q679" s="94"/>
      <c r="R679" s="95"/>
      <c r="S679" s="94"/>
      <c r="T679" s="96"/>
      <c r="U679" s="94"/>
      <c r="V679" s="97"/>
      <c r="W679" s="94"/>
      <c r="X679" s="98"/>
      <c r="Y679" s="98"/>
      <c r="Z679" s="98"/>
      <c r="AA679" s="98"/>
      <c r="AB679" s="98"/>
      <c r="AC679" s="97"/>
      <c r="AD679" s="99"/>
      <c r="AE679" s="95"/>
      <c r="AF679" s="94"/>
      <c r="AG679" s="89"/>
      <c r="AH679" s="89"/>
      <c r="AI679" s="89"/>
      <c r="AJ679" s="89"/>
      <c r="AK679" s="89"/>
      <c r="AL679" s="89"/>
      <c r="AM679" s="89"/>
      <c r="AN679" s="89"/>
      <c r="AO679" s="89"/>
      <c r="AP679" s="89"/>
      <c r="AQ679" s="89"/>
      <c r="AR679" s="89"/>
      <c r="AS679" s="89"/>
      <c r="AT679" s="89"/>
      <c r="AU679" s="89"/>
      <c r="AV679" s="89"/>
      <c r="AW679" s="100"/>
      <c r="AX679" s="100"/>
      <c r="AY679" s="89"/>
      <c r="AZ679" s="89"/>
      <c r="BA679" s="89"/>
      <c r="BB679" s="89"/>
      <c r="BC679" s="89"/>
      <c r="BD679" s="89"/>
      <c r="BE679" s="89"/>
      <c r="BF679" s="89"/>
      <c r="BG679" s="89"/>
      <c r="BH679" s="89"/>
      <c r="BI679" s="89"/>
      <c r="BJ679" s="89"/>
      <c r="BK679" s="89"/>
      <c r="BL679" s="89"/>
      <c r="BM679" s="89"/>
      <c r="BN679" s="89"/>
      <c r="BO679" s="89"/>
      <c r="BP679" s="89"/>
      <c r="BQ679" s="89"/>
      <c r="BR679" s="89"/>
      <c r="BS679" s="89"/>
    </row>
    <row r="680" spans="1:71" ht="27" customHeight="1" x14ac:dyDescent="0.2">
      <c r="A680" s="93"/>
      <c r="B680" s="89"/>
      <c r="C680" s="89"/>
      <c r="D680" s="89"/>
      <c r="E680" s="89"/>
      <c r="F680" s="89"/>
      <c r="G680" s="89"/>
      <c r="H680" s="94"/>
      <c r="I680" s="94"/>
      <c r="J680" s="94"/>
      <c r="K680" s="94"/>
      <c r="L680" s="94"/>
      <c r="M680" s="94"/>
      <c r="N680" s="94"/>
      <c r="O680" s="94"/>
      <c r="P680" s="94"/>
      <c r="Q680" s="94"/>
      <c r="R680" s="95"/>
      <c r="S680" s="94"/>
      <c r="T680" s="96"/>
      <c r="U680" s="94"/>
      <c r="V680" s="97"/>
      <c r="W680" s="94"/>
      <c r="X680" s="98"/>
      <c r="Y680" s="98"/>
      <c r="Z680" s="98"/>
      <c r="AA680" s="98"/>
      <c r="AB680" s="98"/>
      <c r="AC680" s="97"/>
      <c r="AD680" s="99"/>
      <c r="AE680" s="95"/>
      <c r="AF680" s="94"/>
      <c r="AG680" s="89"/>
      <c r="AH680" s="89"/>
      <c r="AI680" s="89"/>
      <c r="AJ680" s="89"/>
      <c r="AK680" s="89"/>
      <c r="AL680" s="89"/>
      <c r="AM680" s="89"/>
      <c r="AN680" s="89"/>
      <c r="AO680" s="89"/>
      <c r="AP680" s="89"/>
      <c r="AQ680" s="89"/>
      <c r="AR680" s="89"/>
      <c r="AS680" s="89"/>
      <c r="AT680" s="89"/>
      <c r="AU680" s="89"/>
      <c r="AV680" s="89"/>
      <c r="AW680" s="100"/>
      <c r="AX680" s="100"/>
      <c r="AY680" s="89"/>
      <c r="AZ680" s="89"/>
      <c r="BA680" s="89"/>
      <c r="BB680" s="89"/>
      <c r="BC680" s="89"/>
      <c r="BD680" s="89"/>
      <c r="BE680" s="89"/>
      <c r="BF680" s="89"/>
      <c r="BG680" s="89"/>
      <c r="BH680" s="89"/>
      <c r="BI680" s="89"/>
      <c r="BJ680" s="89"/>
      <c r="BK680" s="89"/>
      <c r="BL680" s="89"/>
      <c r="BM680" s="89"/>
      <c r="BN680" s="89"/>
      <c r="BO680" s="89"/>
      <c r="BP680" s="89"/>
      <c r="BQ680" s="89"/>
      <c r="BR680" s="89"/>
      <c r="BS680" s="89"/>
    </row>
    <row r="681" spans="1:71" ht="27" customHeight="1" x14ac:dyDescent="0.2">
      <c r="A681" s="93"/>
      <c r="B681" s="89"/>
      <c r="C681" s="89"/>
      <c r="D681" s="89"/>
      <c r="E681" s="89"/>
      <c r="F681" s="89"/>
      <c r="G681" s="89"/>
      <c r="H681" s="94"/>
      <c r="I681" s="94"/>
      <c r="J681" s="94"/>
      <c r="K681" s="94"/>
      <c r="L681" s="94"/>
      <c r="M681" s="94"/>
      <c r="N681" s="94"/>
      <c r="O681" s="94"/>
      <c r="P681" s="94"/>
      <c r="Q681" s="94"/>
      <c r="R681" s="95"/>
      <c r="S681" s="94"/>
      <c r="T681" s="96"/>
      <c r="U681" s="94"/>
      <c r="V681" s="97"/>
      <c r="W681" s="94"/>
      <c r="X681" s="98"/>
      <c r="Y681" s="98"/>
      <c r="Z681" s="98"/>
      <c r="AA681" s="98"/>
      <c r="AB681" s="98"/>
      <c r="AC681" s="97"/>
      <c r="AD681" s="99"/>
      <c r="AE681" s="95"/>
      <c r="AF681" s="94"/>
      <c r="AG681" s="89"/>
      <c r="AH681" s="89"/>
      <c r="AI681" s="89"/>
      <c r="AJ681" s="89"/>
      <c r="AK681" s="89"/>
      <c r="AL681" s="89"/>
      <c r="AM681" s="89"/>
      <c r="AN681" s="89"/>
      <c r="AO681" s="89"/>
      <c r="AP681" s="89"/>
      <c r="AQ681" s="89"/>
      <c r="AR681" s="89"/>
      <c r="AS681" s="89"/>
      <c r="AT681" s="89"/>
      <c r="AU681" s="89"/>
      <c r="AV681" s="89"/>
      <c r="AW681" s="100"/>
      <c r="AX681" s="100"/>
      <c r="AY681" s="89"/>
      <c r="AZ681" s="89"/>
      <c r="BA681" s="89"/>
      <c r="BB681" s="89"/>
      <c r="BC681" s="89"/>
      <c r="BD681" s="89"/>
      <c r="BE681" s="89"/>
      <c r="BF681" s="89"/>
      <c r="BG681" s="89"/>
      <c r="BH681" s="89"/>
      <c r="BI681" s="89"/>
      <c r="BJ681" s="89"/>
      <c r="BK681" s="89"/>
      <c r="BL681" s="89"/>
      <c r="BM681" s="89"/>
      <c r="BN681" s="89"/>
      <c r="BO681" s="89"/>
      <c r="BP681" s="89"/>
      <c r="BQ681" s="89"/>
      <c r="BR681" s="89"/>
      <c r="BS681" s="89"/>
    </row>
    <row r="682" spans="1:71" ht="27" customHeight="1" x14ac:dyDescent="0.2">
      <c r="A682" s="93"/>
      <c r="B682" s="89"/>
      <c r="C682" s="89"/>
      <c r="D682" s="89"/>
      <c r="E682" s="89"/>
      <c r="F682" s="89"/>
      <c r="G682" s="89"/>
      <c r="H682" s="94"/>
      <c r="I682" s="94"/>
      <c r="J682" s="94"/>
      <c r="K682" s="94"/>
      <c r="L682" s="94"/>
      <c r="M682" s="94"/>
      <c r="N682" s="94"/>
      <c r="O682" s="94"/>
      <c r="P682" s="94"/>
      <c r="Q682" s="94"/>
      <c r="R682" s="95"/>
      <c r="S682" s="94"/>
      <c r="T682" s="96"/>
      <c r="U682" s="94"/>
      <c r="V682" s="97"/>
      <c r="W682" s="94"/>
      <c r="X682" s="98"/>
      <c r="Y682" s="98"/>
      <c r="Z682" s="98"/>
      <c r="AA682" s="98"/>
      <c r="AB682" s="98"/>
      <c r="AC682" s="97"/>
      <c r="AD682" s="99"/>
      <c r="AE682" s="95"/>
      <c r="AF682" s="94"/>
      <c r="AG682" s="89"/>
      <c r="AH682" s="89"/>
      <c r="AI682" s="89"/>
      <c r="AJ682" s="89"/>
      <c r="AK682" s="89"/>
      <c r="AL682" s="89"/>
      <c r="AM682" s="89"/>
      <c r="AN682" s="89"/>
      <c r="AO682" s="89"/>
      <c r="AP682" s="89"/>
      <c r="AQ682" s="89"/>
      <c r="AR682" s="89"/>
      <c r="AS682" s="89"/>
      <c r="AT682" s="89"/>
      <c r="AU682" s="89"/>
      <c r="AV682" s="89"/>
      <c r="AW682" s="100"/>
      <c r="AX682" s="100"/>
      <c r="AY682" s="89"/>
      <c r="AZ682" s="89"/>
      <c r="BA682" s="89"/>
      <c r="BB682" s="89"/>
      <c r="BC682" s="89"/>
      <c r="BD682" s="89"/>
      <c r="BE682" s="89"/>
      <c r="BF682" s="89"/>
      <c r="BG682" s="89"/>
      <c r="BH682" s="89"/>
      <c r="BI682" s="89"/>
      <c r="BJ682" s="89"/>
      <c r="BK682" s="89"/>
      <c r="BL682" s="89"/>
      <c r="BM682" s="89"/>
      <c r="BN682" s="89"/>
      <c r="BO682" s="89"/>
      <c r="BP682" s="89"/>
      <c r="BQ682" s="89"/>
      <c r="BR682" s="89"/>
      <c r="BS682" s="89"/>
    </row>
    <row r="683" spans="1:71" ht="27" customHeight="1" x14ac:dyDescent="0.2">
      <c r="A683" s="93"/>
      <c r="B683" s="89"/>
      <c r="C683" s="89"/>
      <c r="D683" s="89"/>
      <c r="E683" s="89"/>
      <c r="F683" s="89"/>
      <c r="G683" s="89"/>
      <c r="H683" s="94"/>
      <c r="I683" s="94"/>
      <c r="J683" s="94"/>
      <c r="K683" s="94"/>
      <c r="L683" s="94"/>
      <c r="M683" s="94"/>
      <c r="N683" s="94"/>
      <c r="O683" s="94"/>
      <c r="P683" s="94"/>
      <c r="Q683" s="94"/>
      <c r="R683" s="95"/>
      <c r="S683" s="94"/>
      <c r="T683" s="96"/>
      <c r="U683" s="94"/>
      <c r="V683" s="97"/>
      <c r="W683" s="94"/>
      <c r="X683" s="98"/>
      <c r="Y683" s="98"/>
      <c r="Z683" s="98"/>
      <c r="AA683" s="98"/>
      <c r="AB683" s="98"/>
      <c r="AC683" s="97"/>
      <c r="AD683" s="99"/>
      <c r="AE683" s="95"/>
      <c r="AF683" s="94"/>
      <c r="AG683" s="89"/>
      <c r="AH683" s="89"/>
      <c r="AI683" s="89"/>
      <c r="AJ683" s="89"/>
      <c r="AK683" s="89"/>
      <c r="AL683" s="89"/>
      <c r="AM683" s="89"/>
      <c r="AN683" s="89"/>
      <c r="AO683" s="89"/>
      <c r="AP683" s="89"/>
      <c r="AQ683" s="89"/>
      <c r="AR683" s="89"/>
      <c r="AS683" s="89"/>
      <c r="AT683" s="89"/>
      <c r="AU683" s="89"/>
      <c r="AV683" s="89"/>
      <c r="AW683" s="100"/>
      <c r="AX683" s="100"/>
      <c r="AY683" s="89"/>
      <c r="AZ683" s="89"/>
      <c r="BA683" s="89"/>
      <c r="BB683" s="89"/>
      <c r="BC683" s="89"/>
      <c r="BD683" s="89"/>
      <c r="BE683" s="89"/>
      <c r="BF683" s="89"/>
      <c r="BG683" s="89"/>
      <c r="BH683" s="89"/>
      <c r="BI683" s="89"/>
      <c r="BJ683" s="89"/>
      <c r="BK683" s="89"/>
      <c r="BL683" s="89"/>
      <c r="BM683" s="89"/>
      <c r="BN683" s="89"/>
      <c r="BO683" s="89"/>
      <c r="BP683" s="89"/>
      <c r="BQ683" s="89"/>
      <c r="BR683" s="89"/>
      <c r="BS683" s="89"/>
    </row>
    <row r="684" spans="1:71" ht="27" customHeight="1" x14ac:dyDescent="0.2">
      <c r="A684" s="93"/>
      <c r="B684" s="89"/>
      <c r="C684" s="89"/>
      <c r="D684" s="89"/>
      <c r="E684" s="89"/>
      <c r="F684" s="89"/>
      <c r="G684" s="89"/>
      <c r="H684" s="94"/>
      <c r="I684" s="94"/>
      <c r="J684" s="94"/>
      <c r="K684" s="94"/>
      <c r="L684" s="94"/>
      <c r="M684" s="94"/>
      <c r="N684" s="94"/>
      <c r="O684" s="94"/>
      <c r="P684" s="94"/>
      <c r="Q684" s="94"/>
      <c r="R684" s="95"/>
      <c r="S684" s="94"/>
      <c r="T684" s="96"/>
      <c r="U684" s="94"/>
      <c r="V684" s="97"/>
      <c r="W684" s="94"/>
      <c r="X684" s="98"/>
      <c r="Y684" s="98"/>
      <c r="Z684" s="98"/>
      <c r="AA684" s="98"/>
      <c r="AB684" s="98"/>
      <c r="AC684" s="97"/>
      <c r="AD684" s="99"/>
      <c r="AE684" s="95"/>
      <c r="AF684" s="94"/>
      <c r="AG684" s="89"/>
      <c r="AH684" s="89"/>
      <c r="AI684" s="89"/>
      <c r="AJ684" s="89"/>
      <c r="AK684" s="89"/>
      <c r="AL684" s="89"/>
      <c r="AM684" s="89"/>
      <c r="AN684" s="89"/>
      <c r="AO684" s="89"/>
      <c r="AP684" s="89"/>
      <c r="AQ684" s="89"/>
      <c r="AR684" s="89"/>
      <c r="AS684" s="89"/>
      <c r="AT684" s="89"/>
      <c r="AU684" s="89"/>
      <c r="AV684" s="89"/>
      <c r="AW684" s="100"/>
      <c r="AX684" s="100"/>
      <c r="AY684" s="89"/>
      <c r="AZ684" s="89"/>
      <c r="BA684" s="89"/>
      <c r="BB684" s="89"/>
      <c r="BC684" s="89"/>
      <c r="BD684" s="89"/>
      <c r="BE684" s="89"/>
      <c r="BF684" s="89"/>
      <c r="BG684" s="89"/>
      <c r="BH684" s="89"/>
      <c r="BI684" s="89"/>
      <c r="BJ684" s="89"/>
      <c r="BK684" s="89"/>
      <c r="BL684" s="89"/>
      <c r="BM684" s="89"/>
      <c r="BN684" s="89"/>
      <c r="BO684" s="89"/>
      <c r="BP684" s="89"/>
      <c r="BQ684" s="89"/>
      <c r="BR684" s="89"/>
      <c r="BS684" s="89"/>
    </row>
    <row r="685" spans="1:71" ht="27" customHeight="1" x14ac:dyDescent="0.2">
      <c r="A685" s="93"/>
      <c r="B685" s="89"/>
      <c r="C685" s="89"/>
      <c r="D685" s="89"/>
      <c r="E685" s="89"/>
      <c r="F685" s="89"/>
      <c r="G685" s="89"/>
      <c r="H685" s="94"/>
      <c r="I685" s="94"/>
      <c r="J685" s="94"/>
      <c r="K685" s="94"/>
      <c r="L685" s="94"/>
      <c r="M685" s="94"/>
      <c r="N685" s="94"/>
      <c r="O685" s="94"/>
      <c r="P685" s="94"/>
      <c r="Q685" s="94"/>
      <c r="R685" s="95"/>
      <c r="S685" s="94"/>
      <c r="T685" s="96"/>
      <c r="U685" s="94"/>
      <c r="V685" s="97"/>
      <c r="W685" s="94"/>
      <c r="X685" s="98"/>
      <c r="Y685" s="98"/>
      <c r="Z685" s="98"/>
      <c r="AA685" s="98"/>
      <c r="AB685" s="98"/>
      <c r="AC685" s="97"/>
      <c r="AD685" s="99"/>
      <c r="AE685" s="95"/>
      <c r="AF685" s="94"/>
      <c r="AG685" s="89"/>
      <c r="AH685" s="89"/>
      <c r="AI685" s="89"/>
      <c r="AJ685" s="89"/>
      <c r="AK685" s="89"/>
      <c r="AL685" s="89"/>
      <c r="AM685" s="89"/>
      <c r="AN685" s="89"/>
      <c r="AO685" s="89"/>
      <c r="AP685" s="89"/>
      <c r="AQ685" s="89"/>
      <c r="AR685" s="89"/>
      <c r="AS685" s="89"/>
      <c r="AT685" s="89"/>
      <c r="AU685" s="89"/>
      <c r="AV685" s="89"/>
      <c r="AW685" s="100"/>
      <c r="AX685" s="100"/>
      <c r="AY685" s="89"/>
      <c r="AZ685" s="89"/>
      <c r="BA685" s="89"/>
      <c r="BB685" s="89"/>
      <c r="BC685" s="89"/>
      <c r="BD685" s="89"/>
      <c r="BE685" s="89"/>
      <c r="BF685" s="89"/>
      <c r="BG685" s="89"/>
      <c r="BH685" s="89"/>
      <c r="BI685" s="89"/>
      <c r="BJ685" s="89"/>
      <c r="BK685" s="89"/>
      <c r="BL685" s="89"/>
      <c r="BM685" s="89"/>
      <c r="BN685" s="89"/>
      <c r="BO685" s="89"/>
      <c r="BP685" s="89"/>
      <c r="BQ685" s="89"/>
      <c r="BR685" s="89"/>
      <c r="BS685" s="89"/>
    </row>
    <row r="686" spans="1:71" ht="27" customHeight="1" x14ac:dyDescent="0.2">
      <c r="A686" s="93"/>
      <c r="B686" s="89"/>
      <c r="C686" s="89"/>
      <c r="D686" s="89"/>
      <c r="E686" s="89"/>
      <c r="F686" s="89"/>
      <c r="G686" s="89"/>
      <c r="H686" s="94"/>
      <c r="I686" s="94"/>
      <c r="J686" s="94"/>
      <c r="K686" s="94"/>
      <c r="L686" s="94"/>
      <c r="M686" s="94"/>
      <c r="N686" s="94"/>
      <c r="O686" s="94"/>
      <c r="P686" s="94"/>
      <c r="Q686" s="94"/>
      <c r="R686" s="95"/>
      <c r="S686" s="94"/>
      <c r="T686" s="96"/>
      <c r="U686" s="94"/>
      <c r="V686" s="97"/>
      <c r="W686" s="94"/>
      <c r="X686" s="98"/>
      <c r="Y686" s="98"/>
      <c r="Z686" s="98"/>
      <c r="AA686" s="98"/>
      <c r="AB686" s="98"/>
      <c r="AC686" s="97"/>
      <c r="AD686" s="99"/>
      <c r="AE686" s="95"/>
      <c r="AF686" s="94"/>
      <c r="AG686" s="89"/>
      <c r="AH686" s="89"/>
      <c r="AI686" s="89"/>
      <c r="AJ686" s="89"/>
      <c r="AK686" s="89"/>
      <c r="AL686" s="89"/>
      <c r="AM686" s="89"/>
      <c r="AN686" s="89"/>
      <c r="AO686" s="89"/>
      <c r="AP686" s="89"/>
      <c r="AQ686" s="89"/>
      <c r="AR686" s="89"/>
      <c r="AS686" s="89"/>
      <c r="AT686" s="89"/>
      <c r="AU686" s="89"/>
      <c r="AV686" s="89"/>
      <c r="AW686" s="100"/>
      <c r="AX686" s="100"/>
      <c r="AY686" s="89"/>
      <c r="AZ686" s="89"/>
      <c r="BA686" s="89"/>
      <c r="BB686" s="89"/>
      <c r="BC686" s="89"/>
      <c r="BD686" s="89"/>
      <c r="BE686" s="89"/>
      <c r="BF686" s="89"/>
      <c r="BG686" s="89"/>
      <c r="BH686" s="89"/>
      <c r="BI686" s="89"/>
      <c r="BJ686" s="89"/>
      <c r="BK686" s="89"/>
      <c r="BL686" s="89"/>
      <c r="BM686" s="89"/>
      <c r="BN686" s="89"/>
      <c r="BO686" s="89"/>
      <c r="BP686" s="89"/>
      <c r="BQ686" s="89"/>
      <c r="BR686" s="89"/>
      <c r="BS686" s="89"/>
    </row>
    <row r="687" spans="1:71" ht="27" customHeight="1" x14ac:dyDescent="0.2">
      <c r="A687" s="93"/>
      <c r="B687" s="89"/>
      <c r="C687" s="89"/>
      <c r="D687" s="89"/>
      <c r="E687" s="89"/>
      <c r="F687" s="89"/>
      <c r="G687" s="89"/>
      <c r="H687" s="94"/>
      <c r="I687" s="94"/>
      <c r="J687" s="94"/>
      <c r="K687" s="94"/>
      <c r="L687" s="94"/>
      <c r="M687" s="94"/>
      <c r="N687" s="94"/>
      <c r="O687" s="94"/>
      <c r="P687" s="94"/>
      <c r="Q687" s="94"/>
      <c r="R687" s="95"/>
      <c r="S687" s="94"/>
      <c r="T687" s="96"/>
      <c r="U687" s="94"/>
      <c r="V687" s="97"/>
      <c r="W687" s="94"/>
      <c r="X687" s="98"/>
      <c r="Y687" s="98"/>
      <c r="Z687" s="98"/>
      <c r="AA687" s="98"/>
      <c r="AB687" s="98"/>
      <c r="AC687" s="97"/>
      <c r="AD687" s="99"/>
      <c r="AE687" s="95"/>
      <c r="AF687" s="94"/>
      <c r="AG687" s="89"/>
      <c r="AH687" s="89"/>
      <c r="AI687" s="89"/>
      <c r="AJ687" s="89"/>
      <c r="AK687" s="89"/>
      <c r="AL687" s="89"/>
      <c r="AM687" s="89"/>
      <c r="AN687" s="89"/>
      <c r="AO687" s="89"/>
      <c r="AP687" s="89"/>
      <c r="AQ687" s="89"/>
      <c r="AR687" s="89"/>
      <c r="AS687" s="89"/>
      <c r="AT687" s="89"/>
      <c r="AU687" s="89"/>
      <c r="AV687" s="89"/>
      <c r="AW687" s="100"/>
      <c r="AX687" s="100"/>
      <c r="AY687" s="89"/>
      <c r="AZ687" s="89"/>
      <c r="BA687" s="89"/>
      <c r="BB687" s="89"/>
      <c r="BC687" s="89"/>
      <c r="BD687" s="89"/>
      <c r="BE687" s="89"/>
      <c r="BF687" s="89"/>
      <c r="BG687" s="89"/>
      <c r="BH687" s="89"/>
      <c r="BI687" s="89"/>
      <c r="BJ687" s="89"/>
      <c r="BK687" s="89"/>
      <c r="BL687" s="89"/>
      <c r="BM687" s="89"/>
      <c r="BN687" s="89"/>
      <c r="BO687" s="89"/>
      <c r="BP687" s="89"/>
      <c r="BQ687" s="89"/>
      <c r="BR687" s="89"/>
      <c r="BS687" s="89"/>
    </row>
    <row r="688" spans="1:71" ht="27" customHeight="1" x14ac:dyDescent="0.2">
      <c r="A688" s="93"/>
      <c r="B688" s="89"/>
      <c r="C688" s="89"/>
      <c r="D688" s="89"/>
      <c r="E688" s="89"/>
      <c r="F688" s="89"/>
      <c r="G688" s="89"/>
      <c r="H688" s="94"/>
      <c r="I688" s="94"/>
      <c r="J688" s="94"/>
      <c r="K688" s="94"/>
      <c r="L688" s="94"/>
      <c r="M688" s="94"/>
      <c r="N688" s="94"/>
      <c r="O688" s="94"/>
      <c r="P688" s="94"/>
      <c r="Q688" s="94"/>
      <c r="R688" s="95"/>
      <c r="S688" s="94"/>
      <c r="T688" s="96"/>
      <c r="U688" s="94"/>
      <c r="V688" s="97"/>
      <c r="W688" s="94"/>
      <c r="X688" s="98"/>
      <c r="Y688" s="98"/>
      <c r="Z688" s="98"/>
      <c r="AA688" s="98"/>
      <c r="AB688" s="98"/>
      <c r="AC688" s="97"/>
      <c r="AD688" s="99"/>
      <c r="AE688" s="95"/>
      <c r="AF688" s="94"/>
      <c r="AG688" s="89"/>
      <c r="AH688" s="89"/>
      <c r="AI688" s="89"/>
      <c r="AJ688" s="89"/>
      <c r="AK688" s="89"/>
      <c r="AL688" s="89"/>
      <c r="AM688" s="89"/>
      <c r="AN688" s="89"/>
      <c r="AO688" s="89"/>
      <c r="AP688" s="89"/>
      <c r="AQ688" s="89"/>
      <c r="AR688" s="89"/>
      <c r="AS688" s="89"/>
      <c r="AT688" s="89"/>
      <c r="AU688" s="89"/>
      <c r="AV688" s="89"/>
      <c r="AW688" s="100"/>
      <c r="AX688" s="100"/>
      <c r="AY688" s="89"/>
      <c r="AZ688" s="89"/>
      <c r="BA688" s="89"/>
      <c r="BB688" s="89"/>
      <c r="BC688" s="89"/>
      <c r="BD688" s="89"/>
      <c r="BE688" s="89"/>
      <c r="BF688" s="89"/>
      <c r="BG688" s="89"/>
      <c r="BH688" s="89"/>
      <c r="BI688" s="89"/>
      <c r="BJ688" s="89"/>
      <c r="BK688" s="89"/>
      <c r="BL688" s="89"/>
      <c r="BM688" s="89"/>
      <c r="BN688" s="89"/>
      <c r="BO688" s="89"/>
      <c r="BP688" s="89"/>
      <c r="BQ688" s="89"/>
      <c r="BR688" s="89"/>
      <c r="BS688" s="89"/>
    </row>
    <row r="689" spans="1:71" ht="27" customHeight="1" x14ac:dyDescent="0.2">
      <c r="A689" s="93"/>
      <c r="B689" s="89"/>
      <c r="C689" s="89"/>
      <c r="D689" s="89"/>
      <c r="E689" s="89"/>
      <c r="F689" s="89"/>
      <c r="G689" s="89"/>
      <c r="H689" s="94"/>
      <c r="I689" s="94"/>
      <c r="J689" s="94"/>
      <c r="K689" s="94"/>
      <c r="L689" s="94"/>
      <c r="M689" s="94"/>
      <c r="N689" s="94"/>
      <c r="O689" s="94"/>
      <c r="P689" s="94"/>
      <c r="Q689" s="94"/>
      <c r="R689" s="95"/>
      <c r="S689" s="94"/>
      <c r="T689" s="96"/>
      <c r="U689" s="94"/>
      <c r="V689" s="97"/>
      <c r="W689" s="94"/>
      <c r="X689" s="98"/>
      <c r="Y689" s="98"/>
      <c r="Z689" s="98"/>
      <c r="AA689" s="98"/>
      <c r="AB689" s="98"/>
      <c r="AC689" s="97"/>
      <c r="AD689" s="99"/>
      <c r="AE689" s="95"/>
      <c r="AF689" s="94"/>
      <c r="AG689" s="89"/>
      <c r="AH689" s="89"/>
      <c r="AI689" s="89"/>
      <c r="AJ689" s="89"/>
      <c r="AK689" s="89"/>
      <c r="AL689" s="89"/>
      <c r="AM689" s="89"/>
      <c r="AN689" s="89"/>
      <c r="AO689" s="89"/>
      <c r="AP689" s="89"/>
      <c r="AQ689" s="89"/>
      <c r="AR689" s="89"/>
      <c r="AS689" s="89"/>
      <c r="AT689" s="89"/>
      <c r="AU689" s="89"/>
      <c r="AV689" s="89"/>
      <c r="AW689" s="100"/>
      <c r="AX689" s="100"/>
      <c r="AY689" s="89"/>
      <c r="AZ689" s="89"/>
      <c r="BA689" s="89"/>
      <c r="BB689" s="89"/>
      <c r="BC689" s="89"/>
      <c r="BD689" s="89"/>
      <c r="BE689" s="89"/>
      <c r="BF689" s="89"/>
      <c r="BG689" s="89"/>
      <c r="BH689" s="89"/>
      <c r="BI689" s="89"/>
      <c r="BJ689" s="89"/>
      <c r="BK689" s="89"/>
      <c r="BL689" s="89"/>
      <c r="BM689" s="89"/>
      <c r="BN689" s="89"/>
      <c r="BO689" s="89"/>
      <c r="BP689" s="89"/>
      <c r="BQ689" s="89"/>
      <c r="BR689" s="89"/>
      <c r="BS689" s="89"/>
    </row>
    <row r="690" spans="1:71" ht="27" customHeight="1" x14ac:dyDescent="0.2">
      <c r="A690" s="93"/>
      <c r="B690" s="89"/>
      <c r="C690" s="89"/>
      <c r="D690" s="89"/>
      <c r="E690" s="89"/>
      <c r="F690" s="89"/>
      <c r="G690" s="89"/>
      <c r="H690" s="94"/>
      <c r="I690" s="94"/>
      <c r="J690" s="94"/>
      <c r="K690" s="94"/>
      <c r="L690" s="94"/>
      <c r="M690" s="94"/>
      <c r="N690" s="94"/>
      <c r="O690" s="94"/>
      <c r="P690" s="94"/>
      <c r="Q690" s="94"/>
      <c r="R690" s="95"/>
      <c r="S690" s="94"/>
      <c r="T690" s="96"/>
      <c r="U690" s="94"/>
      <c r="V690" s="97"/>
      <c r="W690" s="94"/>
      <c r="X690" s="98"/>
      <c r="Y690" s="98"/>
      <c r="Z690" s="98"/>
      <c r="AA690" s="98"/>
      <c r="AB690" s="98"/>
      <c r="AC690" s="97"/>
      <c r="AD690" s="99"/>
      <c r="AE690" s="95"/>
      <c r="AF690" s="94"/>
      <c r="AG690" s="89"/>
      <c r="AH690" s="89"/>
      <c r="AI690" s="89"/>
      <c r="AJ690" s="89"/>
      <c r="AK690" s="89"/>
      <c r="AL690" s="89"/>
      <c r="AM690" s="89"/>
      <c r="AN690" s="89"/>
      <c r="AO690" s="89"/>
      <c r="AP690" s="89"/>
      <c r="AQ690" s="89"/>
      <c r="AR690" s="89"/>
      <c r="AS690" s="89"/>
      <c r="AT690" s="89"/>
      <c r="AU690" s="89"/>
      <c r="AV690" s="89"/>
      <c r="AW690" s="100"/>
      <c r="AX690" s="100"/>
      <c r="AY690" s="89"/>
      <c r="AZ690" s="89"/>
      <c r="BA690" s="89"/>
      <c r="BB690" s="89"/>
      <c r="BC690" s="89"/>
      <c r="BD690" s="89"/>
      <c r="BE690" s="89"/>
      <c r="BF690" s="89"/>
      <c r="BG690" s="89"/>
      <c r="BH690" s="89"/>
      <c r="BI690" s="89"/>
      <c r="BJ690" s="89"/>
      <c r="BK690" s="89"/>
      <c r="BL690" s="89"/>
      <c r="BM690" s="89"/>
      <c r="BN690" s="89"/>
      <c r="BO690" s="89"/>
      <c r="BP690" s="89"/>
      <c r="BQ690" s="89"/>
      <c r="BR690" s="89"/>
      <c r="BS690" s="89"/>
    </row>
    <row r="691" spans="1:71" ht="27" customHeight="1" x14ac:dyDescent="0.2">
      <c r="A691" s="93"/>
      <c r="B691" s="89"/>
      <c r="C691" s="89"/>
      <c r="D691" s="89"/>
      <c r="E691" s="89"/>
      <c r="F691" s="89"/>
      <c r="G691" s="89"/>
      <c r="H691" s="94"/>
      <c r="I691" s="94"/>
      <c r="J691" s="94"/>
      <c r="K691" s="94"/>
      <c r="L691" s="94"/>
      <c r="M691" s="94"/>
      <c r="N691" s="94"/>
      <c r="O691" s="94"/>
      <c r="P691" s="94"/>
      <c r="Q691" s="94"/>
      <c r="R691" s="95"/>
      <c r="S691" s="94"/>
      <c r="T691" s="96"/>
      <c r="U691" s="94"/>
      <c r="V691" s="97"/>
      <c r="W691" s="94"/>
      <c r="X691" s="98"/>
      <c r="Y691" s="98"/>
      <c r="Z691" s="98"/>
      <c r="AA691" s="98"/>
      <c r="AB691" s="98"/>
      <c r="AC691" s="97"/>
      <c r="AD691" s="99"/>
      <c r="AE691" s="95"/>
      <c r="AF691" s="94"/>
      <c r="AG691" s="89"/>
      <c r="AH691" s="89"/>
      <c r="AI691" s="89"/>
      <c r="AJ691" s="89"/>
      <c r="AK691" s="89"/>
      <c r="AL691" s="89"/>
      <c r="AM691" s="89"/>
      <c r="AN691" s="89"/>
      <c r="AO691" s="89"/>
      <c r="AP691" s="89"/>
      <c r="AQ691" s="89"/>
      <c r="AR691" s="89"/>
      <c r="AS691" s="89"/>
      <c r="AT691" s="89"/>
      <c r="AU691" s="89"/>
      <c r="AV691" s="89"/>
      <c r="AW691" s="100"/>
      <c r="AX691" s="100"/>
      <c r="AY691" s="89"/>
      <c r="AZ691" s="89"/>
      <c r="BA691" s="89"/>
      <c r="BB691" s="89"/>
      <c r="BC691" s="89"/>
      <c r="BD691" s="89"/>
      <c r="BE691" s="89"/>
      <c r="BF691" s="89"/>
      <c r="BG691" s="89"/>
      <c r="BH691" s="89"/>
      <c r="BI691" s="89"/>
      <c r="BJ691" s="89"/>
      <c r="BK691" s="89"/>
      <c r="BL691" s="89"/>
      <c r="BM691" s="89"/>
      <c r="BN691" s="89"/>
      <c r="BO691" s="89"/>
      <c r="BP691" s="89"/>
      <c r="BQ691" s="89"/>
      <c r="BR691" s="89"/>
      <c r="BS691" s="89"/>
    </row>
    <row r="692" spans="1:71" ht="27" customHeight="1" x14ac:dyDescent="0.2">
      <c r="A692" s="93"/>
      <c r="B692" s="89"/>
      <c r="C692" s="89"/>
      <c r="D692" s="89"/>
      <c r="E692" s="89"/>
      <c r="F692" s="89"/>
      <c r="G692" s="89"/>
      <c r="H692" s="94"/>
      <c r="I692" s="94"/>
      <c r="J692" s="94"/>
      <c r="K692" s="94"/>
      <c r="L692" s="94"/>
      <c r="M692" s="94"/>
      <c r="N692" s="94"/>
      <c r="O692" s="94"/>
      <c r="P692" s="94"/>
      <c r="Q692" s="94"/>
      <c r="R692" s="95"/>
      <c r="S692" s="94"/>
      <c r="T692" s="96"/>
      <c r="U692" s="94"/>
      <c r="V692" s="97"/>
      <c r="W692" s="94"/>
      <c r="X692" s="98"/>
      <c r="Y692" s="98"/>
      <c r="Z692" s="98"/>
      <c r="AA692" s="98"/>
      <c r="AB692" s="98"/>
      <c r="AC692" s="97"/>
      <c r="AD692" s="99"/>
      <c r="AE692" s="95"/>
      <c r="AF692" s="94"/>
      <c r="AG692" s="89"/>
      <c r="AH692" s="89"/>
      <c r="AI692" s="89"/>
      <c r="AJ692" s="89"/>
      <c r="AK692" s="89"/>
      <c r="AL692" s="89"/>
      <c r="AM692" s="89"/>
      <c r="AN692" s="89"/>
      <c r="AO692" s="89"/>
      <c r="AP692" s="89"/>
      <c r="AQ692" s="89"/>
      <c r="AR692" s="89"/>
      <c r="AS692" s="89"/>
      <c r="AT692" s="89"/>
      <c r="AU692" s="89"/>
      <c r="AV692" s="89"/>
      <c r="AW692" s="100"/>
      <c r="AX692" s="100"/>
      <c r="AY692" s="89"/>
      <c r="AZ692" s="89"/>
      <c r="BA692" s="89"/>
      <c r="BB692" s="89"/>
      <c r="BC692" s="89"/>
      <c r="BD692" s="89"/>
      <c r="BE692" s="89"/>
      <c r="BF692" s="89"/>
      <c r="BG692" s="89"/>
      <c r="BH692" s="89"/>
      <c r="BI692" s="89"/>
      <c r="BJ692" s="89"/>
      <c r="BK692" s="89"/>
      <c r="BL692" s="89"/>
      <c r="BM692" s="89"/>
      <c r="BN692" s="89"/>
      <c r="BO692" s="89"/>
      <c r="BP692" s="89"/>
      <c r="BQ692" s="89"/>
      <c r="BR692" s="89"/>
      <c r="BS692" s="89"/>
    </row>
    <row r="693" spans="1:71" ht="27" customHeight="1" x14ac:dyDescent="0.2">
      <c r="A693" s="93"/>
      <c r="B693" s="89"/>
      <c r="C693" s="89"/>
      <c r="D693" s="89"/>
      <c r="E693" s="89"/>
      <c r="F693" s="89"/>
      <c r="G693" s="89"/>
      <c r="H693" s="94"/>
      <c r="I693" s="94"/>
      <c r="J693" s="94"/>
      <c r="K693" s="94"/>
      <c r="L693" s="94"/>
      <c r="M693" s="94"/>
      <c r="N693" s="94"/>
      <c r="O693" s="94"/>
      <c r="P693" s="94"/>
      <c r="Q693" s="94"/>
      <c r="R693" s="95"/>
      <c r="S693" s="94"/>
      <c r="T693" s="96"/>
      <c r="U693" s="94"/>
      <c r="V693" s="97"/>
      <c r="W693" s="94"/>
      <c r="X693" s="98"/>
      <c r="Y693" s="98"/>
      <c r="Z693" s="98"/>
      <c r="AA693" s="98"/>
      <c r="AB693" s="98"/>
      <c r="AC693" s="97"/>
      <c r="AD693" s="99"/>
      <c r="AE693" s="95"/>
      <c r="AF693" s="94"/>
      <c r="AG693" s="89"/>
      <c r="AH693" s="89"/>
      <c r="AI693" s="89"/>
      <c r="AJ693" s="89"/>
      <c r="AK693" s="89"/>
      <c r="AL693" s="89"/>
      <c r="AM693" s="89"/>
      <c r="AN693" s="89"/>
      <c r="AO693" s="89"/>
      <c r="AP693" s="89"/>
      <c r="AQ693" s="89"/>
      <c r="AR693" s="89"/>
      <c r="AS693" s="89"/>
      <c r="AT693" s="89"/>
      <c r="AU693" s="89"/>
      <c r="AV693" s="89"/>
      <c r="AW693" s="100"/>
      <c r="AX693" s="100"/>
      <c r="AY693" s="89"/>
      <c r="AZ693" s="89"/>
      <c r="BA693" s="89"/>
      <c r="BB693" s="89"/>
      <c r="BC693" s="89"/>
      <c r="BD693" s="89"/>
      <c r="BE693" s="89"/>
      <c r="BF693" s="89"/>
      <c r="BG693" s="89"/>
      <c r="BH693" s="89"/>
      <c r="BI693" s="89"/>
      <c r="BJ693" s="89"/>
      <c r="BK693" s="89"/>
      <c r="BL693" s="89"/>
      <c r="BM693" s="89"/>
      <c r="BN693" s="89"/>
      <c r="BO693" s="89"/>
      <c r="BP693" s="89"/>
      <c r="BQ693" s="89"/>
      <c r="BR693" s="89"/>
      <c r="BS693" s="89"/>
    </row>
    <row r="694" spans="1:71" ht="27" customHeight="1" x14ac:dyDescent="0.2">
      <c r="A694" s="93"/>
      <c r="B694" s="89"/>
      <c r="C694" s="89"/>
      <c r="D694" s="89"/>
      <c r="E694" s="89"/>
      <c r="F694" s="89"/>
      <c r="G694" s="89"/>
      <c r="H694" s="94"/>
      <c r="I694" s="94"/>
      <c r="J694" s="94"/>
      <c r="K694" s="94"/>
      <c r="L694" s="94"/>
      <c r="M694" s="94"/>
      <c r="N694" s="94"/>
      <c r="O694" s="94"/>
      <c r="P694" s="94"/>
      <c r="Q694" s="94"/>
      <c r="R694" s="95"/>
      <c r="S694" s="94"/>
      <c r="T694" s="96"/>
      <c r="U694" s="94"/>
      <c r="V694" s="97"/>
      <c r="W694" s="94"/>
      <c r="X694" s="98"/>
      <c r="Y694" s="98"/>
      <c r="Z694" s="98"/>
      <c r="AA694" s="98"/>
      <c r="AB694" s="98"/>
      <c r="AC694" s="97"/>
      <c r="AD694" s="99"/>
      <c r="AE694" s="95"/>
      <c r="AF694" s="94"/>
      <c r="AG694" s="89"/>
      <c r="AH694" s="89"/>
      <c r="AI694" s="89"/>
      <c r="AJ694" s="89"/>
      <c r="AK694" s="89"/>
      <c r="AL694" s="89"/>
      <c r="AM694" s="89"/>
      <c r="AN694" s="89"/>
      <c r="AO694" s="89"/>
      <c r="AP694" s="89"/>
      <c r="AQ694" s="89"/>
      <c r="AR694" s="89"/>
      <c r="AS694" s="89"/>
      <c r="AT694" s="89"/>
      <c r="AU694" s="89"/>
      <c r="AV694" s="89"/>
      <c r="AW694" s="100"/>
      <c r="AX694" s="100"/>
      <c r="AY694" s="89"/>
      <c r="AZ694" s="89"/>
      <c r="BA694" s="89"/>
      <c r="BB694" s="89"/>
      <c r="BC694" s="89"/>
      <c r="BD694" s="89"/>
      <c r="BE694" s="89"/>
      <c r="BF694" s="89"/>
      <c r="BG694" s="89"/>
      <c r="BH694" s="89"/>
      <c r="BI694" s="89"/>
      <c r="BJ694" s="89"/>
      <c r="BK694" s="89"/>
      <c r="BL694" s="89"/>
      <c r="BM694" s="89"/>
      <c r="BN694" s="89"/>
      <c r="BO694" s="89"/>
      <c r="BP694" s="89"/>
      <c r="BQ694" s="89"/>
      <c r="BR694" s="89"/>
      <c r="BS694" s="89"/>
    </row>
    <row r="695" spans="1:71" ht="27" customHeight="1" x14ac:dyDescent="0.2">
      <c r="A695" s="93"/>
      <c r="B695" s="89"/>
      <c r="C695" s="89"/>
      <c r="D695" s="89"/>
      <c r="E695" s="89"/>
      <c r="F695" s="89"/>
      <c r="G695" s="89"/>
      <c r="H695" s="94"/>
      <c r="I695" s="94"/>
      <c r="J695" s="94"/>
      <c r="K695" s="94"/>
      <c r="L695" s="94"/>
      <c r="M695" s="94"/>
      <c r="N695" s="94"/>
      <c r="O695" s="94"/>
      <c r="P695" s="94"/>
      <c r="Q695" s="94"/>
      <c r="R695" s="95"/>
      <c r="S695" s="94"/>
      <c r="T695" s="96"/>
      <c r="U695" s="94"/>
      <c r="V695" s="97"/>
      <c r="W695" s="94"/>
      <c r="X695" s="98"/>
      <c r="Y695" s="98"/>
      <c r="Z695" s="98"/>
      <c r="AA695" s="98"/>
      <c r="AB695" s="98"/>
      <c r="AC695" s="97"/>
      <c r="AD695" s="99"/>
      <c r="AE695" s="95"/>
      <c r="AF695" s="94"/>
      <c r="AG695" s="89"/>
      <c r="AH695" s="89"/>
      <c r="AI695" s="89"/>
      <c r="AJ695" s="89"/>
      <c r="AK695" s="89"/>
      <c r="AL695" s="89"/>
      <c r="AM695" s="89"/>
      <c r="AN695" s="89"/>
      <c r="AO695" s="89"/>
      <c r="AP695" s="89"/>
      <c r="AQ695" s="89"/>
      <c r="AR695" s="89"/>
      <c r="AS695" s="89"/>
      <c r="AT695" s="89"/>
      <c r="AU695" s="89"/>
      <c r="AV695" s="89"/>
      <c r="AW695" s="100"/>
      <c r="AX695" s="100"/>
      <c r="AY695" s="89"/>
      <c r="AZ695" s="89"/>
      <c r="BA695" s="89"/>
      <c r="BB695" s="89"/>
      <c r="BC695" s="89"/>
      <c r="BD695" s="89"/>
      <c r="BE695" s="89"/>
      <c r="BF695" s="89"/>
      <c r="BG695" s="89"/>
      <c r="BH695" s="89"/>
      <c r="BI695" s="89"/>
      <c r="BJ695" s="89"/>
      <c r="BK695" s="89"/>
      <c r="BL695" s="89"/>
      <c r="BM695" s="89"/>
      <c r="BN695" s="89"/>
      <c r="BO695" s="89"/>
      <c r="BP695" s="89"/>
      <c r="BQ695" s="89"/>
      <c r="BR695" s="89"/>
      <c r="BS695" s="89"/>
    </row>
    <row r="696" spans="1:71" ht="27" customHeight="1" x14ac:dyDescent="0.2">
      <c r="A696" s="93"/>
      <c r="B696" s="89"/>
      <c r="C696" s="89"/>
      <c r="D696" s="89"/>
      <c r="E696" s="89"/>
      <c r="F696" s="89"/>
      <c r="G696" s="89"/>
      <c r="H696" s="94"/>
      <c r="I696" s="94"/>
      <c r="J696" s="94"/>
      <c r="K696" s="94"/>
      <c r="L696" s="94"/>
      <c r="M696" s="94"/>
      <c r="N696" s="94"/>
      <c r="O696" s="94"/>
      <c r="P696" s="94"/>
      <c r="Q696" s="94"/>
      <c r="R696" s="95"/>
      <c r="S696" s="94"/>
      <c r="T696" s="96"/>
      <c r="U696" s="94"/>
      <c r="V696" s="97"/>
      <c r="W696" s="94"/>
      <c r="X696" s="98"/>
      <c r="Y696" s="98"/>
      <c r="Z696" s="98"/>
      <c r="AA696" s="98"/>
      <c r="AB696" s="98"/>
      <c r="AC696" s="97"/>
      <c r="AD696" s="99"/>
      <c r="AE696" s="95"/>
      <c r="AF696" s="94"/>
      <c r="AG696" s="89"/>
      <c r="AH696" s="89"/>
      <c r="AI696" s="89"/>
      <c r="AJ696" s="89"/>
      <c r="AK696" s="89"/>
      <c r="AL696" s="89"/>
      <c r="AM696" s="89"/>
      <c r="AN696" s="89"/>
      <c r="AO696" s="89"/>
      <c r="AP696" s="89"/>
      <c r="AQ696" s="89"/>
      <c r="AR696" s="89"/>
      <c r="AS696" s="89"/>
      <c r="AT696" s="89"/>
      <c r="AU696" s="89"/>
      <c r="AV696" s="89"/>
      <c r="AW696" s="100"/>
      <c r="AX696" s="100"/>
      <c r="AY696" s="89"/>
      <c r="AZ696" s="89"/>
      <c r="BA696" s="89"/>
      <c r="BB696" s="89"/>
      <c r="BC696" s="89"/>
      <c r="BD696" s="89"/>
      <c r="BE696" s="89"/>
      <c r="BF696" s="89"/>
      <c r="BG696" s="89"/>
      <c r="BH696" s="89"/>
      <c r="BI696" s="89"/>
      <c r="BJ696" s="89"/>
      <c r="BK696" s="89"/>
      <c r="BL696" s="89"/>
      <c r="BM696" s="89"/>
      <c r="BN696" s="89"/>
      <c r="BO696" s="89"/>
      <c r="BP696" s="89"/>
      <c r="BQ696" s="89"/>
      <c r="BR696" s="89"/>
      <c r="BS696" s="89"/>
    </row>
    <row r="697" spans="1:71" ht="27" customHeight="1" x14ac:dyDescent="0.2">
      <c r="A697" s="93"/>
      <c r="B697" s="89"/>
      <c r="C697" s="89"/>
      <c r="D697" s="89"/>
      <c r="E697" s="89"/>
      <c r="F697" s="89"/>
      <c r="G697" s="89"/>
      <c r="H697" s="94"/>
      <c r="I697" s="94"/>
      <c r="J697" s="94"/>
      <c r="K697" s="94"/>
      <c r="L697" s="94"/>
      <c r="M697" s="94"/>
      <c r="N697" s="94"/>
      <c r="O697" s="94"/>
      <c r="P697" s="94"/>
      <c r="Q697" s="94"/>
      <c r="R697" s="95"/>
      <c r="S697" s="94"/>
      <c r="T697" s="96"/>
      <c r="U697" s="94"/>
      <c r="V697" s="97"/>
      <c r="W697" s="94"/>
      <c r="X697" s="98"/>
      <c r="Y697" s="98"/>
      <c r="Z697" s="98"/>
      <c r="AA697" s="98"/>
      <c r="AB697" s="98"/>
      <c r="AC697" s="97"/>
      <c r="AD697" s="99"/>
      <c r="AE697" s="95"/>
      <c r="AF697" s="94"/>
      <c r="AG697" s="89"/>
      <c r="AH697" s="89"/>
      <c r="AI697" s="89"/>
      <c r="AJ697" s="89"/>
      <c r="AK697" s="89"/>
      <c r="AL697" s="89"/>
      <c r="AM697" s="89"/>
      <c r="AN697" s="89"/>
      <c r="AO697" s="89"/>
      <c r="AP697" s="89"/>
      <c r="AQ697" s="89"/>
      <c r="AR697" s="89"/>
      <c r="AS697" s="89"/>
      <c r="AT697" s="89"/>
      <c r="AU697" s="89"/>
      <c r="AV697" s="89"/>
      <c r="AW697" s="100"/>
      <c r="AX697" s="100"/>
      <c r="AY697" s="89"/>
      <c r="AZ697" s="89"/>
      <c r="BA697" s="89"/>
      <c r="BB697" s="89"/>
      <c r="BC697" s="89"/>
      <c r="BD697" s="89"/>
      <c r="BE697" s="89"/>
      <c r="BF697" s="89"/>
      <c r="BG697" s="89"/>
      <c r="BH697" s="89"/>
      <c r="BI697" s="89"/>
      <c r="BJ697" s="89"/>
      <c r="BK697" s="89"/>
      <c r="BL697" s="89"/>
      <c r="BM697" s="89"/>
      <c r="BN697" s="89"/>
      <c r="BO697" s="89"/>
      <c r="BP697" s="89"/>
      <c r="BQ697" s="89"/>
      <c r="BR697" s="89"/>
      <c r="BS697" s="89"/>
    </row>
    <row r="698" spans="1:71" ht="27" customHeight="1" x14ac:dyDescent="0.2">
      <c r="A698" s="93"/>
      <c r="B698" s="89"/>
      <c r="C698" s="89"/>
      <c r="D698" s="89"/>
      <c r="E698" s="89"/>
      <c r="F698" s="89"/>
      <c r="G698" s="89"/>
      <c r="H698" s="94"/>
      <c r="I698" s="94"/>
      <c r="J698" s="94"/>
      <c r="K698" s="94"/>
      <c r="L698" s="94"/>
      <c r="M698" s="94"/>
      <c r="N698" s="94"/>
      <c r="O698" s="94"/>
      <c r="P698" s="94"/>
      <c r="Q698" s="94"/>
      <c r="R698" s="95"/>
      <c r="S698" s="94"/>
      <c r="T698" s="96"/>
      <c r="U698" s="94"/>
      <c r="V698" s="97"/>
      <c r="W698" s="94"/>
      <c r="X698" s="98"/>
      <c r="Y698" s="98"/>
      <c r="Z698" s="98"/>
      <c r="AA698" s="98"/>
      <c r="AB698" s="98"/>
      <c r="AC698" s="97"/>
      <c r="AD698" s="99"/>
      <c r="AE698" s="95"/>
      <c r="AF698" s="94"/>
      <c r="AG698" s="89"/>
      <c r="AH698" s="89"/>
      <c r="AI698" s="89"/>
      <c r="AJ698" s="89"/>
      <c r="AK698" s="89"/>
      <c r="AL698" s="89"/>
      <c r="AM698" s="89"/>
      <c r="AN698" s="89"/>
      <c r="AO698" s="89"/>
      <c r="AP698" s="89"/>
      <c r="AQ698" s="89"/>
      <c r="AR698" s="89"/>
      <c r="AS698" s="89"/>
      <c r="AT698" s="89"/>
      <c r="AU698" s="89"/>
      <c r="AV698" s="89"/>
      <c r="AW698" s="100"/>
      <c r="AX698" s="100"/>
      <c r="AY698" s="89"/>
      <c r="AZ698" s="89"/>
      <c r="BA698" s="89"/>
      <c r="BB698" s="89"/>
      <c r="BC698" s="89"/>
      <c r="BD698" s="89"/>
      <c r="BE698" s="89"/>
      <c r="BF698" s="89"/>
      <c r="BG698" s="89"/>
      <c r="BH698" s="89"/>
      <c r="BI698" s="89"/>
      <c r="BJ698" s="89"/>
      <c r="BK698" s="89"/>
      <c r="BL698" s="89"/>
      <c r="BM698" s="89"/>
      <c r="BN698" s="89"/>
      <c r="BO698" s="89"/>
      <c r="BP698" s="89"/>
      <c r="BQ698" s="89"/>
      <c r="BR698" s="89"/>
      <c r="BS698" s="89"/>
    </row>
    <row r="699" spans="1:71" ht="27" customHeight="1" x14ac:dyDescent="0.2">
      <c r="A699" s="93"/>
      <c r="B699" s="89"/>
      <c r="C699" s="89"/>
      <c r="D699" s="89"/>
      <c r="E699" s="89"/>
      <c r="F699" s="89"/>
      <c r="G699" s="89"/>
      <c r="H699" s="94"/>
      <c r="I699" s="94"/>
      <c r="J699" s="94"/>
      <c r="K699" s="94"/>
      <c r="L699" s="94"/>
      <c r="M699" s="94"/>
      <c r="N699" s="94"/>
      <c r="O699" s="94"/>
      <c r="P699" s="94"/>
      <c r="Q699" s="94"/>
      <c r="R699" s="95"/>
      <c r="S699" s="94"/>
      <c r="T699" s="96"/>
      <c r="U699" s="94"/>
      <c r="V699" s="97"/>
      <c r="W699" s="94"/>
      <c r="X699" s="98"/>
      <c r="Y699" s="98"/>
      <c r="Z699" s="98"/>
      <c r="AA699" s="98"/>
      <c r="AB699" s="98"/>
      <c r="AC699" s="97"/>
      <c r="AD699" s="99"/>
      <c r="AE699" s="95"/>
      <c r="AF699" s="94"/>
      <c r="AG699" s="89"/>
      <c r="AH699" s="89"/>
      <c r="AI699" s="89"/>
      <c r="AJ699" s="89"/>
      <c r="AK699" s="89"/>
      <c r="AL699" s="89"/>
      <c r="AM699" s="89"/>
      <c r="AN699" s="89"/>
      <c r="AO699" s="89"/>
      <c r="AP699" s="89"/>
      <c r="AQ699" s="89"/>
      <c r="AR699" s="89"/>
      <c r="AS699" s="89"/>
      <c r="AT699" s="89"/>
      <c r="AU699" s="89"/>
      <c r="AV699" s="89"/>
      <c r="AW699" s="100"/>
      <c r="AX699" s="100"/>
      <c r="AY699" s="89"/>
      <c r="AZ699" s="89"/>
      <c r="BA699" s="89"/>
      <c r="BB699" s="89"/>
      <c r="BC699" s="89"/>
      <c r="BD699" s="89"/>
      <c r="BE699" s="89"/>
      <c r="BF699" s="89"/>
      <c r="BG699" s="89"/>
      <c r="BH699" s="89"/>
      <c r="BI699" s="89"/>
      <c r="BJ699" s="89"/>
      <c r="BK699" s="89"/>
      <c r="BL699" s="89"/>
      <c r="BM699" s="89"/>
      <c r="BN699" s="89"/>
      <c r="BO699" s="89"/>
      <c r="BP699" s="89"/>
      <c r="BQ699" s="89"/>
      <c r="BR699" s="89"/>
      <c r="BS699" s="89"/>
    </row>
    <row r="700" spans="1:71" ht="27" customHeight="1" x14ac:dyDescent="0.2">
      <c r="A700" s="93"/>
      <c r="B700" s="89"/>
      <c r="C700" s="89"/>
      <c r="D700" s="89"/>
      <c r="E700" s="89"/>
      <c r="F700" s="89"/>
      <c r="G700" s="89"/>
      <c r="H700" s="94"/>
      <c r="I700" s="94"/>
      <c r="J700" s="94"/>
      <c r="K700" s="94"/>
      <c r="L700" s="94"/>
      <c r="M700" s="94"/>
      <c r="N700" s="94"/>
      <c r="O700" s="94"/>
      <c r="P700" s="94"/>
      <c r="Q700" s="94"/>
      <c r="R700" s="95"/>
      <c r="S700" s="94"/>
      <c r="T700" s="96"/>
      <c r="U700" s="94"/>
      <c r="V700" s="97"/>
      <c r="W700" s="94"/>
      <c r="X700" s="98"/>
      <c r="Y700" s="98"/>
      <c r="Z700" s="98"/>
      <c r="AA700" s="98"/>
      <c r="AB700" s="98"/>
      <c r="AC700" s="97"/>
      <c r="AD700" s="99"/>
      <c r="AE700" s="95"/>
      <c r="AF700" s="94"/>
      <c r="AG700" s="89"/>
      <c r="AH700" s="89"/>
      <c r="AI700" s="89"/>
      <c r="AJ700" s="89"/>
      <c r="AK700" s="89"/>
      <c r="AL700" s="89"/>
      <c r="AM700" s="89"/>
      <c r="AN700" s="89"/>
      <c r="AO700" s="89"/>
      <c r="AP700" s="89"/>
      <c r="AQ700" s="89"/>
      <c r="AR700" s="89"/>
      <c r="AS700" s="89"/>
      <c r="AT700" s="89"/>
      <c r="AU700" s="89"/>
      <c r="AV700" s="89"/>
      <c r="AW700" s="100"/>
      <c r="AX700" s="100"/>
      <c r="AY700" s="89"/>
      <c r="AZ700" s="89"/>
      <c r="BA700" s="89"/>
      <c r="BB700" s="89"/>
      <c r="BC700" s="89"/>
      <c r="BD700" s="89"/>
      <c r="BE700" s="89"/>
      <c r="BF700" s="89"/>
      <c r="BG700" s="89"/>
      <c r="BH700" s="89"/>
      <c r="BI700" s="89"/>
      <c r="BJ700" s="89"/>
      <c r="BK700" s="89"/>
      <c r="BL700" s="89"/>
      <c r="BM700" s="89"/>
      <c r="BN700" s="89"/>
      <c r="BO700" s="89"/>
      <c r="BP700" s="89"/>
      <c r="BQ700" s="89"/>
      <c r="BR700" s="89"/>
      <c r="BS700" s="89"/>
    </row>
    <row r="701" spans="1:71" ht="27" customHeight="1" x14ac:dyDescent="0.2">
      <c r="A701" s="93"/>
      <c r="B701" s="89"/>
      <c r="C701" s="89"/>
      <c r="D701" s="89"/>
      <c r="E701" s="89"/>
      <c r="F701" s="89"/>
      <c r="G701" s="89"/>
      <c r="H701" s="94"/>
      <c r="I701" s="94"/>
      <c r="J701" s="94"/>
      <c r="K701" s="94"/>
      <c r="L701" s="94"/>
      <c r="M701" s="94"/>
      <c r="N701" s="94"/>
      <c r="O701" s="94"/>
      <c r="P701" s="94"/>
      <c r="Q701" s="94"/>
      <c r="R701" s="95"/>
      <c r="S701" s="94"/>
      <c r="T701" s="96"/>
      <c r="U701" s="94"/>
      <c r="V701" s="97"/>
      <c r="W701" s="94"/>
      <c r="X701" s="98"/>
      <c r="Y701" s="98"/>
      <c r="Z701" s="98"/>
      <c r="AA701" s="98"/>
      <c r="AB701" s="98"/>
      <c r="AC701" s="97"/>
      <c r="AD701" s="99"/>
      <c r="AE701" s="95"/>
      <c r="AF701" s="94"/>
      <c r="AG701" s="89"/>
      <c r="AH701" s="89"/>
      <c r="AI701" s="89"/>
      <c r="AJ701" s="89"/>
      <c r="AK701" s="89"/>
      <c r="AL701" s="89"/>
      <c r="AM701" s="89"/>
      <c r="AN701" s="89"/>
      <c r="AO701" s="89"/>
      <c r="AP701" s="89"/>
      <c r="AQ701" s="89"/>
      <c r="AR701" s="89"/>
      <c r="AS701" s="89"/>
      <c r="AT701" s="89"/>
      <c r="AU701" s="89"/>
      <c r="AV701" s="89"/>
      <c r="AW701" s="100"/>
      <c r="AX701" s="100"/>
      <c r="AY701" s="89"/>
      <c r="AZ701" s="89"/>
      <c r="BA701" s="89"/>
      <c r="BB701" s="89"/>
      <c r="BC701" s="89"/>
      <c r="BD701" s="89"/>
      <c r="BE701" s="89"/>
      <c r="BF701" s="89"/>
      <c r="BG701" s="89"/>
      <c r="BH701" s="89"/>
      <c r="BI701" s="89"/>
      <c r="BJ701" s="89"/>
      <c r="BK701" s="89"/>
      <c r="BL701" s="89"/>
      <c r="BM701" s="89"/>
      <c r="BN701" s="89"/>
      <c r="BO701" s="89"/>
      <c r="BP701" s="89"/>
      <c r="BQ701" s="89"/>
      <c r="BR701" s="89"/>
      <c r="BS701" s="89"/>
    </row>
    <row r="702" spans="1:71" ht="27" customHeight="1" x14ac:dyDescent="0.2">
      <c r="A702" s="93"/>
      <c r="B702" s="89"/>
      <c r="C702" s="89"/>
      <c r="D702" s="89"/>
      <c r="E702" s="89"/>
      <c r="F702" s="89"/>
      <c r="G702" s="89"/>
      <c r="H702" s="94"/>
      <c r="I702" s="94"/>
      <c r="J702" s="94"/>
      <c r="K702" s="94"/>
      <c r="L702" s="94"/>
      <c r="M702" s="94"/>
      <c r="N702" s="94"/>
      <c r="O702" s="94"/>
      <c r="P702" s="94"/>
      <c r="Q702" s="94"/>
      <c r="R702" s="95"/>
      <c r="S702" s="94"/>
      <c r="T702" s="96"/>
      <c r="U702" s="94"/>
      <c r="V702" s="97"/>
      <c r="W702" s="94"/>
      <c r="X702" s="98"/>
      <c r="Y702" s="98"/>
      <c r="Z702" s="98"/>
      <c r="AA702" s="98"/>
      <c r="AB702" s="98"/>
      <c r="AC702" s="97"/>
      <c r="AD702" s="99"/>
      <c r="AE702" s="95"/>
      <c r="AF702" s="94"/>
      <c r="AG702" s="89"/>
      <c r="AH702" s="89"/>
      <c r="AI702" s="89"/>
      <c r="AJ702" s="89"/>
      <c r="AK702" s="89"/>
      <c r="AL702" s="89"/>
      <c r="AM702" s="89"/>
      <c r="AN702" s="89"/>
      <c r="AO702" s="89"/>
      <c r="AP702" s="89"/>
      <c r="AQ702" s="89"/>
      <c r="AR702" s="89"/>
      <c r="AS702" s="89"/>
      <c r="AT702" s="89"/>
      <c r="AU702" s="89"/>
      <c r="AV702" s="89"/>
      <c r="AW702" s="100"/>
      <c r="AX702" s="100"/>
      <c r="AY702" s="89"/>
      <c r="AZ702" s="89"/>
      <c r="BA702" s="89"/>
      <c r="BB702" s="89"/>
      <c r="BC702" s="89"/>
      <c r="BD702" s="89"/>
      <c r="BE702" s="89"/>
      <c r="BF702" s="89"/>
      <c r="BG702" s="89"/>
      <c r="BH702" s="89"/>
      <c r="BI702" s="89"/>
      <c r="BJ702" s="89"/>
      <c r="BK702" s="89"/>
      <c r="BL702" s="89"/>
      <c r="BM702" s="89"/>
      <c r="BN702" s="89"/>
      <c r="BO702" s="89"/>
      <c r="BP702" s="89"/>
      <c r="BQ702" s="89"/>
      <c r="BR702" s="89"/>
      <c r="BS702" s="89"/>
    </row>
    <row r="703" spans="1:71" ht="27" customHeight="1" x14ac:dyDescent="0.2">
      <c r="A703" s="93"/>
      <c r="B703" s="89"/>
      <c r="C703" s="89"/>
      <c r="D703" s="89"/>
      <c r="E703" s="89"/>
      <c r="F703" s="89"/>
      <c r="G703" s="89"/>
      <c r="H703" s="94"/>
      <c r="I703" s="94"/>
      <c r="J703" s="94"/>
      <c r="K703" s="94"/>
      <c r="L703" s="94"/>
      <c r="M703" s="94"/>
      <c r="N703" s="94"/>
      <c r="O703" s="94"/>
      <c r="P703" s="94"/>
      <c r="Q703" s="94"/>
      <c r="R703" s="95"/>
      <c r="S703" s="94"/>
      <c r="T703" s="96"/>
      <c r="U703" s="94"/>
      <c r="V703" s="97"/>
      <c r="W703" s="94"/>
      <c r="X703" s="98"/>
      <c r="Y703" s="98"/>
      <c r="Z703" s="98"/>
      <c r="AA703" s="98"/>
      <c r="AB703" s="98"/>
      <c r="AC703" s="97"/>
      <c r="AD703" s="99"/>
      <c r="AE703" s="95"/>
      <c r="AF703" s="94"/>
      <c r="AG703" s="89"/>
      <c r="AH703" s="89"/>
      <c r="AI703" s="89"/>
      <c r="AJ703" s="89"/>
      <c r="AK703" s="89"/>
      <c r="AL703" s="89"/>
      <c r="AM703" s="89"/>
      <c r="AN703" s="89"/>
      <c r="AO703" s="89"/>
      <c r="AP703" s="89"/>
      <c r="AQ703" s="89"/>
      <c r="AR703" s="89"/>
      <c r="AS703" s="89"/>
      <c r="AT703" s="89"/>
      <c r="AU703" s="89"/>
      <c r="AV703" s="89"/>
      <c r="AW703" s="100"/>
      <c r="AX703" s="100"/>
      <c r="AY703" s="89"/>
      <c r="AZ703" s="89"/>
      <c r="BA703" s="89"/>
      <c r="BB703" s="89"/>
      <c r="BC703" s="89"/>
      <c r="BD703" s="89"/>
      <c r="BE703" s="89"/>
      <c r="BF703" s="89"/>
      <c r="BG703" s="89"/>
      <c r="BH703" s="89"/>
      <c r="BI703" s="89"/>
      <c r="BJ703" s="89"/>
      <c r="BK703" s="89"/>
      <c r="BL703" s="89"/>
      <c r="BM703" s="89"/>
      <c r="BN703" s="89"/>
      <c r="BO703" s="89"/>
      <c r="BP703" s="89"/>
      <c r="BQ703" s="89"/>
      <c r="BR703" s="89"/>
      <c r="BS703" s="89"/>
    </row>
    <row r="704" spans="1:71" ht="27" customHeight="1" x14ac:dyDescent="0.2">
      <c r="A704" s="93"/>
      <c r="B704" s="89"/>
      <c r="C704" s="89"/>
      <c r="D704" s="89"/>
      <c r="E704" s="89"/>
      <c r="F704" s="89"/>
      <c r="G704" s="89"/>
      <c r="H704" s="94"/>
      <c r="I704" s="94"/>
      <c r="J704" s="94"/>
      <c r="K704" s="94"/>
      <c r="L704" s="94"/>
      <c r="M704" s="94"/>
      <c r="N704" s="94"/>
      <c r="O704" s="94"/>
      <c r="P704" s="94"/>
      <c r="Q704" s="94"/>
      <c r="R704" s="95"/>
      <c r="S704" s="94"/>
      <c r="T704" s="96"/>
      <c r="U704" s="94"/>
      <c r="V704" s="97"/>
      <c r="W704" s="94"/>
      <c r="X704" s="98"/>
      <c r="Y704" s="98"/>
      <c r="Z704" s="98"/>
      <c r="AA704" s="98"/>
      <c r="AB704" s="98"/>
      <c r="AC704" s="97"/>
      <c r="AD704" s="99"/>
      <c r="AE704" s="95"/>
      <c r="AF704" s="94"/>
      <c r="AG704" s="89"/>
      <c r="AH704" s="89"/>
      <c r="AI704" s="89"/>
      <c r="AJ704" s="89"/>
      <c r="AK704" s="89"/>
      <c r="AL704" s="89"/>
      <c r="AM704" s="89"/>
      <c r="AN704" s="89"/>
      <c r="AO704" s="89"/>
      <c r="AP704" s="89"/>
      <c r="AQ704" s="89"/>
      <c r="AR704" s="89"/>
      <c r="AS704" s="89"/>
      <c r="AT704" s="89"/>
      <c r="AU704" s="89"/>
      <c r="AV704" s="89"/>
      <c r="AW704" s="100"/>
      <c r="AX704" s="100"/>
      <c r="AY704" s="89"/>
      <c r="AZ704" s="89"/>
      <c r="BA704" s="89"/>
      <c r="BB704" s="89"/>
      <c r="BC704" s="89"/>
      <c r="BD704" s="89"/>
      <c r="BE704" s="89"/>
      <c r="BF704" s="89"/>
      <c r="BG704" s="89"/>
      <c r="BH704" s="89"/>
      <c r="BI704" s="89"/>
      <c r="BJ704" s="89"/>
      <c r="BK704" s="89"/>
      <c r="BL704" s="89"/>
      <c r="BM704" s="89"/>
      <c r="BN704" s="89"/>
      <c r="BO704" s="89"/>
      <c r="BP704" s="89"/>
      <c r="BQ704" s="89"/>
      <c r="BR704" s="89"/>
      <c r="BS704" s="89"/>
    </row>
    <row r="705" spans="1:71" ht="27" customHeight="1" x14ac:dyDescent="0.2">
      <c r="A705" s="93"/>
      <c r="B705" s="89"/>
      <c r="C705" s="89"/>
      <c r="D705" s="89"/>
      <c r="E705" s="89"/>
      <c r="F705" s="89"/>
      <c r="G705" s="89"/>
      <c r="H705" s="94"/>
      <c r="I705" s="94"/>
      <c r="J705" s="94"/>
      <c r="K705" s="94"/>
      <c r="L705" s="94"/>
      <c r="M705" s="94"/>
      <c r="N705" s="94"/>
      <c r="O705" s="94"/>
      <c r="P705" s="94"/>
      <c r="Q705" s="94"/>
      <c r="R705" s="95"/>
      <c r="S705" s="94"/>
      <c r="T705" s="96"/>
      <c r="U705" s="94"/>
      <c r="V705" s="97"/>
      <c r="W705" s="94"/>
      <c r="X705" s="98"/>
      <c r="Y705" s="98"/>
      <c r="Z705" s="98"/>
      <c r="AA705" s="98"/>
      <c r="AB705" s="98"/>
      <c r="AC705" s="97"/>
      <c r="AD705" s="99"/>
      <c r="AE705" s="95"/>
      <c r="AF705" s="94"/>
      <c r="AG705" s="89"/>
      <c r="AH705" s="89"/>
      <c r="AI705" s="89"/>
      <c r="AJ705" s="89"/>
      <c r="AK705" s="89"/>
      <c r="AL705" s="89"/>
      <c r="AM705" s="89"/>
      <c r="AN705" s="89"/>
      <c r="AO705" s="89"/>
      <c r="AP705" s="89"/>
      <c r="AQ705" s="89"/>
      <c r="AR705" s="89"/>
      <c r="AS705" s="89"/>
      <c r="AT705" s="89"/>
      <c r="AU705" s="89"/>
      <c r="AV705" s="89"/>
      <c r="AW705" s="100"/>
      <c r="AX705" s="100"/>
      <c r="AY705" s="89"/>
      <c r="AZ705" s="89"/>
      <c r="BA705" s="89"/>
      <c r="BB705" s="89"/>
      <c r="BC705" s="89"/>
      <c r="BD705" s="89"/>
      <c r="BE705" s="89"/>
      <c r="BF705" s="89"/>
      <c r="BG705" s="89"/>
      <c r="BH705" s="89"/>
      <c r="BI705" s="89"/>
      <c r="BJ705" s="89"/>
      <c r="BK705" s="89"/>
      <c r="BL705" s="89"/>
      <c r="BM705" s="89"/>
      <c r="BN705" s="89"/>
      <c r="BO705" s="89"/>
      <c r="BP705" s="89"/>
      <c r="BQ705" s="89"/>
      <c r="BR705" s="89"/>
      <c r="BS705" s="89"/>
    </row>
    <row r="706" spans="1:71" ht="27" customHeight="1" x14ac:dyDescent="0.2">
      <c r="A706" s="93"/>
      <c r="B706" s="89"/>
      <c r="C706" s="89"/>
      <c r="D706" s="89"/>
      <c r="E706" s="89"/>
      <c r="F706" s="89"/>
      <c r="G706" s="89"/>
      <c r="H706" s="94"/>
      <c r="I706" s="94"/>
      <c r="J706" s="94"/>
      <c r="K706" s="94"/>
      <c r="L706" s="94"/>
      <c r="M706" s="94"/>
      <c r="N706" s="94"/>
      <c r="O706" s="94"/>
      <c r="P706" s="94"/>
      <c r="Q706" s="94"/>
      <c r="R706" s="95"/>
      <c r="S706" s="94"/>
      <c r="T706" s="96"/>
      <c r="U706" s="94"/>
      <c r="V706" s="97"/>
      <c r="W706" s="94"/>
      <c r="X706" s="98"/>
      <c r="Y706" s="98"/>
      <c r="Z706" s="98"/>
      <c r="AA706" s="98"/>
      <c r="AB706" s="98"/>
      <c r="AC706" s="97"/>
      <c r="AD706" s="99"/>
      <c r="AE706" s="95"/>
      <c r="AF706" s="94"/>
      <c r="AG706" s="89"/>
      <c r="AH706" s="89"/>
      <c r="AI706" s="89"/>
      <c r="AJ706" s="89"/>
      <c r="AK706" s="89"/>
      <c r="AL706" s="89"/>
      <c r="AM706" s="89"/>
      <c r="AN706" s="89"/>
      <c r="AO706" s="89"/>
      <c r="AP706" s="89"/>
      <c r="AQ706" s="89"/>
      <c r="AR706" s="89"/>
      <c r="AS706" s="89"/>
      <c r="AT706" s="89"/>
      <c r="AU706" s="89"/>
      <c r="AV706" s="89"/>
      <c r="AW706" s="100"/>
      <c r="AX706" s="100"/>
      <c r="AY706" s="89"/>
      <c r="AZ706" s="89"/>
      <c r="BA706" s="89"/>
      <c r="BB706" s="89"/>
      <c r="BC706" s="89"/>
      <c r="BD706" s="89"/>
      <c r="BE706" s="89"/>
      <c r="BF706" s="89"/>
      <c r="BG706" s="89"/>
      <c r="BH706" s="89"/>
      <c r="BI706" s="89"/>
      <c r="BJ706" s="89"/>
      <c r="BK706" s="89"/>
      <c r="BL706" s="89"/>
      <c r="BM706" s="89"/>
      <c r="BN706" s="89"/>
      <c r="BO706" s="89"/>
      <c r="BP706" s="89"/>
      <c r="BQ706" s="89"/>
      <c r="BR706" s="89"/>
      <c r="BS706" s="89"/>
    </row>
    <row r="707" spans="1:71" ht="27" customHeight="1" x14ac:dyDescent="0.2">
      <c r="A707" s="93"/>
      <c r="B707" s="89"/>
      <c r="C707" s="89"/>
      <c r="D707" s="89"/>
      <c r="E707" s="89"/>
      <c r="F707" s="89"/>
      <c r="G707" s="89"/>
      <c r="H707" s="94"/>
      <c r="I707" s="94"/>
      <c r="J707" s="94"/>
      <c r="K707" s="94"/>
      <c r="L707" s="94"/>
      <c r="M707" s="94"/>
      <c r="N707" s="94"/>
      <c r="O707" s="94"/>
      <c r="P707" s="94"/>
      <c r="Q707" s="94"/>
      <c r="R707" s="95"/>
      <c r="S707" s="94"/>
      <c r="T707" s="96"/>
      <c r="U707" s="94"/>
      <c r="V707" s="97"/>
      <c r="W707" s="94"/>
      <c r="X707" s="98"/>
      <c r="Y707" s="98"/>
      <c r="Z707" s="98"/>
      <c r="AA707" s="98"/>
      <c r="AB707" s="98"/>
      <c r="AC707" s="97"/>
      <c r="AD707" s="99"/>
      <c r="AE707" s="95"/>
      <c r="AF707" s="94"/>
      <c r="AG707" s="89"/>
      <c r="AH707" s="89"/>
      <c r="AI707" s="89"/>
      <c r="AJ707" s="89"/>
      <c r="AK707" s="89"/>
      <c r="AL707" s="89"/>
      <c r="AM707" s="89"/>
      <c r="AN707" s="89"/>
      <c r="AO707" s="89"/>
      <c r="AP707" s="89"/>
      <c r="AQ707" s="89"/>
      <c r="AR707" s="89"/>
      <c r="AS707" s="89"/>
      <c r="AT707" s="89"/>
      <c r="AU707" s="89"/>
      <c r="AV707" s="89"/>
      <c r="AW707" s="100"/>
      <c r="AX707" s="100"/>
      <c r="AY707" s="89"/>
      <c r="AZ707" s="89"/>
      <c r="BA707" s="89"/>
      <c r="BB707" s="89"/>
      <c r="BC707" s="89"/>
      <c r="BD707" s="89"/>
      <c r="BE707" s="89"/>
      <c r="BF707" s="89"/>
      <c r="BG707" s="89"/>
      <c r="BH707" s="89"/>
      <c r="BI707" s="89"/>
      <c r="BJ707" s="89"/>
      <c r="BK707" s="89"/>
      <c r="BL707" s="89"/>
      <c r="BM707" s="89"/>
      <c r="BN707" s="89"/>
      <c r="BO707" s="89"/>
      <c r="BP707" s="89"/>
      <c r="BQ707" s="89"/>
      <c r="BR707" s="89"/>
      <c r="BS707" s="89"/>
    </row>
    <row r="708" spans="1:71" ht="27" customHeight="1" x14ac:dyDescent="0.2">
      <c r="A708" s="93"/>
      <c r="B708" s="89"/>
      <c r="C708" s="89"/>
      <c r="D708" s="89"/>
      <c r="E708" s="89"/>
      <c r="F708" s="89"/>
      <c r="G708" s="89"/>
      <c r="H708" s="94"/>
      <c r="I708" s="94"/>
      <c r="J708" s="94"/>
      <c r="K708" s="94"/>
      <c r="L708" s="94"/>
      <c r="M708" s="94"/>
      <c r="N708" s="94"/>
      <c r="O708" s="94"/>
      <c r="P708" s="94"/>
      <c r="Q708" s="94"/>
      <c r="R708" s="95"/>
      <c r="S708" s="94"/>
      <c r="T708" s="96"/>
      <c r="U708" s="94"/>
      <c r="V708" s="97"/>
      <c r="W708" s="94"/>
      <c r="X708" s="98"/>
      <c r="Y708" s="98"/>
      <c r="Z708" s="98"/>
      <c r="AA708" s="98"/>
      <c r="AB708" s="98"/>
      <c r="AC708" s="97"/>
      <c r="AD708" s="99"/>
      <c r="AE708" s="95"/>
      <c r="AF708" s="94"/>
      <c r="AG708" s="89"/>
      <c r="AH708" s="89"/>
      <c r="AI708" s="89"/>
      <c r="AJ708" s="89"/>
      <c r="AK708" s="89"/>
      <c r="AL708" s="89"/>
      <c r="AM708" s="89"/>
      <c r="AN708" s="89"/>
      <c r="AO708" s="89"/>
      <c r="AP708" s="89"/>
      <c r="AQ708" s="89"/>
      <c r="AR708" s="89"/>
      <c r="AS708" s="89"/>
      <c r="AT708" s="89"/>
      <c r="AU708" s="89"/>
      <c r="AV708" s="89"/>
      <c r="AW708" s="100"/>
      <c r="AX708" s="100"/>
      <c r="AY708" s="89"/>
      <c r="AZ708" s="89"/>
      <c r="BA708" s="89"/>
      <c r="BB708" s="89"/>
      <c r="BC708" s="89"/>
      <c r="BD708" s="89"/>
      <c r="BE708" s="89"/>
      <c r="BF708" s="89"/>
      <c r="BG708" s="89"/>
      <c r="BH708" s="89"/>
      <c r="BI708" s="89"/>
      <c r="BJ708" s="89"/>
      <c r="BK708" s="89"/>
      <c r="BL708" s="89"/>
      <c r="BM708" s="89"/>
      <c r="BN708" s="89"/>
      <c r="BO708" s="89"/>
      <c r="BP708" s="89"/>
      <c r="BQ708" s="89"/>
      <c r="BR708" s="89"/>
      <c r="BS708" s="89"/>
    </row>
    <row r="709" spans="1:71" ht="27" customHeight="1" x14ac:dyDescent="0.2">
      <c r="A709" s="93"/>
      <c r="B709" s="89"/>
      <c r="C709" s="89"/>
      <c r="D709" s="89"/>
      <c r="E709" s="89"/>
      <c r="F709" s="89"/>
      <c r="G709" s="89"/>
      <c r="H709" s="94"/>
      <c r="I709" s="94"/>
      <c r="J709" s="94"/>
      <c r="K709" s="94"/>
      <c r="L709" s="94"/>
      <c r="M709" s="94"/>
      <c r="N709" s="94"/>
      <c r="O709" s="94"/>
      <c r="P709" s="94"/>
      <c r="Q709" s="94"/>
      <c r="R709" s="95"/>
      <c r="S709" s="94"/>
      <c r="T709" s="96"/>
      <c r="U709" s="94"/>
      <c r="V709" s="97"/>
      <c r="W709" s="94"/>
      <c r="X709" s="98"/>
      <c r="Y709" s="98"/>
      <c r="Z709" s="98"/>
      <c r="AA709" s="98"/>
      <c r="AB709" s="98"/>
      <c r="AC709" s="97"/>
      <c r="AD709" s="99"/>
      <c r="AE709" s="95"/>
      <c r="AF709" s="94"/>
      <c r="AG709" s="89"/>
      <c r="AH709" s="89"/>
      <c r="AI709" s="89"/>
      <c r="AJ709" s="89"/>
      <c r="AK709" s="89"/>
      <c r="AL709" s="89"/>
      <c r="AM709" s="89"/>
      <c r="AN709" s="89"/>
      <c r="AO709" s="89"/>
      <c r="AP709" s="89"/>
      <c r="AQ709" s="89"/>
      <c r="AR709" s="89"/>
      <c r="AS709" s="89"/>
      <c r="AT709" s="89"/>
      <c r="AU709" s="89"/>
      <c r="AV709" s="89"/>
      <c r="AW709" s="100"/>
      <c r="AX709" s="100"/>
      <c r="AY709" s="89"/>
      <c r="AZ709" s="89"/>
      <c r="BA709" s="89"/>
      <c r="BB709" s="89"/>
      <c r="BC709" s="89"/>
      <c r="BD709" s="89"/>
      <c r="BE709" s="89"/>
      <c r="BF709" s="89"/>
      <c r="BG709" s="89"/>
      <c r="BH709" s="89"/>
      <c r="BI709" s="89"/>
      <c r="BJ709" s="89"/>
      <c r="BK709" s="89"/>
      <c r="BL709" s="89"/>
      <c r="BM709" s="89"/>
      <c r="BN709" s="89"/>
      <c r="BO709" s="89"/>
      <c r="BP709" s="89"/>
      <c r="BQ709" s="89"/>
      <c r="BR709" s="89"/>
      <c r="BS709" s="89"/>
    </row>
    <row r="710" spans="1:71" ht="27" customHeight="1" x14ac:dyDescent="0.2">
      <c r="A710" s="93"/>
      <c r="B710" s="89"/>
      <c r="C710" s="89"/>
      <c r="D710" s="89"/>
      <c r="E710" s="89"/>
      <c r="F710" s="89"/>
      <c r="G710" s="89"/>
      <c r="H710" s="94"/>
      <c r="I710" s="94"/>
      <c r="J710" s="94"/>
      <c r="K710" s="94"/>
      <c r="L710" s="94"/>
      <c r="M710" s="94"/>
      <c r="N710" s="94"/>
      <c r="O710" s="94"/>
      <c r="P710" s="94"/>
      <c r="Q710" s="94"/>
      <c r="R710" s="95"/>
      <c r="S710" s="94"/>
      <c r="T710" s="96"/>
      <c r="U710" s="94"/>
      <c r="V710" s="97"/>
      <c r="W710" s="94"/>
      <c r="X710" s="98"/>
      <c r="Y710" s="98"/>
      <c r="Z710" s="98"/>
      <c r="AA710" s="98"/>
      <c r="AB710" s="98"/>
      <c r="AC710" s="97"/>
      <c r="AD710" s="99"/>
      <c r="AE710" s="95"/>
      <c r="AF710" s="94"/>
      <c r="AG710" s="89"/>
      <c r="AH710" s="89"/>
      <c r="AI710" s="89"/>
      <c r="AJ710" s="89"/>
      <c r="AK710" s="89"/>
      <c r="AL710" s="89"/>
      <c r="AM710" s="89"/>
      <c r="AN710" s="89"/>
      <c r="AO710" s="89"/>
      <c r="AP710" s="89"/>
      <c r="AQ710" s="89"/>
      <c r="AR710" s="89"/>
      <c r="AS710" s="89"/>
      <c r="AT710" s="89"/>
      <c r="AU710" s="89"/>
      <c r="AV710" s="89"/>
      <c r="AW710" s="100"/>
      <c r="AX710" s="100"/>
      <c r="AY710" s="89"/>
      <c r="AZ710" s="89"/>
      <c r="BA710" s="89"/>
      <c r="BB710" s="89"/>
      <c r="BC710" s="89"/>
      <c r="BD710" s="89"/>
      <c r="BE710" s="89"/>
      <c r="BF710" s="89"/>
      <c r="BG710" s="89"/>
      <c r="BH710" s="89"/>
      <c r="BI710" s="89"/>
      <c r="BJ710" s="89"/>
      <c r="BK710" s="89"/>
      <c r="BL710" s="89"/>
      <c r="BM710" s="89"/>
      <c r="BN710" s="89"/>
      <c r="BO710" s="89"/>
      <c r="BP710" s="89"/>
      <c r="BQ710" s="89"/>
      <c r="BR710" s="89"/>
      <c r="BS710" s="89"/>
    </row>
    <row r="711" spans="1:71" ht="27" customHeight="1" x14ac:dyDescent="0.2">
      <c r="A711" s="93"/>
      <c r="B711" s="89"/>
      <c r="C711" s="89"/>
      <c r="D711" s="89"/>
      <c r="E711" s="89"/>
      <c r="F711" s="89"/>
      <c r="G711" s="89"/>
      <c r="H711" s="94"/>
      <c r="I711" s="94"/>
      <c r="J711" s="94"/>
      <c r="K711" s="94"/>
      <c r="L711" s="94"/>
      <c r="M711" s="94"/>
      <c r="N711" s="94"/>
      <c r="O711" s="94"/>
      <c r="P711" s="94"/>
      <c r="Q711" s="94"/>
      <c r="R711" s="95"/>
      <c r="S711" s="94"/>
      <c r="T711" s="96"/>
      <c r="U711" s="94"/>
      <c r="V711" s="97"/>
      <c r="W711" s="94"/>
      <c r="X711" s="98"/>
      <c r="Y711" s="98"/>
      <c r="Z711" s="98"/>
      <c r="AA711" s="98"/>
      <c r="AB711" s="98"/>
      <c r="AC711" s="97"/>
      <c r="AD711" s="99"/>
      <c r="AE711" s="95"/>
      <c r="AF711" s="94"/>
      <c r="AG711" s="89"/>
      <c r="AH711" s="89"/>
      <c r="AI711" s="89"/>
      <c r="AJ711" s="89"/>
      <c r="AK711" s="89"/>
      <c r="AL711" s="89"/>
      <c r="AM711" s="89"/>
      <c r="AN711" s="89"/>
      <c r="AO711" s="89"/>
      <c r="AP711" s="89"/>
      <c r="AQ711" s="89"/>
      <c r="AR711" s="89"/>
      <c r="AS711" s="89"/>
      <c r="AT711" s="89"/>
      <c r="AU711" s="89"/>
      <c r="AV711" s="89"/>
      <c r="AW711" s="100"/>
      <c r="AX711" s="100"/>
      <c r="AY711" s="89"/>
      <c r="AZ711" s="89"/>
      <c r="BA711" s="89"/>
      <c r="BB711" s="89"/>
      <c r="BC711" s="89"/>
      <c r="BD711" s="89"/>
      <c r="BE711" s="89"/>
      <c r="BF711" s="89"/>
      <c r="BG711" s="89"/>
      <c r="BH711" s="89"/>
      <c r="BI711" s="89"/>
      <c r="BJ711" s="89"/>
      <c r="BK711" s="89"/>
      <c r="BL711" s="89"/>
      <c r="BM711" s="89"/>
      <c r="BN711" s="89"/>
      <c r="BO711" s="89"/>
      <c r="BP711" s="89"/>
      <c r="BQ711" s="89"/>
      <c r="BR711" s="89"/>
      <c r="BS711" s="89"/>
    </row>
    <row r="712" spans="1:71" ht="27" customHeight="1" x14ac:dyDescent="0.2">
      <c r="A712" s="93"/>
      <c r="B712" s="89"/>
      <c r="C712" s="89"/>
      <c r="D712" s="89"/>
      <c r="E712" s="89"/>
      <c r="F712" s="89"/>
      <c r="G712" s="89"/>
      <c r="H712" s="94"/>
      <c r="I712" s="94"/>
      <c r="J712" s="94"/>
      <c r="K712" s="94"/>
      <c r="L712" s="94"/>
      <c r="M712" s="94"/>
      <c r="N712" s="94"/>
      <c r="O712" s="94"/>
      <c r="P712" s="94"/>
      <c r="Q712" s="94"/>
      <c r="R712" s="95"/>
      <c r="S712" s="94"/>
      <c r="T712" s="96"/>
      <c r="U712" s="94"/>
      <c r="V712" s="97"/>
      <c r="W712" s="94"/>
      <c r="X712" s="98"/>
      <c r="Y712" s="98"/>
      <c r="Z712" s="98"/>
      <c r="AA712" s="98"/>
      <c r="AB712" s="98"/>
      <c r="AC712" s="97"/>
      <c r="AD712" s="99"/>
      <c r="AE712" s="95"/>
      <c r="AF712" s="94"/>
      <c r="AG712" s="89"/>
      <c r="AH712" s="89"/>
      <c r="AI712" s="89"/>
      <c r="AJ712" s="89"/>
      <c r="AK712" s="89"/>
      <c r="AL712" s="89"/>
      <c r="AM712" s="89"/>
      <c r="AN712" s="89"/>
      <c r="AO712" s="89"/>
      <c r="AP712" s="89"/>
      <c r="AQ712" s="89"/>
      <c r="AR712" s="89"/>
      <c r="AS712" s="89"/>
      <c r="AT712" s="89"/>
      <c r="AU712" s="89"/>
      <c r="AV712" s="89"/>
      <c r="AW712" s="100"/>
      <c r="AX712" s="100"/>
      <c r="AY712" s="89"/>
      <c r="AZ712" s="89"/>
      <c r="BA712" s="89"/>
      <c r="BB712" s="89"/>
      <c r="BC712" s="89"/>
      <c r="BD712" s="89"/>
      <c r="BE712" s="89"/>
      <c r="BF712" s="89"/>
      <c r="BG712" s="89"/>
      <c r="BH712" s="89"/>
      <c r="BI712" s="89"/>
      <c r="BJ712" s="89"/>
      <c r="BK712" s="89"/>
      <c r="BL712" s="89"/>
      <c r="BM712" s="89"/>
      <c r="BN712" s="89"/>
      <c r="BO712" s="89"/>
      <c r="BP712" s="89"/>
      <c r="BQ712" s="89"/>
      <c r="BR712" s="89"/>
      <c r="BS712" s="89"/>
    </row>
    <row r="713" spans="1:71" ht="27" customHeight="1" x14ac:dyDescent="0.2">
      <c r="A713" s="93"/>
      <c r="B713" s="89"/>
      <c r="C713" s="89"/>
      <c r="D713" s="89"/>
      <c r="E713" s="89"/>
      <c r="F713" s="89"/>
      <c r="G713" s="89"/>
      <c r="H713" s="94"/>
      <c r="I713" s="94"/>
      <c r="J713" s="94"/>
      <c r="K713" s="94"/>
      <c r="L713" s="94"/>
      <c r="M713" s="94"/>
      <c r="N713" s="94"/>
      <c r="O713" s="94"/>
      <c r="P713" s="94"/>
      <c r="Q713" s="94"/>
      <c r="R713" s="95"/>
      <c r="S713" s="94"/>
      <c r="T713" s="96"/>
      <c r="U713" s="94"/>
      <c r="V713" s="97"/>
      <c r="W713" s="94"/>
      <c r="X713" s="98"/>
      <c r="Y713" s="98"/>
      <c r="Z713" s="98"/>
      <c r="AA713" s="98"/>
      <c r="AB713" s="98"/>
      <c r="AC713" s="97"/>
      <c r="AD713" s="99"/>
      <c r="AE713" s="95"/>
      <c r="AF713" s="94"/>
      <c r="AG713" s="89"/>
      <c r="AH713" s="89"/>
      <c r="AI713" s="89"/>
      <c r="AJ713" s="89"/>
      <c r="AK713" s="89"/>
      <c r="AL713" s="89"/>
      <c r="AM713" s="89"/>
      <c r="AN713" s="89"/>
      <c r="AO713" s="89"/>
      <c r="AP713" s="89"/>
      <c r="AQ713" s="89"/>
      <c r="AR713" s="89"/>
      <c r="AS713" s="89"/>
      <c r="AT713" s="89"/>
      <c r="AU713" s="89"/>
      <c r="AV713" s="89"/>
      <c r="AW713" s="100"/>
      <c r="AX713" s="100"/>
      <c r="AY713" s="89"/>
      <c r="AZ713" s="89"/>
      <c r="BA713" s="89"/>
      <c r="BB713" s="89"/>
      <c r="BC713" s="89"/>
      <c r="BD713" s="89"/>
      <c r="BE713" s="89"/>
      <c r="BF713" s="89"/>
      <c r="BG713" s="89"/>
      <c r="BH713" s="89"/>
      <c r="BI713" s="89"/>
      <c r="BJ713" s="89"/>
      <c r="BK713" s="89"/>
      <c r="BL713" s="89"/>
      <c r="BM713" s="89"/>
      <c r="BN713" s="89"/>
      <c r="BO713" s="89"/>
      <c r="BP713" s="89"/>
      <c r="BQ713" s="89"/>
      <c r="BR713" s="89"/>
      <c r="BS713" s="89"/>
    </row>
    <row r="714" spans="1:71" ht="27" customHeight="1" x14ac:dyDescent="0.2">
      <c r="A714" s="93"/>
      <c r="B714" s="89"/>
      <c r="C714" s="89"/>
      <c r="D714" s="89"/>
      <c r="E714" s="89"/>
      <c r="F714" s="89"/>
      <c r="G714" s="89"/>
      <c r="H714" s="94"/>
      <c r="I714" s="94"/>
      <c r="J714" s="94"/>
      <c r="K714" s="94"/>
      <c r="L714" s="94"/>
      <c r="M714" s="94"/>
      <c r="N714" s="94"/>
      <c r="O714" s="94"/>
      <c r="P714" s="94"/>
      <c r="Q714" s="94"/>
      <c r="R714" s="95"/>
      <c r="S714" s="94"/>
      <c r="T714" s="96"/>
      <c r="U714" s="94"/>
      <c r="V714" s="97"/>
      <c r="W714" s="94"/>
      <c r="X714" s="98"/>
      <c r="Y714" s="98"/>
      <c r="Z714" s="98"/>
      <c r="AA714" s="98"/>
      <c r="AB714" s="98"/>
      <c r="AC714" s="97"/>
      <c r="AD714" s="99"/>
      <c r="AE714" s="95"/>
      <c r="AF714" s="94"/>
      <c r="AG714" s="89"/>
      <c r="AH714" s="89"/>
      <c r="AI714" s="89"/>
      <c r="AJ714" s="89"/>
      <c r="AK714" s="89"/>
      <c r="AL714" s="89"/>
      <c r="AM714" s="89"/>
      <c r="AN714" s="89"/>
      <c r="AO714" s="89"/>
      <c r="AP714" s="89"/>
      <c r="AQ714" s="89"/>
      <c r="AR714" s="89"/>
      <c r="AS714" s="89"/>
      <c r="AT714" s="89"/>
      <c r="AU714" s="89"/>
      <c r="AV714" s="89"/>
      <c r="AW714" s="100"/>
      <c r="AX714" s="100"/>
      <c r="AY714" s="89"/>
      <c r="AZ714" s="89"/>
      <c r="BA714" s="89"/>
      <c r="BB714" s="89"/>
      <c r="BC714" s="89"/>
      <c r="BD714" s="89"/>
      <c r="BE714" s="89"/>
      <c r="BF714" s="89"/>
      <c r="BG714" s="89"/>
      <c r="BH714" s="89"/>
      <c r="BI714" s="89"/>
      <c r="BJ714" s="89"/>
      <c r="BK714" s="89"/>
      <c r="BL714" s="89"/>
      <c r="BM714" s="89"/>
      <c r="BN714" s="89"/>
      <c r="BO714" s="89"/>
      <c r="BP714" s="89"/>
      <c r="BQ714" s="89"/>
      <c r="BR714" s="89"/>
      <c r="BS714" s="89"/>
    </row>
    <row r="715" spans="1:71" ht="27" customHeight="1" x14ac:dyDescent="0.2">
      <c r="A715" s="93"/>
      <c r="B715" s="89"/>
      <c r="C715" s="89"/>
      <c r="D715" s="89"/>
      <c r="E715" s="89"/>
      <c r="F715" s="89"/>
      <c r="G715" s="89"/>
      <c r="H715" s="94"/>
      <c r="I715" s="94"/>
      <c r="J715" s="94"/>
      <c r="K715" s="94"/>
      <c r="L715" s="94"/>
      <c r="M715" s="94"/>
      <c r="N715" s="94"/>
      <c r="O715" s="94"/>
      <c r="P715" s="94"/>
      <c r="Q715" s="94"/>
      <c r="R715" s="95"/>
      <c r="S715" s="94"/>
      <c r="T715" s="96"/>
      <c r="U715" s="94"/>
      <c r="V715" s="97"/>
      <c r="W715" s="94"/>
      <c r="X715" s="98"/>
      <c r="Y715" s="98"/>
      <c r="Z715" s="98"/>
      <c r="AA715" s="98"/>
      <c r="AB715" s="98"/>
      <c r="AC715" s="97"/>
      <c r="AD715" s="99"/>
      <c r="AE715" s="95"/>
      <c r="AF715" s="94"/>
      <c r="AG715" s="89"/>
      <c r="AH715" s="89"/>
      <c r="AI715" s="89"/>
      <c r="AJ715" s="89"/>
      <c r="AK715" s="89"/>
      <c r="AL715" s="89"/>
      <c r="AM715" s="89"/>
      <c r="AN715" s="89"/>
      <c r="AO715" s="89"/>
      <c r="AP715" s="89"/>
      <c r="AQ715" s="89"/>
      <c r="AR715" s="89"/>
      <c r="AS715" s="89"/>
      <c r="AT715" s="89"/>
      <c r="AU715" s="89"/>
      <c r="AV715" s="89"/>
      <c r="AW715" s="100"/>
      <c r="AX715" s="100"/>
      <c r="AY715" s="89"/>
      <c r="AZ715" s="89"/>
      <c r="BA715" s="89"/>
      <c r="BB715" s="89"/>
      <c r="BC715" s="89"/>
      <c r="BD715" s="89"/>
      <c r="BE715" s="89"/>
      <c r="BF715" s="89"/>
      <c r="BG715" s="89"/>
      <c r="BH715" s="89"/>
      <c r="BI715" s="89"/>
      <c r="BJ715" s="89"/>
      <c r="BK715" s="89"/>
      <c r="BL715" s="89"/>
      <c r="BM715" s="89"/>
      <c r="BN715" s="89"/>
      <c r="BO715" s="89"/>
      <c r="BP715" s="89"/>
      <c r="BQ715" s="89"/>
      <c r="BR715" s="89"/>
      <c r="BS715" s="89"/>
    </row>
    <row r="716" spans="1:71" ht="27" customHeight="1" x14ac:dyDescent="0.2">
      <c r="A716" s="93"/>
      <c r="B716" s="89"/>
      <c r="C716" s="89"/>
      <c r="D716" s="89"/>
      <c r="E716" s="89"/>
      <c r="F716" s="89"/>
      <c r="G716" s="89"/>
      <c r="H716" s="94"/>
      <c r="I716" s="94"/>
      <c r="J716" s="94"/>
      <c r="K716" s="94"/>
      <c r="L716" s="94"/>
      <c r="M716" s="94"/>
      <c r="N716" s="94"/>
      <c r="O716" s="94"/>
      <c r="P716" s="94"/>
      <c r="Q716" s="94"/>
      <c r="R716" s="95"/>
      <c r="S716" s="94"/>
      <c r="T716" s="96"/>
      <c r="U716" s="94"/>
      <c r="V716" s="97"/>
      <c r="W716" s="94"/>
      <c r="X716" s="98"/>
      <c r="Y716" s="98"/>
      <c r="Z716" s="98"/>
      <c r="AA716" s="98"/>
      <c r="AB716" s="98"/>
      <c r="AC716" s="97"/>
      <c r="AD716" s="99"/>
      <c r="AE716" s="95"/>
      <c r="AF716" s="94"/>
      <c r="AG716" s="89"/>
      <c r="AH716" s="89"/>
      <c r="AI716" s="89"/>
      <c r="AJ716" s="89"/>
      <c r="AK716" s="89"/>
      <c r="AL716" s="89"/>
      <c r="AM716" s="89"/>
      <c r="AN716" s="89"/>
      <c r="AO716" s="89"/>
      <c r="AP716" s="89"/>
      <c r="AQ716" s="89"/>
      <c r="AR716" s="89"/>
      <c r="AS716" s="89"/>
      <c r="AT716" s="89"/>
      <c r="AU716" s="89"/>
      <c r="AV716" s="89"/>
      <c r="AW716" s="100"/>
      <c r="AX716" s="100"/>
      <c r="AY716" s="89"/>
      <c r="AZ716" s="89"/>
      <c r="BA716" s="89"/>
      <c r="BB716" s="89"/>
      <c r="BC716" s="89"/>
      <c r="BD716" s="89"/>
      <c r="BE716" s="89"/>
      <c r="BF716" s="89"/>
      <c r="BG716" s="89"/>
      <c r="BH716" s="89"/>
      <c r="BI716" s="89"/>
      <c r="BJ716" s="89"/>
      <c r="BK716" s="89"/>
      <c r="BL716" s="89"/>
      <c r="BM716" s="89"/>
      <c r="BN716" s="89"/>
      <c r="BO716" s="89"/>
      <c r="BP716" s="89"/>
      <c r="BQ716" s="89"/>
      <c r="BR716" s="89"/>
      <c r="BS716" s="89"/>
    </row>
    <row r="717" spans="1:71" ht="27" customHeight="1" x14ac:dyDescent="0.2">
      <c r="A717" s="93"/>
      <c r="B717" s="89"/>
      <c r="C717" s="89"/>
      <c r="D717" s="89"/>
      <c r="E717" s="89"/>
      <c r="F717" s="89"/>
      <c r="G717" s="89"/>
      <c r="H717" s="94"/>
      <c r="I717" s="94"/>
      <c r="J717" s="94"/>
      <c r="K717" s="94"/>
      <c r="L717" s="94"/>
      <c r="M717" s="94"/>
      <c r="N717" s="94"/>
      <c r="O717" s="94"/>
      <c r="P717" s="94"/>
      <c r="Q717" s="94"/>
      <c r="R717" s="95"/>
      <c r="S717" s="94"/>
      <c r="T717" s="96"/>
      <c r="U717" s="94"/>
      <c r="V717" s="97"/>
      <c r="W717" s="94"/>
      <c r="X717" s="98"/>
      <c r="Y717" s="98"/>
      <c r="Z717" s="98"/>
      <c r="AA717" s="98"/>
      <c r="AB717" s="98"/>
      <c r="AC717" s="97"/>
      <c r="AD717" s="99"/>
      <c r="AE717" s="95"/>
      <c r="AF717" s="94"/>
      <c r="AG717" s="89"/>
      <c r="AH717" s="89"/>
      <c r="AI717" s="89"/>
      <c r="AJ717" s="89"/>
      <c r="AK717" s="89"/>
      <c r="AL717" s="89"/>
      <c r="AM717" s="89"/>
      <c r="AN717" s="89"/>
      <c r="AO717" s="89"/>
      <c r="AP717" s="89"/>
      <c r="AQ717" s="89"/>
      <c r="AR717" s="89"/>
      <c r="AS717" s="89"/>
      <c r="AT717" s="89"/>
      <c r="AU717" s="89"/>
      <c r="AV717" s="89"/>
      <c r="AW717" s="100"/>
      <c r="AX717" s="100"/>
      <c r="AY717" s="89"/>
      <c r="AZ717" s="89"/>
      <c r="BA717" s="89"/>
      <c r="BB717" s="89"/>
      <c r="BC717" s="89"/>
      <c r="BD717" s="89"/>
      <c r="BE717" s="89"/>
      <c r="BF717" s="89"/>
      <c r="BG717" s="89"/>
      <c r="BH717" s="89"/>
      <c r="BI717" s="89"/>
      <c r="BJ717" s="89"/>
      <c r="BK717" s="89"/>
      <c r="BL717" s="89"/>
      <c r="BM717" s="89"/>
      <c r="BN717" s="89"/>
      <c r="BO717" s="89"/>
      <c r="BP717" s="89"/>
      <c r="BQ717" s="89"/>
      <c r="BR717" s="89"/>
      <c r="BS717" s="89"/>
    </row>
    <row r="718" spans="1:71" ht="27" customHeight="1" x14ac:dyDescent="0.2">
      <c r="A718" s="93"/>
      <c r="B718" s="89"/>
      <c r="C718" s="89"/>
      <c r="D718" s="89"/>
      <c r="E718" s="89"/>
      <c r="F718" s="89"/>
      <c r="G718" s="89"/>
      <c r="H718" s="94"/>
      <c r="I718" s="94"/>
      <c r="J718" s="94"/>
      <c r="K718" s="94"/>
      <c r="L718" s="94"/>
      <c r="M718" s="94"/>
      <c r="N718" s="94"/>
      <c r="O718" s="94"/>
      <c r="P718" s="94"/>
      <c r="Q718" s="94"/>
      <c r="R718" s="95"/>
      <c r="S718" s="94"/>
      <c r="T718" s="96"/>
      <c r="U718" s="94"/>
      <c r="V718" s="97"/>
      <c r="W718" s="94"/>
      <c r="X718" s="98"/>
      <c r="Y718" s="98"/>
      <c r="Z718" s="98"/>
      <c r="AA718" s="98"/>
      <c r="AB718" s="98"/>
      <c r="AC718" s="97"/>
      <c r="AD718" s="99"/>
      <c r="AE718" s="95"/>
      <c r="AF718" s="94"/>
      <c r="AG718" s="89"/>
      <c r="AH718" s="89"/>
      <c r="AI718" s="89"/>
      <c r="AJ718" s="89"/>
      <c r="AK718" s="89"/>
      <c r="AL718" s="89"/>
      <c r="AM718" s="89"/>
      <c r="AN718" s="89"/>
      <c r="AO718" s="89"/>
      <c r="AP718" s="89"/>
      <c r="AQ718" s="89"/>
      <c r="AR718" s="89"/>
      <c r="AS718" s="89"/>
      <c r="AT718" s="89"/>
      <c r="AU718" s="89"/>
      <c r="AV718" s="89"/>
      <c r="AW718" s="100"/>
      <c r="AX718" s="100"/>
      <c r="AY718" s="89"/>
      <c r="AZ718" s="89"/>
      <c r="BA718" s="89"/>
      <c r="BB718" s="89"/>
      <c r="BC718" s="89"/>
      <c r="BD718" s="89"/>
      <c r="BE718" s="89"/>
      <c r="BF718" s="89"/>
      <c r="BG718" s="89"/>
      <c r="BH718" s="89"/>
      <c r="BI718" s="89"/>
      <c r="BJ718" s="89"/>
      <c r="BK718" s="89"/>
      <c r="BL718" s="89"/>
      <c r="BM718" s="89"/>
      <c r="BN718" s="89"/>
      <c r="BO718" s="89"/>
      <c r="BP718" s="89"/>
      <c r="BQ718" s="89"/>
      <c r="BR718" s="89"/>
      <c r="BS718" s="89"/>
    </row>
    <row r="719" spans="1:71" ht="27" customHeight="1" x14ac:dyDescent="0.2">
      <c r="A719" s="93"/>
      <c r="B719" s="89"/>
      <c r="C719" s="89"/>
      <c r="D719" s="89"/>
      <c r="E719" s="89"/>
      <c r="F719" s="89"/>
      <c r="G719" s="89"/>
      <c r="H719" s="94"/>
      <c r="I719" s="94"/>
      <c r="J719" s="94"/>
      <c r="K719" s="94"/>
      <c r="L719" s="94"/>
      <c r="M719" s="94"/>
      <c r="N719" s="94"/>
      <c r="O719" s="94"/>
      <c r="P719" s="94"/>
      <c r="Q719" s="94"/>
      <c r="R719" s="95"/>
      <c r="S719" s="94"/>
      <c r="T719" s="96"/>
      <c r="U719" s="94"/>
      <c r="V719" s="97"/>
      <c r="W719" s="94"/>
      <c r="X719" s="98"/>
      <c r="Y719" s="98"/>
      <c r="Z719" s="98"/>
      <c r="AA719" s="98"/>
      <c r="AB719" s="98"/>
      <c r="AC719" s="97"/>
      <c r="AD719" s="99"/>
      <c r="AE719" s="95"/>
      <c r="AF719" s="94"/>
      <c r="AG719" s="89"/>
      <c r="AH719" s="89"/>
      <c r="AI719" s="89"/>
      <c r="AJ719" s="89"/>
      <c r="AK719" s="89"/>
      <c r="AL719" s="89"/>
      <c r="AM719" s="89"/>
      <c r="AN719" s="89"/>
      <c r="AO719" s="89"/>
      <c r="AP719" s="89"/>
      <c r="AQ719" s="89"/>
      <c r="AR719" s="89"/>
      <c r="AS719" s="89"/>
      <c r="AT719" s="89"/>
      <c r="AU719" s="89"/>
      <c r="AV719" s="89"/>
      <c r="AW719" s="100"/>
      <c r="AX719" s="100"/>
      <c r="AY719" s="89"/>
      <c r="AZ719" s="89"/>
      <c r="BA719" s="89"/>
      <c r="BB719" s="89"/>
      <c r="BC719" s="89"/>
      <c r="BD719" s="89"/>
      <c r="BE719" s="89"/>
      <c r="BF719" s="89"/>
      <c r="BG719" s="89"/>
      <c r="BH719" s="89"/>
      <c r="BI719" s="89"/>
      <c r="BJ719" s="89"/>
      <c r="BK719" s="89"/>
      <c r="BL719" s="89"/>
      <c r="BM719" s="89"/>
      <c r="BN719" s="89"/>
      <c r="BO719" s="89"/>
      <c r="BP719" s="89"/>
      <c r="BQ719" s="89"/>
      <c r="BR719" s="89"/>
      <c r="BS719" s="89"/>
    </row>
    <row r="720" spans="1:71" ht="27" customHeight="1" x14ac:dyDescent="0.2">
      <c r="A720" s="93"/>
      <c r="B720" s="89"/>
      <c r="C720" s="89"/>
      <c r="D720" s="89"/>
      <c r="E720" s="89"/>
      <c r="F720" s="89"/>
      <c r="G720" s="89"/>
      <c r="H720" s="94"/>
      <c r="I720" s="94"/>
      <c r="J720" s="94"/>
      <c r="K720" s="94"/>
      <c r="L720" s="94"/>
      <c r="M720" s="94"/>
      <c r="N720" s="94"/>
      <c r="O720" s="94"/>
      <c r="P720" s="94"/>
      <c r="Q720" s="94"/>
      <c r="R720" s="95"/>
      <c r="S720" s="94"/>
      <c r="T720" s="96"/>
      <c r="U720" s="94"/>
      <c r="V720" s="97"/>
      <c r="W720" s="94"/>
      <c r="X720" s="98"/>
      <c r="Y720" s="98"/>
      <c r="Z720" s="98"/>
      <c r="AA720" s="98"/>
      <c r="AB720" s="98"/>
      <c r="AC720" s="97"/>
      <c r="AD720" s="99"/>
      <c r="AE720" s="95"/>
      <c r="AF720" s="94"/>
      <c r="AG720" s="89"/>
      <c r="AH720" s="89"/>
      <c r="AI720" s="89"/>
      <c r="AJ720" s="89"/>
      <c r="AK720" s="89"/>
      <c r="AL720" s="89"/>
      <c r="AM720" s="89"/>
      <c r="AN720" s="89"/>
      <c r="AO720" s="89"/>
      <c r="AP720" s="89"/>
      <c r="AQ720" s="89"/>
      <c r="AR720" s="89"/>
      <c r="AS720" s="89"/>
      <c r="AT720" s="89"/>
      <c r="AU720" s="89"/>
      <c r="AV720" s="89"/>
      <c r="AW720" s="100"/>
      <c r="AX720" s="100"/>
      <c r="AY720" s="89"/>
      <c r="AZ720" s="89"/>
      <c r="BA720" s="89"/>
      <c r="BB720" s="89"/>
      <c r="BC720" s="89"/>
      <c r="BD720" s="89"/>
      <c r="BE720" s="89"/>
      <c r="BF720" s="89"/>
      <c r="BG720" s="89"/>
      <c r="BH720" s="89"/>
      <c r="BI720" s="89"/>
      <c r="BJ720" s="89"/>
      <c r="BK720" s="89"/>
      <c r="BL720" s="89"/>
      <c r="BM720" s="89"/>
      <c r="BN720" s="89"/>
      <c r="BO720" s="89"/>
      <c r="BP720" s="89"/>
      <c r="BQ720" s="89"/>
      <c r="BR720" s="89"/>
      <c r="BS720" s="89"/>
    </row>
    <row r="721" spans="1:71" ht="27" customHeight="1" x14ac:dyDescent="0.2">
      <c r="A721" s="93"/>
      <c r="B721" s="89"/>
      <c r="C721" s="89"/>
      <c r="D721" s="89"/>
      <c r="E721" s="89"/>
      <c r="F721" s="89"/>
      <c r="G721" s="89"/>
      <c r="H721" s="94"/>
      <c r="I721" s="94"/>
      <c r="J721" s="94"/>
      <c r="K721" s="94"/>
      <c r="L721" s="94"/>
      <c r="M721" s="94"/>
      <c r="N721" s="94"/>
      <c r="O721" s="94"/>
      <c r="P721" s="94"/>
      <c r="Q721" s="94"/>
      <c r="R721" s="95"/>
      <c r="S721" s="94"/>
      <c r="T721" s="96"/>
      <c r="U721" s="94"/>
      <c r="V721" s="97"/>
      <c r="W721" s="94"/>
      <c r="X721" s="98"/>
      <c r="Y721" s="98"/>
      <c r="Z721" s="98"/>
      <c r="AA721" s="98"/>
      <c r="AB721" s="98"/>
      <c r="AC721" s="97"/>
      <c r="AD721" s="99"/>
      <c r="AE721" s="95"/>
      <c r="AF721" s="94"/>
      <c r="AG721" s="89"/>
      <c r="AH721" s="89"/>
      <c r="AI721" s="89"/>
      <c r="AJ721" s="89"/>
      <c r="AK721" s="89"/>
      <c r="AL721" s="89"/>
      <c r="AM721" s="89"/>
      <c r="AN721" s="89"/>
      <c r="AO721" s="89"/>
      <c r="AP721" s="89"/>
      <c r="AQ721" s="89"/>
      <c r="AR721" s="89"/>
      <c r="AS721" s="89"/>
      <c r="AT721" s="89"/>
      <c r="AU721" s="89"/>
      <c r="AV721" s="89"/>
      <c r="AW721" s="100"/>
      <c r="AX721" s="100"/>
      <c r="AY721" s="89"/>
      <c r="AZ721" s="89"/>
      <c r="BA721" s="89"/>
      <c r="BB721" s="89"/>
      <c r="BC721" s="89"/>
      <c r="BD721" s="89"/>
      <c r="BE721" s="89"/>
      <c r="BF721" s="89"/>
      <c r="BG721" s="89"/>
      <c r="BH721" s="89"/>
      <c r="BI721" s="89"/>
      <c r="BJ721" s="89"/>
      <c r="BK721" s="89"/>
      <c r="BL721" s="89"/>
      <c r="BM721" s="89"/>
      <c r="BN721" s="89"/>
      <c r="BO721" s="89"/>
      <c r="BP721" s="89"/>
      <c r="BQ721" s="89"/>
      <c r="BR721" s="89"/>
      <c r="BS721" s="89"/>
    </row>
    <row r="722" spans="1:71" ht="27" customHeight="1" x14ac:dyDescent="0.2">
      <c r="A722" s="93"/>
      <c r="B722" s="89"/>
      <c r="C722" s="89"/>
      <c r="D722" s="89"/>
      <c r="E722" s="89"/>
      <c r="F722" s="89"/>
      <c r="G722" s="89"/>
      <c r="H722" s="94"/>
      <c r="I722" s="94"/>
      <c r="J722" s="94"/>
      <c r="K722" s="94"/>
      <c r="L722" s="94"/>
      <c r="M722" s="94"/>
      <c r="N722" s="94"/>
      <c r="O722" s="94"/>
      <c r="P722" s="94"/>
      <c r="Q722" s="94"/>
      <c r="R722" s="95"/>
      <c r="S722" s="94"/>
      <c r="T722" s="96"/>
      <c r="U722" s="94"/>
      <c r="V722" s="97"/>
      <c r="W722" s="94"/>
      <c r="X722" s="98"/>
      <c r="Y722" s="98"/>
      <c r="Z722" s="98"/>
      <c r="AA722" s="98"/>
      <c r="AB722" s="98"/>
      <c r="AC722" s="97"/>
      <c r="AD722" s="99"/>
      <c r="AE722" s="95"/>
      <c r="AF722" s="94"/>
      <c r="AG722" s="89"/>
      <c r="AH722" s="89"/>
      <c r="AI722" s="89"/>
      <c r="AJ722" s="89"/>
      <c r="AK722" s="89"/>
      <c r="AL722" s="89"/>
      <c r="AM722" s="89"/>
      <c r="AN722" s="89"/>
      <c r="AO722" s="89"/>
      <c r="AP722" s="89"/>
      <c r="AQ722" s="89"/>
      <c r="AR722" s="89"/>
      <c r="AS722" s="89"/>
      <c r="AT722" s="89"/>
      <c r="AU722" s="89"/>
      <c r="AV722" s="89"/>
      <c r="AW722" s="100"/>
      <c r="AX722" s="100"/>
      <c r="AY722" s="89"/>
      <c r="AZ722" s="89"/>
      <c r="BA722" s="89"/>
      <c r="BB722" s="89"/>
      <c r="BC722" s="89"/>
      <c r="BD722" s="89"/>
      <c r="BE722" s="89"/>
      <c r="BF722" s="89"/>
      <c r="BG722" s="89"/>
      <c r="BH722" s="89"/>
      <c r="BI722" s="89"/>
      <c r="BJ722" s="89"/>
      <c r="BK722" s="89"/>
      <c r="BL722" s="89"/>
      <c r="BM722" s="89"/>
      <c r="BN722" s="89"/>
      <c r="BO722" s="89"/>
      <c r="BP722" s="89"/>
      <c r="BQ722" s="89"/>
      <c r="BR722" s="89"/>
      <c r="BS722" s="89"/>
    </row>
    <row r="723" spans="1:71" ht="27" customHeight="1" x14ac:dyDescent="0.2">
      <c r="A723" s="93"/>
      <c r="B723" s="89"/>
      <c r="C723" s="89"/>
      <c r="D723" s="89"/>
      <c r="E723" s="89"/>
      <c r="F723" s="89"/>
      <c r="G723" s="89"/>
      <c r="H723" s="94"/>
      <c r="I723" s="94"/>
      <c r="J723" s="94"/>
      <c r="K723" s="94"/>
      <c r="L723" s="94"/>
      <c r="M723" s="94"/>
      <c r="N723" s="94"/>
      <c r="O723" s="94"/>
      <c r="P723" s="94"/>
      <c r="Q723" s="94"/>
      <c r="R723" s="95"/>
      <c r="S723" s="94"/>
      <c r="T723" s="96"/>
      <c r="U723" s="94"/>
      <c r="V723" s="97"/>
      <c r="W723" s="94"/>
      <c r="X723" s="98"/>
      <c r="Y723" s="98"/>
      <c r="Z723" s="98"/>
      <c r="AA723" s="98"/>
      <c r="AB723" s="98"/>
      <c r="AC723" s="97"/>
      <c r="AD723" s="99"/>
      <c r="AE723" s="95"/>
      <c r="AF723" s="94"/>
      <c r="AG723" s="89"/>
      <c r="AH723" s="89"/>
      <c r="AI723" s="89"/>
      <c r="AJ723" s="89"/>
      <c r="AK723" s="89"/>
      <c r="AL723" s="89"/>
      <c r="AM723" s="89"/>
      <c r="AN723" s="89"/>
      <c r="AO723" s="89"/>
      <c r="AP723" s="89"/>
      <c r="AQ723" s="89"/>
      <c r="AR723" s="89"/>
      <c r="AS723" s="89"/>
      <c r="AT723" s="89"/>
      <c r="AU723" s="89"/>
      <c r="AV723" s="89"/>
      <c r="AW723" s="100"/>
      <c r="AX723" s="100"/>
      <c r="AY723" s="89"/>
      <c r="AZ723" s="89"/>
      <c r="BA723" s="89"/>
      <c r="BB723" s="89"/>
      <c r="BC723" s="89"/>
      <c r="BD723" s="89"/>
      <c r="BE723" s="89"/>
      <c r="BF723" s="89"/>
      <c r="BG723" s="89"/>
      <c r="BH723" s="89"/>
      <c r="BI723" s="89"/>
      <c r="BJ723" s="89"/>
      <c r="BK723" s="89"/>
      <c r="BL723" s="89"/>
      <c r="BM723" s="89"/>
      <c r="BN723" s="89"/>
      <c r="BO723" s="89"/>
      <c r="BP723" s="89"/>
      <c r="BQ723" s="89"/>
      <c r="BR723" s="89"/>
      <c r="BS723" s="89"/>
    </row>
    <row r="724" spans="1:71" ht="27" customHeight="1" x14ac:dyDescent="0.2">
      <c r="A724" s="93"/>
      <c r="B724" s="89"/>
      <c r="C724" s="89"/>
      <c r="D724" s="89"/>
      <c r="E724" s="89"/>
      <c r="F724" s="89"/>
      <c r="G724" s="89"/>
      <c r="H724" s="94"/>
      <c r="I724" s="94"/>
      <c r="J724" s="94"/>
      <c r="K724" s="94"/>
      <c r="L724" s="94"/>
      <c r="M724" s="94"/>
      <c r="N724" s="94"/>
      <c r="O724" s="94"/>
      <c r="P724" s="94"/>
      <c r="Q724" s="94"/>
      <c r="R724" s="95"/>
      <c r="S724" s="94"/>
      <c r="T724" s="96"/>
      <c r="U724" s="94"/>
      <c r="V724" s="97"/>
      <c r="W724" s="94"/>
      <c r="X724" s="98"/>
      <c r="Y724" s="98"/>
      <c r="Z724" s="98"/>
      <c r="AA724" s="98"/>
      <c r="AB724" s="98"/>
      <c r="AC724" s="97"/>
      <c r="AD724" s="99"/>
      <c r="AE724" s="95"/>
      <c r="AF724" s="94"/>
      <c r="AG724" s="89"/>
      <c r="AH724" s="89"/>
      <c r="AI724" s="89"/>
      <c r="AJ724" s="89"/>
      <c r="AK724" s="89"/>
      <c r="AL724" s="89"/>
      <c r="AM724" s="89"/>
      <c r="AN724" s="89"/>
      <c r="AO724" s="89"/>
      <c r="AP724" s="89"/>
      <c r="AQ724" s="89"/>
      <c r="AR724" s="89"/>
      <c r="AS724" s="89"/>
      <c r="AT724" s="89"/>
      <c r="AU724" s="89"/>
      <c r="AV724" s="89"/>
      <c r="AW724" s="100"/>
      <c r="AX724" s="100"/>
      <c r="AY724" s="89"/>
      <c r="AZ724" s="89"/>
      <c r="BA724" s="89"/>
      <c r="BB724" s="89"/>
      <c r="BC724" s="89"/>
      <c r="BD724" s="89"/>
      <c r="BE724" s="89"/>
      <c r="BF724" s="89"/>
      <c r="BG724" s="89"/>
      <c r="BH724" s="89"/>
      <c r="BI724" s="89"/>
      <c r="BJ724" s="89"/>
      <c r="BK724" s="89"/>
      <c r="BL724" s="89"/>
      <c r="BM724" s="89"/>
      <c r="BN724" s="89"/>
      <c r="BO724" s="89"/>
      <c r="BP724" s="89"/>
      <c r="BQ724" s="89"/>
      <c r="BR724" s="89"/>
      <c r="BS724" s="89"/>
    </row>
    <row r="725" spans="1:71" ht="27" customHeight="1" x14ac:dyDescent="0.2">
      <c r="A725" s="93"/>
      <c r="B725" s="89"/>
      <c r="C725" s="89"/>
      <c r="D725" s="89"/>
      <c r="E725" s="89"/>
      <c r="F725" s="89"/>
      <c r="G725" s="89"/>
      <c r="H725" s="94"/>
      <c r="I725" s="94"/>
      <c r="J725" s="94"/>
      <c r="K725" s="94"/>
      <c r="L725" s="94"/>
      <c r="M725" s="94"/>
      <c r="N725" s="94"/>
      <c r="O725" s="94"/>
      <c r="P725" s="94"/>
      <c r="Q725" s="94"/>
      <c r="R725" s="95"/>
      <c r="S725" s="94"/>
      <c r="T725" s="96"/>
      <c r="U725" s="94"/>
      <c r="V725" s="97"/>
      <c r="W725" s="94"/>
      <c r="X725" s="98"/>
      <c r="Y725" s="98"/>
      <c r="Z725" s="98"/>
      <c r="AA725" s="98"/>
      <c r="AB725" s="98"/>
      <c r="AC725" s="97"/>
      <c r="AD725" s="99"/>
      <c r="AE725" s="95"/>
      <c r="AF725" s="94"/>
      <c r="AG725" s="89"/>
      <c r="AH725" s="89"/>
      <c r="AI725" s="89"/>
      <c r="AJ725" s="89"/>
      <c r="AK725" s="89"/>
      <c r="AL725" s="89"/>
      <c r="AM725" s="89"/>
      <c r="AN725" s="89"/>
      <c r="AO725" s="89"/>
      <c r="AP725" s="89"/>
      <c r="AQ725" s="89"/>
      <c r="AR725" s="89"/>
      <c r="AS725" s="89"/>
      <c r="AT725" s="89"/>
      <c r="AU725" s="89"/>
      <c r="AV725" s="89"/>
      <c r="AW725" s="100"/>
      <c r="AX725" s="100"/>
      <c r="AY725" s="89"/>
      <c r="AZ725" s="89"/>
      <c r="BA725" s="89"/>
      <c r="BB725" s="89"/>
      <c r="BC725" s="89"/>
      <c r="BD725" s="89"/>
      <c r="BE725" s="89"/>
      <c r="BF725" s="89"/>
      <c r="BG725" s="89"/>
      <c r="BH725" s="89"/>
      <c r="BI725" s="89"/>
      <c r="BJ725" s="89"/>
      <c r="BK725" s="89"/>
      <c r="BL725" s="89"/>
      <c r="BM725" s="89"/>
      <c r="BN725" s="89"/>
      <c r="BO725" s="89"/>
      <c r="BP725" s="89"/>
      <c r="BQ725" s="89"/>
      <c r="BR725" s="89"/>
      <c r="BS725" s="89"/>
    </row>
    <row r="726" spans="1:71" ht="27" customHeight="1" x14ac:dyDescent="0.2">
      <c r="A726" s="93"/>
      <c r="B726" s="89"/>
      <c r="C726" s="89"/>
      <c r="D726" s="89"/>
      <c r="E726" s="89"/>
      <c r="F726" s="89"/>
      <c r="G726" s="89"/>
      <c r="H726" s="94"/>
      <c r="I726" s="94"/>
      <c r="J726" s="94"/>
      <c r="K726" s="94"/>
      <c r="L726" s="94"/>
      <c r="M726" s="94"/>
      <c r="N726" s="94"/>
      <c r="O726" s="94"/>
      <c r="P726" s="94"/>
      <c r="Q726" s="94"/>
      <c r="R726" s="95"/>
      <c r="S726" s="94"/>
      <c r="T726" s="96"/>
      <c r="U726" s="94"/>
      <c r="V726" s="97"/>
      <c r="W726" s="94"/>
      <c r="X726" s="98"/>
      <c r="Y726" s="98"/>
      <c r="Z726" s="98"/>
      <c r="AA726" s="98"/>
      <c r="AB726" s="98"/>
      <c r="AC726" s="97"/>
      <c r="AD726" s="99"/>
      <c r="AE726" s="95"/>
      <c r="AF726" s="94"/>
      <c r="AG726" s="89"/>
      <c r="AH726" s="89"/>
      <c r="AI726" s="89"/>
      <c r="AJ726" s="89"/>
      <c r="AK726" s="89"/>
      <c r="AL726" s="89"/>
      <c r="AM726" s="89"/>
      <c r="AN726" s="89"/>
      <c r="AO726" s="89"/>
      <c r="AP726" s="89"/>
      <c r="AQ726" s="89"/>
      <c r="AR726" s="89"/>
      <c r="AS726" s="89"/>
      <c r="AT726" s="89"/>
      <c r="AU726" s="89"/>
      <c r="AV726" s="89"/>
      <c r="AW726" s="100"/>
      <c r="AX726" s="100"/>
      <c r="AY726" s="89"/>
      <c r="AZ726" s="89"/>
      <c r="BA726" s="89"/>
      <c r="BB726" s="89"/>
      <c r="BC726" s="89"/>
      <c r="BD726" s="89"/>
      <c r="BE726" s="89"/>
      <c r="BF726" s="89"/>
      <c r="BG726" s="89"/>
      <c r="BH726" s="89"/>
      <c r="BI726" s="89"/>
      <c r="BJ726" s="89"/>
      <c r="BK726" s="89"/>
      <c r="BL726" s="89"/>
      <c r="BM726" s="89"/>
      <c r="BN726" s="89"/>
      <c r="BO726" s="89"/>
      <c r="BP726" s="89"/>
      <c r="BQ726" s="89"/>
      <c r="BR726" s="89"/>
      <c r="BS726" s="89"/>
    </row>
    <row r="727" spans="1:71" ht="27" customHeight="1" x14ac:dyDescent="0.2">
      <c r="A727" s="93"/>
      <c r="B727" s="89"/>
      <c r="C727" s="89"/>
      <c r="D727" s="89"/>
      <c r="E727" s="89"/>
      <c r="F727" s="89"/>
      <c r="G727" s="89"/>
      <c r="H727" s="94"/>
      <c r="I727" s="94"/>
      <c r="J727" s="94"/>
      <c r="K727" s="94"/>
      <c r="L727" s="94"/>
      <c r="M727" s="94"/>
      <c r="N727" s="94"/>
      <c r="O727" s="94"/>
      <c r="P727" s="94"/>
      <c r="Q727" s="94"/>
      <c r="R727" s="95"/>
      <c r="S727" s="94"/>
      <c r="T727" s="96"/>
      <c r="U727" s="94"/>
      <c r="V727" s="97"/>
      <c r="W727" s="94"/>
      <c r="X727" s="98"/>
      <c r="Y727" s="98"/>
      <c r="Z727" s="98"/>
      <c r="AA727" s="98"/>
      <c r="AB727" s="98"/>
      <c r="AC727" s="97"/>
      <c r="AD727" s="99"/>
      <c r="AE727" s="95"/>
      <c r="AF727" s="94"/>
      <c r="AG727" s="89"/>
      <c r="AH727" s="89"/>
      <c r="AI727" s="89"/>
      <c r="AJ727" s="89"/>
      <c r="AK727" s="89"/>
      <c r="AL727" s="89"/>
      <c r="AM727" s="89"/>
      <c r="AN727" s="89"/>
      <c r="AO727" s="89"/>
      <c r="AP727" s="89"/>
      <c r="AQ727" s="89"/>
      <c r="AR727" s="89"/>
      <c r="AS727" s="89"/>
      <c r="AT727" s="89"/>
      <c r="AU727" s="89"/>
      <c r="AV727" s="89"/>
      <c r="AW727" s="100"/>
      <c r="AX727" s="100"/>
      <c r="AY727" s="89"/>
      <c r="AZ727" s="89"/>
      <c r="BA727" s="89"/>
      <c r="BB727" s="89"/>
      <c r="BC727" s="89"/>
      <c r="BD727" s="89"/>
      <c r="BE727" s="89"/>
      <c r="BF727" s="89"/>
      <c r="BG727" s="89"/>
      <c r="BH727" s="89"/>
      <c r="BI727" s="89"/>
      <c r="BJ727" s="89"/>
      <c r="BK727" s="89"/>
      <c r="BL727" s="89"/>
      <c r="BM727" s="89"/>
      <c r="BN727" s="89"/>
      <c r="BO727" s="89"/>
      <c r="BP727" s="89"/>
      <c r="BQ727" s="89"/>
      <c r="BR727" s="89"/>
      <c r="BS727" s="89"/>
    </row>
    <row r="728" spans="1:71" ht="27" customHeight="1" x14ac:dyDescent="0.2">
      <c r="A728" s="93"/>
      <c r="B728" s="89"/>
      <c r="C728" s="89"/>
      <c r="D728" s="89"/>
      <c r="E728" s="89"/>
      <c r="F728" s="89"/>
      <c r="G728" s="89"/>
      <c r="H728" s="94"/>
      <c r="I728" s="94"/>
      <c r="J728" s="94"/>
      <c r="K728" s="94"/>
      <c r="L728" s="94"/>
      <c r="M728" s="94"/>
      <c r="N728" s="94"/>
      <c r="O728" s="94"/>
      <c r="P728" s="94"/>
      <c r="Q728" s="94"/>
      <c r="R728" s="95"/>
      <c r="S728" s="94"/>
      <c r="T728" s="96"/>
      <c r="U728" s="94"/>
      <c r="V728" s="97"/>
      <c r="W728" s="94"/>
      <c r="X728" s="98"/>
      <c r="Y728" s="98"/>
      <c r="Z728" s="98"/>
      <c r="AA728" s="98"/>
      <c r="AB728" s="98"/>
      <c r="AC728" s="97"/>
      <c r="AD728" s="99"/>
      <c r="AE728" s="95"/>
      <c r="AF728" s="94"/>
      <c r="AG728" s="89"/>
      <c r="AH728" s="89"/>
      <c r="AI728" s="89"/>
      <c r="AJ728" s="89"/>
      <c r="AK728" s="89"/>
      <c r="AL728" s="89"/>
      <c r="AM728" s="89"/>
      <c r="AN728" s="89"/>
      <c r="AO728" s="89"/>
      <c r="AP728" s="89"/>
      <c r="AQ728" s="89"/>
      <c r="AR728" s="89"/>
      <c r="AS728" s="89"/>
      <c r="AT728" s="89"/>
      <c r="AU728" s="89"/>
      <c r="AV728" s="89"/>
      <c r="AW728" s="100"/>
      <c r="AX728" s="100"/>
      <c r="AY728" s="89"/>
      <c r="AZ728" s="89"/>
      <c r="BA728" s="89"/>
      <c r="BB728" s="89"/>
      <c r="BC728" s="89"/>
      <c r="BD728" s="89"/>
      <c r="BE728" s="89"/>
      <c r="BF728" s="89"/>
      <c r="BG728" s="89"/>
      <c r="BH728" s="89"/>
      <c r="BI728" s="89"/>
      <c r="BJ728" s="89"/>
      <c r="BK728" s="89"/>
      <c r="BL728" s="89"/>
      <c r="BM728" s="89"/>
      <c r="BN728" s="89"/>
      <c r="BO728" s="89"/>
      <c r="BP728" s="89"/>
      <c r="BQ728" s="89"/>
      <c r="BR728" s="89"/>
      <c r="BS728" s="89"/>
    </row>
    <row r="729" spans="1:71" ht="27" customHeight="1" x14ac:dyDescent="0.2">
      <c r="A729" s="93"/>
      <c r="B729" s="89"/>
      <c r="C729" s="89"/>
      <c r="D729" s="89"/>
      <c r="E729" s="89"/>
      <c r="F729" s="89"/>
      <c r="G729" s="89"/>
      <c r="H729" s="94"/>
      <c r="I729" s="94"/>
      <c r="J729" s="94"/>
      <c r="K729" s="94"/>
      <c r="L729" s="94"/>
      <c r="M729" s="94"/>
      <c r="N729" s="94"/>
      <c r="O729" s="94"/>
      <c r="P729" s="94"/>
      <c r="Q729" s="94"/>
      <c r="R729" s="95"/>
      <c r="S729" s="94"/>
      <c r="T729" s="96"/>
      <c r="U729" s="94"/>
      <c r="V729" s="97"/>
      <c r="W729" s="94"/>
      <c r="X729" s="98"/>
      <c r="Y729" s="98"/>
      <c r="Z729" s="98"/>
      <c r="AA729" s="98"/>
      <c r="AB729" s="98"/>
      <c r="AC729" s="97"/>
      <c r="AD729" s="99"/>
      <c r="AE729" s="95"/>
      <c r="AF729" s="94"/>
      <c r="AG729" s="89"/>
      <c r="AH729" s="89"/>
      <c r="AI729" s="89"/>
      <c r="AJ729" s="89"/>
      <c r="AK729" s="89"/>
      <c r="AL729" s="89"/>
      <c r="AM729" s="89"/>
      <c r="AN729" s="89"/>
      <c r="AO729" s="89"/>
      <c r="AP729" s="89"/>
      <c r="AQ729" s="89"/>
      <c r="AR729" s="89"/>
      <c r="AS729" s="89"/>
      <c r="AT729" s="89"/>
      <c r="AU729" s="89"/>
      <c r="AV729" s="89"/>
      <c r="AW729" s="100"/>
      <c r="AX729" s="100"/>
      <c r="AY729" s="89"/>
      <c r="AZ729" s="89"/>
      <c r="BA729" s="89"/>
      <c r="BB729" s="89"/>
      <c r="BC729" s="89"/>
      <c r="BD729" s="89"/>
      <c r="BE729" s="89"/>
      <c r="BF729" s="89"/>
      <c r="BG729" s="89"/>
      <c r="BH729" s="89"/>
      <c r="BI729" s="89"/>
      <c r="BJ729" s="89"/>
      <c r="BK729" s="89"/>
      <c r="BL729" s="89"/>
      <c r="BM729" s="89"/>
      <c r="BN729" s="89"/>
      <c r="BO729" s="89"/>
      <c r="BP729" s="89"/>
      <c r="BQ729" s="89"/>
      <c r="BR729" s="89"/>
      <c r="BS729" s="89"/>
    </row>
    <row r="730" spans="1:71" ht="27" customHeight="1" x14ac:dyDescent="0.2">
      <c r="A730" s="93"/>
      <c r="B730" s="89"/>
      <c r="C730" s="89"/>
      <c r="D730" s="89"/>
      <c r="E730" s="89"/>
      <c r="F730" s="89"/>
      <c r="G730" s="89"/>
      <c r="H730" s="94"/>
      <c r="I730" s="94"/>
      <c r="J730" s="94"/>
      <c r="K730" s="94"/>
      <c r="L730" s="94"/>
      <c r="M730" s="94"/>
      <c r="N730" s="94"/>
      <c r="O730" s="94"/>
      <c r="P730" s="94"/>
      <c r="Q730" s="94"/>
      <c r="R730" s="95"/>
      <c r="S730" s="94"/>
      <c r="T730" s="96"/>
      <c r="U730" s="94"/>
      <c r="V730" s="97"/>
      <c r="W730" s="94"/>
      <c r="X730" s="98"/>
      <c r="Y730" s="98"/>
      <c r="Z730" s="98"/>
      <c r="AA730" s="98"/>
      <c r="AB730" s="98"/>
      <c r="AC730" s="97"/>
      <c r="AD730" s="99"/>
      <c r="AE730" s="95"/>
      <c r="AF730" s="94"/>
      <c r="AG730" s="89"/>
      <c r="AH730" s="89"/>
      <c r="AI730" s="89"/>
      <c r="AJ730" s="89"/>
      <c r="AK730" s="89"/>
      <c r="AL730" s="89"/>
      <c r="AM730" s="89"/>
      <c r="AN730" s="89"/>
      <c r="AO730" s="89"/>
      <c r="AP730" s="89"/>
      <c r="AQ730" s="89"/>
      <c r="AR730" s="89"/>
      <c r="AS730" s="89"/>
      <c r="AT730" s="89"/>
      <c r="AU730" s="89"/>
      <c r="AV730" s="89"/>
      <c r="AW730" s="100"/>
      <c r="AX730" s="100"/>
      <c r="AY730" s="89"/>
      <c r="AZ730" s="89"/>
      <c r="BA730" s="89"/>
      <c r="BB730" s="89"/>
      <c r="BC730" s="89"/>
      <c r="BD730" s="89"/>
      <c r="BE730" s="89"/>
      <c r="BF730" s="89"/>
      <c r="BG730" s="89"/>
      <c r="BH730" s="89"/>
      <c r="BI730" s="89"/>
      <c r="BJ730" s="89"/>
      <c r="BK730" s="89"/>
      <c r="BL730" s="89"/>
      <c r="BM730" s="89"/>
      <c r="BN730" s="89"/>
      <c r="BO730" s="89"/>
      <c r="BP730" s="89"/>
      <c r="BQ730" s="89"/>
      <c r="BR730" s="89"/>
      <c r="BS730" s="89"/>
    </row>
    <row r="731" spans="1:71" ht="27" customHeight="1" x14ac:dyDescent="0.2">
      <c r="A731" s="93"/>
      <c r="B731" s="89"/>
      <c r="C731" s="89"/>
      <c r="D731" s="89"/>
      <c r="E731" s="89"/>
      <c r="F731" s="89"/>
      <c r="G731" s="89"/>
      <c r="H731" s="94"/>
      <c r="I731" s="94"/>
      <c r="J731" s="94"/>
      <c r="K731" s="94"/>
      <c r="L731" s="94"/>
      <c r="M731" s="94"/>
      <c r="N731" s="94"/>
      <c r="O731" s="94"/>
      <c r="P731" s="94"/>
      <c r="Q731" s="94"/>
      <c r="R731" s="95"/>
      <c r="S731" s="94"/>
      <c r="T731" s="96"/>
      <c r="U731" s="94"/>
      <c r="V731" s="97"/>
      <c r="W731" s="94"/>
      <c r="X731" s="98"/>
      <c r="Y731" s="98"/>
      <c r="Z731" s="98"/>
      <c r="AA731" s="98"/>
      <c r="AB731" s="98"/>
      <c r="AC731" s="97"/>
      <c r="AD731" s="99"/>
      <c r="AE731" s="95"/>
      <c r="AF731" s="94"/>
      <c r="AG731" s="89"/>
      <c r="AH731" s="89"/>
      <c r="AI731" s="89"/>
      <c r="AJ731" s="89"/>
      <c r="AK731" s="89"/>
      <c r="AL731" s="89"/>
      <c r="AM731" s="89"/>
      <c r="AN731" s="89"/>
      <c r="AO731" s="89"/>
      <c r="AP731" s="89"/>
      <c r="AQ731" s="89"/>
      <c r="AR731" s="89"/>
      <c r="AS731" s="89"/>
      <c r="AT731" s="89"/>
      <c r="AU731" s="89"/>
      <c r="AV731" s="89"/>
      <c r="AW731" s="100"/>
      <c r="AX731" s="100"/>
      <c r="AY731" s="89"/>
      <c r="AZ731" s="89"/>
      <c r="BA731" s="89"/>
      <c r="BB731" s="89"/>
      <c r="BC731" s="89"/>
      <c r="BD731" s="89"/>
      <c r="BE731" s="89"/>
      <c r="BF731" s="89"/>
      <c r="BG731" s="89"/>
      <c r="BH731" s="89"/>
      <c r="BI731" s="89"/>
      <c r="BJ731" s="89"/>
      <c r="BK731" s="89"/>
      <c r="BL731" s="89"/>
      <c r="BM731" s="89"/>
      <c r="BN731" s="89"/>
      <c r="BO731" s="89"/>
      <c r="BP731" s="89"/>
      <c r="BQ731" s="89"/>
      <c r="BR731" s="89"/>
      <c r="BS731" s="89"/>
    </row>
    <row r="732" spans="1:71" ht="27" customHeight="1" x14ac:dyDescent="0.2">
      <c r="A732" s="93"/>
      <c r="B732" s="89"/>
      <c r="C732" s="89"/>
      <c r="D732" s="89"/>
      <c r="E732" s="89"/>
      <c r="F732" s="89"/>
      <c r="G732" s="89"/>
      <c r="H732" s="94"/>
      <c r="I732" s="94"/>
      <c r="J732" s="94"/>
      <c r="K732" s="94"/>
      <c r="L732" s="94"/>
      <c r="M732" s="94"/>
      <c r="N732" s="94"/>
      <c r="O732" s="94"/>
      <c r="P732" s="94"/>
      <c r="Q732" s="94"/>
      <c r="R732" s="95"/>
      <c r="S732" s="94"/>
      <c r="T732" s="96"/>
      <c r="U732" s="94"/>
      <c r="V732" s="97"/>
      <c r="W732" s="94"/>
      <c r="X732" s="98"/>
      <c r="Y732" s="98"/>
      <c r="Z732" s="98"/>
      <c r="AA732" s="98"/>
      <c r="AB732" s="98"/>
      <c r="AC732" s="97"/>
      <c r="AD732" s="99"/>
      <c r="AE732" s="95"/>
      <c r="AF732" s="94"/>
      <c r="AG732" s="89"/>
      <c r="AH732" s="89"/>
      <c r="AI732" s="89"/>
      <c r="AJ732" s="89"/>
      <c r="AK732" s="89"/>
      <c r="AL732" s="89"/>
      <c r="AM732" s="89"/>
      <c r="AN732" s="89"/>
      <c r="AO732" s="89"/>
      <c r="AP732" s="89"/>
      <c r="AQ732" s="89"/>
      <c r="AR732" s="89"/>
      <c r="AS732" s="89"/>
      <c r="AT732" s="89"/>
      <c r="AU732" s="89"/>
      <c r="AV732" s="89"/>
      <c r="AW732" s="100"/>
      <c r="AX732" s="100"/>
      <c r="AY732" s="89"/>
      <c r="AZ732" s="89"/>
      <c r="BA732" s="89"/>
      <c r="BB732" s="89"/>
      <c r="BC732" s="89"/>
      <c r="BD732" s="89"/>
      <c r="BE732" s="89"/>
      <c r="BF732" s="89"/>
      <c r="BG732" s="89"/>
      <c r="BH732" s="89"/>
      <c r="BI732" s="89"/>
      <c r="BJ732" s="89"/>
      <c r="BK732" s="89"/>
      <c r="BL732" s="89"/>
      <c r="BM732" s="89"/>
      <c r="BN732" s="89"/>
      <c r="BO732" s="89"/>
      <c r="BP732" s="89"/>
      <c r="BQ732" s="89"/>
      <c r="BR732" s="89"/>
      <c r="BS732" s="89"/>
    </row>
    <row r="733" spans="1:71" ht="27" customHeight="1" x14ac:dyDescent="0.2">
      <c r="A733" s="93"/>
      <c r="B733" s="89"/>
      <c r="C733" s="89"/>
      <c r="D733" s="89"/>
      <c r="E733" s="89"/>
      <c r="F733" s="89"/>
      <c r="G733" s="89"/>
      <c r="H733" s="94"/>
      <c r="I733" s="94"/>
      <c r="J733" s="94"/>
      <c r="K733" s="94"/>
      <c r="L733" s="94"/>
      <c r="M733" s="94"/>
      <c r="N733" s="94"/>
      <c r="O733" s="94"/>
      <c r="P733" s="94"/>
      <c r="Q733" s="94"/>
      <c r="R733" s="95"/>
      <c r="S733" s="94"/>
      <c r="T733" s="96"/>
      <c r="U733" s="94"/>
      <c r="V733" s="97"/>
      <c r="W733" s="94"/>
      <c r="X733" s="98"/>
      <c r="Y733" s="98"/>
      <c r="Z733" s="98"/>
      <c r="AA733" s="98"/>
      <c r="AB733" s="98"/>
      <c r="AC733" s="97"/>
      <c r="AD733" s="99"/>
      <c r="AE733" s="95"/>
      <c r="AF733" s="94"/>
      <c r="AG733" s="89"/>
      <c r="AH733" s="89"/>
      <c r="AI733" s="89"/>
      <c r="AJ733" s="89"/>
      <c r="AK733" s="89"/>
      <c r="AL733" s="89"/>
      <c r="AM733" s="89"/>
      <c r="AN733" s="89"/>
      <c r="AO733" s="89"/>
      <c r="AP733" s="89"/>
      <c r="AQ733" s="89"/>
      <c r="AR733" s="89"/>
      <c r="AS733" s="89"/>
      <c r="AT733" s="89"/>
      <c r="AU733" s="89"/>
      <c r="AV733" s="89"/>
      <c r="AW733" s="100"/>
      <c r="AX733" s="100"/>
      <c r="AY733" s="89"/>
      <c r="AZ733" s="89"/>
      <c r="BA733" s="89"/>
      <c r="BB733" s="89"/>
      <c r="BC733" s="89"/>
      <c r="BD733" s="89"/>
      <c r="BE733" s="89"/>
      <c r="BF733" s="89"/>
      <c r="BG733" s="89"/>
      <c r="BH733" s="89"/>
      <c r="BI733" s="89"/>
      <c r="BJ733" s="89"/>
      <c r="BK733" s="89"/>
      <c r="BL733" s="89"/>
      <c r="BM733" s="89"/>
      <c r="BN733" s="89"/>
      <c r="BO733" s="89"/>
      <c r="BP733" s="89"/>
      <c r="BQ733" s="89"/>
      <c r="BR733" s="89"/>
      <c r="BS733" s="89"/>
    </row>
    <row r="734" spans="1:71" ht="27" customHeight="1" x14ac:dyDescent="0.2">
      <c r="A734" s="93"/>
      <c r="B734" s="89"/>
      <c r="C734" s="89"/>
      <c r="D734" s="89"/>
      <c r="E734" s="89"/>
      <c r="F734" s="89"/>
      <c r="G734" s="89"/>
      <c r="H734" s="94"/>
      <c r="I734" s="94"/>
      <c r="J734" s="94"/>
      <c r="K734" s="94"/>
      <c r="L734" s="94"/>
      <c r="M734" s="94"/>
      <c r="N734" s="94"/>
      <c r="O734" s="94"/>
      <c r="P734" s="94"/>
      <c r="Q734" s="94"/>
      <c r="R734" s="95"/>
      <c r="S734" s="94"/>
      <c r="T734" s="96"/>
      <c r="U734" s="94"/>
      <c r="V734" s="97"/>
      <c r="W734" s="94"/>
      <c r="X734" s="98"/>
      <c r="Y734" s="98"/>
      <c r="Z734" s="98"/>
      <c r="AA734" s="98"/>
      <c r="AB734" s="98"/>
      <c r="AC734" s="97"/>
      <c r="AD734" s="99"/>
      <c r="AE734" s="95"/>
      <c r="AF734" s="94"/>
      <c r="AG734" s="89"/>
      <c r="AH734" s="89"/>
      <c r="AI734" s="89"/>
      <c r="AJ734" s="89"/>
      <c r="AK734" s="89"/>
      <c r="AL734" s="89"/>
      <c r="AM734" s="89"/>
      <c r="AN734" s="89"/>
      <c r="AO734" s="89"/>
      <c r="AP734" s="89"/>
      <c r="AQ734" s="89"/>
      <c r="AR734" s="89"/>
      <c r="AS734" s="89"/>
      <c r="AT734" s="89"/>
      <c r="AU734" s="89"/>
      <c r="AV734" s="89"/>
      <c r="AW734" s="100"/>
      <c r="AX734" s="100"/>
      <c r="AY734" s="89"/>
      <c r="AZ734" s="89"/>
      <c r="BA734" s="89"/>
      <c r="BB734" s="89"/>
      <c r="BC734" s="89"/>
      <c r="BD734" s="89"/>
      <c r="BE734" s="89"/>
      <c r="BF734" s="89"/>
      <c r="BG734" s="89"/>
      <c r="BH734" s="89"/>
      <c r="BI734" s="89"/>
      <c r="BJ734" s="89"/>
      <c r="BK734" s="89"/>
      <c r="BL734" s="89"/>
      <c r="BM734" s="89"/>
      <c r="BN734" s="89"/>
      <c r="BO734" s="89"/>
      <c r="BP734" s="89"/>
      <c r="BQ734" s="89"/>
      <c r="BR734" s="89"/>
      <c r="BS734" s="89"/>
    </row>
    <row r="735" spans="1:71" ht="27" customHeight="1" x14ac:dyDescent="0.2">
      <c r="A735" s="93"/>
      <c r="B735" s="89"/>
      <c r="C735" s="89"/>
      <c r="D735" s="89"/>
      <c r="E735" s="89"/>
      <c r="F735" s="89"/>
      <c r="G735" s="89"/>
      <c r="H735" s="94"/>
      <c r="I735" s="94"/>
      <c r="J735" s="94"/>
      <c r="K735" s="94"/>
      <c r="L735" s="94"/>
      <c r="M735" s="94"/>
      <c r="N735" s="94"/>
      <c r="O735" s="94"/>
      <c r="P735" s="94"/>
      <c r="Q735" s="94"/>
      <c r="R735" s="95"/>
      <c r="S735" s="94"/>
      <c r="T735" s="96"/>
      <c r="U735" s="94"/>
      <c r="V735" s="97"/>
      <c r="W735" s="94"/>
      <c r="X735" s="98"/>
      <c r="Y735" s="98"/>
      <c r="Z735" s="98"/>
      <c r="AA735" s="98"/>
      <c r="AB735" s="98"/>
      <c r="AC735" s="97"/>
      <c r="AD735" s="99"/>
      <c r="AE735" s="95"/>
      <c r="AF735" s="94"/>
      <c r="AG735" s="89"/>
      <c r="AH735" s="89"/>
      <c r="AI735" s="89"/>
      <c r="AJ735" s="89"/>
      <c r="AK735" s="89"/>
      <c r="AL735" s="89"/>
      <c r="AM735" s="89"/>
      <c r="AN735" s="89"/>
      <c r="AO735" s="89"/>
      <c r="AP735" s="89"/>
      <c r="AQ735" s="89"/>
      <c r="AR735" s="89"/>
      <c r="AS735" s="89"/>
      <c r="AT735" s="89"/>
      <c r="AU735" s="89"/>
      <c r="AV735" s="89"/>
      <c r="AW735" s="100"/>
      <c r="AX735" s="100"/>
      <c r="AY735" s="89"/>
      <c r="AZ735" s="89"/>
      <c r="BA735" s="89"/>
      <c r="BB735" s="89"/>
      <c r="BC735" s="89"/>
      <c r="BD735" s="89"/>
      <c r="BE735" s="89"/>
      <c r="BF735" s="89"/>
      <c r="BG735" s="89"/>
      <c r="BH735" s="89"/>
      <c r="BI735" s="89"/>
      <c r="BJ735" s="89"/>
      <c r="BK735" s="89"/>
      <c r="BL735" s="89"/>
      <c r="BM735" s="89"/>
      <c r="BN735" s="89"/>
      <c r="BO735" s="89"/>
      <c r="BP735" s="89"/>
      <c r="BQ735" s="89"/>
      <c r="BR735" s="89"/>
      <c r="BS735" s="89"/>
    </row>
    <row r="736" spans="1:71" ht="27" customHeight="1" x14ac:dyDescent="0.2">
      <c r="A736" s="93"/>
      <c r="B736" s="89"/>
      <c r="C736" s="89"/>
      <c r="D736" s="89"/>
      <c r="E736" s="89"/>
      <c r="F736" s="89"/>
      <c r="G736" s="89"/>
      <c r="H736" s="94"/>
      <c r="I736" s="94"/>
      <c r="J736" s="94"/>
      <c r="K736" s="94"/>
      <c r="L736" s="94"/>
      <c r="M736" s="94"/>
      <c r="N736" s="94"/>
      <c r="O736" s="94"/>
      <c r="P736" s="94"/>
      <c r="Q736" s="94"/>
      <c r="R736" s="95"/>
      <c r="S736" s="94"/>
      <c r="T736" s="96"/>
      <c r="U736" s="94"/>
      <c r="V736" s="97"/>
      <c r="W736" s="94"/>
      <c r="X736" s="98"/>
      <c r="Y736" s="98"/>
      <c r="Z736" s="98"/>
      <c r="AA736" s="98"/>
      <c r="AB736" s="98"/>
      <c r="AC736" s="97"/>
      <c r="AD736" s="99"/>
      <c r="AE736" s="95"/>
      <c r="AF736" s="94"/>
      <c r="AG736" s="89"/>
      <c r="AH736" s="89"/>
      <c r="AI736" s="89"/>
      <c r="AJ736" s="89"/>
      <c r="AK736" s="89"/>
      <c r="AL736" s="89"/>
      <c r="AM736" s="89"/>
      <c r="AN736" s="89"/>
      <c r="AO736" s="89"/>
      <c r="AP736" s="89"/>
      <c r="AQ736" s="89"/>
      <c r="AR736" s="89"/>
      <c r="AS736" s="89"/>
      <c r="AT736" s="89"/>
      <c r="AU736" s="89"/>
      <c r="AV736" s="89"/>
      <c r="AW736" s="100"/>
      <c r="AX736" s="100"/>
      <c r="AY736" s="89"/>
      <c r="AZ736" s="89"/>
      <c r="BA736" s="89"/>
      <c r="BB736" s="89"/>
      <c r="BC736" s="89"/>
      <c r="BD736" s="89"/>
      <c r="BE736" s="89"/>
      <c r="BF736" s="89"/>
      <c r="BG736" s="89"/>
      <c r="BH736" s="89"/>
      <c r="BI736" s="89"/>
      <c r="BJ736" s="89"/>
      <c r="BK736" s="89"/>
      <c r="BL736" s="89"/>
      <c r="BM736" s="89"/>
      <c r="BN736" s="89"/>
      <c r="BO736" s="89"/>
      <c r="BP736" s="89"/>
      <c r="BQ736" s="89"/>
      <c r="BR736" s="89"/>
      <c r="BS736" s="89"/>
    </row>
    <row r="737" spans="1:71" ht="27" customHeight="1" x14ac:dyDescent="0.2">
      <c r="A737" s="93"/>
      <c r="B737" s="89"/>
      <c r="C737" s="89"/>
      <c r="D737" s="89"/>
      <c r="E737" s="89"/>
      <c r="F737" s="89"/>
      <c r="G737" s="89"/>
      <c r="H737" s="94"/>
      <c r="I737" s="94"/>
      <c r="J737" s="94"/>
      <c r="K737" s="94"/>
      <c r="L737" s="94"/>
      <c r="M737" s="94"/>
      <c r="N737" s="94"/>
      <c r="O737" s="94"/>
      <c r="P737" s="94"/>
      <c r="Q737" s="94"/>
      <c r="R737" s="95"/>
      <c r="S737" s="94"/>
      <c r="T737" s="96"/>
      <c r="U737" s="94"/>
      <c r="V737" s="97"/>
      <c r="W737" s="94"/>
      <c r="X737" s="98"/>
      <c r="Y737" s="98"/>
      <c r="Z737" s="98"/>
      <c r="AA737" s="98"/>
      <c r="AB737" s="98"/>
      <c r="AC737" s="97"/>
      <c r="AD737" s="99"/>
      <c r="AE737" s="95"/>
      <c r="AF737" s="94"/>
      <c r="AG737" s="89"/>
      <c r="AH737" s="89"/>
      <c r="AI737" s="89"/>
      <c r="AJ737" s="89"/>
      <c r="AK737" s="89"/>
      <c r="AL737" s="89"/>
      <c r="AM737" s="89"/>
      <c r="AN737" s="89"/>
      <c r="AO737" s="89"/>
      <c r="AP737" s="89"/>
      <c r="AQ737" s="89"/>
      <c r="AR737" s="89"/>
      <c r="AS737" s="89"/>
      <c r="AT737" s="89"/>
      <c r="AU737" s="89"/>
      <c r="AV737" s="89"/>
      <c r="AW737" s="100"/>
      <c r="AX737" s="100"/>
      <c r="AY737" s="89"/>
      <c r="AZ737" s="89"/>
      <c r="BA737" s="89"/>
      <c r="BB737" s="89"/>
      <c r="BC737" s="89"/>
      <c r="BD737" s="89"/>
      <c r="BE737" s="89"/>
      <c r="BF737" s="89"/>
      <c r="BG737" s="89"/>
      <c r="BH737" s="89"/>
      <c r="BI737" s="89"/>
      <c r="BJ737" s="89"/>
      <c r="BK737" s="89"/>
      <c r="BL737" s="89"/>
      <c r="BM737" s="89"/>
      <c r="BN737" s="89"/>
      <c r="BO737" s="89"/>
      <c r="BP737" s="89"/>
      <c r="BQ737" s="89"/>
      <c r="BR737" s="89"/>
      <c r="BS737" s="89"/>
    </row>
    <row r="738" spans="1:71" ht="27" customHeight="1" x14ac:dyDescent="0.2">
      <c r="A738" s="93"/>
      <c r="B738" s="89"/>
      <c r="C738" s="89"/>
      <c r="D738" s="89"/>
      <c r="E738" s="89"/>
      <c r="F738" s="89"/>
      <c r="G738" s="89"/>
      <c r="H738" s="94"/>
      <c r="I738" s="94"/>
      <c r="J738" s="94"/>
      <c r="K738" s="94"/>
      <c r="L738" s="94"/>
      <c r="M738" s="94"/>
      <c r="N738" s="94"/>
      <c r="O738" s="94"/>
      <c r="P738" s="94"/>
      <c r="Q738" s="94"/>
      <c r="R738" s="95"/>
      <c r="S738" s="94"/>
      <c r="T738" s="96"/>
      <c r="U738" s="94"/>
      <c r="V738" s="97"/>
      <c r="W738" s="94"/>
      <c r="X738" s="98"/>
      <c r="Y738" s="98"/>
      <c r="Z738" s="98"/>
      <c r="AA738" s="98"/>
      <c r="AB738" s="98"/>
      <c r="AC738" s="97"/>
      <c r="AD738" s="99"/>
      <c r="AE738" s="95"/>
      <c r="AF738" s="94"/>
      <c r="AG738" s="89"/>
      <c r="AH738" s="89"/>
      <c r="AI738" s="89"/>
      <c r="AJ738" s="89"/>
      <c r="AK738" s="89"/>
      <c r="AL738" s="89"/>
      <c r="AM738" s="89"/>
      <c r="AN738" s="89"/>
      <c r="AO738" s="89"/>
      <c r="AP738" s="89"/>
      <c r="AQ738" s="89"/>
      <c r="AR738" s="89"/>
      <c r="AS738" s="89"/>
      <c r="AT738" s="89"/>
      <c r="AU738" s="89"/>
      <c r="AV738" s="89"/>
      <c r="AW738" s="100"/>
      <c r="AX738" s="100"/>
      <c r="AY738" s="89"/>
      <c r="AZ738" s="89"/>
      <c r="BA738" s="89"/>
      <c r="BB738" s="89"/>
      <c r="BC738" s="89"/>
      <c r="BD738" s="89"/>
      <c r="BE738" s="89"/>
      <c r="BF738" s="89"/>
      <c r="BG738" s="89"/>
      <c r="BH738" s="89"/>
      <c r="BI738" s="89"/>
      <c r="BJ738" s="89"/>
      <c r="BK738" s="89"/>
      <c r="BL738" s="89"/>
      <c r="BM738" s="89"/>
      <c r="BN738" s="89"/>
      <c r="BO738" s="89"/>
      <c r="BP738" s="89"/>
      <c r="BQ738" s="89"/>
      <c r="BR738" s="89"/>
      <c r="BS738" s="89"/>
    </row>
    <row r="739" spans="1:71" ht="27" customHeight="1" x14ac:dyDescent="0.2">
      <c r="A739" s="93"/>
      <c r="B739" s="89"/>
      <c r="C739" s="89"/>
      <c r="D739" s="89"/>
      <c r="E739" s="89"/>
      <c r="F739" s="89"/>
      <c r="G739" s="89"/>
      <c r="H739" s="94"/>
      <c r="I739" s="94"/>
      <c r="J739" s="94"/>
      <c r="K739" s="94"/>
      <c r="L739" s="94"/>
      <c r="M739" s="94"/>
      <c r="N739" s="94"/>
      <c r="O739" s="94"/>
      <c r="P739" s="94"/>
      <c r="Q739" s="94"/>
      <c r="R739" s="95"/>
      <c r="S739" s="94"/>
      <c r="T739" s="96"/>
      <c r="U739" s="94"/>
      <c r="V739" s="97"/>
      <c r="W739" s="94"/>
      <c r="X739" s="98"/>
      <c r="Y739" s="98"/>
      <c r="Z739" s="98"/>
      <c r="AA739" s="98"/>
      <c r="AB739" s="98"/>
      <c r="AC739" s="97"/>
      <c r="AD739" s="99"/>
      <c r="AE739" s="95"/>
      <c r="AF739" s="94"/>
      <c r="AG739" s="89"/>
      <c r="AH739" s="89"/>
      <c r="AI739" s="89"/>
      <c r="AJ739" s="89"/>
      <c r="AK739" s="89"/>
      <c r="AL739" s="89"/>
      <c r="AM739" s="89"/>
      <c r="AN739" s="89"/>
      <c r="AO739" s="89"/>
      <c r="AP739" s="89"/>
      <c r="AQ739" s="89"/>
      <c r="AR739" s="89"/>
      <c r="AS739" s="89"/>
      <c r="AT739" s="89"/>
      <c r="AU739" s="89"/>
      <c r="AV739" s="89"/>
      <c r="AW739" s="100"/>
      <c r="AX739" s="100"/>
      <c r="AY739" s="89"/>
      <c r="AZ739" s="89"/>
      <c r="BA739" s="89"/>
      <c r="BB739" s="89"/>
      <c r="BC739" s="89"/>
      <c r="BD739" s="89"/>
      <c r="BE739" s="89"/>
      <c r="BF739" s="89"/>
      <c r="BG739" s="89"/>
      <c r="BH739" s="89"/>
      <c r="BI739" s="89"/>
      <c r="BJ739" s="89"/>
      <c r="BK739" s="89"/>
      <c r="BL739" s="89"/>
      <c r="BM739" s="89"/>
      <c r="BN739" s="89"/>
      <c r="BO739" s="89"/>
      <c r="BP739" s="89"/>
      <c r="BQ739" s="89"/>
      <c r="BR739" s="89"/>
      <c r="BS739" s="89"/>
    </row>
    <row r="740" spans="1:71" ht="27" customHeight="1" x14ac:dyDescent="0.2">
      <c r="A740" s="93"/>
      <c r="B740" s="89"/>
      <c r="C740" s="89"/>
      <c r="D740" s="89"/>
      <c r="E740" s="89"/>
      <c r="F740" s="89"/>
      <c r="G740" s="89"/>
      <c r="H740" s="94"/>
      <c r="I740" s="94"/>
      <c r="J740" s="94"/>
      <c r="K740" s="94"/>
      <c r="L740" s="94"/>
      <c r="M740" s="94"/>
      <c r="N740" s="94"/>
      <c r="O740" s="94"/>
      <c r="P740" s="94"/>
      <c r="Q740" s="94"/>
      <c r="R740" s="95"/>
      <c r="S740" s="94"/>
      <c r="T740" s="96"/>
      <c r="U740" s="94"/>
      <c r="V740" s="97"/>
      <c r="W740" s="94"/>
      <c r="X740" s="98"/>
      <c r="Y740" s="98"/>
      <c r="Z740" s="98"/>
      <c r="AA740" s="98"/>
      <c r="AB740" s="98"/>
      <c r="AC740" s="97"/>
      <c r="AD740" s="99"/>
      <c r="AE740" s="95"/>
      <c r="AF740" s="94"/>
      <c r="AG740" s="89"/>
      <c r="AH740" s="89"/>
      <c r="AI740" s="89"/>
      <c r="AJ740" s="89"/>
      <c r="AK740" s="89"/>
      <c r="AL740" s="89"/>
      <c r="AM740" s="89"/>
      <c r="AN740" s="89"/>
      <c r="AO740" s="89"/>
      <c r="AP740" s="89"/>
      <c r="AQ740" s="89"/>
      <c r="AR740" s="89"/>
      <c r="AS740" s="89"/>
      <c r="AT740" s="89"/>
      <c r="AU740" s="89"/>
      <c r="AV740" s="89"/>
      <c r="AW740" s="100"/>
      <c r="AX740" s="100"/>
      <c r="AY740" s="89"/>
      <c r="AZ740" s="89"/>
      <c r="BA740" s="89"/>
      <c r="BB740" s="89"/>
      <c r="BC740" s="89"/>
      <c r="BD740" s="89"/>
      <c r="BE740" s="89"/>
      <c r="BF740" s="89"/>
      <c r="BG740" s="89"/>
      <c r="BH740" s="89"/>
      <c r="BI740" s="89"/>
      <c r="BJ740" s="89"/>
      <c r="BK740" s="89"/>
      <c r="BL740" s="89"/>
      <c r="BM740" s="89"/>
      <c r="BN740" s="89"/>
      <c r="BO740" s="89"/>
      <c r="BP740" s="89"/>
      <c r="BQ740" s="89"/>
      <c r="BR740" s="89"/>
      <c r="BS740" s="89"/>
    </row>
    <row r="741" spans="1:71" ht="27" customHeight="1" x14ac:dyDescent="0.2">
      <c r="A741" s="93"/>
      <c r="B741" s="89"/>
      <c r="C741" s="89"/>
      <c r="D741" s="89"/>
      <c r="E741" s="89"/>
      <c r="F741" s="89"/>
      <c r="G741" s="89"/>
      <c r="H741" s="94"/>
      <c r="I741" s="94"/>
      <c r="J741" s="94"/>
      <c r="K741" s="94"/>
      <c r="L741" s="94"/>
      <c r="M741" s="94"/>
      <c r="N741" s="94"/>
      <c r="O741" s="94"/>
      <c r="P741" s="94"/>
      <c r="Q741" s="94"/>
      <c r="R741" s="95"/>
      <c r="S741" s="94"/>
      <c r="T741" s="96"/>
      <c r="U741" s="94"/>
      <c r="V741" s="97"/>
      <c r="W741" s="94"/>
      <c r="X741" s="98"/>
      <c r="Y741" s="98"/>
      <c r="Z741" s="98"/>
      <c r="AA741" s="98"/>
      <c r="AB741" s="98"/>
      <c r="AC741" s="97"/>
      <c r="AD741" s="99"/>
      <c r="AE741" s="95"/>
      <c r="AF741" s="94"/>
      <c r="AG741" s="89"/>
      <c r="AH741" s="89"/>
      <c r="AI741" s="89"/>
      <c r="AJ741" s="89"/>
      <c r="AK741" s="89"/>
      <c r="AL741" s="89"/>
      <c r="AM741" s="89"/>
      <c r="AN741" s="89"/>
      <c r="AO741" s="89"/>
      <c r="AP741" s="89"/>
      <c r="AQ741" s="89"/>
      <c r="AR741" s="89"/>
      <c r="AS741" s="89"/>
      <c r="AT741" s="89"/>
      <c r="AU741" s="89"/>
      <c r="AV741" s="89"/>
      <c r="AW741" s="100"/>
      <c r="AX741" s="100"/>
      <c r="AY741" s="89"/>
      <c r="AZ741" s="89"/>
      <c r="BA741" s="89"/>
      <c r="BB741" s="89"/>
      <c r="BC741" s="89"/>
      <c r="BD741" s="89"/>
      <c r="BE741" s="89"/>
      <c r="BF741" s="89"/>
      <c r="BG741" s="89"/>
      <c r="BH741" s="89"/>
      <c r="BI741" s="89"/>
      <c r="BJ741" s="89"/>
      <c r="BK741" s="89"/>
      <c r="BL741" s="89"/>
      <c r="BM741" s="89"/>
      <c r="BN741" s="89"/>
      <c r="BO741" s="89"/>
      <c r="BP741" s="89"/>
      <c r="BQ741" s="89"/>
      <c r="BR741" s="89"/>
      <c r="BS741" s="89"/>
    </row>
    <row r="742" spans="1:71" ht="27" customHeight="1" x14ac:dyDescent="0.2">
      <c r="A742" s="93"/>
      <c r="B742" s="89"/>
      <c r="C742" s="89"/>
      <c r="D742" s="89"/>
      <c r="E742" s="89"/>
      <c r="F742" s="89"/>
      <c r="G742" s="89"/>
      <c r="H742" s="94"/>
      <c r="I742" s="94"/>
      <c r="J742" s="94"/>
      <c r="K742" s="94"/>
      <c r="L742" s="94"/>
      <c r="M742" s="94"/>
      <c r="N742" s="94"/>
      <c r="O742" s="94"/>
      <c r="P742" s="94"/>
      <c r="Q742" s="94"/>
      <c r="R742" s="95"/>
      <c r="S742" s="94"/>
      <c r="T742" s="96"/>
      <c r="U742" s="94"/>
      <c r="V742" s="97"/>
      <c r="W742" s="94"/>
      <c r="X742" s="98"/>
      <c r="Y742" s="98"/>
      <c r="Z742" s="98"/>
      <c r="AA742" s="98"/>
      <c r="AB742" s="98"/>
      <c r="AC742" s="97"/>
      <c r="AD742" s="99"/>
      <c r="AE742" s="95"/>
      <c r="AF742" s="94"/>
      <c r="AG742" s="89"/>
      <c r="AH742" s="89"/>
      <c r="AI742" s="89"/>
      <c r="AJ742" s="89"/>
      <c r="AK742" s="89"/>
      <c r="AL742" s="89"/>
      <c r="AM742" s="89"/>
      <c r="AN742" s="89"/>
      <c r="AO742" s="89"/>
      <c r="AP742" s="89"/>
      <c r="AQ742" s="89"/>
      <c r="AR742" s="89"/>
      <c r="AS742" s="89"/>
      <c r="AT742" s="89"/>
      <c r="AU742" s="89"/>
      <c r="AV742" s="89"/>
      <c r="AW742" s="100"/>
      <c r="AX742" s="100"/>
      <c r="AY742" s="89"/>
      <c r="AZ742" s="89"/>
      <c r="BA742" s="89"/>
      <c r="BB742" s="89"/>
      <c r="BC742" s="89"/>
      <c r="BD742" s="89"/>
      <c r="BE742" s="89"/>
      <c r="BF742" s="89"/>
      <c r="BG742" s="89"/>
      <c r="BH742" s="89"/>
      <c r="BI742" s="89"/>
      <c r="BJ742" s="89"/>
      <c r="BK742" s="89"/>
      <c r="BL742" s="89"/>
      <c r="BM742" s="89"/>
      <c r="BN742" s="89"/>
      <c r="BO742" s="89"/>
      <c r="BP742" s="89"/>
      <c r="BQ742" s="89"/>
      <c r="BR742" s="89"/>
      <c r="BS742" s="89"/>
    </row>
    <row r="743" spans="1:71" ht="27" customHeight="1" x14ac:dyDescent="0.2">
      <c r="A743" s="93"/>
      <c r="B743" s="89"/>
      <c r="C743" s="89"/>
      <c r="D743" s="89"/>
      <c r="E743" s="89"/>
      <c r="F743" s="89"/>
      <c r="G743" s="89"/>
      <c r="H743" s="94"/>
      <c r="I743" s="94"/>
      <c r="J743" s="94"/>
      <c r="K743" s="94"/>
      <c r="L743" s="94"/>
      <c r="M743" s="94"/>
      <c r="N743" s="94"/>
      <c r="O743" s="94"/>
      <c r="P743" s="94"/>
      <c r="Q743" s="94"/>
      <c r="R743" s="95"/>
      <c r="S743" s="94"/>
      <c r="T743" s="96"/>
      <c r="U743" s="94"/>
      <c r="V743" s="97"/>
      <c r="W743" s="94"/>
      <c r="X743" s="98"/>
      <c r="Y743" s="98"/>
      <c r="Z743" s="98"/>
      <c r="AA743" s="98"/>
      <c r="AB743" s="98"/>
      <c r="AC743" s="97"/>
      <c r="AD743" s="99"/>
      <c r="AE743" s="95"/>
      <c r="AF743" s="94"/>
      <c r="AG743" s="89"/>
      <c r="AH743" s="89"/>
      <c r="AI743" s="89"/>
      <c r="AJ743" s="89"/>
      <c r="AK743" s="89"/>
      <c r="AL743" s="89"/>
      <c r="AM743" s="89"/>
      <c r="AN743" s="89"/>
      <c r="AO743" s="89"/>
      <c r="AP743" s="89"/>
      <c r="AQ743" s="89"/>
      <c r="AR743" s="89"/>
      <c r="AS743" s="89"/>
      <c r="AT743" s="89"/>
      <c r="AU743" s="89"/>
      <c r="AV743" s="89"/>
      <c r="AW743" s="100"/>
      <c r="AX743" s="100"/>
      <c r="AY743" s="89"/>
      <c r="AZ743" s="89"/>
      <c r="BA743" s="89"/>
      <c r="BB743" s="89"/>
      <c r="BC743" s="89"/>
      <c r="BD743" s="89"/>
      <c r="BE743" s="89"/>
      <c r="BF743" s="89"/>
      <c r="BG743" s="89"/>
      <c r="BH743" s="89"/>
      <c r="BI743" s="89"/>
      <c r="BJ743" s="89"/>
      <c r="BK743" s="89"/>
      <c r="BL743" s="89"/>
      <c r="BM743" s="89"/>
      <c r="BN743" s="89"/>
      <c r="BO743" s="89"/>
      <c r="BP743" s="89"/>
      <c r="BQ743" s="89"/>
      <c r="BR743" s="89"/>
      <c r="BS743" s="89"/>
    </row>
    <row r="744" spans="1:71" ht="27" customHeight="1" x14ac:dyDescent="0.2">
      <c r="A744" s="93"/>
      <c r="B744" s="89"/>
      <c r="C744" s="89"/>
      <c r="D744" s="89"/>
      <c r="E744" s="89"/>
      <c r="F744" s="89"/>
      <c r="G744" s="89"/>
      <c r="H744" s="94"/>
      <c r="I744" s="94"/>
      <c r="J744" s="94"/>
      <c r="K744" s="94"/>
      <c r="L744" s="94"/>
      <c r="M744" s="94"/>
      <c r="N744" s="94"/>
      <c r="O744" s="94"/>
      <c r="P744" s="94"/>
      <c r="Q744" s="94"/>
      <c r="R744" s="95"/>
      <c r="S744" s="94"/>
      <c r="T744" s="96"/>
      <c r="U744" s="94"/>
      <c r="V744" s="97"/>
      <c r="W744" s="94"/>
      <c r="X744" s="98"/>
      <c r="Y744" s="98"/>
      <c r="Z744" s="98"/>
      <c r="AA744" s="98"/>
      <c r="AB744" s="98"/>
      <c r="AC744" s="97"/>
      <c r="AD744" s="99"/>
      <c r="AE744" s="95"/>
      <c r="AF744" s="94"/>
      <c r="AG744" s="89"/>
      <c r="AH744" s="89"/>
      <c r="AI744" s="89"/>
      <c r="AJ744" s="89"/>
      <c r="AK744" s="89"/>
      <c r="AL744" s="89"/>
      <c r="AM744" s="89"/>
      <c r="AN744" s="89"/>
      <c r="AO744" s="89"/>
      <c r="AP744" s="89"/>
      <c r="AQ744" s="89"/>
      <c r="AR744" s="89"/>
      <c r="AS744" s="89"/>
      <c r="AT744" s="89"/>
      <c r="AU744" s="89"/>
      <c r="AV744" s="89"/>
      <c r="AW744" s="100"/>
      <c r="AX744" s="100"/>
      <c r="AY744" s="89"/>
      <c r="AZ744" s="89"/>
      <c r="BA744" s="89"/>
      <c r="BB744" s="89"/>
      <c r="BC744" s="89"/>
      <c r="BD744" s="89"/>
      <c r="BE744" s="89"/>
      <c r="BF744" s="89"/>
      <c r="BG744" s="89"/>
      <c r="BH744" s="89"/>
      <c r="BI744" s="89"/>
      <c r="BJ744" s="89"/>
      <c r="BK744" s="89"/>
      <c r="BL744" s="89"/>
      <c r="BM744" s="89"/>
      <c r="BN744" s="89"/>
      <c r="BO744" s="89"/>
      <c r="BP744" s="89"/>
      <c r="BQ744" s="89"/>
      <c r="BR744" s="89"/>
      <c r="BS744" s="89"/>
    </row>
    <row r="745" spans="1:71" ht="27" customHeight="1" x14ac:dyDescent="0.2">
      <c r="A745" s="93"/>
      <c r="B745" s="89"/>
      <c r="C745" s="89"/>
      <c r="D745" s="89"/>
      <c r="E745" s="89"/>
      <c r="F745" s="89"/>
      <c r="G745" s="89"/>
      <c r="H745" s="94"/>
      <c r="I745" s="94"/>
      <c r="J745" s="94"/>
      <c r="K745" s="94"/>
      <c r="L745" s="94"/>
      <c r="M745" s="94"/>
      <c r="N745" s="94"/>
      <c r="O745" s="94"/>
      <c r="P745" s="94"/>
      <c r="Q745" s="94"/>
      <c r="R745" s="95"/>
      <c r="S745" s="94"/>
      <c r="T745" s="96"/>
      <c r="U745" s="94"/>
      <c r="V745" s="97"/>
      <c r="W745" s="94"/>
      <c r="X745" s="98"/>
      <c r="Y745" s="98"/>
      <c r="Z745" s="98"/>
      <c r="AA745" s="98"/>
      <c r="AB745" s="98"/>
      <c r="AC745" s="97"/>
      <c r="AD745" s="99"/>
      <c r="AE745" s="95"/>
      <c r="AF745" s="94"/>
      <c r="AG745" s="89"/>
      <c r="AH745" s="89"/>
      <c r="AI745" s="89"/>
      <c r="AJ745" s="89"/>
      <c r="AK745" s="89"/>
      <c r="AL745" s="89"/>
      <c r="AM745" s="89"/>
      <c r="AN745" s="89"/>
      <c r="AO745" s="89"/>
      <c r="AP745" s="89"/>
      <c r="AQ745" s="89"/>
      <c r="AR745" s="89"/>
      <c r="AS745" s="89"/>
      <c r="AT745" s="89"/>
      <c r="AU745" s="89"/>
      <c r="AV745" s="89"/>
      <c r="AW745" s="100"/>
      <c r="AX745" s="100"/>
      <c r="AY745" s="89"/>
      <c r="AZ745" s="89"/>
      <c r="BA745" s="89"/>
      <c r="BB745" s="89"/>
      <c r="BC745" s="89"/>
      <c r="BD745" s="89"/>
      <c r="BE745" s="89"/>
      <c r="BF745" s="89"/>
      <c r="BG745" s="89"/>
      <c r="BH745" s="89"/>
      <c r="BI745" s="89"/>
      <c r="BJ745" s="89"/>
      <c r="BK745" s="89"/>
      <c r="BL745" s="89"/>
      <c r="BM745" s="89"/>
      <c r="BN745" s="89"/>
      <c r="BO745" s="89"/>
      <c r="BP745" s="89"/>
      <c r="BQ745" s="89"/>
      <c r="BR745" s="89"/>
      <c r="BS745" s="89"/>
    </row>
    <row r="746" spans="1:71" ht="27" customHeight="1" x14ac:dyDescent="0.2">
      <c r="A746" s="93"/>
      <c r="B746" s="89"/>
      <c r="C746" s="89"/>
      <c r="D746" s="89"/>
      <c r="E746" s="89"/>
      <c r="F746" s="89"/>
      <c r="G746" s="89"/>
      <c r="H746" s="94"/>
      <c r="I746" s="94"/>
      <c r="J746" s="94"/>
      <c r="K746" s="94"/>
      <c r="L746" s="94"/>
      <c r="M746" s="94"/>
      <c r="N746" s="94"/>
      <c r="O746" s="94"/>
      <c r="P746" s="94"/>
      <c r="Q746" s="94"/>
      <c r="R746" s="95"/>
      <c r="S746" s="94"/>
      <c r="T746" s="96"/>
      <c r="U746" s="94"/>
      <c r="V746" s="97"/>
      <c r="W746" s="94"/>
      <c r="X746" s="98"/>
      <c r="Y746" s="98"/>
      <c r="Z746" s="98"/>
      <c r="AA746" s="98"/>
      <c r="AB746" s="98"/>
      <c r="AC746" s="97"/>
      <c r="AD746" s="99"/>
      <c r="AE746" s="95"/>
      <c r="AF746" s="94"/>
      <c r="AG746" s="89"/>
      <c r="AH746" s="89"/>
      <c r="AI746" s="89"/>
      <c r="AJ746" s="89"/>
      <c r="AK746" s="89"/>
      <c r="AL746" s="89"/>
      <c r="AM746" s="89"/>
      <c r="AN746" s="89"/>
      <c r="AO746" s="89"/>
      <c r="AP746" s="89"/>
      <c r="AQ746" s="89"/>
      <c r="AR746" s="89"/>
      <c r="AS746" s="89"/>
      <c r="AT746" s="89"/>
      <c r="AU746" s="89"/>
      <c r="AV746" s="89"/>
      <c r="AW746" s="100"/>
      <c r="AX746" s="100"/>
      <c r="AY746" s="89"/>
      <c r="AZ746" s="89"/>
      <c r="BA746" s="89"/>
      <c r="BB746" s="89"/>
      <c r="BC746" s="89"/>
      <c r="BD746" s="89"/>
      <c r="BE746" s="89"/>
      <c r="BF746" s="89"/>
      <c r="BG746" s="89"/>
      <c r="BH746" s="89"/>
      <c r="BI746" s="89"/>
      <c r="BJ746" s="89"/>
      <c r="BK746" s="89"/>
      <c r="BL746" s="89"/>
      <c r="BM746" s="89"/>
      <c r="BN746" s="89"/>
      <c r="BO746" s="89"/>
      <c r="BP746" s="89"/>
      <c r="BQ746" s="89"/>
      <c r="BR746" s="89"/>
      <c r="BS746" s="89"/>
    </row>
    <row r="747" spans="1:71" ht="27" customHeight="1" x14ac:dyDescent="0.2">
      <c r="A747" s="93"/>
      <c r="B747" s="89"/>
      <c r="C747" s="89"/>
      <c r="D747" s="89"/>
      <c r="E747" s="89"/>
      <c r="F747" s="89"/>
      <c r="G747" s="89"/>
      <c r="H747" s="94"/>
      <c r="I747" s="94"/>
      <c r="J747" s="94"/>
      <c r="K747" s="94"/>
      <c r="L747" s="94"/>
      <c r="M747" s="94"/>
      <c r="N747" s="94"/>
      <c r="O747" s="94"/>
      <c r="P747" s="94"/>
      <c r="Q747" s="94"/>
      <c r="R747" s="95"/>
      <c r="S747" s="94"/>
      <c r="T747" s="96"/>
      <c r="U747" s="94"/>
      <c r="V747" s="97"/>
      <c r="W747" s="94"/>
      <c r="X747" s="98"/>
      <c r="Y747" s="98"/>
      <c r="Z747" s="98"/>
      <c r="AA747" s="98"/>
      <c r="AB747" s="98"/>
      <c r="AC747" s="97"/>
      <c r="AD747" s="99"/>
      <c r="AE747" s="95"/>
      <c r="AF747" s="94"/>
      <c r="AG747" s="89"/>
      <c r="AH747" s="89"/>
      <c r="AI747" s="89"/>
      <c r="AJ747" s="89"/>
      <c r="AK747" s="89"/>
      <c r="AL747" s="89"/>
      <c r="AM747" s="89"/>
      <c r="AN747" s="89"/>
      <c r="AO747" s="89"/>
      <c r="AP747" s="89"/>
      <c r="AQ747" s="89"/>
      <c r="AR747" s="89"/>
      <c r="AS747" s="89"/>
      <c r="AT747" s="89"/>
      <c r="AU747" s="89"/>
      <c r="AV747" s="89"/>
      <c r="AW747" s="100"/>
      <c r="AX747" s="100"/>
      <c r="AY747" s="89"/>
      <c r="AZ747" s="89"/>
      <c r="BA747" s="89"/>
      <c r="BB747" s="89"/>
      <c r="BC747" s="89"/>
      <c r="BD747" s="89"/>
      <c r="BE747" s="89"/>
      <c r="BF747" s="89"/>
      <c r="BG747" s="89"/>
      <c r="BH747" s="89"/>
      <c r="BI747" s="89"/>
      <c r="BJ747" s="89"/>
      <c r="BK747" s="89"/>
      <c r="BL747" s="89"/>
      <c r="BM747" s="89"/>
      <c r="BN747" s="89"/>
      <c r="BO747" s="89"/>
      <c r="BP747" s="89"/>
      <c r="BQ747" s="89"/>
      <c r="BR747" s="89"/>
      <c r="BS747" s="89"/>
    </row>
    <row r="748" spans="1:71" ht="27" customHeight="1" x14ac:dyDescent="0.2">
      <c r="A748" s="93"/>
      <c r="B748" s="89"/>
      <c r="C748" s="89"/>
      <c r="D748" s="89"/>
      <c r="E748" s="89"/>
      <c r="F748" s="89"/>
      <c r="G748" s="89"/>
      <c r="H748" s="94"/>
      <c r="I748" s="94"/>
      <c r="J748" s="94"/>
      <c r="K748" s="94"/>
      <c r="L748" s="94"/>
      <c r="M748" s="94"/>
      <c r="N748" s="94"/>
      <c r="O748" s="94"/>
      <c r="P748" s="94"/>
      <c r="Q748" s="94"/>
      <c r="R748" s="95"/>
      <c r="S748" s="94"/>
      <c r="T748" s="96"/>
      <c r="U748" s="94"/>
      <c r="V748" s="97"/>
      <c r="W748" s="94"/>
      <c r="X748" s="98"/>
      <c r="Y748" s="98"/>
      <c r="Z748" s="98"/>
      <c r="AA748" s="98"/>
      <c r="AB748" s="98"/>
      <c r="AC748" s="97"/>
      <c r="AD748" s="99"/>
      <c r="AE748" s="95"/>
      <c r="AF748" s="94"/>
      <c r="AG748" s="89"/>
      <c r="AH748" s="89"/>
      <c r="AI748" s="89"/>
      <c r="AJ748" s="89"/>
      <c r="AK748" s="89"/>
      <c r="AL748" s="89"/>
      <c r="AM748" s="89"/>
      <c r="AN748" s="89"/>
      <c r="AO748" s="89"/>
      <c r="AP748" s="89"/>
      <c r="AQ748" s="89"/>
      <c r="AR748" s="89"/>
      <c r="AS748" s="89"/>
      <c r="AT748" s="89"/>
      <c r="AU748" s="89"/>
      <c r="AV748" s="89"/>
      <c r="AW748" s="100"/>
      <c r="AX748" s="100"/>
      <c r="AY748" s="89"/>
      <c r="AZ748" s="89"/>
      <c r="BA748" s="89"/>
      <c r="BB748" s="89"/>
      <c r="BC748" s="89"/>
      <c r="BD748" s="89"/>
      <c r="BE748" s="89"/>
      <c r="BF748" s="89"/>
      <c r="BG748" s="89"/>
      <c r="BH748" s="89"/>
      <c r="BI748" s="89"/>
      <c r="BJ748" s="89"/>
      <c r="BK748" s="89"/>
      <c r="BL748" s="89"/>
      <c r="BM748" s="89"/>
      <c r="BN748" s="89"/>
      <c r="BO748" s="89"/>
      <c r="BP748" s="89"/>
      <c r="BQ748" s="89"/>
      <c r="BR748" s="89"/>
      <c r="BS748" s="89"/>
    </row>
    <row r="749" spans="1:71" ht="27" customHeight="1" x14ac:dyDescent="0.2">
      <c r="A749" s="93"/>
      <c r="B749" s="89"/>
      <c r="C749" s="89"/>
      <c r="D749" s="89"/>
      <c r="E749" s="89"/>
      <c r="F749" s="89"/>
      <c r="G749" s="89"/>
      <c r="H749" s="94"/>
      <c r="I749" s="94"/>
      <c r="J749" s="94"/>
      <c r="K749" s="94"/>
      <c r="L749" s="94"/>
      <c r="M749" s="94"/>
      <c r="N749" s="94"/>
      <c r="O749" s="94"/>
      <c r="P749" s="94"/>
      <c r="Q749" s="94"/>
      <c r="R749" s="95"/>
      <c r="S749" s="94"/>
      <c r="T749" s="96"/>
      <c r="U749" s="94"/>
      <c r="V749" s="97"/>
      <c r="W749" s="94"/>
      <c r="X749" s="98"/>
      <c r="Y749" s="98"/>
      <c r="Z749" s="98"/>
      <c r="AA749" s="98"/>
      <c r="AB749" s="98"/>
      <c r="AC749" s="97"/>
      <c r="AD749" s="99"/>
      <c r="AE749" s="95"/>
      <c r="AF749" s="94"/>
      <c r="AG749" s="89"/>
      <c r="AH749" s="89"/>
      <c r="AI749" s="89"/>
      <c r="AJ749" s="89"/>
      <c r="AK749" s="89"/>
      <c r="AL749" s="89"/>
      <c r="AM749" s="89"/>
      <c r="AN749" s="89"/>
      <c r="AO749" s="89"/>
      <c r="AP749" s="89"/>
      <c r="AQ749" s="89"/>
      <c r="AR749" s="89"/>
      <c r="AS749" s="89"/>
      <c r="AT749" s="89"/>
      <c r="AU749" s="89"/>
      <c r="AV749" s="89"/>
      <c r="AW749" s="100"/>
      <c r="AX749" s="100"/>
      <c r="AY749" s="89"/>
      <c r="AZ749" s="89"/>
      <c r="BA749" s="89"/>
      <c r="BB749" s="89"/>
      <c r="BC749" s="89"/>
      <c r="BD749" s="89"/>
      <c r="BE749" s="89"/>
      <c r="BF749" s="89"/>
      <c r="BG749" s="89"/>
      <c r="BH749" s="89"/>
      <c r="BI749" s="89"/>
      <c r="BJ749" s="89"/>
      <c r="BK749" s="89"/>
      <c r="BL749" s="89"/>
      <c r="BM749" s="89"/>
      <c r="BN749" s="89"/>
      <c r="BO749" s="89"/>
      <c r="BP749" s="89"/>
      <c r="BQ749" s="89"/>
      <c r="BR749" s="89"/>
      <c r="BS749" s="89"/>
    </row>
    <row r="750" spans="1:71" ht="27" customHeight="1" x14ac:dyDescent="0.2">
      <c r="A750" s="93"/>
      <c r="B750" s="89"/>
      <c r="C750" s="89"/>
      <c r="D750" s="89"/>
      <c r="E750" s="89"/>
      <c r="F750" s="89"/>
      <c r="G750" s="89"/>
      <c r="H750" s="94"/>
      <c r="I750" s="94"/>
      <c r="J750" s="94"/>
      <c r="K750" s="94"/>
      <c r="L750" s="94"/>
      <c r="M750" s="94"/>
      <c r="N750" s="94"/>
      <c r="O750" s="94"/>
      <c r="P750" s="94"/>
      <c r="Q750" s="94"/>
      <c r="R750" s="95"/>
      <c r="S750" s="94"/>
      <c r="T750" s="96"/>
      <c r="U750" s="94"/>
      <c r="V750" s="97"/>
      <c r="W750" s="94"/>
      <c r="X750" s="98"/>
      <c r="Y750" s="98"/>
      <c r="Z750" s="98"/>
      <c r="AA750" s="98"/>
      <c r="AB750" s="98"/>
      <c r="AC750" s="97"/>
      <c r="AD750" s="99"/>
      <c r="AE750" s="95"/>
      <c r="AF750" s="94"/>
      <c r="AG750" s="89"/>
      <c r="AH750" s="89"/>
      <c r="AI750" s="89"/>
      <c r="AJ750" s="89"/>
      <c r="AK750" s="89"/>
      <c r="AL750" s="89"/>
      <c r="AM750" s="89"/>
      <c r="AN750" s="89"/>
      <c r="AO750" s="89"/>
      <c r="AP750" s="89"/>
      <c r="AQ750" s="89"/>
      <c r="AR750" s="89"/>
      <c r="AS750" s="89"/>
      <c r="AT750" s="89"/>
      <c r="AU750" s="89"/>
      <c r="AV750" s="89"/>
      <c r="AW750" s="100"/>
      <c r="AX750" s="100"/>
      <c r="AY750" s="89"/>
      <c r="AZ750" s="89"/>
      <c r="BA750" s="89"/>
      <c r="BB750" s="89"/>
      <c r="BC750" s="89"/>
      <c r="BD750" s="89"/>
      <c r="BE750" s="89"/>
      <c r="BF750" s="89"/>
      <c r="BG750" s="89"/>
      <c r="BH750" s="89"/>
      <c r="BI750" s="89"/>
      <c r="BJ750" s="89"/>
      <c r="BK750" s="89"/>
      <c r="BL750" s="89"/>
      <c r="BM750" s="89"/>
      <c r="BN750" s="89"/>
      <c r="BO750" s="89"/>
      <c r="BP750" s="89"/>
      <c r="BQ750" s="89"/>
      <c r="BR750" s="89"/>
      <c r="BS750" s="89"/>
    </row>
    <row r="751" spans="1:71" ht="27" customHeight="1" x14ac:dyDescent="0.2">
      <c r="A751" s="93"/>
      <c r="B751" s="89"/>
      <c r="C751" s="89"/>
      <c r="D751" s="89"/>
      <c r="E751" s="89"/>
      <c r="F751" s="89"/>
      <c r="G751" s="89"/>
      <c r="H751" s="94"/>
      <c r="I751" s="94"/>
      <c r="J751" s="94"/>
      <c r="K751" s="94"/>
      <c r="L751" s="94"/>
      <c r="M751" s="94"/>
      <c r="N751" s="94"/>
      <c r="O751" s="94"/>
      <c r="P751" s="94"/>
      <c r="Q751" s="94"/>
      <c r="R751" s="95"/>
      <c r="S751" s="94"/>
      <c r="T751" s="96"/>
      <c r="U751" s="94"/>
      <c r="V751" s="97"/>
      <c r="W751" s="94"/>
      <c r="X751" s="98"/>
      <c r="Y751" s="98"/>
      <c r="Z751" s="98"/>
      <c r="AA751" s="98"/>
      <c r="AB751" s="98"/>
      <c r="AC751" s="97"/>
      <c r="AD751" s="99"/>
      <c r="AE751" s="95"/>
      <c r="AF751" s="94"/>
      <c r="AG751" s="89"/>
      <c r="AH751" s="89"/>
      <c r="AI751" s="89"/>
      <c r="AJ751" s="89"/>
      <c r="AK751" s="89"/>
      <c r="AL751" s="89"/>
      <c r="AM751" s="89"/>
      <c r="AN751" s="89"/>
      <c r="AO751" s="89"/>
      <c r="AP751" s="89"/>
      <c r="AQ751" s="89"/>
      <c r="AR751" s="89"/>
      <c r="AS751" s="89"/>
      <c r="AT751" s="89"/>
      <c r="AU751" s="89"/>
      <c r="AV751" s="89"/>
      <c r="AW751" s="100"/>
      <c r="AX751" s="100"/>
      <c r="AY751" s="89"/>
      <c r="AZ751" s="89"/>
      <c r="BA751" s="89"/>
      <c r="BB751" s="89"/>
      <c r="BC751" s="89"/>
      <c r="BD751" s="89"/>
      <c r="BE751" s="89"/>
      <c r="BF751" s="89"/>
      <c r="BG751" s="89"/>
      <c r="BH751" s="89"/>
      <c r="BI751" s="89"/>
      <c r="BJ751" s="89"/>
      <c r="BK751" s="89"/>
      <c r="BL751" s="89"/>
      <c r="BM751" s="89"/>
      <c r="BN751" s="89"/>
      <c r="BO751" s="89"/>
      <c r="BP751" s="89"/>
      <c r="BQ751" s="89"/>
      <c r="BR751" s="89"/>
      <c r="BS751" s="89"/>
    </row>
    <row r="752" spans="1:71" ht="27" customHeight="1" x14ac:dyDescent="0.2">
      <c r="A752" s="93"/>
      <c r="B752" s="89"/>
      <c r="C752" s="89"/>
      <c r="D752" s="89"/>
      <c r="E752" s="89"/>
      <c r="F752" s="89"/>
      <c r="G752" s="89"/>
      <c r="H752" s="94"/>
      <c r="I752" s="94"/>
      <c r="J752" s="94"/>
      <c r="K752" s="94"/>
      <c r="L752" s="94"/>
      <c r="M752" s="94"/>
      <c r="N752" s="94"/>
      <c r="O752" s="94"/>
      <c r="P752" s="94"/>
      <c r="Q752" s="94"/>
      <c r="R752" s="95"/>
      <c r="S752" s="94"/>
      <c r="T752" s="96"/>
      <c r="U752" s="94"/>
      <c r="V752" s="97"/>
      <c r="W752" s="94"/>
      <c r="X752" s="98"/>
      <c r="Y752" s="98"/>
      <c r="Z752" s="98"/>
      <c r="AA752" s="98"/>
      <c r="AB752" s="98"/>
      <c r="AC752" s="97"/>
      <c r="AD752" s="99"/>
      <c r="AE752" s="95"/>
      <c r="AF752" s="94"/>
      <c r="AG752" s="89"/>
      <c r="AH752" s="89"/>
      <c r="AI752" s="89"/>
      <c r="AJ752" s="89"/>
      <c r="AK752" s="89"/>
      <c r="AL752" s="89"/>
      <c r="AM752" s="89"/>
      <c r="AN752" s="89"/>
      <c r="AO752" s="89"/>
      <c r="AP752" s="89"/>
      <c r="AQ752" s="89"/>
      <c r="AR752" s="89"/>
      <c r="AS752" s="89"/>
      <c r="AT752" s="89"/>
      <c r="AU752" s="89"/>
      <c r="AV752" s="89"/>
      <c r="AW752" s="100"/>
      <c r="AX752" s="100"/>
      <c r="AY752" s="89"/>
      <c r="AZ752" s="89"/>
      <c r="BA752" s="89"/>
      <c r="BB752" s="89"/>
      <c r="BC752" s="89"/>
      <c r="BD752" s="89"/>
      <c r="BE752" s="89"/>
      <c r="BF752" s="89"/>
      <c r="BG752" s="89"/>
      <c r="BH752" s="89"/>
      <c r="BI752" s="89"/>
      <c r="BJ752" s="89"/>
      <c r="BK752" s="89"/>
      <c r="BL752" s="89"/>
      <c r="BM752" s="89"/>
      <c r="BN752" s="89"/>
      <c r="BO752" s="89"/>
      <c r="BP752" s="89"/>
      <c r="BQ752" s="89"/>
      <c r="BR752" s="89"/>
      <c r="BS752" s="89"/>
    </row>
    <row r="753" spans="1:71" ht="27" customHeight="1" x14ac:dyDescent="0.2">
      <c r="A753" s="93"/>
      <c r="B753" s="89"/>
      <c r="C753" s="89"/>
      <c r="D753" s="89"/>
      <c r="E753" s="89"/>
      <c r="F753" s="89"/>
      <c r="G753" s="89"/>
      <c r="H753" s="94"/>
      <c r="I753" s="94"/>
      <c r="J753" s="94"/>
      <c r="K753" s="94"/>
      <c r="L753" s="94"/>
      <c r="M753" s="94"/>
      <c r="N753" s="94"/>
      <c r="O753" s="94"/>
      <c r="P753" s="94"/>
      <c r="Q753" s="94"/>
      <c r="R753" s="95"/>
      <c r="S753" s="94"/>
      <c r="T753" s="96"/>
      <c r="U753" s="94"/>
      <c r="V753" s="97"/>
      <c r="W753" s="94"/>
      <c r="X753" s="98"/>
      <c r="Y753" s="98"/>
      <c r="Z753" s="98"/>
      <c r="AA753" s="98"/>
      <c r="AB753" s="98"/>
      <c r="AC753" s="97"/>
      <c r="AD753" s="99"/>
      <c r="AE753" s="95"/>
      <c r="AF753" s="94"/>
      <c r="AG753" s="89"/>
      <c r="AH753" s="89"/>
      <c r="AI753" s="89"/>
      <c r="AJ753" s="89"/>
      <c r="AK753" s="89"/>
      <c r="AL753" s="89"/>
      <c r="AM753" s="89"/>
      <c r="AN753" s="89"/>
      <c r="AO753" s="89"/>
      <c r="AP753" s="89"/>
      <c r="AQ753" s="89"/>
      <c r="AR753" s="89"/>
      <c r="AS753" s="89"/>
      <c r="AT753" s="89"/>
      <c r="AU753" s="89"/>
      <c r="AV753" s="89"/>
      <c r="AW753" s="100"/>
      <c r="AX753" s="100"/>
      <c r="AY753" s="89"/>
      <c r="AZ753" s="89"/>
      <c r="BA753" s="89"/>
      <c r="BB753" s="89"/>
      <c r="BC753" s="89"/>
      <c r="BD753" s="89"/>
      <c r="BE753" s="89"/>
      <c r="BF753" s="89"/>
      <c r="BG753" s="89"/>
      <c r="BH753" s="89"/>
      <c r="BI753" s="89"/>
      <c r="BJ753" s="89"/>
      <c r="BK753" s="89"/>
      <c r="BL753" s="89"/>
      <c r="BM753" s="89"/>
      <c r="BN753" s="89"/>
      <c r="BO753" s="89"/>
      <c r="BP753" s="89"/>
      <c r="BQ753" s="89"/>
      <c r="BR753" s="89"/>
      <c r="BS753" s="89"/>
    </row>
    <row r="754" spans="1:71" ht="27" customHeight="1" x14ac:dyDescent="0.2">
      <c r="A754" s="93"/>
      <c r="B754" s="89"/>
      <c r="C754" s="89"/>
      <c r="D754" s="89"/>
      <c r="E754" s="89"/>
      <c r="F754" s="89"/>
      <c r="G754" s="89"/>
      <c r="H754" s="94"/>
      <c r="I754" s="94"/>
      <c r="J754" s="94"/>
      <c r="K754" s="94"/>
      <c r="L754" s="94"/>
      <c r="M754" s="94"/>
      <c r="N754" s="94"/>
      <c r="O754" s="94"/>
      <c r="P754" s="94"/>
      <c r="Q754" s="94"/>
      <c r="R754" s="95"/>
      <c r="S754" s="94"/>
      <c r="T754" s="96"/>
      <c r="U754" s="94"/>
      <c r="V754" s="97"/>
      <c r="W754" s="94"/>
      <c r="X754" s="98"/>
      <c r="Y754" s="98"/>
      <c r="Z754" s="98"/>
      <c r="AA754" s="98"/>
      <c r="AB754" s="98"/>
      <c r="AC754" s="97"/>
      <c r="AD754" s="99"/>
      <c r="AE754" s="95"/>
      <c r="AF754" s="94"/>
      <c r="AG754" s="89"/>
      <c r="AH754" s="89"/>
      <c r="AI754" s="89"/>
      <c r="AJ754" s="89"/>
      <c r="AK754" s="89"/>
      <c r="AL754" s="89"/>
      <c r="AM754" s="89"/>
      <c r="AN754" s="89"/>
      <c r="AO754" s="89"/>
      <c r="AP754" s="89"/>
      <c r="AQ754" s="89"/>
      <c r="AR754" s="89"/>
      <c r="AS754" s="89"/>
      <c r="AT754" s="89"/>
      <c r="AU754" s="89"/>
      <c r="AV754" s="89"/>
      <c r="AW754" s="100"/>
      <c r="AX754" s="100"/>
      <c r="AY754" s="89"/>
      <c r="AZ754" s="89"/>
      <c r="BA754" s="89"/>
      <c r="BB754" s="89"/>
      <c r="BC754" s="89"/>
      <c r="BD754" s="89"/>
      <c r="BE754" s="89"/>
      <c r="BF754" s="89"/>
      <c r="BG754" s="89"/>
      <c r="BH754" s="89"/>
      <c r="BI754" s="89"/>
      <c r="BJ754" s="89"/>
      <c r="BK754" s="89"/>
      <c r="BL754" s="89"/>
      <c r="BM754" s="89"/>
      <c r="BN754" s="89"/>
      <c r="BO754" s="89"/>
      <c r="BP754" s="89"/>
      <c r="BQ754" s="89"/>
      <c r="BR754" s="89"/>
      <c r="BS754" s="89"/>
    </row>
    <row r="755" spans="1:71" ht="27" customHeight="1" x14ac:dyDescent="0.2">
      <c r="A755" s="93"/>
      <c r="B755" s="89"/>
      <c r="C755" s="89"/>
      <c r="D755" s="89"/>
      <c r="E755" s="89"/>
      <c r="F755" s="89"/>
      <c r="G755" s="89"/>
      <c r="H755" s="94"/>
      <c r="I755" s="94"/>
      <c r="J755" s="94"/>
      <c r="K755" s="94"/>
      <c r="L755" s="94"/>
      <c r="M755" s="94"/>
      <c r="N755" s="94"/>
      <c r="O755" s="94"/>
      <c r="P755" s="94"/>
      <c r="Q755" s="94"/>
      <c r="R755" s="95"/>
      <c r="S755" s="94"/>
      <c r="T755" s="96"/>
      <c r="U755" s="94"/>
      <c r="V755" s="97"/>
      <c r="W755" s="94"/>
      <c r="X755" s="98"/>
      <c r="Y755" s="98"/>
      <c r="Z755" s="98"/>
      <c r="AA755" s="98"/>
      <c r="AB755" s="98"/>
      <c r="AC755" s="97"/>
      <c r="AD755" s="99"/>
      <c r="AE755" s="95"/>
      <c r="AF755" s="94"/>
      <c r="AG755" s="89"/>
      <c r="AH755" s="89"/>
      <c r="AI755" s="89"/>
      <c r="AJ755" s="89"/>
      <c r="AK755" s="89"/>
      <c r="AL755" s="89"/>
      <c r="AM755" s="89"/>
      <c r="AN755" s="89"/>
      <c r="AO755" s="89"/>
      <c r="AP755" s="89"/>
      <c r="AQ755" s="89"/>
      <c r="AR755" s="89"/>
      <c r="AS755" s="89"/>
      <c r="AT755" s="89"/>
      <c r="AU755" s="89"/>
      <c r="AV755" s="89"/>
      <c r="AW755" s="100"/>
      <c r="AX755" s="100"/>
      <c r="AY755" s="89"/>
      <c r="AZ755" s="89"/>
      <c r="BA755" s="89"/>
      <c r="BB755" s="89"/>
      <c r="BC755" s="89"/>
      <c r="BD755" s="89"/>
      <c r="BE755" s="89"/>
      <c r="BF755" s="89"/>
      <c r="BG755" s="89"/>
      <c r="BH755" s="89"/>
      <c r="BI755" s="89"/>
      <c r="BJ755" s="89"/>
      <c r="BK755" s="89"/>
      <c r="BL755" s="89"/>
      <c r="BM755" s="89"/>
      <c r="BN755" s="89"/>
      <c r="BO755" s="89"/>
      <c r="BP755" s="89"/>
      <c r="BQ755" s="89"/>
      <c r="BR755" s="89"/>
      <c r="BS755" s="89"/>
    </row>
    <row r="756" spans="1:71" ht="27" customHeight="1" x14ac:dyDescent="0.2">
      <c r="A756" s="93"/>
      <c r="B756" s="89"/>
      <c r="C756" s="89"/>
      <c r="D756" s="89"/>
      <c r="E756" s="89"/>
      <c r="F756" s="89"/>
      <c r="G756" s="89"/>
      <c r="H756" s="94"/>
      <c r="I756" s="94"/>
      <c r="J756" s="94"/>
      <c r="K756" s="94"/>
      <c r="L756" s="94"/>
      <c r="M756" s="94"/>
      <c r="N756" s="94"/>
      <c r="O756" s="94"/>
      <c r="P756" s="94"/>
      <c r="Q756" s="94"/>
      <c r="R756" s="95"/>
      <c r="S756" s="94"/>
      <c r="T756" s="96"/>
      <c r="U756" s="94"/>
      <c r="V756" s="97"/>
      <c r="W756" s="94"/>
      <c r="X756" s="98"/>
      <c r="Y756" s="98"/>
      <c r="Z756" s="98"/>
      <c r="AA756" s="98"/>
      <c r="AB756" s="98"/>
      <c r="AC756" s="97"/>
      <c r="AD756" s="99"/>
      <c r="AE756" s="95"/>
      <c r="AF756" s="94"/>
      <c r="AG756" s="89"/>
      <c r="AH756" s="89"/>
      <c r="AI756" s="89"/>
      <c r="AJ756" s="89"/>
      <c r="AK756" s="89"/>
      <c r="AL756" s="89"/>
      <c r="AM756" s="89"/>
      <c r="AN756" s="89"/>
      <c r="AO756" s="89"/>
      <c r="AP756" s="89"/>
      <c r="AQ756" s="89"/>
      <c r="AR756" s="89"/>
      <c r="AS756" s="89"/>
      <c r="AT756" s="89"/>
      <c r="AU756" s="89"/>
      <c r="AV756" s="89"/>
      <c r="AW756" s="100"/>
      <c r="AX756" s="100"/>
      <c r="AY756" s="89"/>
      <c r="AZ756" s="89"/>
      <c r="BA756" s="89"/>
      <c r="BB756" s="89"/>
      <c r="BC756" s="89"/>
      <c r="BD756" s="89"/>
      <c r="BE756" s="89"/>
      <c r="BF756" s="89"/>
      <c r="BG756" s="89"/>
      <c r="BH756" s="89"/>
      <c r="BI756" s="89"/>
      <c r="BJ756" s="89"/>
      <c r="BK756" s="89"/>
      <c r="BL756" s="89"/>
      <c r="BM756" s="89"/>
      <c r="BN756" s="89"/>
      <c r="BO756" s="89"/>
      <c r="BP756" s="89"/>
      <c r="BQ756" s="89"/>
      <c r="BR756" s="89"/>
      <c r="BS756" s="89"/>
    </row>
    <row r="757" spans="1:71" ht="27" customHeight="1" x14ac:dyDescent="0.2">
      <c r="A757" s="93"/>
      <c r="B757" s="89"/>
      <c r="C757" s="89"/>
      <c r="D757" s="89"/>
      <c r="E757" s="89"/>
      <c r="F757" s="89"/>
      <c r="G757" s="89"/>
      <c r="H757" s="94"/>
      <c r="I757" s="94"/>
      <c r="J757" s="94"/>
      <c r="K757" s="94"/>
      <c r="L757" s="94"/>
      <c r="M757" s="94"/>
      <c r="N757" s="94"/>
      <c r="O757" s="94"/>
      <c r="P757" s="94"/>
      <c r="Q757" s="94"/>
      <c r="R757" s="95"/>
      <c r="S757" s="94"/>
      <c r="T757" s="96"/>
      <c r="U757" s="94"/>
      <c r="V757" s="97"/>
      <c r="W757" s="94"/>
      <c r="X757" s="98"/>
      <c r="Y757" s="98"/>
      <c r="Z757" s="98"/>
      <c r="AA757" s="98"/>
      <c r="AB757" s="98"/>
      <c r="AC757" s="97"/>
      <c r="AD757" s="99"/>
      <c r="AE757" s="95"/>
      <c r="AF757" s="94"/>
      <c r="AG757" s="89"/>
      <c r="AH757" s="89"/>
      <c r="AI757" s="89"/>
      <c r="AJ757" s="89"/>
      <c r="AK757" s="89"/>
      <c r="AL757" s="89"/>
      <c r="AM757" s="89"/>
      <c r="AN757" s="89"/>
      <c r="AO757" s="89"/>
      <c r="AP757" s="89"/>
      <c r="AQ757" s="89"/>
      <c r="AR757" s="89"/>
      <c r="AS757" s="89"/>
      <c r="AT757" s="89"/>
      <c r="AU757" s="89"/>
      <c r="AV757" s="89"/>
      <c r="AW757" s="100"/>
      <c r="AX757" s="100"/>
      <c r="AY757" s="89"/>
      <c r="AZ757" s="89"/>
      <c r="BA757" s="89"/>
      <c r="BB757" s="89"/>
      <c r="BC757" s="89"/>
      <c r="BD757" s="89"/>
      <c r="BE757" s="89"/>
      <c r="BF757" s="89"/>
      <c r="BG757" s="89"/>
      <c r="BH757" s="89"/>
      <c r="BI757" s="89"/>
      <c r="BJ757" s="89"/>
      <c r="BK757" s="89"/>
      <c r="BL757" s="89"/>
      <c r="BM757" s="89"/>
      <c r="BN757" s="89"/>
      <c r="BO757" s="89"/>
      <c r="BP757" s="89"/>
      <c r="BQ757" s="89"/>
      <c r="BR757" s="89"/>
      <c r="BS757" s="89"/>
    </row>
    <row r="758" spans="1:71" ht="27" customHeight="1" x14ac:dyDescent="0.2">
      <c r="A758" s="93"/>
      <c r="B758" s="89"/>
      <c r="C758" s="89"/>
      <c r="D758" s="89"/>
      <c r="E758" s="89"/>
      <c r="F758" s="89"/>
      <c r="G758" s="89"/>
      <c r="H758" s="94"/>
      <c r="I758" s="94"/>
      <c r="J758" s="94"/>
      <c r="K758" s="94"/>
      <c r="L758" s="94"/>
      <c r="M758" s="94"/>
      <c r="N758" s="94"/>
      <c r="O758" s="94"/>
      <c r="P758" s="94"/>
      <c r="Q758" s="94"/>
      <c r="R758" s="95"/>
      <c r="S758" s="94"/>
      <c r="T758" s="96"/>
      <c r="U758" s="94"/>
      <c r="V758" s="97"/>
      <c r="W758" s="94"/>
      <c r="X758" s="98"/>
      <c r="Y758" s="98"/>
      <c r="Z758" s="98"/>
      <c r="AA758" s="98"/>
      <c r="AB758" s="98"/>
      <c r="AC758" s="97"/>
      <c r="AD758" s="99"/>
      <c r="AE758" s="95"/>
      <c r="AF758" s="94"/>
      <c r="AG758" s="89"/>
      <c r="AH758" s="89"/>
      <c r="AI758" s="89"/>
      <c r="AJ758" s="89"/>
      <c r="AK758" s="89"/>
      <c r="AL758" s="89"/>
      <c r="AM758" s="89"/>
      <c r="AN758" s="89"/>
      <c r="AO758" s="89"/>
      <c r="AP758" s="89"/>
      <c r="AQ758" s="89"/>
      <c r="AR758" s="89"/>
      <c r="AS758" s="89"/>
      <c r="AT758" s="89"/>
      <c r="AU758" s="89"/>
      <c r="AV758" s="89"/>
      <c r="AW758" s="100"/>
      <c r="AX758" s="100"/>
      <c r="AY758" s="89"/>
      <c r="AZ758" s="89"/>
      <c r="BA758" s="89"/>
      <c r="BB758" s="89"/>
      <c r="BC758" s="89"/>
      <c r="BD758" s="89"/>
      <c r="BE758" s="89"/>
      <c r="BF758" s="89"/>
      <c r="BG758" s="89"/>
      <c r="BH758" s="89"/>
      <c r="BI758" s="89"/>
      <c r="BJ758" s="89"/>
      <c r="BK758" s="89"/>
      <c r="BL758" s="89"/>
      <c r="BM758" s="89"/>
      <c r="BN758" s="89"/>
      <c r="BO758" s="89"/>
      <c r="BP758" s="89"/>
      <c r="BQ758" s="89"/>
      <c r="BR758" s="89"/>
      <c r="BS758" s="89"/>
    </row>
    <row r="759" spans="1:71" ht="27" customHeight="1" x14ac:dyDescent="0.2">
      <c r="A759" s="93"/>
      <c r="B759" s="89"/>
      <c r="C759" s="89"/>
      <c r="D759" s="89"/>
      <c r="E759" s="89"/>
      <c r="F759" s="89"/>
      <c r="G759" s="89"/>
      <c r="H759" s="94"/>
      <c r="I759" s="94"/>
      <c r="J759" s="94"/>
      <c r="K759" s="94"/>
      <c r="L759" s="94"/>
      <c r="M759" s="94"/>
      <c r="N759" s="94"/>
      <c r="O759" s="94"/>
      <c r="P759" s="94"/>
      <c r="Q759" s="94"/>
      <c r="R759" s="95"/>
      <c r="S759" s="94"/>
      <c r="T759" s="96"/>
      <c r="U759" s="94"/>
      <c r="V759" s="97"/>
      <c r="W759" s="94"/>
      <c r="X759" s="98"/>
      <c r="Y759" s="98"/>
      <c r="Z759" s="98"/>
      <c r="AA759" s="98"/>
      <c r="AB759" s="98"/>
      <c r="AC759" s="97"/>
      <c r="AD759" s="99"/>
      <c r="AE759" s="95"/>
      <c r="AF759" s="94"/>
      <c r="AG759" s="89"/>
      <c r="AH759" s="89"/>
      <c r="AI759" s="89"/>
      <c r="AJ759" s="89"/>
      <c r="AK759" s="89"/>
      <c r="AL759" s="89"/>
      <c r="AM759" s="89"/>
      <c r="AN759" s="89"/>
      <c r="AO759" s="89"/>
      <c r="AP759" s="89"/>
      <c r="AQ759" s="89"/>
      <c r="AR759" s="89"/>
      <c r="AS759" s="89"/>
      <c r="AT759" s="89"/>
      <c r="AU759" s="89"/>
      <c r="AV759" s="89"/>
      <c r="AW759" s="100"/>
      <c r="AX759" s="100"/>
      <c r="AY759" s="89"/>
      <c r="AZ759" s="89"/>
      <c r="BA759" s="89"/>
      <c r="BB759" s="89"/>
      <c r="BC759" s="89"/>
      <c r="BD759" s="89"/>
      <c r="BE759" s="89"/>
      <c r="BF759" s="89"/>
      <c r="BG759" s="89"/>
      <c r="BH759" s="89"/>
      <c r="BI759" s="89"/>
      <c r="BJ759" s="89"/>
      <c r="BK759" s="89"/>
      <c r="BL759" s="89"/>
      <c r="BM759" s="89"/>
      <c r="BN759" s="89"/>
      <c r="BO759" s="89"/>
      <c r="BP759" s="89"/>
      <c r="BQ759" s="89"/>
      <c r="BR759" s="89"/>
      <c r="BS759" s="89"/>
    </row>
    <row r="760" spans="1:71" ht="27" customHeight="1" x14ac:dyDescent="0.2">
      <c r="A760" s="93"/>
      <c r="B760" s="89"/>
      <c r="C760" s="89"/>
      <c r="D760" s="89"/>
      <c r="E760" s="89"/>
      <c r="F760" s="89"/>
      <c r="G760" s="89"/>
      <c r="H760" s="94"/>
      <c r="I760" s="94"/>
      <c r="J760" s="94"/>
      <c r="K760" s="94"/>
      <c r="L760" s="94"/>
      <c r="M760" s="94"/>
      <c r="N760" s="94"/>
      <c r="O760" s="94"/>
      <c r="P760" s="94"/>
      <c r="Q760" s="94"/>
      <c r="R760" s="95"/>
      <c r="S760" s="94"/>
      <c r="T760" s="96"/>
      <c r="U760" s="94"/>
      <c r="V760" s="97"/>
      <c r="W760" s="94"/>
      <c r="X760" s="98"/>
      <c r="Y760" s="98"/>
      <c r="Z760" s="98"/>
      <c r="AA760" s="98"/>
      <c r="AB760" s="98"/>
      <c r="AC760" s="97"/>
      <c r="AD760" s="99"/>
      <c r="AE760" s="95"/>
      <c r="AF760" s="94"/>
      <c r="AG760" s="89"/>
      <c r="AH760" s="89"/>
      <c r="AI760" s="89"/>
      <c r="AJ760" s="89"/>
      <c r="AK760" s="89"/>
      <c r="AL760" s="89"/>
      <c r="AM760" s="89"/>
      <c r="AN760" s="89"/>
      <c r="AO760" s="89"/>
      <c r="AP760" s="89"/>
      <c r="AQ760" s="89"/>
      <c r="AR760" s="89"/>
      <c r="AS760" s="89"/>
      <c r="AT760" s="89"/>
      <c r="AU760" s="89"/>
      <c r="AV760" s="89"/>
      <c r="AW760" s="100"/>
      <c r="AX760" s="100"/>
      <c r="AY760" s="89"/>
      <c r="AZ760" s="89"/>
      <c r="BA760" s="89"/>
      <c r="BB760" s="89"/>
      <c r="BC760" s="89"/>
      <c r="BD760" s="89"/>
      <c r="BE760" s="89"/>
      <c r="BF760" s="89"/>
      <c r="BG760" s="89"/>
      <c r="BH760" s="89"/>
      <c r="BI760" s="89"/>
      <c r="BJ760" s="89"/>
      <c r="BK760" s="89"/>
      <c r="BL760" s="89"/>
      <c r="BM760" s="89"/>
      <c r="BN760" s="89"/>
      <c r="BO760" s="89"/>
      <c r="BP760" s="89"/>
      <c r="BQ760" s="89"/>
      <c r="BR760" s="89"/>
      <c r="BS760" s="89"/>
    </row>
    <row r="761" spans="1:71" ht="27" customHeight="1" x14ac:dyDescent="0.2">
      <c r="A761" s="93"/>
      <c r="B761" s="89"/>
      <c r="C761" s="89"/>
      <c r="D761" s="89"/>
      <c r="E761" s="89"/>
      <c r="F761" s="89"/>
      <c r="G761" s="89"/>
      <c r="H761" s="94"/>
      <c r="I761" s="94"/>
      <c r="J761" s="94"/>
      <c r="K761" s="94"/>
      <c r="L761" s="94"/>
      <c r="M761" s="94"/>
      <c r="N761" s="94"/>
      <c r="O761" s="94"/>
      <c r="P761" s="94"/>
      <c r="Q761" s="94"/>
      <c r="R761" s="95"/>
      <c r="S761" s="94"/>
      <c r="T761" s="96"/>
      <c r="U761" s="94"/>
      <c r="V761" s="97"/>
      <c r="W761" s="94"/>
      <c r="X761" s="98"/>
      <c r="Y761" s="98"/>
      <c r="Z761" s="98"/>
      <c r="AA761" s="98"/>
      <c r="AB761" s="98"/>
      <c r="AC761" s="97"/>
      <c r="AD761" s="99"/>
      <c r="AE761" s="95"/>
      <c r="AF761" s="94"/>
      <c r="AG761" s="89"/>
      <c r="AH761" s="89"/>
      <c r="AI761" s="89"/>
      <c r="AJ761" s="89"/>
      <c r="AK761" s="89"/>
      <c r="AL761" s="89"/>
      <c r="AM761" s="89"/>
      <c r="AN761" s="89"/>
      <c r="AO761" s="89"/>
      <c r="AP761" s="89"/>
      <c r="AQ761" s="89"/>
      <c r="AR761" s="89"/>
      <c r="AS761" s="89"/>
      <c r="AT761" s="89"/>
      <c r="AU761" s="89"/>
      <c r="AV761" s="89"/>
      <c r="AW761" s="100"/>
      <c r="AX761" s="100"/>
      <c r="AY761" s="89"/>
      <c r="AZ761" s="89"/>
      <c r="BA761" s="89"/>
      <c r="BB761" s="89"/>
      <c r="BC761" s="89"/>
      <c r="BD761" s="89"/>
      <c r="BE761" s="89"/>
      <c r="BF761" s="89"/>
      <c r="BG761" s="89"/>
      <c r="BH761" s="89"/>
      <c r="BI761" s="89"/>
      <c r="BJ761" s="89"/>
      <c r="BK761" s="89"/>
      <c r="BL761" s="89"/>
      <c r="BM761" s="89"/>
      <c r="BN761" s="89"/>
      <c r="BO761" s="89"/>
      <c r="BP761" s="89"/>
      <c r="BQ761" s="89"/>
      <c r="BR761" s="89"/>
      <c r="BS761" s="89"/>
    </row>
    <row r="762" spans="1:71" ht="27" customHeight="1" x14ac:dyDescent="0.2">
      <c r="A762" s="93"/>
      <c r="B762" s="89"/>
      <c r="C762" s="89"/>
      <c r="D762" s="89"/>
      <c r="E762" s="89"/>
      <c r="F762" s="89"/>
      <c r="G762" s="89"/>
      <c r="H762" s="94"/>
      <c r="I762" s="94"/>
      <c r="J762" s="94"/>
      <c r="K762" s="94"/>
      <c r="L762" s="94"/>
      <c r="M762" s="94"/>
      <c r="N762" s="94"/>
      <c r="O762" s="94"/>
      <c r="P762" s="94"/>
      <c r="Q762" s="94"/>
      <c r="R762" s="95"/>
      <c r="S762" s="94"/>
      <c r="T762" s="96"/>
      <c r="U762" s="94"/>
      <c r="V762" s="97"/>
      <c r="W762" s="94"/>
      <c r="X762" s="98"/>
      <c r="Y762" s="98"/>
      <c r="Z762" s="98"/>
      <c r="AA762" s="98"/>
      <c r="AB762" s="98"/>
      <c r="AC762" s="97"/>
      <c r="AD762" s="99"/>
      <c r="AE762" s="95"/>
      <c r="AF762" s="94"/>
      <c r="AG762" s="89"/>
      <c r="AH762" s="89"/>
      <c r="AI762" s="89"/>
      <c r="AJ762" s="89"/>
      <c r="AK762" s="89"/>
      <c r="AL762" s="89"/>
      <c r="AM762" s="89"/>
      <c r="AN762" s="89"/>
      <c r="AO762" s="89"/>
      <c r="AP762" s="89"/>
      <c r="AQ762" s="89"/>
      <c r="AR762" s="89"/>
      <c r="AS762" s="89"/>
      <c r="AT762" s="89"/>
      <c r="AU762" s="89"/>
      <c r="AV762" s="89"/>
      <c r="AW762" s="100"/>
      <c r="AX762" s="100"/>
      <c r="AY762" s="89"/>
      <c r="AZ762" s="89"/>
      <c r="BA762" s="89"/>
      <c r="BB762" s="89"/>
      <c r="BC762" s="89"/>
      <c r="BD762" s="89"/>
      <c r="BE762" s="89"/>
      <c r="BF762" s="89"/>
      <c r="BG762" s="89"/>
      <c r="BH762" s="89"/>
      <c r="BI762" s="89"/>
      <c r="BJ762" s="89"/>
      <c r="BK762" s="89"/>
      <c r="BL762" s="89"/>
      <c r="BM762" s="89"/>
      <c r="BN762" s="89"/>
      <c r="BO762" s="89"/>
      <c r="BP762" s="89"/>
      <c r="BQ762" s="89"/>
      <c r="BR762" s="89"/>
      <c r="BS762" s="89"/>
    </row>
    <row r="763" spans="1:71" ht="27" customHeight="1" x14ac:dyDescent="0.2">
      <c r="A763" s="93"/>
      <c r="B763" s="89"/>
      <c r="C763" s="89"/>
      <c r="D763" s="89"/>
      <c r="E763" s="89"/>
      <c r="F763" s="89"/>
      <c r="G763" s="89"/>
      <c r="H763" s="94"/>
      <c r="I763" s="94"/>
      <c r="J763" s="94"/>
      <c r="K763" s="94"/>
      <c r="L763" s="94"/>
      <c r="M763" s="94"/>
      <c r="N763" s="94"/>
      <c r="O763" s="94"/>
      <c r="P763" s="94"/>
      <c r="Q763" s="94"/>
      <c r="R763" s="95"/>
      <c r="S763" s="94"/>
      <c r="T763" s="96"/>
      <c r="U763" s="94"/>
      <c r="V763" s="97"/>
      <c r="W763" s="94"/>
      <c r="X763" s="98"/>
      <c r="Y763" s="98"/>
      <c r="Z763" s="98"/>
      <c r="AA763" s="98"/>
      <c r="AB763" s="98"/>
      <c r="AC763" s="97"/>
      <c r="AD763" s="99"/>
      <c r="AE763" s="95"/>
      <c r="AF763" s="94"/>
      <c r="AG763" s="89"/>
      <c r="AH763" s="89"/>
      <c r="AI763" s="89"/>
      <c r="AJ763" s="89"/>
      <c r="AK763" s="89"/>
      <c r="AL763" s="89"/>
      <c r="AM763" s="89"/>
      <c r="AN763" s="89"/>
      <c r="AO763" s="89"/>
      <c r="AP763" s="89"/>
      <c r="AQ763" s="89"/>
      <c r="AR763" s="89"/>
      <c r="AS763" s="89"/>
      <c r="AT763" s="89"/>
      <c r="AU763" s="89"/>
      <c r="AV763" s="89"/>
      <c r="AW763" s="100"/>
      <c r="AX763" s="100"/>
      <c r="AY763" s="89"/>
      <c r="AZ763" s="89"/>
      <c r="BA763" s="89"/>
      <c r="BB763" s="89"/>
      <c r="BC763" s="89"/>
      <c r="BD763" s="89"/>
      <c r="BE763" s="89"/>
      <c r="BF763" s="89"/>
      <c r="BG763" s="89"/>
      <c r="BH763" s="89"/>
      <c r="BI763" s="89"/>
      <c r="BJ763" s="89"/>
      <c r="BK763" s="89"/>
      <c r="BL763" s="89"/>
      <c r="BM763" s="89"/>
      <c r="BN763" s="89"/>
      <c r="BO763" s="89"/>
      <c r="BP763" s="89"/>
      <c r="BQ763" s="89"/>
      <c r="BR763" s="89"/>
      <c r="BS763" s="89"/>
    </row>
    <row r="764" spans="1:71" ht="27" customHeight="1" x14ac:dyDescent="0.2">
      <c r="A764" s="93"/>
      <c r="B764" s="89"/>
      <c r="C764" s="89"/>
      <c r="D764" s="89"/>
      <c r="E764" s="89"/>
      <c r="F764" s="89"/>
      <c r="G764" s="89"/>
      <c r="H764" s="94"/>
      <c r="I764" s="94"/>
      <c r="J764" s="94"/>
      <c r="K764" s="94"/>
      <c r="L764" s="94"/>
      <c r="M764" s="94"/>
      <c r="N764" s="94"/>
      <c r="O764" s="94"/>
      <c r="P764" s="94"/>
      <c r="Q764" s="94"/>
      <c r="R764" s="95"/>
      <c r="S764" s="94"/>
      <c r="T764" s="96"/>
      <c r="U764" s="94"/>
      <c r="V764" s="97"/>
      <c r="W764" s="94"/>
      <c r="X764" s="98"/>
      <c r="Y764" s="98"/>
      <c r="Z764" s="98"/>
      <c r="AA764" s="98"/>
      <c r="AB764" s="98"/>
      <c r="AC764" s="97"/>
      <c r="AD764" s="99"/>
      <c r="AE764" s="95"/>
      <c r="AF764" s="94"/>
      <c r="AG764" s="89"/>
      <c r="AH764" s="89"/>
      <c r="AI764" s="89"/>
      <c r="AJ764" s="89"/>
      <c r="AK764" s="89"/>
      <c r="AL764" s="89"/>
      <c r="AM764" s="89"/>
      <c r="AN764" s="89"/>
      <c r="AO764" s="89"/>
      <c r="AP764" s="89"/>
      <c r="AQ764" s="89"/>
      <c r="AR764" s="89"/>
      <c r="AS764" s="89"/>
      <c r="AT764" s="89"/>
      <c r="AU764" s="89"/>
      <c r="AV764" s="89"/>
      <c r="AW764" s="100"/>
      <c r="AX764" s="100"/>
      <c r="AY764" s="89"/>
      <c r="AZ764" s="89"/>
      <c r="BA764" s="89"/>
      <c r="BB764" s="89"/>
      <c r="BC764" s="89"/>
      <c r="BD764" s="89"/>
      <c r="BE764" s="89"/>
      <c r="BF764" s="89"/>
      <c r="BG764" s="89"/>
      <c r="BH764" s="89"/>
      <c r="BI764" s="89"/>
      <c r="BJ764" s="89"/>
      <c r="BK764" s="89"/>
      <c r="BL764" s="89"/>
      <c r="BM764" s="89"/>
      <c r="BN764" s="89"/>
      <c r="BO764" s="89"/>
      <c r="BP764" s="89"/>
      <c r="BQ764" s="89"/>
      <c r="BR764" s="89"/>
      <c r="BS764" s="89"/>
    </row>
    <row r="765" spans="1:71" ht="27" customHeight="1" x14ac:dyDescent="0.2">
      <c r="A765" s="93"/>
      <c r="B765" s="89"/>
      <c r="C765" s="89"/>
      <c r="D765" s="89"/>
      <c r="E765" s="89"/>
      <c r="F765" s="89"/>
      <c r="G765" s="89"/>
      <c r="H765" s="94"/>
      <c r="I765" s="94"/>
      <c r="J765" s="94"/>
      <c r="K765" s="94"/>
      <c r="L765" s="94"/>
      <c r="M765" s="94"/>
      <c r="N765" s="94"/>
      <c r="O765" s="94"/>
      <c r="P765" s="94"/>
      <c r="Q765" s="94"/>
      <c r="R765" s="95"/>
      <c r="S765" s="94"/>
      <c r="T765" s="96"/>
      <c r="U765" s="94"/>
      <c r="V765" s="97"/>
      <c r="W765" s="94"/>
      <c r="X765" s="98"/>
      <c r="Y765" s="98"/>
      <c r="Z765" s="98"/>
      <c r="AA765" s="98"/>
      <c r="AB765" s="98"/>
      <c r="AC765" s="97"/>
      <c r="AD765" s="99"/>
      <c r="AE765" s="95"/>
      <c r="AF765" s="94"/>
      <c r="AG765" s="89"/>
      <c r="AH765" s="89"/>
      <c r="AI765" s="89"/>
      <c r="AJ765" s="89"/>
      <c r="AK765" s="89"/>
      <c r="AL765" s="89"/>
      <c r="AM765" s="89"/>
      <c r="AN765" s="89"/>
      <c r="AO765" s="89"/>
      <c r="AP765" s="89"/>
      <c r="AQ765" s="89"/>
      <c r="AR765" s="89"/>
      <c r="AS765" s="89"/>
      <c r="AT765" s="89"/>
      <c r="AU765" s="89"/>
      <c r="AV765" s="89"/>
      <c r="AW765" s="100"/>
      <c r="AX765" s="100"/>
      <c r="AY765" s="89"/>
      <c r="AZ765" s="89"/>
      <c r="BA765" s="89"/>
      <c r="BB765" s="89"/>
      <c r="BC765" s="89"/>
      <c r="BD765" s="89"/>
      <c r="BE765" s="89"/>
      <c r="BF765" s="89"/>
      <c r="BG765" s="89"/>
      <c r="BH765" s="89"/>
      <c r="BI765" s="89"/>
      <c r="BJ765" s="89"/>
      <c r="BK765" s="89"/>
      <c r="BL765" s="89"/>
      <c r="BM765" s="89"/>
      <c r="BN765" s="89"/>
      <c r="BO765" s="89"/>
      <c r="BP765" s="89"/>
      <c r="BQ765" s="89"/>
      <c r="BR765" s="89"/>
      <c r="BS765" s="89"/>
    </row>
    <row r="766" spans="1:71" ht="27" customHeight="1" x14ac:dyDescent="0.2">
      <c r="A766" s="93"/>
      <c r="B766" s="89"/>
      <c r="C766" s="89"/>
      <c r="D766" s="89"/>
      <c r="E766" s="89"/>
      <c r="F766" s="89"/>
      <c r="G766" s="89"/>
      <c r="H766" s="94"/>
      <c r="I766" s="94"/>
      <c r="J766" s="94"/>
      <c r="K766" s="94"/>
      <c r="L766" s="94"/>
      <c r="M766" s="94"/>
      <c r="N766" s="94"/>
      <c r="O766" s="94"/>
      <c r="P766" s="94"/>
      <c r="Q766" s="94"/>
      <c r="R766" s="95"/>
      <c r="S766" s="94"/>
      <c r="T766" s="96"/>
      <c r="U766" s="94"/>
      <c r="V766" s="97"/>
      <c r="W766" s="94"/>
      <c r="X766" s="98"/>
      <c r="Y766" s="98"/>
      <c r="Z766" s="98"/>
      <c r="AA766" s="98"/>
      <c r="AB766" s="98"/>
      <c r="AC766" s="97"/>
      <c r="AD766" s="99"/>
      <c r="AE766" s="95"/>
      <c r="AF766" s="94"/>
      <c r="AG766" s="89"/>
      <c r="AH766" s="89"/>
      <c r="AI766" s="89"/>
      <c r="AJ766" s="89"/>
      <c r="AK766" s="89"/>
      <c r="AL766" s="89"/>
      <c r="AM766" s="89"/>
      <c r="AN766" s="89"/>
      <c r="AO766" s="89"/>
      <c r="AP766" s="89"/>
      <c r="AQ766" s="89"/>
      <c r="AR766" s="89"/>
      <c r="AS766" s="89"/>
      <c r="AT766" s="89"/>
      <c r="AU766" s="89"/>
      <c r="AV766" s="89"/>
      <c r="AW766" s="100"/>
      <c r="AX766" s="100"/>
      <c r="AY766" s="89"/>
      <c r="AZ766" s="89"/>
      <c r="BA766" s="89"/>
      <c r="BB766" s="89"/>
      <c r="BC766" s="89"/>
      <c r="BD766" s="89"/>
      <c r="BE766" s="89"/>
      <c r="BF766" s="89"/>
      <c r="BG766" s="89"/>
      <c r="BH766" s="89"/>
      <c r="BI766" s="89"/>
      <c r="BJ766" s="89"/>
      <c r="BK766" s="89"/>
      <c r="BL766" s="89"/>
      <c r="BM766" s="89"/>
      <c r="BN766" s="89"/>
      <c r="BO766" s="89"/>
      <c r="BP766" s="89"/>
      <c r="BQ766" s="89"/>
      <c r="BR766" s="89"/>
      <c r="BS766" s="89"/>
    </row>
    <row r="767" spans="1:71" ht="27" customHeight="1" x14ac:dyDescent="0.2">
      <c r="A767" s="93"/>
      <c r="B767" s="89"/>
      <c r="C767" s="89"/>
      <c r="D767" s="89"/>
      <c r="E767" s="89"/>
      <c r="F767" s="89"/>
      <c r="G767" s="89"/>
      <c r="H767" s="94"/>
      <c r="I767" s="94"/>
      <c r="J767" s="94"/>
      <c r="K767" s="94"/>
      <c r="L767" s="94"/>
      <c r="M767" s="94"/>
      <c r="N767" s="94"/>
      <c r="O767" s="94"/>
      <c r="P767" s="94"/>
      <c r="Q767" s="94"/>
      <c r="R767" s="95"/>
      <c r="S767" s="94"/>
      <c r="T767" s="96"/>
      <c r="U767" s="94"/>
      <c r="V767" s="97"/>
      <c r="W767" s="94"/>
      <c r="X767" s="98"/>
      <c r="Y767" s="98"/>
      <c r="Z767" s="98"/>
      <c r="AA767" s="98"/>
      <c r="AB767" s="98"/>
      <c r="AC767" s="97"/>
      <c r="AD767" s="99"/>
      <c r="AE767" s="95"/>
      <c r="AF767" s="94"/>
      <c r="AG767" s="89"/>
      <c r="AH767" s="89"/>
      <c r="AI767" s="89"/>
      <c r="AJ767" s="89"/>
      <c r="AK767" s="89"/>
      <c r="AL767" s="89"/>
      <c r="AM767" s="89"/>
      <c r="AN767" s="89"/>
      <c r="AO767" s="89"/>
      <c r="AP767" s="89"/>
      <c r="AQ767" s="89"/>
      <c r="AR767" s="89"/>
      <c r="AS767" s="89"/>
      <c r="AT767" s="89"/>
      <c r="AU767" s="89"/>
      <c r="AV767" s="89"/>
      <c r="AW767" s="100"/>
      <c r="AX767" s="100"/>
      <c r="AY767" s="89"/>
      <c r="AZ767" s="89"/>
      <c r="BA767" s="89"/>
      <c r="BB767" s="89"/>
      <c r="BC767" s="89"/>
      <c r="BD767" s="89"/>
      <c r="BE767" s="89"/>
      <c r="BF767" s="89"/>
      <c r="BG767" s="89"/>
      <c r="BH767" s="89"/>
      <c r="BI767" s="89"/>
      <c r="BJ767" s="89"/>
      <c r="BK767" s="89"/>
      <c r="BL767" s="89"/>
      <c r="BM767" s="89"/>
      <c r="BN767" s="89"/>
      <c r="BO767" s="89"/>
      <c r="BP767" s="89"/>
      <c r="BQ767" s="89"/>
      <c r="BR767" s="89"/>
      <c r="BS767" s="89"/>
    </row>
    <row r="768" spans="1:71" ht="27" customHeight="1" x14ac:dyDescent="0.2">
      <c r="A768" s="93"/>
      <c r="B768" s="89"/>
      <c r="C768" s="89"/>
      <c r="D768" s="89"/>
      <c r="E768" s="89"/>
      <c r="F768" s="89"/>
      <c r="G768" s="89"/>
      <c r="H768" s="94"/>
      <c r="I768" s="94"/>
      <c r="J768" s="94"/>
      <c r="K768" s="94"/>
      <c r="L768" s="94"/>
      <c r="M768" s="94"/>
      <c r="N768" s="94"/>
      <c r="O768" s="94"/>
      <c r="P768" s="94"/>
      <c r="Q768" s="94"/>
      <c r="R768" s="95"/>
      <c r="S768" s="94"/>
      <c r="T768" s="96"/>
      <c r="U768" s="94"/>
      <c r="V768" s="97"/>
      <c r="W768" s="94"/>
      <c r="X768" s="98"/>
      <c r="Y768" s="98"/>
      <c r="Z768" s="98"/>
      <c r="AA768" s="98"/>
      <c r="AB768" s="98"/>
      <c r="AC768" s="97"/>
      <c r="AD768" s="99"/>
      <c r="AE768" s="95"/>
      <c r="AF768" s="94"/>
      <c r="AG768" s="89"/>
      <c r="AH768" s="89"/>
      <c r="AI768" s="89"/>
      <c r="AJ768" s="89"/>
      <c r="AK768" s="89"/>
      <c r="AL768" s="89"/>
      <c r="AM768" s="89"/>
      <c r="AN768" s="89"/>
      <c r="AO768" s="89"/>
      <c r="AP768" s="89"/>
      <c r="AQ768" s="89"/>
      <c r="AR768" s="89"/>
      <c r="AS768" s="89"/>
      <c r="AT768" s="89"/>
      <c r="AU768" s="89"/>
      <c r="AV768" s="89"/>
      <c r="AW768" s="100"/>
      <c r="AX768" s="100"/>
      <c r="AY768" s="89"/>
      <c r="AZ768" s="89"/>
      <c r="BA768" s="89"/>
      <c r="BB768" s="89"/>
      <c r="BC768" s="89"/>
      <c r="BD768" s="89"/>
      <c r="BE768" s="89"/>
      <c r="BF768" s="89"/>
      <c r="BG768" s="89"/>
      <c r="BH768" s="89"/>
      <c r="BI768" s="89"/>
      <c r="BJ768" s="89"/>
      <c r="BK768" s="89"/>
      <c r="BL768" s="89"/>
      <c r="BM768" s="89"/>
      <c r="BN768" s="89"/>
      <c r="BO768" s="89"/>
      <c r="BP768" s="89"/>
      <c r="BQ768" s="89"/>
      <c r="BR768" s="89"/>
      <c r="BS768" s="89"/>
    </row>
    <row r="769" spans="1:71" ht="27" customHeight="1" x14ac:dyDescent="0.2">
      <c r="A769" s="93"/>
      <c r="B769" s="89"/>
      <c r="C769" s="89"/>
      <c r="D769" s="89"/>
      <c r="E769" s="89"/>
      <c r="F769" s="89"/>
      <c r="G769" s="89"/>
      <c r="H769" s="94"/>
      <c r="I769" s="94"/>
      <c r="J769" s="94"/>
      <c r="K769" s="94"/>
      <c r="L769" s="94"/>
      <c r="M769" s="94"/>
      <c r="N769" s="94"/>
      <c r="O769" s="94"/>
      <c r="P769" s="94"/>
      <c r="Q769" s="94"/>
      <c r="R769" s="95"/>
      <c r="S769" s="94"/>
      <c r="T769" s="96"/>
      <c r="U769" s="94"/>
      <c r="V769" s="97"/>
      <c r="W769" s="94"/>
      <c r="X769" s="98"/>
      <c r="Y769" s="98"/>
      <c r="Z769" s="98"/>
      <c r="AA769" s="98"/>
      <c r="AB769" s="98"/>
      <c r="AC769" s="97"/>
      <c r="AD769" s="99"/>
      <c r="AE769" s="95"/>
      <c r="AF769" s="94"/>
      <c r="AG769" s="89"/>
      <c r="AH769" s="89"/>
      <c r="AI769" s="89"/>
      <c r="AJ769" s="89"/>
      <c r="AK769" s="89"/>
      <c r="AL769" s="89"/>
      <c r="AM769" s="89"/>
      <c r="AN769" s="89"/>
      <c r="AO769" s="89"/>
      <c r="AP769" s="89"/>
      <c r="AQ769" s="89"/>
      <c r="AR769" s="89"/>
      <c r="AS769" s="89"/>
      <c r="AT769" s="89"/>
      <c r="AU769" s="89"/>
      <c r="AV769" s="89"/>
      <c r="AW769" s="100"/>
      <c r="AX769" s="100"/>
      <c r="AY769" s="89"/>
      <c r="AZ769" s="89"/>
      <c r="BA769" s="89"/>
      <c r="BB769" s="89"/>
      <c r="BC769" s="89"/>
      <c r="BD769" s="89"/>
      <c r="BE769" s="89"/>
      <c r="BF769" s="89"/>
      <c r="BG769" s="89"/>
      <c r="BH769" s="89"/>
      <c r="BI769" s="89"/>
      <c r="BJ769" s="89"/>
      <c r="BK769" s="89"/>
      <c r="BL769" s="89"/>
      <c r="BM769" s="89"/>
      <c r="BN769" s="89"/>
      <c r="BO769" s="89"/>
      <c r="BP769" s="89"/>
      <c r="BQ769" s="89"/>
      <c r="BR769" s="89"/>
      <c r="BS769" s="89"/>
    </row>
    <row r="770" spans="1:71" ht="27" customHeight="1" x14ac:dyDescent="0.2">
      <c r="A770" s="93"/>
      <c r="B770" s="89"/>
      <c r="C770" s="89"/>
      <c r="D770" s="89"/>
      <c r="E770" s="89"/>
      <c r="F770" s="89"/>
      <c r="G770" s="89"/>
      <c r="H770" s="94"/>
      <c r="I770" s="94"/>
      <c r="J770" s="94"/>
      <c r="K770" s="94"/>
      <c r="L770" s="94"/>
      <c r="M770" s="94"/>
      <c r="N770" s="94"/>
      <c r="O770" s="94"/>
      <c r="P770" s="94"/>
      <c r="Q770" s="94"/>
      <c r="R770" s="95"/>
      <c r="S770" s="94"/>
      <c r="T770" s="96"/>
      <c r="U770" s="94"/>
      <c r="V770" s="97"/>
      <c r="W770" s="94"/>
      <c r="X770" s="98"/>
      <c r="Y770" s="98"/>
      <c r="Z770" s="98"/>
      <c r="AA770" s="98"/>
      <c r="AB770" s="98"/>
      <c r="AC770" s="97"/>
      <c r="AD770" s="99"/>
      <c r="AE770" s="95"/>
      <c r="AF770" s="94"/>
      <c r="AG770" s="89"/>
      <c r="AH770" s="89"/>
      <c r="AI770" s="89"/>
      <c r="AJ770" s="89"/>
      <c r="AK770" s="89"/>
      <c r="AL770" s="89"/>
      <c r="AM770" s="89"/>
      <c r="AN770" s="89"/>
      <c r="AO770" s="89"/>
      <c r="AP770" s="89"/>
      <c r="AQ770" s="89"/>
      <c r="AR770" s="89"/>
      <c r="AS770" s="89"/>
      <c r="AT770" s="89"/>
      <c r="AU770" s="89"/>
      <c r="AV770" s="89"/>
      <c r="AW770" s="100"/>
      <c r="AX770" s="100"/>
      <c r="AY770" s="89"/>
      <c r="AZ770" s="89"/>
      <c r="BA770" s="89"/>
      <c r="BB770" s="89"/>
      <c r="BC770" s="89"/>
      <c r="BD770" s="89"/>
      <c r="BE770" s="89"/>
      <c r="BF770" s="89"/>
      <c r="BG770" s="89"/>
      <c r="BH770" s="89"/>
      <c r="BI770" s="89"/>
      <c r="BJ770" s="89"/>
      <c r="BK770" s="89"/>
      <c r="BL770" s="89"/>
      <c r="BM770" s="89"/>
      <c r="BN770" s="89"/>
      <c r="BO770" s="89"/>
      <c r="BP770" s="89"/>
      <c r="BQ770" s="89"/>
      <c r="BR770" s="89"/>
      <c r="BS770" s="89"/>
    </row>
    <row r="771" spans="1:71" ht="27" customHeight="1" x14ac:dyDescent="0.2">
      <c r="A771" s="93"/>
      <c r="B771" s="89"/>
      <c r="C771" s="89"/>
      <c r="D771" s="89"/>
      <c r="E771" s="89"/>
      <c r="F771" s="89"/>
      <c r="G771" s="89"/>
      <c r="H771" s="94"/>
      <c r="I771" s="94"/>
      <c r="J771" s="94"/>
      <c r="K771" s="94"/>
      <c r="L771" s="94"/>
      <c r="M771" s="94"/>
      <c r="N771" s="94"/>
      <c r="O771" s="94"/>
      <c r="P771" s="94"/>
      <c r="Q771" s="94"/>
      <c r="R771" s="95"/>
      <c r="S771" s="94"/>
      <c r="T771" s="96"/>
      <c r="U771" s="94"/>
      <c r="V771" s="97"/>
      <c r="W771" s="94"/>
      <c r="X771" s="98"/>
      <c r="Y771" s="98"/>
      <c r="Z771" s="98"/>
      <c r="AA771" s="98"/>
      <c r="AB771" s="98"/>
      <c r="AC771" s="97"/>
      <c r="AD771" s="99"/>
      <c r="AE771" s="95"/>
      <c r="AF771" s="94"/>
      <c r="AG771" s="89"/>
      <c r="AH771" s="89"/>
      <c r="AI771" s="89"/>
      <c r="AJ771" s="89"/>
      <c r="AK771" s="89"/>
      <c r="AL771" s="89"/>
      <c r="AM771" s="89"/>
      <c r="AN771" s="89"/>
      <c r="AO771" s="89"/>
      <c r="AP771" s="89"/>
      <c r="AQ771" s="89"/>
      <c r="AR771" s="89"/>
      <c r="AS771" s="89"/>
      <c r="AT771" s="89"/>
      <c r="AU771" s="89"/>
      <c r="AV771" s="89"/>
      <c r="AW771" s="100"/>
      <c r="AX771" s="100"/>
      <c r="AY771" s="89"/>
      <c r="AZ771" s="89"/>
      <c r="BA771" s="89"/>
      <c r="BB771" s="89"/>
      <c r="BC771" s="89"/>
      <c r="BD771" s="89"/>
      <c r="BE771" s="89"/>
      <c r="BF771" s="89"/>
      <c r="BG771" s="89"/>
      <c r="BH771" s="89"/>
      <c r="BI771" s="89"/>
      <c r="BJ771" s="89"/>
      <c r="BK771" s="89"/>
      <c r="BL771" s="89"/>
      <c r="BM771" s="89"/>
      <c r="BN771" s="89"/>
      <c r="BO771" s="89"/>
      <c r="BP771" s="89"/>
      <c r="BQ771" s="89"/>
      <c r="BR771" s="89"/>
      <c r="BS771" s="89"/>
    </row>
    <row r="772" spans="1:71" ht="27" customHeight="1" x14ac:dyDescent="0.2">
      <c r="A772" s="93"/>
      <c r="B772" s="89"/>
      <c r="C772" s="89"/>
      <c r="D772" s="89"/>
      <c r="E772" s="89"/>
      <c r="F772" s="89"/>
      <c r="G772" s="89"/>
      <c r="H772" s="94"/>
      <c r="I772" s="94"/>
      <c r="J772" s="94"/>
      <c r="K772" s="94"/>
      <c r="L772" s="94"/>
      <c r="M772" s="94"/>
      <c r="N772" s="94"/>
      <c r="O772" s="94"/>
      <c r="P772" s="94"/>
      <c r="Q772" s="94"/>
      <c r="R772" s="95"/>
      <c r="S772" s="94"/>
      <c r="T772" s="96"/>
      <c r="U772" s="94"/>
      <c r="V772" s="97"/>
      <c r="W772" s="94"/>
      <c r="X772" s="98"/>
      <c r="Y772" s="98"/>
      <c r="Z772" s="98"/>
      <c r="AA772" s="98"/>
      <c r="AB772" s="98"/>
      <c r="AC772" s="97"/>
      <c r="AD772" s="99"/>
      <c r="AE772" s="95"/>
      <c r="AF772" s="94"/>
      <c r="AG772" s="89"/>
      <c r="AH772" s="89"/>
      <c r="AI772" s="89"/>
      <c r="AJ772" s="89"/>
      <c r="AK772" s="89"/>
      <c r="AL772" s="89"/>
      <c r="AM772" s="89"/>
      <c r="AN772" s="89"/>
      <c r="AO772" s="89"/>
      <c r="AP772" s="89"/>
      <c r="AQ772" s="89"/>
      <c r="AR772" s="89"/>
      <c r="AS772" s="89"/>
      <c r="AT772" s="89"/>
      <c r="AU772" s="89"/>
      <c r="AV772" s="89"/>
      <c r="AW772" s="100"/>
      <c r="AX772" s="100"/>
      <c r="AY772" s="89"/>
      <c r="AZ772" s="89"/>
      <c r="BA772" s="89"/>
      <c r="BB772" s="89"/>
      <c r="BC772" s="89"/>
      <c r="BD772" s="89"/>
      <c r="BE772" s="89"/>
      <c r="BF772" s="89"/>
      <c r="BG772" s="89"/>
      <c r="BH772" s="89"/>
      <c r="BI772" s="89"/>
      <c r="BJ772" s="89"/>
      <c r="BK772" s="89"/>
      <c r="BL772" s="89"/>
      <c r="BM772" s="89"/>
      <c r="BN772" s="89"/>
      <c r="BO772" s="89"/>
      <c r="BP772" s="89"/>
      <c r="BQ772" s="89"/>
      <c r="BR772" s="89"/>
      <c r="BS772" s="89"/>
    </row>
    <row r="773" spans="1:71" ht="27" customHeight="1" x14ac:dyDescent="0.2">
      <c r="A773" s="93"/>
      <c r="B773" s="89"/>
      <c r="C773" s="89"/>
      <c r="D773" s="89"/>
      <c r="E773" s="89"/>
      <c r="F773" s="89"/>
      <c r="G773" s="89"/>
      <c r="H773" s="94"/>
      <c r="I773" s="94"/>
      <c r="J773" s="94"/>
      <c r="K773" s="94"/>
      <c r="L773" s="94"/>
      <c r="M773" s="94"/>
      <c r="N773" s="94"/>
      <c r="O773" s="94"/>
      <c r="P773" s="94"/>
      <c r="Q773" s="94"/>
      <c r="R773" s="95"/>
      <c r="S773" s="94"/>
      <c r="T773" s="96"/>
      <c r="U773" s="94"/>
      <c r="V773" s="97"/>
      <c r="W773" s="94"/>
      <c r="X773" s="98"/>
      <c r="Y773" s="98"/>
      <c r="Z773" s="98"/>
      <c r="AA773" s="98"/>
      <c r="AB773" s="98"/>
      <c r="AC773" s="97"/>
      <c r="AD773" s="99"/>
      <c r="AE773" s="95"/>
      <c r="AF773" s="94"/>
      <c r="AG773" s="89"/>
      <c r="AH773" s="89"/>
      <c r="AI773" s="89"/>
      <c r="AJ773" s="89"/>
      <c r="AK773" s="89"/>
      <c r="AL773" s="89"/>
      <c r="AM773" s="89"/>
      <c r="AN773" s="89"/>
      <c r="AO773" s="89"/>
      <c r="AP773" s="89"/>
      <c r="AQ773" s="89"/>
      <c r="AR773" s="89"/>
      <c r="AS773" s="89"/>
      <c r="AT773" s="89"/>
      <c r="AU773" s="89"/>
      <c r="AV773" s="89"/>
      <c r="AW773" s="100"/>
      <c r="AX773" s="100"/>
      <c r="AY773" s="89"/>
      <c r="AZ773" s="89"/>
      <c r="BA773" s="89"/>
      <c r="BB773" s="89"/>
      <c r="BC773" s="89"/>
      <c r="BD773" s="89"/>
      <c r="BE773" s="89"/>
      <c r="BF773" s="89"/>
      <c r="BG773" s="89"/>
      <c r="BH773" s="89"/>
      <c r="BI773" s="89"/>
      <c r="BJ773" s="89"/>
      <c r="BK773" s="89"/>
      <c r="BL773" s="89"/>
      <c r="BM773" s="89"/>
      <c r="BN773" s="89"/>
      <c r="BO773" s="89"/>
      <c r="BP773" s="89"/>
      <c r="BQ773" s="89"/>
      <c r="BR773" s="89"/>
      <c r="BS773" s="89"/>
    </row>
    <row r="774" spans="1:71" ht="27" customHeight="1" x14ac:dyDescent="0.2">
      <c r="A774" s="93"/>
      <c r="B774" s="89"/>
      <c r="C774" s="89"/>
      <c r="D774" s="89"/>
      <c r="E774" s="89"/>
      <c r="F774" s="89"/>
      <c r="G774" s="89"/>
      <c r="H774" s="94"/>
      <c r="I774" s="94"/>
      <c r="J774" s="94"/>
      <c r="K774" s="94"/>
      <c r="L774" s="94"/>
      <c r="M774" s="94"/>
      <c r="N774" s="94"/>
      <c r="O774" s="94"/>
      <c r="P774" s="94"/>
      <c r="Q774" s="94"/>
      <c r="R774" s="95"/>
      <c r="S774" s="94"/>
      <c r="T774" s="96"/>
      <c r="U774" s="94"/>
      <c r="V774" s="97"/>
      <c r="W774" s="94"/>
      <c r="X774" s="98"/>
      <c r="Y774" s="98"/>
      <c r="Z774" s="98"/>
      <c r="AA774" s="98"/>
      <c r="AB774" s="98"/>
      <c r="AC774" s="97"/>
      <c r="AD774" s="99"/>
      <c r="AE774" s="95"/>
      <c r="AF774" s="94"/>
      <c r="AG774" s="89"/>
      <c r="AH774" s="89"/>
      <c r="AI774" s="89"/>
      <c r="AJ774" s="89"/>
      <c r="AK774" s="89"/>
      <c r="AL774" s="89"/>
      <c r="AM774" s="89"/>
      <c r="AN774" s="89"/>
      <c r="AO774" s="89"/>
      <c r="AP774" s="89"/>
      <c r="AQ774" s="89"/>
      <c r="AR774" s="89"/>
      <c r="AS774" s="89"/>
      <c r="AT774" s="89"/>
      <c r="AU774" s="89"/>
      <c r="AV774" s="89"/>
      <c r="AW774" s="100"/>
      <c r="AX774" s="100"/>
      <c r="AY774" s="89"/>
      <c r="AZ774" s="89"/>
      <c r="BA774" s="89"/>
      <c r="BB774" s="89"/>
      <c r="BC774" s="89"/>
      <c r="BD774" s="89"/>
      <c r="BE774" s="89"/>
      <c r="BF774" s="89"/>
      <c r="BG774" s="89"/>
      <c r="BH774" s="89"/>
      <c r="BI774" s="89"/>
      <c r="BJ774" s="89"/>
      <c r="BK774" s="89"/>
      <c r="BL774" s="89"/>
      <c r="BM774" s="89"/>
      <c r="BN774" s="89"/>
      <c r="BO774" s="89"/>
      <c r="BP774" s="89"/>
      <c r="BQ774" s="89"/>
      <c r="BR774" s="89"/>
      <c r="BS774" s="89"/>
    </row>
    <row r="775" spans="1:71" ht="27" customHeight="1" x14ac:dyDescent="0.2">
      <c r="A775" s="93"/>
      <c r="B775" s="89"/>
      <c r="C775" s="89"/>
      <c r="D775" s="89"/>
      <c r="E775" s="89"/>
      <c r="F775" s="89"/>
      <c r="G775" s="89"/>
      <c r="H775" s="94"/>
      <c r="I775" s="94"/>
      <c r="J775" s="94"/>
      <c r="K775" s="94"/>
      <c r="L775" s="94"/>
      <c r="M775" s="94"/>
      <c r="N775" s="94"/>
      <c r="O775" s="94"/>
      <c r="P775" s="94"/>
      <c r="Q775" s="94"/>
      <c r="R775" s="95"/>
      <c r="S775" s="94"/>
      <c r="T775" s="96"/>
      <c r="U775" s="94"/>
      <c r="V775" s="97"/>
      <c r="W775" s="94"/>
      <c r="X775" s="98"/>
      <c r="Y775" s="98"/>
      <c r="Z775" s="98"/>
      <c r="AA775" s="98"/>
      <c r="AB775" s="98"/>
      <c r="AC775" s="97"/>
      <c r="AD775" s="99"/>
      <c r="AE775" s="95"/>
      <c r="AF775" s="94"/>
      <c r="AG775" s="89"/>
      <c r="AH775" s="89"/>
      <c r="AI775" s="89"/>
      <c r="AJ775" s="89"/>
      <c r="AK775" s="89"/>
      <c r="AL775" s="89"/>
      <c r="AM775" s="89"/>
      <c r="AN775" s="89"/>
      <c r="AO775" s="89"/>
      <c r="AP775" s="89"/>
      <c r="AQ775" s="89"/>
      <c r="AR775" s="89"/>
      <c r="AS775" s="89"/>
      <c r="AT775" s="89"/>
      <c r="AU775" s="89"/>
      <c r="AV775" s="89"/>
      <c r="AW775" s="100"/>
      <c r="AX775" s="100"/>
      <c r="AY775" s="89"/>
      <c r="AZ775" s="89"/>
      <c r="BA775" s="89"/>
      <c r="BB775" s="89"/>
      <c r="BC775" s="89"/>
      <c r="BD775" s="89"/>
      <c r="BE775" s="89"/>
      <c r="BF775" s="89"/>
      <c r="BG775" s="89"/>
      <c r="BH775" s="89"/>
      <c r="BI775" s="89"/>
      <c r="BJ775" s="89"/>
      <c r="BK775" s="89"/>
      <c r="BL775" s="89"/>
      <c r="BM775" s="89"/>
      <c r="BN775" s="89"/>
      <c r="BO775" s="89"/>
      <c r="BP775" s="89"/>
      <c r="BQ775" s="89"/>
      <c r="BR775" s="89"/>
      <c r="BS775" s="89"/>
    </row>
    <row r="776" spans="1:71" ht="27" customHeight="1" x14ac:dyDescent="0.2">
      <c r="A776" s="93"/>
      <c r="B776" s="89"/>
      <c r="C776" s="89"/>
      <c r="D776" s="89"/>
      <c r="E776" s="89"/>
      <c r="F776" s="89"/>
      <c r="G776" s="89"/>
      <c r="H776" s="94"/>
      <c r="I776" s="94"/>
      <c r="J776" s="94"/>
      <c r="K776" s="94"/>
      <c r="L776" s="94"/>
      <c r="M776" s="94"/>
      <c r="N776" s="94"/>
      <c r="O776" s="94"/>
      <c r="P776" s="94"/>
      <c r="Q776" s="94"/>
      <c r="R776" s="95"/>
      <c r="S776" s="94"/>
      <c r="T776" s="96"/>
      <c r="U776" s="94"/>
      <c r="V776" s="97"/>
      <c r="W776" s="94"/>
      <c r="X776" s="98"/>
      <c r="Y776" s="98"/>
      <c r="Z776" s="98"/>
      <c r="AA776" s="98"/>
      <c r="AB776" s="98"/>
      <c r="AC776" s="97"/>
      <c r="AD776" s="99"/>
      <c r="AE776" s="95"/>
      <c r="AF776" s="94"/>
      <c r="AG776" s="89"/>
      <c r="AH776" s="89"/>
      <c r="AI776" s="89"/>
      <c r="AJ776" s="89"/>
      <c r="AK776" s="89"/>
      <c r="AL776" s="89"/>
      <c r="AM776" s="89"/>
      <c r="AN776" s="89"/>
      <c r="AO776" s="89"/>
      <c r="AP776" s="89"/>
      <c r="AQ776" s="89"/>
      <c r="AR776" s="89"/>
      <c r="AS776" s="89"/>
      <c r="AT776" s="89"/>
      <c r="AU776" s="89"/>
      <c r="AV776" s="89"/>
      <c r="AW776" s="100"/>
      <c r="AX776" s="100"/>
      <c r="AY776" s="89"/>
      <c r="AZ776" s="89"/>
      <c r="BA776" s="89"/>
      <c r="BB776" s="89"/>
      <c r="BC776" s="89"/>
      <c r="BD776" s="89"/>
      <c r="BE776" s="89"/>
      <c r="BF776" s="89"/>
      <c r="BG776" s="89"/>
      <c r="BH776" s="89"/>
      <c r="BI776" s="89"/>
      <c r="BJ776" s="89"/>
      <c r="BK776" s="89"/>
      <c r="BL776" s="89"/>
      <c r="BM776" s="89"/>
      <c r="BN776" s="89"/>
      <c r="BO776" s="89"/>
      <c r="BP776" s="89"/>
      <c r="BQ776" s="89"/>
      <c r="BR776" s="89"/>
      <c r="BS776" s="89"/>
    </row>
    <row r="777" spans="1:71" ht="27" customHeight="1" x14ac:dyDescent="0.2">
      <c r="A777" s="93"/>
      <c r="B777" s="89"/>
      <c r="C777" s="89"/>
      <c r="D777" s="89"/>
      <c r="E777" s="89"/>
      <c r="F777" s="89"/>
      <c r="G777" s="89"/>
      <c r="H777" s="94"/>
      <c r="I777" s="94"/>
      <c r="J777" s="94"/>
      <c r="K777" s="94"/>
      <c r="L777" s="94"/>
      <c r="M777" s="94"/>
      <c r="N777" s="94"/>
      <c r="O777" s="94"/>
      <c r="P777" s="94"/>
      <c r="Q777" s="94"/>
      <c r="R777" s="95"/>
      <c r="S777" s="94"/>
      <c r="T777" s="96"/>
      <c r="U777" s="94"/>
      <c r="V777" s="97"/>
      <c r="W777" s="94"/>
      <c r="X777" s="98"/>
      <c r="Y777" s="98"/>
      <c r="Z777" s="98"/>
      <c r="AA777" s="98"/>
      <c r="AB777" s="98"/>
      <c r="AC777" s="97"/>
      <c r="AD777" s="99"/>
      <c r="AE777" s="95"/>
      <c r="AF777" s="94"/>
      <c r="AG777" s="89"/>
      <c r="AH777" s="89"/>
      <c r="AI777" s="89"/>
      <c r="AJ777" s="89"/>
      <c r="AK777" s="89"/>
      <c r="AL777" s="89"/>
      <c r="AM777" s="89"/>
      <c r="AN777" s="89"/>
      <c r="AO777" s="89"/>
      <c r="AP777" s="89"/>
      <c r="AQ777" s="89"/>
      <c r="AR777" s="89"/>
      <c r="AS777" s="89"/>
      <c r="AT777" s="89"/>
      <c r="AU777" s="89"/>
      <c r="AV777" s="89"/>
      <c r="AW777" s="100"/>
      <c r="AX777" s="100"/>
      <c r="AY777" s="89"/>
      <c r="AZ777" s="89"/>
      <c r="BA777" s="89"/>
      <c r="BB777" s="89"/>
      <c r="BC777" s="89"/>
      <c r="BD777" s="89"/>
      <c r="BE777" s="89"/>
      <c r="BF777" s="89"/>
      <c r="BG777" s="89"/>
      <c r="BH777" s="89"/>
      <c r="BI777" s="89"/>
      <c r="BJ777" s="89"/>
      <c r="BK777" s="89"/>
      <c r="BL777" s="89"/>
      <c r="BM777" s="89"/>
      <c r="BN777" s="89"/>
      <c r="BO777" s="89"/>
      <c r="BP777" s="89"/>
      <c r="BQ777" s="89"/>
      <c r="BR777" s="89"/>
      <c r="BS777" s="89"/>
    </row>
    <row r="778" spans="1:71" ht="27" customHeight="1" x14ac:dyDescent="0.2">
      <c r="A778" s="93"/>
      <c r="B778" s="89"/>
      <c r="C778" s="89"/>
      <c r="D778" s="89"/>
      <c r="E778" s="89"/>
      <c r="F778" s="89"/>
      <c r="G778" s="89"/>
      <c r="H778" s="94"/>
      <c r="I778" s="94"/>
      <c r="J778" s="94"/>
      <c r="K778" s="94"/>
      <c r="L778" s="94"/>
      <c r="M778" s="94"/>
      <c r="N778" s="94"/>
      <c r="O778" s="94"/>
      <c r="P778" s="94"/>
      <c r="Q778" s="94"/>
      <c r="R778" s="95"/>
      <c r="S778" s="94"/>
      <c r="T778" s="96"/>
      <c r="U778" s="94"/>
      <c r="V778" s="97"/>
      <c r="W778" s="94"/>
      <c r="X778" s="98"/>
      <c r="Y778" s="98"/>
      <c r="Z778" s="98"/>
      <c r="AA778" s="98"/>
      <c r="AB778" s="98"/>
      <c r="AC778" s="97"/>
      <c r="AD778" s="99"/>
      <c r="AE778" s="95"/>
      <c r="AF778" s="94"/>
      <c r="AG778" s="89"/>
      <c r="AH778" s="89"/>
      <c r="AI778" s="89"/>
      <c r="AJ778" s="89"/>
      <c r="AK778" s="89"/>
      <c r="AL778" s="89"/>
      <c r="AM778" s="89"/>
      <c r="AN778" s="89"/>
      <c r="AO778" s="89"/>
      <c r="AP778" s="89"/>
      <c r="AQ778" s="89"/>
      <c r="AR778" s="89"/>
      <c r="AS778" s="89"/>
      <c r="AT778" s="89"/>
      <c r="AU778" s="89"/>
      <c r="AV778" s="89"/>
      <c r="AW778" s="100"/>
      <c r="AX778" s="100"/>
      <c r="AY778" s="89"/>
      <c r="AZ778" s="89"/>
      <c r="BA778" s="89"/>
      <c r="BB778" s="89"/>
      <c r="BC778" s="89"/>
      <c r="BD778" s="89"/>
      <c r="BE778" s="89"/>
      <c r="BF778" s="89"/>
      <c r="BG778" s="89"/>
      <c r="BH778" s="89"/>
      <c r="BI778" s="89"/>
      <c r="BJ778" s="89"/>
      <c r="BK778" s="89"/>
      <c r="BL778" s="89"/>
      <c r="BM778" s="89"/>
      <c r="BN778" s="89"/>
      <c r="BO778" s="89"/>
      <c r="BP778" s="89"/>
      <c r="BQ778" s="89"/>
      <c r="BR778" s="89"/>
      <c r="BS778" s="89"/>
    </row>
    <row r="779" spans="1:71" ht="27" customHeight="1" x14ac:dyDescent="0.2">
      <c r="A779" s="93"/>
      <c r="B779" s="89"/>
      <c r="C779" s="89"/>
      <c r="D779" s="89"/>
      <c r="E779" s="89"/>
      <c r="F779" s="89"/>
      <c r="G779" s="89"/>
      <c r="H779" s="94"/>
      <c r="I779" s="94"/>
      <c r="J779" s="94"/>
      <c r="K779" s="94"/>
      <c r="L779" s="94"/>
      <c r="M779" s="94"/>
      <c r="N779" s="94"/>
      <c r="O779" s="94"/>
      <c r="P779" s="94"/>
      <c r="Q779" s="94"/>
      <c r="R779" s="95"/>
      <c r="S779" s="94"/>
      <c r="T779" s="96"/>
      <c r="U779" s="94"/>
      <c r="V779" s="97"/>
      <c r="W779" s="94"/>
      <c r="X779" s="98"/>
      <c r="Y779" s="98"/>
      <c r="Z779" s="98"/>
      <c r="AA779" s="98"/>
      <c r="AB779" s="98"/>
      <c r="AC779" s="97"/>
      <c r="AD779" s="99"/>
      <c r="AE779" s="95"/>
      <c r="AF779" s="94"/>
      <c r="AG779" s="89"/>
      <c r="AH779" s="89"/>
      <c r="AI779" s="89"/>
      <c r="AJ779" s="89"/>
      <c r="AK779" s="89"/>
      <c r="AL779" s="89"/>
      <c r="AM779" s="89"/>
      <c r="AN779" s="89"/>
      <c r="AO779" s="89"/>
      <c r="AP779" s="89"/>
      <c r="AQ779" s="89"/>
      <c r="AR779" s="89"/>
      <c r="AS779" s="89"/>
      <c r="AT779" s="89"/>
      <c r="AU779" s="89"/>
      <c r="AV779" s="89"/>
      <c r="AW779" s="100"/>
      <c r="AX779" s="100"/>
      <c r="AY779" s="89"/>
      <c r="AZ779" s="89"/>
      <c r="BA779" s="89"/>
      <c r="BB779" s="89"/>
      <c r="BC779" s="89"/>
      <c r="BD779" s="89"/>
      <c r="BE779" s="89"/>
      <c r="BF779" s="89"/>
      <c r="BG779" s="89"/>
      <c r="BH779" s="89"/>
      <c r="BI779" s="89"/>
      <c r="BJ779" s="89"/>
      <c r="BK779" s="89"/>
      <c r="BL779" s="89"/>
      <c r="BM779" s="89"/>
      <c r="BN779" s="89"/>
      <c r="BO779" s="89"/>
      <c r="BP779" s="89"/>
      <c r="BQ779" s="89"/>
      <c r="BR779" s="89"/>
      <c r="BS779" s="89"/>
    </row>
    <row r="780" spans="1:71" ht="27" customHeight="1" x14ac:dyDescent="0.2">
      <c r="A780" s="93"/>
      <c r="B780" s="89"/>
      <c r="C780" s="89"/>
      <c r="D780" s="89"/>
      <c r="E780" s="89"/>
      <c r="F780" s="89"/>
      <c r="G780" s="89"/>
      <c r="H780" s="94"/>
      <c r="I780" s="94"/>
      <c r="J780" s="94"/>
      <c r="K780" s="94"/>
      <c r="L780" s="94"/>
      <c r="M780" s="94"/>
      <c r="N780" s="94"/>
      <c r="O780" s="94"/>
      <c r="P780" s="94"/>
      <c r="Q780" s="94"/>
      <c r="R780" s="95"/>
      <c r="S780" s="94"/>
      <c r="T780" s="96"/>
      <c r="U780" s="94"/>
      <c r="V780" s="97"/>
      <c r="W780" s="94"/>
      <c r="X780" s="98"/>
      <c r="Y780" s="98"/>
      <c r="Z780" s="98"/>
      <c r="AA780" s="98"/>
      <c r="AB780" s="98"/>
      <c r="AC780" s="97"/>
      <c r="AD780" s="99"/>
      <c r="AE780" s="95"/>
      <c r="AF780" s="94"/>
      <c r="AG780" s="89"/>
      <c r="AH780" s="89"/>
      <c r="AI780" s="89"/>
      <c r="AJ780" s="89"/>
      <c r="AK780" s="89"/>
      <c r="AL780" s="89"/>
      <c r="AM780" s="89"/>
      <c r="AN780" s="89"/>
      <c r="AO780" s="89"/>
      <c r="AP780" s="89"/>
      <c r="AQ780" s="89"/>
      <c r="AR780" s="89"/>
      <c r="AS780" s="89"/>
      <c r="AT780" s="89"/>
      <c r="AU780" s="89"/>
      <c r="AV780" s="89"/>
      <c r="AW780" s="100"/>
      <c r="AX780" s="100"/>
      <c r="AY780" s="89"/>
      <c r="AZ780" s="89"/>
      <c r="BA780" s="89"/>
      <c r="BB780" s="89"/>
      <c r="BC780" s="89"/>
      <c r="BD780" s="89"/>
      <c r="BE780" s="89"/>
      <c r="BF780" s="89"/>
      <c r="BG780" s="89"/>
      <c r="BH780" s="89"/>
      <c r="BI780" s="89"/>
      <c r="BJ780" s="89"/>
      <c r="BK780" s="89"/>
      <c r="BL780" s="89"/>
      <c r="BM780" s="89"/>
      <c r="BN780" s="89"/>
      <c r="BO780" s="89"/>
      <c r="BP780" s="89"/>
      <c r="BQ780" s="89"/>
      <c r="BR780" s="89"/>
      <c r="BS780" s="89"/>
    </row>
    <row r="781" spans="1:71" ht="27" customHeight="1" x14ac:dyDescent="0.2">
      <c r="A781" s="93"/>
      <c r="B781" s="89"/>
      <c r="C781" s="89"/>
      <c r="D781" s="89"/>
      <c r="E781" s="89"/>
      <c r="F781" s="89"/>
      <c r="G781" s="89"/>
      <c r="H781" s="94"/>
      <c r="I781" s="94"/>
      <c r="J781" s="94"/>
      <c r="K781" s="94"/>
      <c r="L781" s="94"/>
      <c r="M781" s="94"/>
      <c r="N781" s="94"/>
      <c r="O781" s="94"/>
      <c r="P781" s="94"/>
      <c r="Q781" s="94"/>
      <c r="R781" s="95"/>
      <c r="S781" s="94"/>
      <c r="T781" s="96"/>
      <c r="U781" s="94"/>
      <c r="V781" s="97"/>
      <c r="W781" s="94"/>
      <c r="X781" s="98"/>
      <c r="Y781" s="98"/>
      <c r="Z781" s="98"/>
      <c r="AA781" s="98"/>
      <c r="AB781" s="98"/>
      <c r="AC781" s="97"/>
      <c r="AD781" s="99"/>
      <c r="AE781" s="95"/>
      <c r="AF781" s="94"/>
      <c r="AG781" s="89"/>
      <c r="AH781" s="89"/>
      <c r="AI781" s="89"/>
      <c r="AJ781" s="89"/>
      <c r="AK781" s="89"/>
      <c r="AL781" s="89"/>
      <c r="AM781" s="89"/>
      <c r="AN781" s="89"/>
      <c r="AO781" s="89"/>
      <c r="AP781" s="89"/>
      <c r="AQ781" s="89"/>
      <c r="AR781" s="89"/>
      <c r="AS781" s="89"/>
      <c r="AT781" s="89"/>
      <c r="AU781" s="89"/>
      <c r="AV781" s="89"/>
      <c r="AW781" s="100"/>
      <c r="AX781" s="100"/>
      <c r="AY781" s="89"/>
      <c r="AZ781" s="89"/>
      <c r="BA781" s="89"/>
      <c r="BB781" s="89"/>
      <c r="BC781" s="89"/>
      <c r="BD781" s="89"/>
      <c r="BE781" s="89"/>
      <c r="BF781" s="89"/>
      <c r="BG781" s="89"/>
      <c r="BH781" s="89"/>
      <c r="BI781" s="89"/>
      <c r="BJ781" s="89"/>
      <c r="BK781" s="89"/>
      <c r="BL781" s="89"/>
      <c r="BM781" s="89"/>
      <c r="BN781" s="89"/>
      <c r="BO781" s="89"/>
      <c r="BP781" s="89"/>
      <c r="BQ781" s="89"/>
      <c r="BR781" s="89"/>
      <c r="BS781" s="89"/>
    </row>
    <row r="782" spans="1:71" ht="27" customHeight="1" x14ac:dyDescent="0.2">
      <c r="A782" s="93"/>
      <c r="B782" s="89"/>
      <c r="C782" s="89"/>
      <c r="D782" s="89"/>
      <c r="E782" s="89"/>
      <c r="F782" s="89"/>
      <c r="G782" s="89"/>
      <c r="H782" s="94"/>
      <c r="I782" s="94"/>
      <c r="J782" s="94"/>
      <c r="K782" s="94"/>
      <c r="L782" s="94"/>
      <c r="M782" s="94"/>
      <c r="N782" s="94"/>
      <c r="O782" s="94"/>
      <c r="P782" s="94"/>
      <c r="Q782" s="94"/>
      <c r="R782" s="95"/>
      <c r="S782" s="94"/>
      <c r="T782" s="96"/>
      <c r="U782" s="94"/>
      <c r="V782" s="97"/>
      <c r="W782" s="94"/>
      <c r="X782" s="98"/>
      <c r="Y782" s="98"/>
      <c r="Z782" s="98"/>
      <c r="AA782" s="98"/>
      <c r="AB782" s="98"/>
      <c r="AC782" s="97"/>
      <c r="AD782" s="99"/>
      <c r="AE782" s="95"/>
      <c r="AF782" s="94"/>
      <c r="AG782" s="89"/>
      <c r="AH782" s="89"/>
      <c r="AI782" s="89"/>
      <c r="AJ782" s="89"/>
      <c r="AK782" s="89"/>
      <c r="AL782" s="89"/>
      <c r="AM782" s="89"/>
      <c r="AN782" s="89"/>
      <c r="AO782" s="89"/>
      <c r="AP782" s="89"/>
      <c r="AQ782" s="89"/>
      <c r="AR782" s="89"/>
      <c r="AS782" s="89"/>
      <c r="AT782" s="89"/>
      <c r="AU782" s="89"/>
      <c r="AV782" s="89"/>
      <c r="AW782" s="100"/>
      <c r="AX782" s="100"/>
      <c r="AY782" s="89"/>
      <c r="AZ782" s="89"/>
      <c r="BA782" s="89"/>
      <c r="BB782" s="89"/>
      <c r="BC782" s="89"/>
      <c r="BD782" s="89"/>
      <c r="BE782" s="89"/>
      <c r="BF782" s="89"/>
      <c r="BG782" s="89"/>
      <c r="BH782" s="89"/>
      <c r="BI782" s="89"/>
      <c r="BJ782" s="89"/>
      <c r="BK782" s="89"/>
      <c r="BL782" s="89"/>
      <c r="BM782" s="89"/>
      <c r="BN782" s="89"/>
      <c r="BO782" s="89"/>
      <c r="BP782" s="89"/>
      <c r="BQ782" s="89"/>
      <c r="BR782" s="89"/>
      <c r="BS782" s="89"/>
    </row>
    <row r="783" spans="1:71" ht="27" customHeight="1" x14ac:dyDescent="0.2">
      <c r="A783" s="93"/>
      <c r="B783" s="89"/>
      <c r="C783" s="89"/>
      <c r="D783" s="89"/>
      <c r="E783" s="89"/>
      <c r="F783" s="89"/>
      <c r="G783" s="89"/>
      <c r="H783" s="94"/>
      <c r="I783" s="94"/>
      <c r="J783" s="94"/>
      <c r="K783" s="94"/>
      <c r="L783" s="94"/>
      <c r="M783" s="94"/>
      <c r="N783" s="94"/>
      <c r="O783" s="94"/>
      <c r="P783" s="94"/>
      <c r="Q783" s="94"/>
      <c r="R783" s="95"/>
      <c r="S783" s="94"/>
      <c r="T783" s="96"/>
      <c r="U783" s="94"/>
      <c r="V783" s="97"/>
      <c r="W783" s="94"/>
      <c r="X783" s="98"/>
      <c r="Y783" s="98"/>
      <c r="Z783" s="98"/>
      <c r="AA783" s="98"/>
      <c r="AB783" s="98"/>
      <c r="AC783" s="97"/>
      <c r="AD783" s="99"/>
      <c r="AE783" s="95"/>
      <c r="AF783" s="94"/>
      <c r="AG783" s="89"/>
      <c r="AH783" s="89"/>
      <c r="AI783" s="89"/>
      <c r="AJ783" s="89"/>
      <c r="AK783" s="89"/>
      <c r="AL783" s="89"/>
      <c r="AM783" s="89"/>
      <c r="AN783" s="89"/>
      <c r="AO783" s="89"/>
      <c r="AP783" s="89"/>
      <c r="AQ783" s="89"/>
      <c r="AR783" s="89"/>
      <c r="AS783" s="89"/>
      <c r="AT783" s="89"/>
      <c r="AU783" s="89"/>
      <c r="AV783" s="89"/>
      <c r="AW783" s="100"/>
      <c r="AX783" s="100"/>
      <c r="AY783" s="89"/>
      <c r="AZ783" s="89"/>
      <c r="BA783" s="89"/>
      <c r="BB783" s="89"/>
      <c r="BC783" s="89"/>
      <c r="BD783" s="89"/>
      <c r="BE783" s="89"/>
      <c r="BF783" s="89"/>
      <c r="BG783" s="89"/>
      <c r="BH783" s="89"/>
      <c r="BI783" s="89"/>
      <c r="BJ783" s="89"/>
      <c r="BK783" s="89"/>
      <c r="BL783" s="89"/>
      <c r="BM783" s="89"/>
      <c r="BN783" s="89"/>
      <c r="BO783" s="89"/>
      <c r="BP783" s="89"/>
      <c r="BQ783" s="89"/>
      <c r="BR783" s="89"/>
      <c r="BS783" s="89"/>
    </row>
    <row r="784" spans="1:71" ht="27" customHeight="1" x14ac:dyDescent="0.2">
      <c r="A784" s="93"/>
      <c r="B784" s="89"/>
      <c r="C784" s="89"/>
      <c r="D784" s="89"/>
      <c r="E784" s="89"/>
      <c r="F784" s="89"/>
      <c r="G784" s="89"/>
      <c r="H784" s="94"/>
      <c r="I784" s="94"/>
      <c r="J784" s="94"/>
      <c r="K784" s="94"/>
      <c r="L784" s="94"/>
      <c r="M784" s="94"/>
      <c r="N784" s="94"/>
      <c r="O784" s="94"/>
      <c r="P784" s="94"/>
      <c r="Q784" s="94"/>
      <c r="R784" s="95"/>
      <c r="S784" s="94"/>
      <c r="T784" s="96"/>
      <c r="U784" s="94"/>
      <c r="V784" s="97"/>
      <c r="W784" s="94"/>
      <c r="X784" s="98"/>
      <c r="Y784" s="98"/>
      <c r="Z784" s="98"/>
      <c r="AA784" s="98"/>
      <c r="AB784" s="98"/>
      <c r="AC784" s="97"/>
      <c r="AD784" s="99"/>
      <c r="AE784" s="95"/>
      <c r="AF784" s="94"/>
      <c r="AG784" s="89"/>
      <c r="AH784" s="89"/>
      <c r="AI784" s="89"/>
      <c r="AJ784" s="89"/>
      <c r="AK784" s="89"/>
      <c r="AL784" s="89"/>
      <c r="AM784" s="89"/>
      <c r="AN784" s="89"/>
      <c r="AO784" s="89"/>
      <c r="AP784" s="89"/>
      <c r="AQ784" s="89"/>
      <c r="AR784" s="89"/>
      <c r="AS784" s="89"/>
      <c r="AT784" s="89"/>
      <c r="AU784" s="89"/>
      <c r="AV784" s="89"/>
      <c r="AW784" s="100"/>
      <c r="AX784" s="100"/>
      <c r="AY784" s="89"/>
      <c r="AZ784" s="89"/>
      <c r="BA784" s="89"/>
      <c r="BB784" s="89"/>
      <c r="BC784" s="89"/>
      <c r="BD784" s="89"/>
      <c r="BE784" s="89"/>
      <c r="BF784" s="89"/>
      <c r="BG784" s="89"/>
      <c r="BH784" s="89"/>
      <c r="BI784" s="89"/>
      <c r="BJ784" s="89"/>
      <c r="BK784" s="89"/>
      <c r="BL784" s="89"/>
      <c r="BM784" s="89"/>
      <c r="BN784" s="89"/>
      <c r="BO784" s="89"/>
      <c r="BP784" s="89"/>
      <c r="BQ784" s="89"/>
      <c r="BR784" s="89"/>
      <c r="BS784" s="89"/>
    </row>
    <row r="785" spans="1:71" ht="27" customHeight="1" x14ac:dyDescent="0.2">
      <c r="A785" s="93"/>
      <c r="B785" s="89"/>
      <c r="C785" s="89"/>
      <c r="D785" s="89"/>
      <c r="E785" s="89"/>
      <c r="F785" s="89"/>
      <c r="G785" s="89"/>
      <c r="H785" s="94"/>
      <c r="I785" s="94"/>
      <c r="J785" s="94"/>
      <c r="K785" s="94"/>
      <c r="L785" s="94"/>
      <c r="M785" s="94"/>
      <c r="N785" s="94"/>
      <c r="O785" s="94"/>
      <c r="P785" s="94"/>
      <c r="Q785" s="94"/>
      <c r="R785" s="95"/>
      <c r="S785" s="94"/>
      <c r="T785" s="96"/>
      <c r="U785" s="94"/>
      <c r="V785" s="97"/>
      <c r="W785" s="94"/>
      <c r="X785" s="98"/>
      <c r="Y785" s="98"/>
      <c r="Z785" s="98"/>
      <c r="AA785" s="98"/>
      <c r="AB785" s="98"/>
      <c r="AC785" s="97"/>
      <c r="AD785" s="99"/>
      <c r="AE785" s="95"/>
      <c r="AF785" s="94"/>
      <c r="AG785" s="89"/>
      <c r="AH785" s="89"/>
      <c r="AI785" s="89"/>
      <c r="AJ785" s="89"/>
      <c r="AK785" s="89"/>
      <c r="AL785" s="89"/>
      <c r="AM785" s="89"/>
      <c r="AN785" s="89"/>
      <c r="AO785" s="89"/>
      <c r="AP785" s="89"/>
      <c r="AQ785" s="89"/>
      <c r="AR785" s="89"/>
      <c r="AS785" s="89"/>
      <c r="AT785" s="89"/>
      <c r="AU785" s="89"/>
      <c r="AV785" s="89"/>
      <c r="AW785" s="100"/>
      <c r="AX785" s="100"/>
      <c r="AY785" s="89"/>
      <c r="AZ785" s="89"/>
      <c r="BA785" s="89"/>
      <c r="BB785" s="89"/>
      <c r="BC785" s="89"/>
      <c r="BD785" s="89"/>
      <c r="BE785" s="89"/>
      <c r="BF785" s="89"/>
      <c r="BG785" s="89"/>
      <c r="BH785" s="89"/>
      <c r="BI785" s="89"/>
      <c r="BJ785" s="89"/>
      <c r="BK785" s="89"/>
      <c r="BL785" s="89"/>
      <c r="BM785" s="89"/>
      <c r="BN785" s="89"/>
      <c r="BO785" s="89"/>
      <c r="BP785" s="89"/>
      <c r="BQ785" s="89"/>
      <c r="BR785" s="89"/>
      <c r="BS785" s="89"/>
    </row>
    <row r="786" spans="1:71" ht="27" customHeight="1" x14ac:dyDescent="0.2">
      <c r="A786" s="93"/>
      <c r="B786" s="89"/>
      <c r="C786" s="89"/>
      <c r="D786" s="89"/>
      <c r="E786" s="89"/>
      <c r="F786" s="89"/>
      <c r="G786" s="89"/>
      <c r="H786" s="94"/>
      <c r="I786" s="94"/>
      <c r="J786" s="94"/>
      <c r="K786" s="94"/>
      <c r="L786" s="94"/>
      <c r="M786" s="94"/>
      <c r="N786" s="94"/>
      <c r="O786" s="94"/>
      <c r="P786" s="94"/>
      <c r="Q786" s="94"/>
      <c r="R786" s="95"/>
      <c r="S786" s="94"/>
      <c r="T786" s="96"/>
      <c r="U786" s="94"/>
      <c r="V786" s="97"/>
      <c r="W786" s="94"/>
      <c r="X786" s="98"/>
      <c r="Y786" s="98"/>
      <c r="Z786" s="98"/>
      <c r="AA786" s="98"/>
      <c r="AB786" s="98"/>
      <c r="AC786" s="97"/>
      <c r="AD786" s="99"/>
      <c r="AE786" s="95"/>
      <c r="AF786" s="94"/>
      <c r="AG786" s="89"/>
      <c r="AH786" s="89"/>
      <c r="AI786" s="89"/>
      <c r="AJ786" s="89"/>
      <c r="AK786" s="89"/>
      <c r="AL786" s="89"/>
      <c r="AM786" s="89"/>
      <c r="AN786" s="89"/>
      <c r="AO786" s="89"/>
      <c r="AP786" s="89"/>
      <c r="AQ786" s="89"/>
      <c r="AR786" s="89"/>
      <c r="AS786" s="89"/>
      <c r="AT786" s="89"/>
      <c r="AU786" s="89"/>
      <c r="AV786" s="89"/>
      <c r="AW786" s="100"/>
      <c r="AX786" s="100"/>
      <c r="AY786" s="89"/>
      <c r="AZ786" s="89"/>
      <c r="BA786" s="89"/>
      <c r="BB786" s="89"/>
      <c r="BC786" s="89"/>
      <c r="BD786" s="89"/>
      <c r="BE786" s="89"/>
      <c r="BF786" s="89"/>
      <c r="BG786" s="89"/>
      <c r="BH786" s="89"/>
      <c r="BI786" s="89"/>
      <c r="BJ786" s="89"/>
      <c r="BK786" s="89"/>
      <c r="BL786" s="89"/>
      <c r="BM786" s="89"/>
      <c r="BN786" s="89"/>
      <c r="BO786" s="89"/>
      <c r="BP786" s="89"/>
      <c r="BQ786" s="89"/>
      <c r="BR786" s="89"/>
      <c r="BS786" s="89"/>
    </row>
    <row r="787" spans="1:71" ht="27" customHeight="1" x14ac:dyDescent="0.2">
      <c r="A787" s="93"/>
      <c r="B787" s="89"/>
      <c r="C787" s="89"/>
      <c r="D787" s="89"/>
      <c r="E787" s="89"/>
      <c r="F787" s="89"/>
      <c r="G787" s="89"/>
      <c r="H787" s="94"/>
      <c r="I787" s="94"/>
      <c r="J787" s="94"/>
      <c r="K787" s="94"/>
      <c r="L787" s="94"/>
      <c r="M787" s="94"/>
      <c r="N787" s="94"/>
      <c r="O787" s="94"/>
      <c r="P787" s="94"/>
      <c r="Q787" s="94"/>
      <c r="R787" s="95"/>
      <c r="S787" s="94"/>
      <c r="T787" s="96"/>
      <c r="U787" s="94"/>
      <c r="V787" s="97"/>
      <c r="W787" s="94"/>
      <c r="X787" s="98"/>
      <c r="Y787" s="98"/>
      <c r="Z787" s="98"/>
      <c r="AA787" s="98"/>
      <c r="AB787" s="98"/>
      <c r="AC787" s="97"/>
      <c r="AD787" s="99"/>
      <c r="AE787" s="95"/>
      <c r="AF787" s="94"/>
      <c r="AG787" s="89"/>
      <c r="AH787" s="89"/>
      <c r="AI787" s="89"/>
      <c r="AJ787" s="89"/>
      <c r="AK787" s="89"/>
      <c r="AL787" s="89"/>
      <c r="AM787" s="89"/>
      <c r="AN787" s="89"/>
      <c r="AO787" s="89"/>
      <c r="AP787" s="89"/>
      <c r="AQ787" s="89"/>
      <c r="AR787" s="89"/>
      <c r="AS787" s="89"/>
      <c r="AT787" s="89"/>
      <c r="AU787" s="89"/>
      <c r="AV787" s="89"/>
      <c r="AW787" s="100"/>
      <c r="AX787" s="100"/>
      <c r="AY787" s="89"/>
      <c r="AZ787" s="89"/>
      <c r="BA787" s="89"/>
      <c r="BB787" s="89"/>
      <c r="BC787" s="89"/>
      <c r="BD787" s="89"/>
      <c r="BE787" s="89"/>
      <c r="BF787" s="89"/>
      <c r="BG787" s="89"/>
      <c r="BH787" s="89"/>
      <c r="BI787" s="89"/>
      <c r="BJ787" s="89"/>
      <c r="BK787" s="89"/>
      <c r="BL787" s="89"/>
      <c r="BM787" s="89"/>
      <c r="BN787" s="89"/>
      <c r="BO787" s="89"/>
      <c r="BP787" s="89"/>
      <c r="BQ787" s="89"/>
      <c r="BR787" s="89"/>
      <c r="BS787" s="89"/>
    </row>
    <row r="788" spans="1:71" ht="27" customHeight="1" x14ac:dyDescent="0.2">
      <c r="A788" s="93"/>
      <c r="B788" s="89"/>
      <c r="C788" s="89"/>
      <c r="D788" s="89"/>
      <c r="E788" s="89"/>
      <c r="F788" s="89"/>
      <c r="G788" s="89"/>
      <c r="H788" s="94"/>
      <c r="I788" s="94"/>
      <c r="J788" s="94"/>
      <c r="K788" s="94"/>
      <c r="L788" s="94"/>
      <c r="M788" s="94"/>
      <c r="N788" s="94"/>
      <c r="O788" s="94"/>
      <c r="P788" s="94"/>
      <c r="Q788" s="94"/>
      <c r="R788" s="95"/>
      <c r="S788" s="94"/>
      <c r="T788" s="96"/>
      <c r="U788" s="94"/>
      <c r="V788" s="97"/>
      <c r="W788" s="94"/>
      <c r="X788" s="98"/>
      <c r="Y788" s="98"/>
      <c r="Z788" s="98"/>
      <c r="AA788" s="98"/>
      <c r="AB788" s="98"/>
      <c r="AC788" s="97"/>
      <c r="AD788" s="99"/>
      <c r="AE788" s="95"/>
      <c r="AF788" s="94"/>
      <c r="AG788" s="89"/>
      <c r="AH788" s="89"/>
      <c r="AI788" s="89"/>
      <c r="AJ788" s="89"/>
      <c r="AK788" s="89"/>
      <c r="AL788" s="89"/>
      <c r="AM788" s="89"/>
      <c r="AN788" s="89"/>
      <c r="AO788" s="89"/>
      <c r="AP788" s="89"/>
      <c r="AQ788" s="89"/>
      <c r="AR788" s="89"/>
      <c r="AS788" s="89"/>
      <c r="AT788" s="89"/>
      <c r="AU788" s="89"/>
      <c r="AV788" s="89"/>
      <c r="AW788" s="100"/>
      <c r="AX788" s="100"/>
      <c r="AY788" s="89"/>
      <c r="AZ788" s="89"/>
      <c r="BA788" s="89"/>
      <c r="BB788" s="89"/>
      <c r="BC788" s="89"/>
      <c r="BD788" s="89"/>
      <c r="BE788" s="89"/>
      <c r="BF788" s="89"/>
      <c r="BG788" s="89"/>
      <c r="BH788" s="89"/>
      <c r="BI788" s="89"/>
      <c r="BJ788" s="89"/>
      <c r="BK788" s="89"/>
      <c r="BL788" s="89"/>
      <c r="BM788" s="89"/>
      <c r="BN788" s="89"/>
      <c r="BO788" s="89"/>
      <c r="BP788" s="89"/>
      <c r="BQ788" s="89"/>
      <c r="BR788" s="89"/>
      <c r="BS788" s="89"/>
    </row>
    <row r="789" spans="1:71" ht="27" customHeight="1" x14ac:dyDescent="0.2">
      <c r="A789" s="93"/>
      <c r="B789" s="89"/>
      <c r="C789" s="89"/>
      <c r="D789" s="89"/>
      <c r="E789" s="89"/>
      <c r="F789" s="89"/>
      <c r="G789" s="89"/>
      <c r="H789" s="94"/>
      <c r="I789" s="94"/>
      <c r="J789" s="94"/>
      <c r="K789" s="94"/>
      <c r="L789" s="94"/>
      <c r="M789" s="94"/>
      <c r="N789" s="94"/>
      <c r="O789" s="94"/>
      <c r="P789" s="94"/>
      <c r="Q789" s="94"/>
      <c r="R789" s="95"/>
      <c r="S789" s="94"/>
      <c r="T789" s="96"/>
      <c r="U789" s="94"/>
      <c r="V789" s="97"/>
      <c r="W789" s="94"/>
      <c r="X789" s="98"/>
      <c r="Y789" s="98"/>
      <c r="Z789" s="98"/>
      <c r="AA789" s="98"/>
      <c r="AB789" s="98"/>
      <c r="AC789" s="97"/>
      <c r="AD789" s="99"/>
      <c r="AE789" s="95"/>
      <c r="AF789" s="94"/>
      <c r="AG789" s="89"/>
      <c r="AH789" s="89"/>
      <c r="AI789" s="89"/>
      <c r="AJ789" s="89"/>
      <c r="AK789" s="89"/>
      <c r="AL789" s="89"/>
      <c r="AM789" s="89"/>
      <c r="AN789" s="89"/>
      <c r="AO789" s="89"/>
      <c r="AP789" s="89"/>
      <c r="AQ789" s="89"/>
      <c r="AR789" s="89"/>
      <c r="AS789" s="89"/>
      <c r="AT789" s="89"/>
      <c r="AU789" s="89"/>
      <c r="AV789" s="89"/>
      <c r="AW789" s="100"/>
      <c r="AX789" s="100"/>
      <c r="AY789" s="89"/>
      <c r="AZ789" s="89"/>
      <c r="BA789" s="89"/>
      <c r="BB789" s="89"/>
      <c r="BC789" s="89"/>
      <c r="BD789" s="89"/>
      <c r="BE789" s="89"/>
      <c r="BF789" s="89"/>
      <c r="BG789" s="89"/>
      <c r="BH789" s="89"/>
      <c r="BI789" s="89"/>
      <c r="BJ789" s="89"/>
      <c r="BK789" s="89"/>
      <c r="BL789" s="89"/>
      <c r="BM789" s="89"/>
      <c r="BN789" s="89"/>
      <c r="BO789" s="89"/>
      <c r="BP789" s="89"/>
      <c r="BQ789" s="89"/>
      <c r="BR789" s="89"/>
      <c r="BS789" s="89"/>
    </row>
    <row r="790" spans="1:71" ht="27" customHeight="1" x14ac:dyDescent="0.2">
      <c r="A790" s="93"/>
      <c r="B790" s="89"/>
      <c r="C790" s="89"/>
      <c r="D790" s="89"/>
      <c r="E790" s="89"/>
      <c r="F790" s="89"/>
      <c r="G790" s="89"/>
      <c r="H790" s="94"/>
      <c r="I790" s="94"/>
      <c r="J790" s="94"/>
      <c r="K790" s="94"/>
      <c r="L790" s="94"/>
      <c r="M790" s="94"/>
      <c r="N790" s="94"/>
      <c r="O790" s="94"/>
      <c r="P790" s="94"/>
      <c r="Q790" s="94"/>
      <c r="R790" s="95"/>
      <c r="S790" s="94"/>
      <c r="T790" s="96"/>
      <c r="U790" s="94"/>
      <c r="V790" s="97"/>
      <c r="W790" s="94"/>
      <c r="X790" s="98"/>
      <c r="Y790" s="98"/>
      <c r="Z790" s="98"/>
      <c r="AA790" s="98"/>
      <c r="AB790" s="98"/>
      <c r="AC790" s="97"/>
      <c r="AD790" s="99"/>
      <c r="AE790" s="95"/>
      <c r="AF790" s="94"/>
      <c r="AG790" s="89"/>
      <c r="AH790" s="89"/>
      <c r="AI790" s="89"/>
      <c r="AJ790" s="89"/>
      <c r="AK790" s="89"/>
      <c r="AL790" s="89"/>
      <c r="AM790" s="89"/>
      <c r="AN790" s="89"/>
      <c r="AO790" s="89"/>
      <c r="AP790" s="89"/>
      <c r="AQ790" s="89"/>
      <c r="AR790" s="89"/>
      <c r="AS790" s="89"/>
      <c r="AT790" s="89"/>
      <c r="AU790" s="89"/>
      <c r="AV790" s="89"/>
      <c r="AW790" s="100"/>
      <c r="AX790" s="100"/>
      <c r="AY790" s="89"/>
      <c r="AZ790" s="89"/>
      <c r="BA790" s="89"/>
      <c r="BB790" s="89"/>
      <c r="BC790" s="89"/>
      <c r="BD790" s="89"/>
      <c r="BE790" s="89"/>
      <c r="BF790" s="89"/>
      <c r="BG790" s="89"/>
      <c r="BH790" s="89"/>
      <c r="BI790" s="89"/>
      <c r="BJ790" s="89"/>
      <c r="BK790" s="89"/>
      <c r="BL790" s="89"/>
      <c r="BM790" s="89"/>
      <c r="BN790" s="89"/>
      <c r="BO790" s="89"/>
      <c r="BP790" s="89"/>
      <c r="BQ790" s="89"/>
      <c r="BR790" s="89"/>
      <c r="BS790" s="89"/>
    </row>
    <row r="791" spans="1:71" ht="27" customHeight="1" x14ac:dyDescent="0.2">
      <c r="A791" s="93"/>
      <c r="B791" s="89"/>
      <c r="C791" s="89"/>
      <c r="D791" s="89"/>
      <c r="E791" s="89"/>
      <c r="F791" s="89"/>
      <c r="G791" s="89"/>
      <c r="H791" s="94"/>
      <c r="I791" s="94"/>
      <c r="J791" s="94"/>
      <c r="K791" s="94"/>
      <c r="L791" s="94"/>
      <c r="M791" s="94"/>
      <c r="N791" s="94"/>
      <c r="O791" s="94"/>
      <c r="P791" s="94"/>
      <c r="Q791" s="94"/>
      <c r="R791" s="95"/>
      <c r="S791" s="94"/>
      <c r="T791" s="96"/>
      <c r="U791" s="94"/>
      <c r="V791" s="97"/>
      <c r="W791" s="94"/>
      <c r="X791" s="98"/>
      <c r="Y791" s="98"/>
      <c r="Z791" s="98"/>
      <c r="AA791" s="98"/>
      <c r="AB791" s="98"/>
      <c r="AC791" s="97"/>
      <c r="AD791" s="99"/>
      <c r="AE791" s="95"/>
      <c r="AF791" s="94"/>
      <c r="AG791" s="89"/>
      <c r="AH791" s="89"/>
      <c r="AI791" s="89"/>
      <c r="AJ791" s="89"/>
      <c r="AK791" s="89"/>
      <c r="AL791" s="89"/>
      <c r="AM791" s="89"/>
      <c r="AN791" s="89"/>
      <c r="AO791" s="89"/>
      <c r="AP791" s="89"/>
      <c r="AQ791" s="89"/>
      <c r="AR791" s="89"/>
      <c r="AS791" s="89"/>
      <c r="AT791" s="89"/>
      <c r="AU791" s="89"/>
      <c r="AV791" s="89"/>
      <c r="AW791" s="100"/>
      <c r="AX791" s="100"/>
      <c r="AY791" s="89"/>
      <c r="AZ791" s="89"/>
      <c r="BA791" s="89"/>
      <c r="BB791" s="89"/>
      <c r="BC791" s="89"/>
      <c r="BD791" s="89"/>
      <c r="BE791" s="89"/>
      <c r="BF791" s="89"/>
      <c r="BG791" s="89"/>
      <c r="BH791" s="89"/>
      <c r="BI791" s="89"/>
      <c r="BJ791" s="89"/>
      <c r="BK791" s="89"/>
      <c r="BL791" s="89"/>
      <c r="BM791" s="89"/>
      <c r="BN791" s="89"/>
      <c r="BO791" s="89"/>
      <c r="BP791" s="89"/>
      <c r="BQ791" s="89"/>
      <c r="BR791" s="89"/>
      <c r="BS791" s="89"/>
    </row>
    <row r="792" spans="1:71" ht="27" customHeight="1" x14ac:dyDescent="0.2">
      <c r="A792" s="93"/>
      <c r="B792" s="89"/>
      <c r="C792" s="89"/>
      <c r="D792" s="89"/>
      <c r="E792" s="89"/>
      <c r="F792" s="89"/>
      <c r="G792" s="89"/>
      <c r="H792" s="94"/>
      <c r="I792" s="94"/>
      <c r="J792" s="94"/>
      <c r="K792" s="94"/>
      <c r="L792" s="94"/>
      <c r="M792" s="94"/>
      <c r="N792" s="94"/>
      <c r="O792" s="94"/>
      <c r="P792" s="94"/>
      <c r="Q792" s="94"/>
      <c r="R792" s="95"/>
      <c r="S792" s="94"/>
      <c r="T792" s="96"/>
      <c r="U792" s="94"/>
      <c r="V792" s="97"/>
      <c r="W792" s="94"/>
      <c r="X792" s="98"/>
      <c r="Y792" s="98"/>
      <c r="Z792" s="98"/>
      <c r="AA792" s="98"/>
      <c r="AB792" s="98"/>
      <c r="AC792" s="97"/>
      <c r="AD792" s="99"/>
      <c r="AE792" s="95"/>
      <c r="AF792" s="94"/>
      <c r="AG792" s="89"/>
      <c r="AH792" s="89"/>
      <c r="AI792" s="89"/>
      <c r="AJ792" s="89"/>
      <c r="AK792" s="89"/>
      <c r="AL792" s="89"/>
      <c r="AM792" s="89"/>
      <c r="AN792" s="89"/>
      <c r="AO792" s="89"/>
      <c r="AP792" s="89"/>
      <c r="AQ792" s="89"/>
      <c r="AR792" s="89"/>
      <c r="AS792" s="89"/>
      <c r="AT792" s="89"/>
      <c r="AU792" s="89"/>
      <c r="AV792" s="89"/>
      <c r="AW792" s="100"/>
      <c r="AX792" s="100"/>
      <c r="AY792" s="89"/>
      <c r="AZ792" s="89"/>
      <c r="BA792" s="89"/>
      <c r="BB792" s="89"/>
      <c r="BC792" s="89"/>
      <c r="BD792" s="89"/>
      <c r="BE792" s="89"/>
      <c r="BF792" s="89"/>
      <c r="BG792" s="89"/>
      <c r="BH792" s="89"/>
      <c r="BI792" s="89"/>
      <c r="BJ792" s="89"/>
      <c r="BK792" s="89"/>
      <c r="BL792" s="89"/>
      <c r="BM792" s="89"/>
      <c r="BN792" s="89"/>
      <c r="BO792" s="89"/>
      <c r="BP792" s="89"/>
      <c r="BQ792" s="89"/>
      <c r="BR792" s="89"/>
      <c r="BS792" s="89"/>
    </row>
    <row r="793" spans="1:71" ht="27" customHeight="1" x14ac:dyDescent="0.2">
      <c r="A793" s="93"/>
      <c r="B793" s="89"/>
      <c r="C793" s="89"/>
      <c r="D793" s="89"/>
      <c r="E793" s="89"/>
      <c r="F793" s="89"/>
      <c r="G793" s="89"/>
      <c r="H793" s="94"/>
      <c r="I793" s="94"/>
      <c r="J793" s="94"/>
      <c r="K793" s="94"/>
      <c r="L793" s="94"/>
      <c r="M793" s="94"/>
      <c r="N793" s="94"/>
      <c r="O793" s="94"/>
      <c r="P793" s="94"/>
      <c r="Q793" s="94"/>
      <c r="R793" s="95"/>
      <c r="S793" s="94"/>
      <c r="T793" s="96"/>
      <c r="U793" s="94"/>
      <c r="V793" s="97"/>
      <c r="W793" s="94"/>
      <c r="X793" s="98"/>
      <c r="Y793" s="98"/>
      <c r="Z793" s="98"/>
      <c r="AA793" s="98"/>
      <c r="AB793" s="98"/>
      <c r="AC793" s="97"/>
      <c r="AD793" s="99"/>
      <c r="AE793" s="95"/>
      <c r="AF793" s="94"/>
      <c r="AG793" s="89"/>
      <c r="AH793" s="89"/>
      <c r="AI793" s="89"/>
      <c r="AJ793" s="89"/>
      <c r="AK793" s="89"/>
      <c r="AL793" s="89"/>
      <c r="AM793" s="89"/>
      <c r="AN793" s="89"/>
      <c r="AO793" s="89"/>
      <c r="AP793" s="89"/>
      <c r="AQ793" s="89"/>
      <c r="AR793" s="89"/>
      <c r="AS793" s="89"/>
      <c r="AT793" s="89"/>
      <c r="AU793" s="89"/>
      <c r="AV793" s="89"/>
      <c r="AW793" s="100"/>
      <c r="AX793" s="100"/>
      <c r="AY793" s="89"/>
      <c r="AZ793" s="89"/>
      <c r="BA793" s="89"/>
      <c r="BB793" s="89"/>
      <c r="BC793" s="89"/>
      <c r="BD793" s="89"/>
      <c r="BE793" s="89"/>
      <c r="BF793" s="89"/>
      <c r="BG793" s="89"/>
      <c r="BH793" s="89"/>
      <c r="BI793" s="89"/>
      <c r="BJ793" s="89"/>
      <c r="BK793" s="89"/>
      <c r="BL793" s="89"/>
      <c r="BM793" s="89"/>
      <c r="BN793" s="89"/>
      <c r="BO793" s="89"/>
      <c r="BP793" s="89"/>
      <c r="BQ793" s="89"/>
      <c r="BR793" s="89"/>
      <c r="BS793" s="89"/>
    </row>
    <row r="794" spans="1:71" ht="27" customHeight="1" x14ac:dyDescent="0.2">
      <c r="A794" s="93"/>
      <c r="B794" s="89"/>
      <c r="C794" s="89"/>
      <c r="D794" s="89"/>
      <c r="E794" s="89"/>
      <c r="F794" s="89"/>
      <c r="G794" s="89"/>
      <c r="H794" s="94"/>
      <c r="I794" s="94"/>
      <c r="J794" s="94"/>
      <c r="K794" s="94"/>
      <c r="L794" s="94"/>
      <c r="M794" s="94"/>
      <c r="N794" s="94"/>
      <c r="O794" s="94"/>
      <c r="P794" s="94"/>
      <c r="Q794" s="94"/>
      <c r="R794" s="95"/>
      <c r="S794" s="94"/>
      <c r="T794" s="96"/>
      <c r="U794" s="94"/>
      <c r="V794" s="97"/>
      <c r="W794" s="94"/>
      <c r="X794" s="98"/>
      <c r="Y794" s="98"/>
      <c r="Z794" s="98"/>
      <c r="AA794" s="98"/>
      <c r="AB794" s="98"/>
      <c r="AC794" s="97"/>
      <c r="AD794" s="99"/>
      <c r="AE794" s="95"/>
      <c r="AF794" s="94"/>
      <c r="AG794" s="89"/>
      <c r="AH794" s="89"/>
      <c r="AI794" s="89"/>
      <c r="AJ794" s="89"/>
      <c r="AK794" s="89"/>
      <c r="AL794" s="89"/>
      <c r="AM794" s="89"/>
      <c r="AN794" s="89"/>
      <c r="AO794" s="89"/>
      <c r="AP794" s="89"/>
      <c r="AQ794" s="89"/>
      <c r="AR794" s="89"/>
      <c r="AS794" s="89"/>
      <c r="AT794" s="89"/>
      <c r="AU794" s="89"/>
      <c r="AV794" s="89"/>
      <c r="AW794" s="100"/>
      <c r="AX794" s="100"/>
      <c r="AY794" s="89"/>
      <c r="AZ794" s="89"/>
      <c r="BA794" s="89"/>
      <c r="BB794" s="89"/>
      <c r="BC794" s="89"/>
      <c r="BD794" s="89"/>
      <c r="BE794" s="89"/>
      <c r="BF794" s="89"/>
      <c r="BG794" s="89"/>
      <c r="BH794" s="89"/>
      <c r="BI794" s="89"/>
      <c r="BJ794" s="89"/>
      <c r="BK794" s="89"/>
      <c r="BL794" s="89"/>
      <c r="BM794" s="89"/>
      <c r="BN794" s="89"/>
      <c r="BO794" s="89"/>
      <c r="BP794" s="89"/>
      <c r="BQ794" s="89"/>
      <c r="BR794" s="89"/>
      <c r="BS794" s="89"/>
    </row>
    <row r="795" spans="1:71" ht="27" customHeight="1" x14ac:dyDescent="0.2">
      <c r="A795" s="93"/>
      <c r="B795" s="89"/>
      <c r="C795" s="89"/>
      <c r="D795" s="89"/>
      <c r="E795" s="89"/>
      <c r="F795" s="89"/>
      <c r="G795" s="89"/>
      <c r="H795" s="94"/>
      <c r="I795" s="94"/>
      <c r="J795" s="94"/>
      <c r="K795" s="94"/>
      <c r="L795" s="94"/>
      <c r="M795" s="94"/>
      <c r="N795" s="94"/>
      <c r="O795" s="94"/>
      <c r="P795" s="94"/>
      <c r="Q795" s="94"/>
      <c r="R795" s="95"/>
      <c r="S795" s="94"/>
      <c r="T795" s="96"/>
      <c r="U795" s="94"/>
      <c r="V795" s="97"/>
      <c r="W795" s="94"/>
      <c r="X795" s="98"/>
      <c r="Y795" s="98"/>
      <c r="Z795" s="98"/>
      <c r="AA795" s="98"/>
      <c r="AB795" s="98"/>
      <c r="AC795" s="97"/>
      <c r="AD795" s="99"/>
      <c r="AE795" s="95"/>
      <c r="AF795" s="94"/>
      <c r="AG795" s="89"/>
      <c r="AH795" s="89"/>
      <c r="AI795" s="89"/>
      <c r="AJ795" s="89"/>
      <c r="AK795" s="89"/>
      <c r="AL795" s="89"/>
      <c r="AM795" s="89"/>
      <c r="AN795" s="89"/>
      <c r="AO795" s="89"/>
      <c r="AP795" s="89"/>
      <c r="AQ795" s="89"/>
      <c r="AR795" s="89"/>
      <c r="AS795" s="89"/>
      <c r="AT795" s="89"/>
      <c r="AU795" s="89"/>
      <c r="AV795" s="89"/>
      <c r="AW795" s="100"/>
      <c r="AX795" s="100"/>
      <c r="AY795" s="89"/>
      <c r="AZ795" s="89"/>
      <c r="BA795" s="89"/>
      <c r="BB795" s="89"/>
      <c r="BC795" s="89"/>
      <c r="BD795" s="89"/>
      <c r="BE795" s="89"/>
      <c r="BF795" s="89"/>
      <c r="BG795" s="89"/>
      <c r="BH795" s="89"/>
      <c r="BI795" s="89"/>
      <c r="BJ795" s="89"/>
      <c r="BK795" s="89"/>
      <c r="BL795" s="89"/>
      <c r="BM795" s="89"/>
      <c r="BN795" s="89"/>
      <c r="BO795" s="89"/>
      <c r="BP795" s="89"/>
      <c r="BQ795" s="89"/>
      <c r="BR795" s="89"/>
      <c r="BS795" s="89"/>
    </row>
    <row r="796" spans="1:71" ht="27" customHeight="1" x14ac:dyDescent="0.2">
      <c r="A796" s="93"/>
      <c r="B796" s="89"/>
      <c r="C796" s="89"/>
      <c r="D796" s="89"/>
      <c r="E796" s="89"/>
      <c r="F796" s="89"/>
      <c r="G796" s="89"/>
      <c r="H796" s="94"/>
      <c r="I796" s="94"/>
      <c r="J796" s="94"/>
      <c r="K796" s="94"/>
      <c r="L796" s="94"/>
      <c r="M796" s="94"/>
      <c r="N796" s="94"/>
      <c r="O796" s="94"/>
      <c r="P796" s="94"/>
      <c r="Q796" s="94"/>
      <c r="R796" s="95"/>
      <c r="S796" s="94"/>
      <c r="T796" s="96"/>
      <c r="U796" s="94"/>
      <c r="V796" s="97"/>
      <c r="W796" s="94"/>
      <c r="X796" s="98"/>
      <c r="Y796" s="98"/>
      <c r="Z796" s="98"/>
      <c r="AA796" s="98"/>
      <c r="AB796" s="98"/>
      <c r="AC796" s="97"/>
      <c r="AD796" s="99"/>
      <c r="AE796" s="95"/>
      <c r="AF796" s="94"/>
      <c r="AG796" s="89"/>
      <c r="AH796" s="89"/>
      <c r="AI796" s="89"/>
      <c r="AJ796" s="89"/>
      <c r="AK796" s="89"/>
      <c r="AL796" s="89"/>
      <c r="AM796" s="89"/>
      <c r="AN796" s="89"/>
      <c r="AO796" s="89"/>
      <c r="AP796" s="89"/>
      <c r="AQ796" s="89"/>
      <c r="AR796" s="89"/>
      <c r="AS796" s="89"/>
      <c r="AT796" s="89"/>
      <c r="AU796" s="89"/>
      <c r="AV796" s="89"/>
      <c r="AW796" s="100"/>
      <c r="AX796" s="100"/>
      <c r="AY796" s="89"/>
      <c r="AZ796" s="89"/>
      <c r="BA796" s="89"/>
      <c r="BB796" s="89"/>
      <c r="BC796" s="89"/>
      <c r="BD796" s="89"/>
      <c r="BE796" s="89"/>
      <c r="BF796" s="89"/>
      <c r="BG796" s="89"/>
      <c r="BH796" s="89"/>
      <c r="BI796" s="89"/>
      <c r="BJ796" s="89"/>
      <c r="BK796" s="89"/>
      <c r="BL796" s="89"/>
      <c r="BM796" s="89"/>
      <c r="BN796" s="89"/>
      <c r="BO796" s="89"/>
      <c r="BP796" s="89"/>
      <c r="BQ796" s="89"/>
      <c r="BR796" s="89"/>
      <c r="BS796" s="89"/>
    </row>
    <row r="797" spans="1:71" ht="27" customHeight="1" x14ac:dyDescent="0.2">
      <c r="A797" s="93"/>
      <c r="B797" s="89"/>
      <c r="C797" s="89"/>
      <c r="D797" s="89"/>
      <c r="E797" s="89"/>
      <c r="F797" s="89"/>
      <c r="G797" s="89"/>
      <c r="H797" s="94"/>
      <c r="I797" s="94"/>
      <c r="J797" s="94"/>
      <c r="K797" s="94"/>
      <c r="L797" s="94"/>
      <c r="M797" s="94"/>
      <c r="N797" s="94"/>
      <c r="O797" s="94"/>
      <c r="P797" s="94"/>
      <c r="Q797" s="94"/>
      <c r="R797" s="95"/>
      <c r="S797" s="94"/>
      <c r="T797" s="96"/>
      <c r="U797" s="94"/>
      <c r="V797" s="97"/>
      <c r="W797" s="94"/>
      <c r="X797" s="98"/>
      <c r="Y797" s="98"/>
      <c r="Z797" s="98"/>
      <c r="AA797" s="98"/>
      <c r="AB797" s="98"/>
      <c r="AC797" s="97"/>
      <c r="AD797" s="99"/>
      <c r="AE797" s="95"/>
      <c r="AF797" s="94"/>
      <c r="AG797" s="89"/>
      <c r="AH797" s="89"/>
      <c r="AI797" s="89"/>
      <c r="AJ797" s="89"/>
      <c r="AK797" s="89"/>
      <c r="AL797" s="89"/>
      <c r="AM797" s="89"/>
      <c r="AN797" s="89"/>
      <c r="AO797" s="89"/>
      <c r="AP797" s="89"/>
      <c r="AQ797" s="89"/>
      <c r="AR797" s="89"/>
      <c r="AS797" s="89"/>
      <c r="AT797" s="89"/>
      <c r="AU797" s="89"/>
      <c r="AV797" s="89"/>
      <c r="AW797" s="100"/>
      <c r="AX797" s="100"/>
      <c r="AY797" s="89"/>
      <c r="AZ797" s="89"/>
      <c r="BA797" s="89"/>
      <c r="BB797" s="89"/>
      <c r="BC797" s="89"/>
      <c r="BD797" s="89"/>
      <c r="BE797" s="89"/>
      <c r="BF797" s="89"/>
      <c r="BG797" s="89"/>
      <c r="BH797" s="89"/>
      <c r="BI797" s="89"/>
      <c r="BJ797" s="89"/>
      <c r="BK797" s="89"/>
      <c r="BL797" s="89"/>
      <c r="BM797" s="89"/>
      <c r="BN797" s="89"/>
      <c r="BO797" s="89"/>
      <c r="BP797" s="89"/>
      <c r="BQ797" s="89"/>
      <c r="BR797" s="89"/>
      <c r="BS797" s="89"/>
    </row>
    <row r="798" spans="1:71" ht="27" customHeight="1" x14ac:dyDescent="0.2">
      <c r="A798" s="93"/>
      <c r="B798" s="89"/>
      <c r="C798" s="89"/>
      <c r="D798" s="89"/>
      <c r="E798" s="89"/>
      <c r="F798" s="89"/>
      <c r="G798" s="89"/>
      <c r="H798" s="94"/>
      <c r="I798" s="94"/>
      <c r="J798" s="94"/>
      <c r="K798" s="94"/>
      <c r="L798" s="94"/>
      <c r="M798" s="94"/>
      <c r="N798" s="94"/>
      <c r="O798" s="94"/>
      <c r="P798" s="94"/>
      <c r="Q798" s="94"/>
      <c r="R798" s="95"/>
      <c r="S798" s="94"/>
      <c r="T798" s="96"/>
      <c r="U798" s="94"/>
      <c r="V798" s="97"/>
      <c r="W798" s="94"/>
      <c r="X798" s="98"/>
      <c r="Y798" s="98"/>
      <c r="Z798" s="98"/>
      <c r="AA798" s="98"/>
      <c r="AB798" s="98"/>
      <c r="AC798" s="97"/>
      <c r="AD798" s="99"/>
      <c r="AE798" s="95"/>
      <c r="AF798" s="94"/>
      <c r="AG798" s="89"/>
      <c r="AH798" s="89"/>
      <c r="AI798" s="89"/>
      <c r="AJ798" s="89"/>
      <c r="AK798" s="89"/>
      <c r="AL798" s="89"/>
      <c r="AM798" s="89"/>
      <c r="AN798" s="89"/>
      <c r="AO798" s="89"/>
      <c r="AP798" s="89"/>
      <c r="AQ798" s="89"/>
      <c r="AR798" s="89"/>
      <c r="AS798" s="89"/>
      <c r="AT798" s="89"/>
      <c r="AU798" s="89"/>
      <c r="AV798" s="89"/>
      <c r="AW798" s="100"/>
      <c r="AX798" s="100"/>
      <c r="AY798" s="89"/>
      <c r="AZ798" s="89"/>
      <c r="BA798" s="89"/>
      <c r="BB798" s="89"/>
      <c r="BC798" s="89"/>
      <c r="BD798" s="89"/>
      <c r="BE798" s="89"/>
      <c r="BF798" s="89"/>
      <c r="BG798" s="89"/>
      <c r="BH798" s="89"/>
      <c r="BI798" s="89"/>
      <c r="BJ798" s="89"/>
      <c r="BK798" s="89"/>
      <c r="BL798" s="89"/>
      <c r="BM798" s="89"/>
      <c r="BN798" s="89"/>
      <c r="BO798" s="89"/>
      <c r="BP798" s="89"/>
      <c r="BQ798" s="89"/>
      <c r="BR798" s="89"/>
      <c r="BS798" s="89"/>
    </row>
    <row r="799" spans="1:71" ht="27" customHeight="1" x14ac:dyDescent="0.2">
      <c r="A799" s="93"/>
      <c r="B799" s="89"/>
      <c r="C799" s="89"/>
      <c r="D799" s="89"/>
      <c r="E799" s="89"/>
      <c r="F799" s="89"/>
      <c r="G799" s="89"/>
      <c r="H799" s="94"/>
      <c r="I799" s="94"/>
      <c r="J799" s="94"/>
      <c r="K799" s="94"/>
      <c r="L799" s="94"/>
      <c r="M799" s="94"/>
      <c r="N799" s="94"/>
      <c r="O799" s="94"/>
      <c r="P799" s="94"/>
      <c r="Q799" s="94"/>
      <c r="R799" s="95"/>
      <c r="S799" s="94"/>
      <c r="T799" s="96"/>
      <c r="U799" s="94"/>
      <c r="V799" s="97"/>
      <c r="W799" s="94"/>
      <c r="X799" s="98"/>
      <c r="Y799" s="98"/>
      <c r="Z799" s="98"/>
      <c r="AA799" s="98"/>
      <c r="AB799" s="98"/>
      <c r="AC799" s="97"/>
      <c r="AD799" s="99"/>
      <c r="AE799" s="95"/>
      <c r="AF799" s="94"/>
      <c r="AG799" s="89"/>
      <c r="AH799" s="89"/>
      <c r="AI799" s="89"/>
      <c r="AJ799" s="89"/>
      <c r="AK799" s="89"/>
      <c r="AL799" s="89"/>
      <c r="AM799" s="89"/>
      <c r="AN799" s="89"/>
      <c r="AO799" s="89"/>
      <c r="AP799" s="89"/>
      <c r="AQ799" s="89"/>
      <c r="AR799" s="89"/>
      <c r="AS799" s="89"/>
      <c r="AT799" s="89"/>
      <c r="AU799" s="89"/>
      <c r="AV799" s="89"/>
      <c r="AW799" s="100"/>
      <c r="AX799" s="100"/>
      <c r="AY799" s="89"/>
      <c r="AZ799" s="89"/>
      <c r="BA799" s="89"/>
      <c r="BB799" s="89"/>
      <c r="BC799" s="89"/>
      <c r="BD799" s="89"/>
      <c r="BE799" s="89"/>
      <c r="BF799" s="89"/>
      <c r="BG799" s="89"/>
      <c r="BH799" s="89"/>
      <c r="BI799" s="89"/>
      <c r="BJ799" s="89"/>
      <c r="BK799" s="89"/>
      <c r="BL799" s="89"/>
      <c r="BM799" s="89"/>
      <c r="BN799" s="89"/>
      <c r="BO799" s="89"/>
      <c r="BP799" s="89"/>
      <c r="BQ799" s="89"/>
      <c r="BR799" s="89"/>
      <c r="BS799" s="89"/>
    </row>
    <row r="800" spans="1:71" ht="27" customHeight="1" x14ac:dyDescent="0.2">
      <c r="A800" s="93"/>
      <c r="B800" s="89"/>
      <c r="C800" s="89"/>
      <c r="D800" s="89"/>
      <c r="E800" s="89"/>
      <c r="F800" s="89"/>
      <c r="G800" s="89"/>
      <c r="H800" s="94"/>
      <c r="I800" s="94"/>
      <c r="J800" s="94"/>
      <c r="K800" s="94"/>
      <c r="L800" s="94"/>
      <c r="M800" s="94"/>
      <c r="N800" s="94"/>
      <c r="O800" s="94"/>
      <c r="P800" s="94"/>
      <c r="Q800" s="94"/>
      <c r="R800" s="95"/>
      <c r="S800" s="94"/>
      <c r="T800" s="96"/>
      <c r="U800" s="94"/>
      <c r="V800" s="97"/>
      <c r="W800" s="94"/>
      <c r="X800" s="98"/>
      <c r="Y800" s="98"/>
      <c r="Z800" s="98"/>
      <c r="AA800" s="98"/>
      <c r="AB800" s="98"/>
      <c r="AC800" s="97"/>
      <c r="AD800" s="99"/>
      <c r="AE800" s="95"/>
      <c r="AF800" s="94"/>
      <c r="AG800" s="89"/>
      <c r="AH800" s="89"/>
      <c r="AI800" s="89"/>
      <c r="AJ800" s="89"/>
      <c r="AK800" s="89"/>
      <c r="AL800" s="89"/>
      <c r="AM800" s="89"/>
      <c r="AN800" s="89"/>
      <c r="AO800" s="89"/>
      <c r="AP800" s="89"/>
      <c r="AQ800" s="89"/>
      <c r="AR800" s="89"/>
      <c r="AS800" s="89"/>
      <c r="AT800" s="89"/>
      <c r="AU800" s="89"/>
      <c r="AV800" s="89"/>
      <c r="AW800" s="100"/>
      <c r="AX800" s="100"/>
      <c r="AY800" s="89"/>
      <c r="AZ800" s="89"/>
      <c r="BA800" s="89"/>
      <c r="BB800" s="89"/>
      <c r="BC800" s="89"/>
      <c r="BD800" s="89"/>
      <c r="BE800" s="89"/>
      <c r="BF800" s="89"/>
      <c r="BG800" s="89"/>
      <c r="BH800" s="89"/>
      <c r="BI800" s="89"/>
      <c r="BJ800" s="89"/>
      <c r="BK800" s="89"/>
      <c r="BL800" s="89"/>
      <c r="BM800" s="89"/>
      <c r="BN800" s="89"/>
      <c r="BO800" s="89"/>
      <c r="BP800" s="89"/>
      <c r="BQ800" s="89"/>
      <c r="BR800" s="89"/>
      <c r="BS800" s="89"/>
    </row>
    <row r="801" spans="1:71" ht="27" customHeight="1" x14ac:dyDescent="0.2">
      <c r="A801" s="93"/>
      <c r="B801" s="89"/>
      <c r="C801" s="89"/>
      <c r="D801" s="89"/>
      <c r="E801" s="89"/>
      <c r="F801" s="89"/>
      <c r="G801" s="89"/>
      <c r="H801" s="94"/>
      <c r="I801" s="94"/>
      <c r="J801" s="94"/>
      <c r="K801" s="94"/>
      <c r="L801" s="94"/>
      <c r="M801" s="94"/>
      <c r="N801" s="94"/>
      <c r="O801" s="94"/>
      <c r="P801" s="94"/>
      <c r="Q801" s="94"/>
      <c r="R801" s="95"/>
      <c r="S801" s="94"/>
      <c r="T801" s="96"/>
      <c r="U801" s="94"/>
      <c r="V801" s="97"/>
      <c r="W801" s="94"/>
      <c r="X801" s="98"/>
      <c r="Y801" s="98"/>
      <c r="Z801" s="98"/>
      <c r="AA801" s="98"/>
      <c r="AB801" s="98"/>
      <c r="AC801" s="97"/>
      <c r="AD801" s="99"/>
      <c r="AE801" s="95"/>
      <c r="AF801" s="94"/>
      <c r="AG801" s="89"/>
      <c r="AH801" s="89"/>
      <c r="AI801" s="89"/>
      <c r="AJ801" s="89"/>
      <c r="AK801" s="89"/>
      <c r="AL801" s="89"/>
      <c r="AM801" s="89"/>
      <c r="AN801" s="89"/>
      <c r="AO801" s="89"/>
      <c r="AP801" s="89"/>
      <c r="AQ801" s="89"/>
      <c r="AR801" s="89"/>
      <c r="AS801" s="89"/>
      <c r="AT801" s="89"/>
      <c r="AU801" s="89"/>
      <c r="AV801" s="89"/>
      <c r="AW801" s="100"/>
      <c r="AX801" s="100"/>
      <c r="AY801" s="89"/>
      <c r="AZ801" s="89"/>
      <c r="BA801" s="89"/>
      <c r="BB801" s="89"/>
      <c r="BC801" s="89"/>
      <c r="BD801" s="89"/>
      <c r="BE801" s="89"/>
      <c r="BF801" s="89"/>
      <c r="BG801" s="89"/>
      <c r="BH801" s="89"/>
      <c r="BI801" s="89"/>
      <c r="BJ801" s="89"/>
      <c r="BK801" s="89"/>
      <c r="BL801" s="89"/>
      <c r="BM801" s="89"/>
      <c r="BN801" s="89"/>
      <c r="BO801" s="89"/>
      <c r="BP801" s="89"/>
      <c r="BQ801" s="89"/>
      <c r="BR801" s="89"/>
      <c r="BS801" s="89"/>
    </row>
    <row r="802" spans="1:71" ht="27" customHeight="1" x14ac:dyDescent="0.2">
      <c r="A802" s="93"/>
      <c r="B802" s="89"/>
      <c r="C802" s="89"/>
      <c r="D802" s="89"/>
      <c r="E802" s="89"/>
      <c r="F802" s="89"/>
      <c r="G802" s="89"/>
      <c r="H802" s="94"/>
      <c r="I802" s="94"/>
      <c r="J802" s="94"/>
      <c r="K802" s="94"/>
      <c r="L802" s="94"/>
      <c r="M802" s="94"/>
      <c r="N802" s="94"/>
      <c r="O802" s="94"/>
      <c r="P802" s="94"/>
      <c r="Q802" s="94"/>
      <c r="R802" s="95"/>
      <c r="S802" s="94"/>
      <c r="T802" s="96"/>
      <c r="U802" s="94"/>
      <c r="V802" s="97"/>
      <c r="W802" s="94"/>
      <c r="X802" s="98"/>
      <c r="Y802" s="98"/>
      <c r="Z802" s="98"/>
      <c r="AA802" s="98"/>
      <c r="AB802" s="98"/>
      <c r="AC802" s="97"/>
      <c r="AD802" s="99"/>
      <c r="AE802" s="95"/>
      <c r="AF802" s="94"/>
      <c r="AG802" s="89"/>
      <c r="AH802" s="89"/>
      <c r="AI802" s="89"/>
      <c r="AJ802" s="89"/>
      <c r="AK802" s="89"/>
      <c r="AL802" s="89"/>
      <c r="AM802" s="89"/>
      <c r="AN802" s="89"/>
      <c r="AO802" s="89"/>
      <c r="AP802" s="89"/>
      <c r="AQ802" s="89"/>
      <c r="AR802" s="89"/>
      <c r="AS802" s="89"/>
      <c r="AT802" s="89"/>
      <c r="AU802" s="89"/>
      <c r="AV802" s="89"/>
      <c r="AW802" s="100"/>
      <c r="AX802" s="100"/>
      <c r="AY802" s="89"/>
      <c r="AZ802" s="89"/>
      <c r="BA802" s="89"/>
      <c r="BB802" s="89"/>
      <c r="BC802" s="89"/>
      <c r="BD802" s="89"/>
      <c r="BE802" s="89"/>
      <c r="BF802" s="89"/>
      <c r="BG802" s="89"/>
      <c r="BH802" s="89"/>
      <c r="BI802" s="89"/>
      <c r="BJ802" s="89"/>
      <c r="BK802" s="89"/>
      <c r="BL802" s="89"/>
      <c r="BM802" s="89"/>
      <c r="BN802" s="89"/>
      <c r="BO802" s="89"/>
      <c r="BP802" s="89"/>
      <c r="BQ802" s="89"/>
      <c r="BR802" s="89"/>
      <c r="BS802" s="89"/>
    </row>
    <row r="803" spans="1:71" ht="27" customHeight="1" x14ac:dyDescent="0.2">
      <c r="A803" s="93"/>
      <c r="B803" s="89"/>
      <c r="C803" s="89"/>
      <c r="D803" s="89"/>
      <c r="E803" s="89"/>
      <c r="F803" s="89"/>
      <c r="G803" s="89"/>
      <c r="H803" s="94"/>
      <c r="I803" s="94"/>
      <c r="J803" s="94"/>
      <c r="K803" s="94"/>
      <c r="L803" s="94"/>
      <c r="M803" s="94"/>
      <c r="N803" s="94"/>
      <c r="O803" s="94"/>
      <c r="P803" s="94"/>
      <c r="Q803" s="94"/>
      <c r="R803" s="95"/>
      <c r="S803" s="94"/>
      <c r="T803" s="96"/>
      <c r="U803" s="94"/>
      <c r="V803" s="97"/>
      <c r="W803" s="94"/>
      <c r="X803" s="98"/>
      <c r="Y803" s="98"/>
      <c r="Z803" s="98"/>
      <c r="AA803" s="98"/>
      <c r="AB803" s="98"/>
      <c r="AC803" s="97"/>
      <c r="AD803" s="99"/>
      <c r="AE803" s="95"/>
      <c r="AF803" s="94"/>
      <c r="AG803" s="89"/>
      <c r="AH803" s="89"/>
      <c r="AI803" s="89"/>
      <c r="AJ803" s="89"/>
      <c r="AK803" s="89"/>
      <c r="AL803" s="89"/>
      <c r="AM803" s="89"/>
      <c r="AN803" s="89"/>
      <c r="AO803" s="89"/>
      <c r="AP803" s="89"/>
      <c r="AQ803" s="89"/>
      <c r="AR803" s="89"/>
      <c r="AS803" s="89"/>
      <c r="AT803" s="89"/>
      <c r="AU803" s="89"/>
      <c r="AV803" s="89"/>
      <c r="AW803" s="100"/>
      <c r="AX803" s="100"/>
      <c r="AY803" s="89"/>
      <c r="AZ803" s="89"/>
      <c r="BA803" s="89"/>
      <c r="BB803" s="89"/>
      <c r="BC803" s="89"/>
      <c r="BD803" s="89"/>
      <c r="BE803" s="89"/>
      <c r="BF803" s="89"/>
      <c r="BG803" s="89"/>
      <c r="BH803" s="89"/>
      <c r="BI803" s="89"/>
      <c r="BJ803" s="89"/>
      <c r="BK803" s="89"/>
      <c r="BL803" s="89"/>
      <c r="BM803" s="89"/>
      <c r="BN803" s="89"/>
      <c r="BO803" s="89"/>
      <c r="BP803" s="89"/>
      <c r="BQ803" s="89"/>
      <c r="BR803" s="89"/>
      <c r="BS803" s="89"/>
    </row>
    <row r="804" spans="1:71" ht="27" customHeight="1" x14ac:dyDescent="0.2">
      <c r="A804" s="93"/>
      <c r="B804" s="89"/>
      <c r="C804" s="89"/>
      <c r="D804" s="89"/>
      <c r="E804" s="89"/>
      <c r="F804" s="89"/>
      <c r="G804" s="89"/>
      <c r="H804" s="94"/>
      <c r="I804" s="94"/>
      <c r="J804" s="94"/>
      <c r="K804" s="94"/>
      <c r="L804" s="94"/>
      <c r="M804" s="94"/>
      <c r="N804" s="94"/>
      <c r="O804" s="94"/>
      <c r="P804" s="94"/>
      <c r="Q804" s="94"/>
      <c r="R804" s="95"/>
      <c r="S804" s="94"/>
      <c r="T804" s="96"/>
      <c r="U804" s="94"/>
      <c r="V804" s="97"/>
      <c r="W804" s="94"/>
      <c r="X804" s="98"/>
      <c r="Y804" s="98"/>
      <c r="Z804" s="98"/>
      <c r="AA804" s="98"/>
      <c r="AB804" s="98"/>
      <c r="AC804" s="97"/>
      <c r="AD804" s="99"/>
      <c r="AE804" s="95"/>
      <c r="AF804" s="94"/>
      <c r="AG804" s="89"/>
      <c r="AH804" s="89"/>
      <c r="AI804" s="89"/>
      <c r="AJ804" s="89"/>
      <c r="AK804" s="89"/>
      <c r="AL804" s="89"/>
      <c r="AM804" s="89"/>
      <c r="AN804" s="89"/>
      <c r="AO804" s="89"/>
      <c r="AP804" s="89"/>
      <c r="AQ804" s="89"/>
      <c r="AR804" s="89"/>
      <c r="AS804" s="89"/>
      <c r="AT804" s="89"/>
      <c r="AU804" s="89"/>
      <c r="AV804" s="89"/>
      <c r="AW804" s="100"/>
      <c r="AX804" s="100"/>
      <c r="AY804" s="89"/>
      <c r="AZ804" s="89"/>
      <c r="BA804" s="89"/>
      <c r="BB804" s="89"/>
      <c r="BC804" s="89"/>
      <c r="BD804" s="89"/>
      <c r="BE804" s="89"/>
      <c r="BF804" s="89"/>
      <c r="BG804" s="89"/>
      <c r="BH804" s="89"/>
      <c r="BI804" s="89"/>
      <c r="BJ804" s="89"/>
      <c r="BK804" s="89"/>
      <c r="BL804" s="89"/>
      <c r="BM804" s="89"/>
      <c r="BN804" s="89"/>
      <c r="BO804" s="89"/>
      <c r="BP804" s="89"/>
      <c r="BQ804" s="89"/>
      <c r="BR804" s="89"/>
      <c r="BS804" s="89"/>
    </row>
    <row r="805" spans="1:71" ht="27" customHeight="1" x14ac:dyDescent="0.2">
      <c r="A805" s="93"/>
      <c r="B805" s="89"/>
      <c r="C805" s="89"/>
      <c r="D805" s="89"/>
      <c r="E805" s="89"/>
      <c r="F805" s="89"/>
      <c r="G805" s="89"/>
      <c r="H805" s="94"/>
      <c r="I805" s="94"/>
      <c r="J805" s="94"/>
      <c r="K805" s="94"/>
      <c r="L805" s="94"/>
      <c r="M805" s="94"/>
      <c r="N805" s="94"/>
      <c r="O805" s="94"/>
      <c r="P805" s="94"/>
      <c r="Q805" s="94"/>
      <c r="R805" s="95"/>
      <c r="S805" s="94"/>
      <c r="T805" s="96"/>
      <c r="U805" s="94"/>
      <c r="V805" s="97"/>
      <c r="W805" s="94"/>
      <c r="X805" s="98"/>
      <c r="Y805" s="98"/>
      <c r="Z805" s="98"/>
      <c r="AA805" s="98"/>
      <c r="AB805" s="98"/>
      <c r="AC805" s="97"/>
      <c r="AD805" s="99"/>
      <c r="AE805" s="95"/>
      <c r="AF805" s="94"/>
      <c r="AG805" s="89"/>
      <c r="AH805" s="89"/>
      <c r="AI805" s="89"/>
      <c r="AJ805" s="89"/>
      <c r="AK805" s="89"/>
      <c r="AL805" s="89"/>
      <c r="AM805" s="89"/>
      <c r="AN805" s="89"/>
      <c r="AO805" s="89"/>
      <c r="AP805" s="89"/>
      <c r="AQ805" s="89"/>
      <c r="AR805" s="89"/>
      <c r="AS805" s="89"/>
      <c r="AT805" s="89"/>
      <c r="AU805" s="89"/>
      <c r="AV805" s="89"/>
      <c r="AW805" s="100"/>
      <c r="AX805" s="100"/>
      <c r="AY805" s="89"/>
      <c r="AZ805" s="89"/>
      <c r="BA805" s="89"/>
      <c r="BB805" s="89"/>
      <c r="BC805" s="89"/>
      <c r="BD805" s="89"/>
      <c r="BE805" s="89"/>
      <c r="BF805" s="89"/>
      <c r="BG805" s="89"/>
      <c r="BH805" s="89"/>
      <c r="BI805" s="89"/>
      <c r="BJ805" s="89"/>
      <c r="BK805" s="89"/>
      <c r="BL805" s="89"/>
      <c r="BM805" s="89"/>
      <c r="BN805" s="89"/>
      <c r="BO805" s="89"/>
      <c r="BP805" s="89"/>
      <c r="BQ805" s="89"/>
      <c r="BR805" s="89"/>
      <c r="BS805" s="89"/>
    </row>
    <row r="806" spans="1:71" ht="27" customHeight="1" x14ac:dyDescent="0.2">
      <c r="A806" s="93"/>
      <c r="B806" s="89"/>
      <c r="C806" s="89"/>
      <c r="D806" s="89"/>
      <c r="E806" s="89"/>
      <c r="F806" s="89"/>
      <c r="G806" s="89"/>
      <c r="H806" s="94"/>
      <c r="I806" s="94"/>
      <c r="J806" s="94"/>
      <c r="K806" s="94"/>
      <c r="L806" s="94"/>
      <c r="M806" s="94"/>
      <c r="N806" s="94"/>
      <c r="O806" s="94"/>
      <c r="P806" s="94"/>
      <c r="Q806" s="94"/>
      <c r="R806" s="95"/>
      <c r="S806" s="94"/>
      <c r="T806" s="96"/>
      <c r="U806" s="94"/>
      <c r="V806" s="97"/>
      <c r="W806" s="94"/>
      <c r="X806" s="98"/>
      <c r="Y806" s="98"/>
      <c r="Z806" s="98"/>
      <c r="AA806" s="98"/>
      <c r="AB806" s="98"/>
      <c r="AC806" s="97"/>
      <c r="AD806" s="99"/>
      <c r="AE806" s="95"/>
      <c r="AF806" s="94"/>
      <c r="AG806" s="89"/>
      <c r="AH806" s="89"/>
      <c r="AI806" s="89"/>
      <c r="AJ806" s="89"/>
      <c r="AK806" s="89"/>
      <c r="AL806" s="89"/>
      <c r="AM806" s="89"/>
      <c r="AN806" s="89"/>
      <c r="AO806" s="89"/>
      <c r="AP806" s="89"/>
      <c r="AQ806" s="89"/>
      <c r="AR806" s="89"/>
      <c r="AS806" s="89"/>
      <c r="AT806" s="89"/>
      <c r="AU806" s="89"/>
      <c r="AV806" s="89"/>
      <c r="AW806" s="100"/>
      <c r="AX806" s="100"/>
      <c r="AY806" s="89"/>
      <c r="AZ806" s="89"/>
      <c r="BA806" s="89"/>
      <c r="BB806" s="89"/>
      <c r="BC806" s="89"/>
      <c r="BD806" s="89"/>
      <c r="BE806" s="89"/>
      <c r="BF806" s="89"/>
      <c r="BG806" s="89"/>
      <c r="BH806" s="89"/>
      <c r="BI806" s="89"/>
      <c r="BJ806" s="89"/>
      <c r="BK806" s="89"/>
      <c r="BL806" s="89"/>
      <c r="BM806" s="89"/>
      <c r="BN806" s="89"/>
      <c r="BO806" s="89"/>
      <c r="BP806" s="89"/>
      <c r="BQ806" s="89"/>
      <c r="BR806" s="89"/>
      <c r="BS806" s="89"/>
    </row>
    <row r="807" spans="1:71" ht="27" customHeight="1" x14ac:dyDescent="0.2">
      <c r="A807" s="93"/>
      <c r="B807" s="89"/>
      <c r="C807" s="89"/>
      <c r="D807" s="89"/>
      <c r="E807" s="89"/>
      <c r="F807" s="89"/>
      <c r="G807" s="89"/>
      <c r="H807" s="94"/>
      <c r="I807" s="94"/>
      <c r="J807" s="94"/>
      <c r="K807" s="94"/>
      <c r="L807" s="94"/>
      <c r="M807" s="94"/>
      <c r="N807" s="94"/>
      <c r="O807" s="94"/>
      <c r="P807" s="94"/>
      <c r="Q807" s="94"/>
      <c r="R807" s="95"/>
      <c r="S807" s="94"/>
      <c r="T807" s="96"/>
      <c r="U807" s="94"/>
      <c r="V807" s="97"/>
      <c r="W807" s="94"/>
      <c r="X807" s="98"/>
      <c r="Y807" s="98"/>
      <c r="Z807" s="98"/>
      <c r="AA807" s="98"/>
      <c r="AB807" s="98"/>
      <c r="AC807" s="97"/>
      <c r="AD807" s="99"/>
      <c r="AE807" s="95"/>
      <c r="AF807" s="94"/>
      <c r="AG807" s="89"/>
      <c r="AH807" s="89"/>
      <c r="AI807" s="89"/>
      <c r="AJ807" s="89"/>
      <c r="AK807" s="89"/>
      <c r="AL807" s="89"/>
      <c r="AM807" s="89"/>
      <c r="AN807" s="89"/>
      <c r="AO807" s="89"/>
      <c r="AP807" s="89"/>
      <c r="AQ807" s="89"/>
      <c r="AR807" s="89"/>
      <c r="AS807" s="89"/>
      <c r="AT807" s="89"/>
      <c r="AU807" s="89"/>
      <c r="AV807" s="89"/>
      <c r="AW807" s="100"/>
      <c r="AX807" s="100"/>
      <c r="AY807" s="89"/>
      <c r="AZ807" s="89"/>
      <c r="BA807" s="89"/>
      <c r="BB807" s="89"/>
      <c r="BC807" s="89"/>
      <c r="BD807" s="89"/>
      <c r="BE807" s="89"/>
      <c r="BF807" s="89"/>
      <c r="BG807" s="89"/>
      <c r="BH807" s="89"/>
      <c r="BI807" s="89"/>
      <c r="BJ807" s="89"/>
      <c r="BK807" s="89"/>
      <c r="BL807" s="89"/>
      <c r="BM807" s="89"/>
      <c r="BN807" s="89"/>
      <c r="BO807" s="89"/>
      <c r="BP807" s="89"/>
      <c r="BQ807" s="89"/>
      <c r="BR807" s="89"/>
      <c r="BS807" s="89"/>
    </row>
    <row r="808" spans="1:71" ht="27" customHeight="1" x14ac:dyDescent="0.2">
      <c r="A808" s="93"/>
      <c r="B808" s="89"/>
      <c r="C808" s="89"/>
      <c r="D808" s="89"/>
      <c r="E808" s="89"/>
      <c r="F808" s="89"/>
      <c r="G808" s="89"/>
      <c r="H808" s="94"/>
      <c r="I808" s="94"/>
      <c r="J808" s="94"/>
      <c r="K808" s="94"/>
      <c r="L808" s="94"/>
      <c r="M808" s="94"/>
      <c r="N808" s="94"/>
      <c r="O808" s="94"/>
      <c r="P808" s="94"/>
      <c r="Q808" s="94"/>
      <c r="R808" s="95"/>
      <c r="S808" s="94"/>
      <c r="T808" s="96"/>
      <c r="U808" s="94"/>
      <c r="V808" s="97"/>
      <c r="W808" s="94"/>
      <c r="X808" s="98"/>
      <c r="Y808" s="98"/>
      <c r="Z808" s="98"/>
      <c r="AA808" s="98"/>
      <c r="AB808" s="98"/>
      <c r="AC808" s="97"/>
      <c r="AD808" s="99"/>
      <c r="AE808" s="95"/>
      <c r="AF808" s="94"/>
      <c r="AG808" s="89"/>
      <c r="AH808" s="89"/>
      <c r="AI808" s="89"/>
      <c r="AJ808" s="89"/>
      <c r="AK808" s="89"/>
      <c r="AL808" s="89"/>
      <c r="AM808" s="89"/>
      <c r="AN808" s="89"/>
      <c r="AO808" s="89"/>
      <c r="AP808" s="89"/>
      <c r="AQ808" s="89"/>
      <c r="AR808" s="89"/>
      <c r="AS808" s="89"/>
      <c r="AT808" s="89"/>
      <c r="AU808" s="89"/>
      <c r="AV808" s="89"/>
      <c r="AW808" s="100"/>
      <c r="AX808" s="100"/>
      <c r="AY808" s="89"/>
      <c r="AZ808" s="89"/>
      <c r="BA808" s="89"/>
      <c r="BB808" s="89"/>
      <c r="BC808" s="89"/>
      <c r="BD808" s="89"/>
      <c r="BE808" s="89"/>
      <c r="BF808" s="89"/>
      <c r="BG808" s="89"/>
      <c r="BH808" s="89"/>
      <c r="BI808" s="89"/>
      <c r="BJ808" s="89"/>
      <c r="BK808" s="89"/>
      <c r="BL808" s="89"/>
      <c r="BM808" s="89"/>
      <c r="BN808" s="89"/>
      <c r="BO808" s="89"/>
      <c r="BP808" s="89"/>
      <c r="BQ808" s="89"/>
      <c r="BR808" s="89"/>
      <c r="BS808" s="89"/>
    </row>
    <row r="809" spans="1:71" ht="27" customHeight="1" x14ac:dyDescent="0.2">
      <c r="A809" s="93"/>
      <c r="B809" s="89"/>
      <c r="C809" s="89"/>
      <c r="D809" s="89"/>
      <c r="E809" s="89"/>
      <c r="F809" s="89"/>
      <c r="G809" s="89"/>
      <c r="H809" s="94"/>
      <c r="I809" s="94"/>
      <c r="J809" s="94"/>
      <c r="K809" s="94"/>
      <c r="L809" s="94"/>
      <c r="M809" s="94"/>
      <c r="N809" s="94"/>
      <c r="O809" s="94"/>
      <c r="P809" s="94"/>
      <c r="Q809" s="94"/>
      <c r="R809" s="95"/>
      <c r="S809" s="94"/>
      <c r="T809" s="96"/>
      <c r="U809" s="94"/>
      <c r="V809" s="97"/>
      <c r="W809" s="94"/>
      <c r="X809" s="98"/>
      <c r="Y809" s="98"/>
      <c r="Z809" s="98"/>
      <c r="AA809" s="98"/>
      <c r="AB809" s="98"/>
      <c r="AC809" s="97"/>
      <c r="AD809" s="99"/>
      <c r="AE809" s="95"/>
      <c r="AF809" s="94"/>
      <c r="AG809" s="89"/>
      <c r="AH809" s="89"/>
      <c r="AI809" s="89"/>
      <c r="AJ809" s="89"/>
      <c r="AK809" s="89"/>
      <c r="AL809" s="89"/>
      <c r="AM809" s="89"/>
      <c r="AN809" s="89"/>
      <c r="AO809" s="89"/>
      <c r="AP809" s="89"/>
      <c r="AQ809" s="89"/>
      <c r="AR809" s="89"/>
      <c r="AS809" s="89"/>
      <c r="AT809" s="89"/>
      <c r="AU809" s="89"/>
      <c r="AV809" s="89"/>
      <c r="AW809" s="100"/>
      <c r="AX809" s="100"/>
      <c r="AY809" s="89"/>
      <c r="AZ809" s="89"/>
      <c r="BA809" s="89"/>
      <c r="BB809" s="89"/>
      <c r="BC809" s="89"/>
      <c r="BD809" s="89"/>
      <c r="BE809" s="89"/>
      <c r="BF809" s="89"/>
      <c r="BG809" s="89"/>
      <c r="BH809" s="89"/>
      <c r="BI809" s="89"/>
      <c r="BJ809" s="89"/>
      <c r="BK809" s="89"/>
      <c r="BL809" s="89"/>
      <c r="BM809" s="89"/>
      <c r="BN809" s="89"/>
      <c r="BO809" s="89"/>
      <c r="BP809" s="89"/>
      <c r="BQ809" s="89"/>
      <c r="BR809" s="89"/>
      <c r="BS809" s="89"/>
    </row>
    <row r="810" spans="1:71" ht="27" customHeight="1" x14ac:dyDescent="0.2">
      <c r="A810" s="93"/>
      <c r="B810" s="89"/>
      <c r="C810" s="89"/>
      <c r="D810" s="89"/>
      <c r="E810" s="89"/>
      <c r="F810" s="89"/>
      <c r="G810" s="89"/>
      <c r="H810" s="94"/>
      <c r="I810" s="94"/>
      <c r="J810" s="94"/>
      <c r="K810" s="94"/>
      <c r="L810" s="94"/>
      <c r="M810" s="94"/>
      <c r="N810" s="94"/>
      <c r="O810" s="94"/>
      <c r="P810" s="94"/>
      <c r="Q810" s="94"/>
      <c r="R810" s="95"/>
      <c r="S810" s="94"/>
      <c r="T810" s="96"/>
      <c r="U810" s="94"/>
      <c r="V810" s="97"/>
      <c r="W810" s="94"/>
      <c r="X810" s="98"/>
      <c r="Y810" s="98"/>
      <c r="Z810" s="98"/>
      <c r="AA810" s="98"/>
      <c r="AB810" s="98"/>
      <c r="AC810" s="97"/>
      <c r="AD810" s="99"/>
      <c r="AE810" s="95"/>
      <c r="AF810" s="94"/>
      <c r="AG810" s="89"/>
      <c r="AH810" s="89"/>
      <c r="AI810" s="89"/>
      <c r="AJ810" s="89"/>
      <c r="AK810" s="89"/>
      <c r="AL810" s="89"/>
      <c r="AM810" s="89"/>
      <c r="AN810" s="89"/>
      <c r="AO810" s="89"/>
      <c r="AP810" s="89"/>
      <c r="AQ810" s="89"/>
      <c r="AR810" s="89"/>
      <c r="AS810" s="89"/>
      <c r="AT810" s="89"/>
      <c r="AU810" s="89"/>
      <c r="AV810" s="89"/>
      <c r="AW810" s="100"/>
      <c r="AX810" s="100"/>
      <c r="AY810" s="89"/>
      <c r="AZ810" s="89"/>
      <c r="BA810" s="89"/>
      <c r="BB810" s="89"/>
      <c r="BC810" s="89"/>
      <c r="BD810" s="89"/>
      <c r="BE810" s="89"/>
      <c r="BF810" s="89"/>
      <c r="BG810" s="89"/>
      <c r="BH810" s="89"/>
      <c r="BI810" s="89"/>
      <c r="BJ810" s="89"/>
      <c r="BK810" s="89"/>
      <c r="BL810" s="89"/>
      <c r="BM810" s="89"/>
      <c r="BN810" s="89"/>
      <c r="BO810" s="89"/>
      <c r="BP810" s="89"/>
      <c r="BQ810" s="89"/>
      <c r="BR810" s="89"/>
      <c r="BS810" s="89"/>
    </row>
    <row r="811" spans="1:71" ht="27" customHeight="1" x14ac:dyDescent="0.2">
      <c r="A811" s="93"/>
      <c r="B811" s="89"/>
      <c r="C811" s="89"/>
      <c r="D811" s="89"/>
      <c r="E811" s="89"/>
      <c r="F811" s="89"/>
      <c r="G811" s="89"/>
      <c r="H811" s="94"/>
      <c r="I811" s="94"/>
      <c r="J811" s="94"/>
      <c r="K811" s="94"/>
      <c r="L811" s="94"/>
      <c r="M811" s="94"/>
      <c r="N811" s="94"/>
      <c r="O811" s="94"/>
      <c r="P811" s="94"/>
      <c r="Q811" s="94"/>
      <c r="R811" s="95"/>
      <c r="S811" s="94"/>
      <c r="T811" s="96"/>
      <c r="U811" s="94"/>
      <c r="V811" s="97"/>
      <c r="W811" s="94"/>
      <c r="X811" s="98"/>
      <c r="Y811" s="98"/>
      <c r="Z811" s="98"/>
      <c r="AA811" s="98"/>
      <c r="AB811" s="98"/>
      <c r="AC811" s="97"/>
      <c r="AD811" s="99"/>
      <c r="AE811" s="95"/>
      <c r="AF811" s="94"/>
      <c r="AG811" s="89"/>
      <c r="AH811" s="89"/>
      <c r="AI811" s="89"/>
      <c r="AJ811" s="89"/>
      <c r="AK811" s="89"/>
      <c r="AL811" s="89"/>
      <c r="AM811" s="89"/>
      <c r="AN811" s="89"/>
      <c r="AO811" s="89"/>
      <c r="AP811" s="89"/>
      <c r="AQ811" s="89"/>
      <c r="AR811" s="89"/>
      <c r="AS811" s="89"/>
      <c r="AT811" s="89"/>
      <c r="AU811" s="89"/>
      <c r="AV811" s="89"/>
      <c r="AW811" s="100"/>
      <c r="AX811" s="100"/>
      <c r="AY811" s="89"/>
      <c r="AZ811" s="89"/>
      <c r="BA811" s="89"/>
      <c r="BB811" s="89"/>
      <c r="BC811" s="89"/>
      <c r="BD811" s="89"/>
      <c r="BE811" s="89"/>
      <c r="BF811" s="89"/>
      <c r="BG811" s="89"/>
      <c r="BH811" s="89"/>
      <c r="BI811" s="89"/>
      <c r="BJ811" s="89"/>
      <c r="BK811" s="89"/>
      <c r="BL811" s="89"/>
      <c r="BM811" s="89"/>
      <c r="BN811" s="89"/>
      <c r="BO811" s="89"/>
      <c r="BP811" s="89"/>
      <c r="BQ811" s="89"/>
      <c r="BR811" s="89"/>
      <c r="BS811" s="89"/>
    </row>
    <row r="812" spans="1:71" ht="27" customHeight="1" x14ac:dyDescent="0.2">
      <c r="A812" s="93"/>
      <c r="B812" s="89"/>
      <c r="C812" s="89"/>
      <c r="D812" s="89"/>
      <c r="E812" s="89"/>
      <c r="F812" s="89"/>
      <c r="G812" s="89"/>
      <c r="H812" s="94"/>
      <c r="I812" s="94"/>
      <c r="J812" s="94"/>
      <c r="K812" s="94"/>
      <c r="L812" s="94"/>
      <c r="M812" s="94"/>
      <c r="N812" s="94"/>
      <c r="O812" s="94"/>
      <c r="P812" s="94"/>
      <c r="Q812" s="94"/>
      <c r="R812" s="95"/>
      <c r="S812" s="94"/>
      <c r="T812" s="96"/>
      <c r="U812" s="94"/>
      <c r="V812" s="97"/>
      <c r="W812" s="94"/>
      <c r="X812" s="98"/>
      <c r="Y812" s="98"/>
      <c r="Z812" s="98"/>
      <c r="AA812" s="98"/>
      <c r="AB812" s="98"/>
      <c r="AC812" s="97"/>
      <c r="AD812" s="99"/>
      <c r="AE812" s="95"/>
      <c r="AF812" s="94"/>
      <c r="AG812" s="89"/>
      <c r="AH812" s="89"/>
      <c r="AI812" s="89"/>
      <c r="AJ812" s="89"/>
      <c r="AK812" s="89"/>
      <c r="AL812" s="89"/>
      <c r="AM812" s="89"/>
      <c r="AN812" s="89"/>
      <c r="AO812" s="89"/>
      <c r="AP812" s="89"/>
      <c r="AQ812" s="89"/>
      <c r="AR812" s="89"/>
      <c r="AS812" s="89"/>
      <c r="AT812" s="89"/>
      <c r="AU812" s="89"/>
      <c r="AV812" s="89"/>
      <c r="AW812" s="100"/>
      <c r="AX812" s="100"/>
      <c r="AY812" s="89"/>
      <c r="AZ812" s="89"/>
      <c r="BA812" s="89"/>
      <c r="BB812" s="89"/>
      <c r="BC812" s="89"/>
      <c r="BD812" s="89"/>
      <c r="BE812" s="89"/>
      <c r="BF812" s="89"/>
      <c r="BG812" s="89"/>
      <c r="BH812" s="89"/>
      <c r="BI812" s="89"/>
      <c r="BJ812" s="89"/>
      <c r="BK812" s="89"/>
      <c r="BL812" s="89"/>
      <c r="BM812" s="89"/>
      <c r="BN812" s="89"/>
      <c r="BO812" s="89"/>
      <c r="BP812" s="89"/>
      <c r="BQ812" s="89"/>
      <c r="BR812" s="89"/>
      <c r="BS812" s="89"/>
    </row>
    <row r="813" spans="1:71" ht="27" customHeight="1" x14ac:dyDescent="0.2">
      <c r="A813" s="93"/>
      <c r="B813" s="89"/>
      <c r="C813" s="89"/>
      <c r="D813" s="89"/>
      <c r="E813" s="89"/>
      <c r="F813" s="89"/>
      <c r="G813" s="89"/>
      <c r="H813" s="94"/>
      <c r="I813" s="94"/>
      <c r="J813" s="94"/>
      <c r="K813" s="94"/>
      <c r="L813" s="94"/>
      <c r="M813" s="94"/>
      <c r="N813" s="94"/>
      <c r="O813" s="94"/>
      <c r="P813" s="94"/>
      <c r="Q813" s="94"/>
      <c r="R813" s="95"/>
      <c r="S813" s="94"/>
      <c r="T813" s="96"/>
      <c r="U813" s="94"/>
      <c r="V813" s="97"/>
      <c r="W813" s="94"/>
      <c r="X813" s="98"/>
      <c r="Y813" s="98"/>
      <c r="Z813" s="98"/>
      <c r="AA813" s="98"/>
      <c r="AB813" s="98"/>
      <c r="AC813" s="97"/>
      <c r="AD813" s="99"/>
      <c r="AE813" s="95"/>
      <c r="AF813" s="94"/>
      <c r="AG813" s="89"/>
      <c r="AH813" s="89"/>
      <c r="AI813" s="89"/>
      <c r="AJ813" s="89"/>
      <c r="AK813" s="89"/>
      <c r="AL813" s="89"/>
      <c r="AM813" s="89"/>
      <c r="AN813" s="89"/>
      <c r="AO813" s="89"/>
      <c r="AP813" s="89"/>
      <c r="AQ813" s="89"/>
      <c r="AR813" s="89"/>
      <c r="AS813" s="89"/>
      <c r="AT813" s="89"/>
      <c r="AU813" s="89"/>
      <c r="AV813" s="89"/>
      <c r="AW813" s="100"/>
      <c r="AX813" s="100"/>
      <c r="AY813" s="89"/>
      <c r="AZ813" s="89"/>
      <c r="BA813" s="89"/>
      <c r="BB813" s="89"/>
      <c r="BC813" s="89"/>
      <c r="BD813" s="89"/>
      <c r="BE813" s="89"/>
      <c r="BF813" s="89"/>
      <c r="BG813" s="89"/>
      <c r="BH813" s="89"/>
      <c r="BI813" s="89"/>
      <c r="BJ813" s="89"/>
      <c r="BK813" s="89"/>
      <c r="BL813" s="89"/>
      <c r="BM813" s="89"/>
      <c r="BN813" s="89"/>
      <c r="BO813" s="89"/>
      <c r="BP813" s="89"/>
      <c r="BQ813" s="89"/>
      <c r="BR813" s="89"/>
      <c r="BS813" s="89"/>
    </row>
    <row r="814" spans="1:71" ht="27" customHeight="1" x14ac:dyDescent="0.2">
      <c r="A814" s="93"/>
      <c r="B814" s="89"/>
      <c r="C814" s="89"/>
      <c r="D814" s="89"/>
      <c r="E814" s="89"/>
      <c r="F814" s="89"/>
      <c r="G814" s="89"/>
      <c r="H814" s="94"/>
      <c r="I814" s="94"/>
      <c r="J814" s="94"/>
      <c r="K814" s="94"/>
      <c r="L814" s="94"/>
      <c r="M814" s="94"/>
      <c r="N814" s="94"/>
      <c r="O814" s="94"/>
      <c r="P814" s="94"/>
      <c r="Q814" s="94"/>
      <c r="R814" s="95"/>
      <c r="S814" s="94"/>
      <c r="T814" s="96"/>
      <c r="U814" s="94"/>
      <c r="V814" s="97"/>
      <c r="W814" s="94"/>
      <c r="X814" s="98"/>
      <c r="Y814" s="98"/>
      <c r="Z814" s="98"/>
      <c r="AA814" s="98"/>
      <c r="AB814" s="98"/>
      <c r="AC814" s="97"/>
      <c r="AD814" s="99"/>
      <c r="AE814" s="95"/>
      <c r="AF814" s="94"/>
      <c r="AG814" s="89"/>
      <c r="AH814" s="89"/>
      <c r="AI814" s="89"/>
      <c r="AJ814" s="89"/>
      <c r="AK814" s="89"/>
      <c r="AL814" s="89"/>
      <c r="AM814" s="89"/>
      <c r="AN814" s="89"/>
      <c r="AO814" s="89"/>
      <c r="AP814" s="89"/>
      <c r="AQ814" s="89"/>
      <c r="AR814" s="89"/>
      <c r="AS814" s="89"/>
      <c r="AT814" s="89"/>
      <c r="AU814" s="89"/>
      <c r="AV814" s="89"/>
      <c r="AW814" s="100"/>
      <c r="AX814" s="100"/>
      <c r="AY814" s="89"/>
      <c r="AZ814" s="89"/>
      <c r="BA814" s="89"/>
      <c r="BB814" s="89"/>
      <c r="BC814" s="89"/>
      <c r="BD814" s="89"/>
      <c r="BE814" s="89"/>
      <c r="BF814" s="89"/>
      <c r="BG814" s="89"/>
      <c r="BH814" s="89"/>
      <c r="BI814" s="89"/>
      <c r="BJ814" s="89"/>
      <c r="BK814" s="89"/>
      <c r="BL814" s="89"/>
      <c r="BM814" s="89"/>
      <c r="BN814" s="89"/>
      <c r="BO814" s="89"/>
      <c r="BP814" s="89"/>
      <c r="BQ814" s="89"/>
      <c r="BR814" s="89"/>
      <c r="BS814" s="89"/>
    </row>
    <row r="815" spans="1:71" ht="27" customHeight="1" x14ac:dyDescent="0.2">
      <c r="A815" s="93"/>
      <c r="B815" s="89"/>
      <c r="C815" s="89"/>
      <c r="D815" s="89"/>
      <c r="E815" s="89"/>
      <c r="F815" s="89"/>
      <c r="G815" s="89"/>
      <c r="H815" s="94"/>
      <c r="I815" s="94"/>
      <c r="J815" s="94"/>
      <c r="K815" s="94"/>
      <c r="L815" s="94"/>
      <c r="M815" s="94"/>
      <c r="N815" s="94"/>
      <c r="O815" s="94"/>
      <c r="P815" s="94"/>
      <c r="Q815" s="94"/>
      <c r="R815" s="95"/>
      <c r="S815" s="94"/>
      <c r="T815" s="96"/>
      <c r="U815" s="94"/>
      <c r="V815" s="97"/>
      <c r="W815" s="94"/>
      <c r="X815" s="98"/>
      <c r="Y815" s="98"/>
      <c r="Z815" s="98"/>
      <c r="AA815" s="98"/>
      <c r="AB815" s="98"/>
      <c r="AC815" s="97"/>
      <c r="AD815" s="99"/>
      <c r="AE815" s="95"/>
      <c r="AF815" s="94"/>
      <c r="AG815" s="89"/>
      <c r="AH815" s="89"/>
      <c r="AI815" s="89"/>
      <c r="AJ815" s="89"/>
      <c r="AK815" s="89"/>
      <c r="AL815" s="89"/>
      <c r="AM815" s="89"/>
      <c r="AN815" s="89"/>
      <c r="AO815" s="89"/>
      <c r="AP815" s="89"/>
      <c r="AQ815" s="89"/>
      <c r="AR815" s="89"/>
      <c r="AS815" s="89"/>
      <c r="AT815" s="89"/>
      <c r="AU815" s="89"/>
      <c r="AV815" s="89"/>
      <c r="AW815" s="100"/>
      <c r="AX815" s="100"/>
      <c r="AY815" s="89"/>
      <c r="AZ815" s="89"/>
      <c r="BA815" s="89"/>
      <c r="BB815" s="89"/>
      <c r="BC815" s="89"/>
      <c r="BD815" s="89"/>
      <c r="BE815" s="89"/>
      <c r="BF815" s="89"/>
      <c r="BG815" s="89"/>
      <c r="BH815" s="89"/>
      <c r="BI815" s="89"/>
      <c r="BJ815" s="89"/>
      <c r="BK815" s="89"/>
      <c r="BL815" s="89"/>
      <c r="BM815" s="89"/>
      <c r="BN815" s="89"/>
      <c r="BO815" s="89"/>
      <c r="BP815" s="89"/>
      <c r="BQ815" s="89"/>
      <c r="BR815" s="89"/>
      <c r="BS815" s="89"/>
    </row>
    <row r="816" spans="1:71" ht="27" customHeight="1" x14ac:dyDescent="0.2">
      <c r="A816" s="93"/>
      <c r="B816" s="89"/>
      <c r="C816" s="89"/>
      <c r="D816" s="89"/>
      <c r="E816" s="89"/>
      <c r="F816" s="89"/>
      <c r="G816" s="89"/>
      <c r="H816" s="94"/>
      <c r="I816" s="94"/>
      <c r="J816" s="94"/>
      <c r="K816" s="94"/>
      <c r="L816" s="94"/>
      <c r="M816" s="94"/>
      <c r="N816" s="94"/>
      <c r="O816" s="94"/>
      <c r="P816" s="94"/>
      <c r="Q816" s="94"/>
      <c r="R816" s="95"/>
      <c r="S816" s="94"/>
      <c r="T816" s="96"/>
      <c r="U816" s="94"/>
      <c r="V816" s="97"/>
      <c r="W816" s="94"/>
      <c r="X816" s="98"/>
      <c r="Y816" s="98"/>
      <c r="Z816" s="98"/>
      <c r="AA816" s="98"/>
      <c r="AB816" s="98"/>
      <c r="AC816" s="97"/>
      <c r="AD816" s="99"/>
      <c r="AE816" s="95"/>
      <c r="AF816" s="94"/>
      <c r="AG816" s="89"/>
      <c r="AH816" s="89"/>
      <c r="AI816" s="89"/>
      <c r="AJ816" s="89"/>
      <c r="AK816" s="89"/>
      <c r="AL816" s="89"/>
      <c r="AM816" s="89"/>
      <c r="AN816" s="89"/>
      <c r="AO816" s="89"/>
      <c r="AP816" s="89"/>
      <c r="AQ816" s="89"/>
      <c r="AR816" s="89"/>
      <c r="AS816" s="89"/>
      <c r="AT816" s="89"/>
      <c r="AU816" s="89"/>
      <c r="AV816" s="89"/>
      <c r="AW816" s="100"/>
      <c r="AX816" s="100"/>
      <c r="AY816" s="89"/>
      <c r="AZ816" s="89"/>
      <c r="BA816" s="89"/>
      <c r="BB816" s="89"/>
      <c r="BC816" s="89"/>
      <c r="BD816" s="89"/>
      <c r="BE816" s="89"/>
      <c r="BF816" s="89"/>
      <c r="BG816" s="89"/>
      <c r="BH816" s="89"/>
      <c r="BI816" s="89"/>
      <c r="BJ816" s="89"/>
      <c r="BK816" s="89"/>
      <c r="BL816" s="89"/>
      <c r="BM816" s="89"/>
      <c r="BN816" s="89"/>
      <c r="BO816" s="89"/>
      <c r="BP816" s="89"/>
      <c r="BQ816" s="89"/>
      <c r="BR816" s="89"/>
      <c r="BS816" s="89"/>
    </row>
    <row r="817" spans="1:71" ht="27" customHeight="1" x14ac:dyDescent="0.2">
      <c r="A817" s="93"/>
      <c r="B817" s="89"/>
      <c r="C817" s="89"/>
      <c r="D817" s="89"/>
      <c r="E817" s="89"/>
      <c r="F817" s="89"/>
      <c r="G817" s="89"/>
      <c r="H817" s="94"/>
      <c r="I817" s="94"/>
      <c r="J817" s="94"/>
      <c r="K817" s="94"/>
      <c r="L817" s="94"/>
      <c r="M817" s="94"/>
      <c r="N817" s="94"/>
      <c r="O817" s="94"/>
      <c r="P817" s="94"/>
      <c r="Q817" s="94"/>
      <c r="R817" s="95"/>
      <c r="S817" s="94"/>
      <c r="T817" s="96"/>
      <c r="U817" s="94"/>
      <c r="V817" s="97"/>
      <c r="W817" s="94"/>
      <c r="X817" s="98"/>
      <c r="Y817" s="98"/>
      <c r="Z817" s="98"/>
      <c r="AA817" s="98"/>
      <c r="AB817" s="98"/>
      <c r="AC817" s="97"/>
      <c r="AD817" s="99"/>
      <c r="AE817" s="95"/>
      <c r="AF817" s="94"/>
      <c r="AG817" s="89"/>
      <c r="AH817" s="89"/>
      <c r="AI817" s="89"/>
      <c r="AJ817" s="89"/>
      <c r="AK817" s="89"/>
      <c r="AL817" s="89"/>
      <c r="AM817" s="89"/>
      <c r="AN817" s="89"/>
      <c r="AO817" s="89"/>
      <c r="AP817" s="89"/>
      <c r="AQ817" s="89"/>
      <c r="AR817" s="89"/>
      <c r="AS817" s="89"/>
      <c r="AT817" s="89"/>
      <c r="AU817" s="89"/>
      <c r="AV817" s="89"/>
      <c r="AW817" s="100"/>
      <c r="AX817" s="100"/>
      <c r="AY817" s="89"/>
      <c r="AZ817" s="89"/>
      <c r="BA817" s="89"/>
      <c r="BB817" s="89"/>
      <c r="BC817" s="89"/>
      <c r="BD817" s="89"/>
      <c r="BE817" s="89"/>
      <c r="BF817" s="89"/>
      <c r="BG817" s="89"/>
      <c r="BH817" s="89"/>
      <c r="BI817" s="89"/>
      <c r="BJ817" s="89"/>
      <c r="BK817" s="89"/>
      <c r="BL817" s="89"/>
      <c r="BM817" s="89"/>
      <c r="BN817" s="89"/>
      <c r="BO817" s="89"/>
      <c r="BP817" s="89"/>
      <c r="BQ817" s="89"/>
      <c r="BR817" s="89"/>
      <c r="BS817" s="89"/>
    </row>
    <row r="818" spans="1:71" ht="27" customHeight="1" x14ac:dyDescent="0.2">
      <c r="A818" s="93"/>
      <c r="B818" s="89"/>
      <c r="C818" s="89"/>
      <c r="D818" s="89"/>
      <c r="E818" s="89"/>
      <c r="F818" s="89"/>
      <c r="G818" s="89"/>
      <c r="H818" s="94"/>
      <c r="I818" s="94"/>
      <c r="J818" s="94"/>
      <c r="K818" s="94"/>
      <c r="L818" s="94"/>
      <c r="M818" s="94"/>
      <c r="N818" s="94"/>
      <c r="O818" s="94"/>
      <c r="P818" s="94"/>
      <c r="Q818" s="94"/>
      <c r="R818" s="95"/>
      <c r="S818" s="94"/>
      <c r="T818" s="96"/>
      <c r="U818" s="94"/>
      <c r="V818" s="97"/>
      <c r="W818" s="94"/>
      <c r="X818" s="98"/>
      <c r="Y818" s="98"/>
      <c r="Z818" s="98"/>
      <c r="AA818" s="98"/>
      <c r="AB818" s="98"/>
      <c r="AC818" s="97"/>
      <c r="AD818" s="99"/>
      <c r="AE818" s="95"/>
      <c r="AF818" s="94"/>
      <c r="AG818" s="89"/>
      <c r="AH818" s="89"/>
      <c r="AI818" s="89"/>
      <c r="AJ818" s="89"/>
      <c r="AK818" s="89"/>
      <c r="AL818" s="89"/>
      <c r="AM818" s="89"/>
      <c r="AN818" s="89"/>
      <c r="AO818" s="89"/>
      <c r="AP818" s="89"/>
      <c r="AQ818" s="89"/>
      <c r="AR818" s="89"/>
      <c r="AS818" s="89"/>
      <c r="AT818" s="89"/>
      <c r="AU818" s="89"/>
      <c r="AV818" s="89"/>
      <c r="AW818" s="100"/>
      <c r="AX818" s="100"/>
      <c r="AY818" s="89"/>
      <c r="AZ818" s="89"/>
      <c r="BA818" s="89"/>
      <c r="BB818" s="89"/>
      <c r="BC818" s="89"/>
      <c r="BD818" s="89"/>
      <c r="BE818" s="89"/>
      <c r="BF818" s="89"/>
      <c r="BG818" s="89"/>
      <c r="BH818" s="89"/>
      <c r="BI818" s="89"/>
      <c r="BJ818" s="89"/>
      <c r="BK818" s="89"/>
      <c r="BL818" s="89"/>
      <c r="BM818" s="89"/>
      <c r="BN818" s="89"/>
      <c r="BO818" s="89"/>
      <c r="BP818" s="89"/>
      <c r="BQ818" s="89"/>
      <c r="BR818" s="89"/>
      <c r="BS818" s="89"/>
    </row>
    <row r="819" spans="1:71" ht="27" customHeight="1" x14ac:dyDescent="0.2">
      <c r="A819" s="93"/>
      <c r="B819" s="89"/>
      <c r="C819" s="89"/>
      <c r="D819" s="89"/>
      <c r="E819" s="89"/>
      <c r="F819" s="89"/>
      <c r="G819" s="89"/>
      <c r="H819" s="94"/>
      <c r="I819" s="94"/>
      <c r="J819" s="94"/>
      <c r="K819" s="94"/>
      <c r="L819" s="94"/>
      <c r="M819" s="94"/>
      <c r="N819" s="94"/>
      <c r="O819" s="94"/>
      <c r="P819" s="94"/>
      <c r="Q819" s="94"/>
      <c r="R819" s="95"/>
      <c r="S819" s="94"/>
      <c r="T819" s="96"/>
      <c r="U819" s="94"/>
      <c r="V819" s="97"/>
      <c r="W819" s="94"/>
      <c r="X819" s="98"/>
      <c r="Y819" s="98"/>
      <c r="Z819" s="98"/>
      <c r="AA819" s="98"/>
      <c r="AB819" s="98"/>
      <c r="AC819" s="97"/>
      <c r="AD819" s="99"/>
      <c r="AE819" s="95"/>
      <c r="AF819" s="94"/>
      <c r="AG819" s="89"/>
      <c r="AH819" s="89"/>
      <c r="AI819" s="89"/>
      <c r="AJ819" s="89"/>
      <c r="AK819" s="89"/>
      <c r="AL819" s="89"/>
      <c r="AM819" s="89"/>
      <c r="AN819" s="89"/>
      <c r="AO819" s="89"/>
      <c r="AP819" s="89"/>
      <c r="AQ819" s="89"/>
      <c r="AR819" s="89"/>
      <c r="AS819" s="89"/>
      <c r="AT819" s="89"/>
      <c r="AU819" s="89"/>
      <c r="AV819" s="89"/>
      <c r="AW819" s="100"/>
      <c r="AX819" s="100"/>
      <c r="AY819" s="89"/>
      <c r="AZ819" s="89"/>
      <c r="BA819" s="89"/>
      <c r="BB819" s="89"/>
      <c r="BC819" s="89"/>
      <c r="BD819" s="89"/>
      <c r="BE819" s="89"/>
      <c r="BF819" s="89"/>
      <c r="BG819" s="89"/>
      <c r="BH819" s="89"/>
      <c r="BI819" s="89"/>
      <c r="BJ819" s="89"/>
      <c r="BK819" s="89"/>
      <c r="BL819" s="89"/>
      <c r="BM819" s="89"/>
      <c r="BN819" s="89"/>
      <c r="BO819" s="89"/>
      <c r="BP819" s="89"/>
      <c r="BQ819" s="89"/>
      <c r="BR819" s="89"/>
      <c r="BS819" s="89"/>
    </row>
    <row r="820" spans="1:71" ht="27" customHeight="1" x14ac:dyDescent="0.2">
      <c r="A820" s="93"/>
      <c r="B820" s="89"/>
      <c r="C820" s="89"/>
      <c r="D820" s="89"/>
      <c r="E820" s="89"/>
      <c r="F820" s="89"/>
      <c r="G820" s="89"/>
      <c r="H820" s="94"/>
      <c r="I820" s="94"/>
      <c r="J820" s="94"/>
      <c r="K820" s="94"/>
      <c r="L820" s="94"/>
      <c r="M820" s="94"/>
      <c r="N820" s="94"/>
      <c r="O820" s="94"/>
      <c r="P820" s="94"/>
      <c r="Q820" s="94"/>
      <c r="R820" s="95"/>
      <c r="S820" s="94"/>
      <c r="T820" s="96"/>
      <c r="U820" s="94"/>
      <c r="V820" s="97"/>
      <c r="W820" s="94"/>
      <c r="X820" s="98"/>
      <c r="Y820" s="98"/>
      <c r="Z820" s="98"/>
      <c r="AA820" s="98"/>
      <c r="AB820" s="98"/>
      <c r="AC820" s="97"/>
      <c r="AD820" s="99"/>
      <c r="AE820" s="95"/>
      <c r="AF820" s="94"/>
      <c r="AG820" s="89"/>
      <c r="AH820" s="89"/>
      <c r="AI820" s="89"/>
      <c r="AJ820" s="89"/>
      <c r="AK820" s="89"/>
      <c r="AL820" s="89"/>
      <c r="AM820" s="89"/>
      <c r="AN820" s="89"/>
      <c r="AO820" s="89"/>
      <c r="AP820" s="89"/>
      <c r="AQ820" s="89"/>
      <c r="AR820" s="89"/>
      <c r="AS820" s="89"/>
      <c r="AT820" s="89"/>
      <c r="AU820" s="89"/>
      <c r="AV820" s="89"/>
      <c r="AW820" s="100"/>
      <c r="AX820" s="100"/>
      <c r="AY820" s="89"/>
      <c r="AZ820" s="89"/>
      <c r="BA820" s="89"/>
      <c r="BB820" s="89"/>
      <c r="BC820" s="89"/>
      <c r="BD820" s="89"/>
      <c r="BE820" s="89"/>
      <c r="BF820" s="89"/>
      <c r="BG820" s="89"/>
      <c r="BH820" s="89"/>
      <c r="BI820" s="89"/>
      <c r="BJ820" s="89"/>
      <c r="BK820" s="89"/>
      <c r="BL820" s="89"/>
      <c r="BM820" s="89"/>
      <c r="BN820" s="89"/>
      <c r="BO820" s="89"/>
      <c r="BP820" s="89"/>
      <c r="BQ820" s="89"/>
      <c r="BR820" s="89"/>
      <c r="BS820" s="89"/>
    </row>
    <row r="821" spans="1:71" ht="27" customHeight="1" x14ac:dyDescent="0.2">
      <c r="A821" s="93"/>
      <c r="B821" s="89"/>
      <c r="C821" s="89"/>
      <c r="D821" s="89"/>
      <c r="E821" s="89"/>
      <c r="F821" s="89"/>
      <c r="G821" s="89"/>
      <c r="H821" s="94"/>
      <c r="I821" s="94"/>
      <c r="J821" s="94"/>
      <c r="K821" s="94"/>
      <c r="L821" s="94"/>
      <c r="M821" s="94"/>
      <c r="N821" s="94"/>
      <c r="O821" s="94"/>
      <c r="P821" s="94"/>
      <c r="Q821" s="94"/>
      <c r="R821" s="95"/>
      <c r="S821" s="94"/>
      <c r="T821" s="96"/>
      <c r="U821" s="94"/>
      <c r="V821" s="97"/>
      <c r="W821" s="94"/>
      <c r="X821" s="98"/>
      <c r="Y821" s="98"/>
      <c r="Z821" s="98"/>
      <c r="AA821" s="98"/>
      <c r="AB821" s="98"/>
      <c r="AC821" s="97"/>
      <c r="AD821" s="99"/>
      <c r="AE821" s="95"/>
      <c r="AF821" s="94"/>
      <c r="AG821" s="89"/>
      <c r="AH821" s="89"/>
      <c r="AI821" s="89"/>
      <c r="AJ821" s="89"/>
      <c r="AK821" s="89"/>
      <c r="AL821" s="89"/>
      <c r="AM821" s="89"/>
      <c r="AN821" s="89"/>
      <c r="AO821" s="89"/>
      <c r="AP821" s="89"/>
      <c r="AQ821" s="89"/>
      <c r="AR821" s="89"/>
      <c r="AS821" s="89"/>
      <c r="AT821" s="89"/>
      <c r="AU821" s="89"/>
      <c r="AV821" s="89"/>
      <c r="AW821" s="100"/>
      <c r="AX821" s="100"/>
      <c r="AY821" s="89"/>
      <c r="AZ821" s="89"/>
      <c r="BA821" s="89"/>
      <c r="BB821" s="89"/>
      <c r="BC821" s="89"/>
      <c r="BD821" s="89"/>
      <c r="BE821" s="89"/>
      <c r="BF821" s="89"/>
      <c r="BG821" s="89"/>
      <c r="BH821" s="89"/>
      <c r="BI821" s="89"/>
      <c r="BJ821" s="89"/>
      <c r="BK821" s="89"/>
      <c r="BL821" s="89"/>
      <c r="BM821" s="89"/>
      <c r="BN821" s="89"/>
      <c r="BO821" s="89"/>
      <c r="BP821" s="89"/>
      <c r="BQ821" s="89"/>
      <c r="BR821" s="89"/>
      <c r="BS821" s="89"/>
    </row>
    <row r="822" spans="1:71" ht="27" customHeight="1" x14ac:dyDescent="0.2">
      <c r="A822" s="93"/>
      <c r="B822" s="89"/>
      <c r="C822" s="89"/>
      <c r="D822" s="89"/>
      <c r="E822" s="89"/>
      <c r="F822" s="89"/>
      <c r="G822" s="89"/>
      <c r="H822" s="94"/>
      <c r="I822" s="94"/>
      <c r="J822" s="94"/>
      <c r="K822" s="94"/>
      <c r="L822" s="94"/>
      <c r="M822" s="94"/>
      <c r="N822" s="94"/>
      <c r="O822" s="94"/>
      <c r="P822" s="94"/>
      <c r="Q822" s="94"/>
      <c r="R822" s="95"/>
      <c r="S822" s="94"/>
      <c r="T822" s="96"/>
      <c r="U822" s="94"/>
      <c r="V822" s="97"/>
      <c r="W822" s="94"/>
      <c r="X822" s="98"/>
      <c r="Y822" s="98"/>
      <c r="Z822" s="98"/>
      <c r="AA822" s="98"/>
      <c r="AB822" s="98"/>
      <c r="AC822" s="97"/>
      <c r="AD822" s="99"/>
      <c r="AE822" s="95"/>
      <c r="AF822" s="94"/>
      <c r="AG822" s="89"/>
      <c r="AH822" s="89"/>
      <c r="AI822" s="89"/>
      <c r="AJ822" s="89"/>
      <c r="AK822" s="89"/>
      <c r="AL822" s="89"/>
      <c r="AM822" s="89"/>
      <c r="AN822" s="89"/>
      <c r="AO822" s="89"/>
      <c r="AP822" s="89"/>
      <c r="AQ822" s="89"/>
      <c r="AR822" s="89"/>
      <c r="AS822" s="89"/>
      <c r="AT822" s="89"/>
      <c r="AU822" s="89"/>
      <c r="AV822" s="89"/>
      <c r="AW822" s="100"/>
      <c r="AX822" s="100"/>
      <c r="AY822" s="89"/>
      <c r="AZ822" s="89"/>
      <c r="BA822" s="89"/>
      <c r="BB822" s="89"/>
      <c r="BC822" s="89"/>
      <c r="BD822" s="89"/>
      <c r="BE822" s="89"/>
      <c r="BF822" s="89"/>
      <c r="BG822" s="89"/>
      <c r="BH822" s="89"/>
      <c r="BI822" s="89"/>
      <c r="BJ822" s="89"/>
      <c r="BK822" s="89"/>
      <c r="BL822" s="89"/>
      <c r="BM822" s="89"/>
      <c r="BN822" s="89"/>
      <c r="BO822" s="89"/>
      <c r="BP822" s="89"/>
      <c r="BQ822" s="89"/>
      <c r="BR822" s="89"/>
      <c r="BS822" s="89"/>
    </row>
    <row r="823" spans="1:71" ht="27" customHeight="1" x14ac:dyDescent="0.2">
      <c r="A823" s="93"/>
      <c r="B823" s="89"/>
      <c r="C823" s="89"/>
      <c r="D823" s="89"/>
      <c r="E823" s="89"/>
      <c r="F823" s="89"/>
      <c r="G823" s="89"/>
      <c r="H823" s="94"/>
      <c r="I823" s="94"/>
      <c r="J823" s="94"/>
      <c r="K823" s="94"/>
      <c r="L823" s="94"/>
      <c r="M823" s="94"/>
      <c r="N823" s="94"/>
      <c r="O823" s="94"/>
      <c r="P823" s="94"/>
      <c r="Q823" s="94"/>
      <c r="R823" s="95"/>
      <c r="S823" s="94"/>
      <c r="T823" s="96"/>
      <c r="U823" s="94"/>
      <c r="V823" s="97"/>
      <c r="W823" s="94"/>
      <c r="X823" s="98"/>
      <c r="Y823" s="98"/>
      <c r="Z823" s="98"/>
      <c r="AA823" s="98"/>
      <c r="AB823" s="98"/>
      <c r="AC823" s="97"/>
      <c r="AD823" s="99"/>
      <c r="AE823" s="95"/>
      <c r="AF823" s="94"/>
      <c r="AG823" s="89"/>
      <c r="AH823" s="89"/>
      <c r="AI823" s="89"/>
      <c r="AJ823" s="89"/>
      <c r="AK823" s="89"/>
      <c r="AL823" s="89"/>
      <c r="AM823" s="89"/>
      <c r="AN823" s="89"/>
      <c r="AO823" s="89"/>
      <c r="AP823" s="89"/>
      <c r="AQ823" s="89"/>
      <c r="AR823" s="89"/>
      <c r="AS823" s="89"/>
      <c r="AT823" s="89"/>
      <c r="AU823" s="89"/>
      <c r="AV823" s="89"/>
      <c r="AW823" s="100"/>
      <c r="AX823" s="100"/>
      <c r="AY823" s="89"/>
      <c r="AZ823" s="89"/>
      <c r="BA823" s="89"/>
      <c r="BB823" s="89"/>
      <c r="BC823" s="89"/>
      <c r="BD823" s="89"/>
      <c r="BE823" s="89"/>
      <c r="BF823" s="89"/>
      <c r="BG823" s="89"/>
      <c r="BH823" s="89"/>
      <c r="BI823" s="89"/>
      <c r="BJ823" s="89"/>
      <c r="BK823" s="89"/>
      <c r="BL823" s="89"/>
      <c r="BM823" s="89"/>
      <c r="BN823" s="89"/>
      <c r="BO823" s="89"/>
      <c r="BP823" s="89"/>
      <c r="BQ823" s="89"/>
      <c r="BR823" s="89"/>
      <c r="BS823" s="89"/>
    </row>
    <row r="824" spans="1:71" ht="27" customHeight="1" x14ac:dyDescent="0.2">
      <c r="A824" s="93"/>
      <c r="B824" s="89"/>
      <c r="C824" s="89"/>
      <c r="D824" s="89"/>
      <c r="E824" s="89"/>
      <c r="F824" s="89"/>
      <c r="G824" s="89"/>
      <c r="H824" s="94"/>
      <c r="I824" s="94"/>
      <c r="J824" s="94"/>
      <c r="K824" s="94"/>
      <c r="L824" s="94"/>
      <c r="M824" s="94"/>
      <c r="N824" s="94"/>
      <c r="O824" s="94"/>
      <c r="P824" s="94"/>
      <c r="Q824" s="94"/>
      <c r="R824" s="95"/>
      <c r="S824" s="94"/>
      <c r="T824" s="96"/>
      <c r="U824" s="94"/>
      <c r="V824" s="97"/>
      <c r="W824" s="94"/>
      <c r="X824" s="98"/>
      <c r="Y824" s="98"/>
      <c r="Z824" s="98"/>
      <c r="AA824" s="98"/>
      <c r="AB824" s="98"/>
      <c r="AC824" s="97"/>
      <c r="AD824" s="99"/>
      <c r="AE824" s="95"/>
      <c r="AF824" s="94"/>
      <c r="AG824" s="89"/>
      <c r="AH824" s="89"/>
      <c r="AI824" s="89"/>
      <c r="AJ824" s="89"/>
      <c r="AK824" s="89"/>
      <c r="AL824" s="89"/>
      <c r="AM824" s="89"/>
      <c r="AN824" s="89"/>
      <c r="AO824" s="89"/>
      <c r="AP824" s="89"/>
      <c r="AQ824" s="89"/>
      <c r="AR824" s="89"/>
      <c r="AS824" s="89"/>
      <c r="AT824" s="89"/>
      <c r="AU824" s="89"/>
      <c r="AV824" s="89"/>
      <c r="AW824" s="100"/>
      <c r="AX824" s="100"/>
      <c r="AY824" s="89"/>
      <c r="AZ824" s="89"/>
      <c r="BA824" s="89"/>
      <c r="BB824" s="89"/>
      <c r="BC824" s="89"/>
      <c r="BD824" s="89"/>
      <c r="BE824" s="89"/>
      <c r="BF824" s="89"/>
      <c r="BG824" s="89"/>
      <c r="BH824" s="89"/>
      <c r="BI824" s="89"/>
      <c r="BJ824" s="89"/>
      <c r="BK824" s="89"/>
      <c r="BL824" s="89"/>
      <c r="BM824" s="89"/>
      <c r="BN824" s="89"/>
      <c r="BO824" s="89"/>
      <c r="BP824" s="89"/>
      <c r="BQ824" s="89"/>
      <c r="BR824" s="89"/>
      <c r="BS824" s="89"/>
    </row>
    <row r="825" spans="1:71" ht="27" customHeight="1" x14ac:dyDescent="0.2">
      <c r="A825" s="93"/>
      <c r="B825" s="89"/>
      <c r="C825" s="89"/>
      <c r="D825" s="89"/>
      <c r="E825" s="89"/>
      <c r="F825" s="89"/>
      <c r="G825" s="89"/>
      <c r="H825" s="94"/>
      <c r="I825" s="94"/>
      <c r="J825" s="94"/>
      <c r="K825" s="94"/>
      <c r="L825" s="94"/>
      <c r="M825" s="94"/>
      <c r="N825" s="94"/>
      <c r="O825" s="94"/>
      <c r="P825" s="94"/>
      <c r="Q825" s="94"/>
      <c r="R825" s="95"/>
      <c r="S825" s="94"/>
      <c r="T825" s="96"/>
      <c r="U825" s="94"/>
      <c r="V825" s="97"/>
      <c r="W825" s="94"/>
      <c r="X825" s="98"/>
      <c r="Y825" s="98"/>
      <c r="Z825" s="98"/>
      <c r="AA825" s="98"/>
      <c r="AB825" s="98"/>
      <c r="AC825" s="97"/>
      <c r="AD825" s="99"/>
      <c r="AE825" s="95"/>
      <c r="AF825" s="94"/>
      <c r="AG825" s="89"/>
      <c r="AH825" s="89"/>
      <c r="AI825" s="89"/>
      <c r="AJ825" s="89"/>
      <c r="AK825" s="89"/>
      <c r="AL825" s="89"/>
      <c r="AM825" s="89"/>
      <c r="AN825" s="89"/>
      <c r="AO825" s="89"/>
      <c r="AP825" s="89"/>
      <c r="AQ825" s="89"/>
      <c r="AR825" s="89"/>
      <c r="AS825" s="89"/>
      <c r="AT825" s="89"/>
      <c r="AU825" s="89"/>
      <c r="AV825" s="89"/>
      <c r="AW825" s="100"/>
      <c r="AX825" s="100"/>
      <c r="AY825" s="89"/>
      <c r="AZ825" s="89"/>
      <c r="BA825" s="89"/>
      <c r="BB825" s="89"/>
      <c r="BC825" s="89"/>
      <c r="BD825" s="89"/>
      <c r="BE825" s="89"/>
      <c r="BF825" s="89"/>
      <c r="BG825" s="89"/>
      <c r="BH825" s="89"/>
      <c r="BI825" s="89"/>
      <c r="BJ825" s="89"/>
      <c r="BK825" s="89"/>
      <c r="BL825" s="89"/>
      <c r="BM825" s="89"/>
      <c r="BN825" s="89"/>
      <c r="BO825" s="89"/>
      <c r="BP825" s="89"/>
      <c r="BQ825" s="89"/>
      <c r="BR825" s="89"/>
      <c r="BS825" s="89"/>
    </row>
    <row r="826" spans="1:71" ht="27" customHeight="1" x14ac:dyDescent="0.2">
      <c r="A826" s="93"/>
      <c r="B826" s="89"/>
      <c r="C826" s="89"/>
      <c r="D826" s="89"/>
      <c r="E826" s="89"/>
      <c r="F826" s="89"/>
      <c r="G826" s="89"/>
      <c r="H826" s="94"/>
      <c r="I826" s="94"/>
      <c r="J826" s="94"/>
      <c r="K826" s="94"/>
      <c r="L826" s="94"/>
      <c r="M826" s="94"/>
      <c r="N826" s="94"/>
      <c r="O826" s="94"/>
      <c r="P826" s="94"/>
      <c r="Q826" s="94"/>
      <c r="R826" s="95"/>
      <c r="S826" s="94"/>
      <c r="T826" s="96"/>
      <c r="U826" s="94"/>
      <c r="V826" s="97"/>
      <c r="W826" s="94"/>
      <c r="X826" s="98"/>
      <c r="Y826" s="98"/>
      <c r="Z826" s="98"/>
      <c r="AA826" s="98"/>
      <c r="AB826" s="98"/>
      <c r="AC826" s="97"/>
      <c r="AD826" s="99"/>
      <c r="AE826" s="95"/>
      <c r="AF826" s="94"/>
      <c r="AG826" s="89"/>
      <c r="AH826" s="89"/>
      <c r="AI826" s="89"/>
      <c r="AJ826" s="89"/>
      <c r="AK826" s="89"/>
      <c r="AL826" s="89"/>
      <c r="AM826" s="89"/>
      <c r="AN826" s="89"/>
      <c r="AO826" s="89"/>
      <c r="AP826" s="89"/>
      <c r="AQ826" s="89"/>
      <c r="AR826" s="89"/>
      <c r="AS826" s="89"/>
      <c r="AT826" s="89"/>
      <c r="AU826" s="89"/>
      <c r="AV826" s="89"/>
      <c r="AW826" s="100"/>
      <c r="AX826" s="100"/>
      <c r="AY826" s="89"/>
      <c r="AZ826" s="89"/>
      <c r="BA826" s="89"/>
      <c r="BB826" s="89"/>
      <c r="BC826" s="89"/>
      <c r="BD826" s="89"/>
      <c r="BE826" s="89"/>
      <c r="BF826" s="89"/>
      <c r="BG826" s="89"/>
      <c r="BH826" s="89"/>
      <c r="BI826" s="89"/>
      <c r="BJ826" s="89"/>
      <c r="BK826" s="89"/>
      <c r="BL826" s="89"/>
      <c r="BM826" s="89"/>
      <c r="BN826" s="89"/>
      <c r="BO826" s="89"/>
      <c r="BP826" s="89"/>
      <c r="BQ826" s="89"/>
      <c r="BR826" s="89"/>
      <c r="BS826" s="89"/>
    </row>
    <row r="827" spans="1:71" ht="27" customHeight="1" x14ac:dyDescent="0.2">
      <c r="A827" s="93"/>
      <c r="B827" s="89"/>
      <c r="C827" s="89"/>
      <c r="D827" s="89"/>
      <c r="E827" s="89"/>
      <c r="F827" s="89"/>
      <c r="G827" s="89"/>
      <c r="H827" s="94"/>
      <c r="I827" s="94"/>
      <c r="J827" s="94"/>
      <c r="K827" s="94"/>
      <c r="L827" s="94"/>
      <c r="M827" s="94"/>
      <c r="N827" s="94"/>
      <c r="O827" s="94"/>
      <c r="P827" s="94"/>
      <c r="Q827" s="94"/>
      <c r="R827" s="95"/>
      <c r="S827" s="94"/>
      <c r="T827" s="96"/>
      <c r="U827" s="94"/>
      <c r="V827" s="97"/>
      <c r="W827" s="94"/>
      <c r="X827" s="98"/>
      <c r="Y827" s="98"/>
      <c r="Z827" s="98"/>
      <c r="AA827" s="98"/>
      <c r="AB827" s="98"/>
      <c r="AC827" s="97"/>
      <c r="AD827" s="99"/>
      <c r="AE827" s="95"/>
      <c r="AF827" s="94"/>
      <c r="AG827" s="89"/>
      <c r="AH827" s="89"/>
      <c r="AI827" s="89"/>
      <c r="AJ827" s="89"/>
      <c r="AK827" s="89"/>
      <c r="AL827" s="89"/>
      <c r="AM827" s="89"/>
      <c r="AN827" s="89"/>
      <c r="AO827" s="89"/>
      <c r="AP827" s="89"/>
      <c r="AQ827" s="89"/>
      <c r="AR827" s="89"/>
      <c r="AS827" s="89"/>
      <c r="AT827" s="89"/>
      <c r="AU827" s="89"/>
      <c r="AV827" s="89"/>
      <c r="AW827" s="100"/>
      <c r="AX827" s="100"/>
      <c r="AY827" s="89"/>
      <c r="AZ827" s="89"/>
      <c r="BA827" s="89"/>
      <c r="BB827" s="89"/>
      <c r="BC827" s="89"/>
      <c r="BD827" s="89"/>
      <c r="BE827" s="89"/>
      <c r="BF827" s="89"/>
      <c r="BG827" s="89"/>
      <c r="BH827" s="89"/>
      <c r="BI827" s="89"/>
      <c r="BJ827" s="89"/>
      <c r="BK827" s="89"/>
      <c r="BL827" s="89"/>
      <c r="BM827" s="89"/>
      <c r="BN827" s="89"/>
      <c r="BO827" s="89"/>
      <c r="BP827" s="89"/>
      <c r="BQ827" s="89"/>
      <c r="BR827" s="89"/>
      <c r="BS827" s="89"/>
    </row>
    <row r="828" spans="1:71" ht="27" customHeight="1" x14ac:dyDescent="0.2">
      <c r="A828" s="93"/>
      <c r="B828" s="89"/>
      <c r="C828" s="89"/>
      <c r="D828" s="89"/>
      <c r="E828" s="89"/>
      <c r="F828" s="89"/>
      <c r="G828" s="89"/>
      <c r="H828" s="94"/>
      <c r="I828" s="94"/>
      <c r="J828" s="94"/>
      <c r="K828" s="94"/>
      <c r="L828" s="94"/>
      <c r="M828" s="94"/>
      <c r="N828" s="94"/>
      <c r="O828" s="94"/>
      <c r="P828" s="94"/>
      <c r="Q828" s="94"/>
      <c r="R828" s="95"/>
      <c r="S828" s="94"/>
      <c r="T828" s="96"/>
      <c r="U828" s="94"/>
      <c r="V828" s="97"/>
      <c r="W828" s="94"/>
      <c r="X828" s="98"/>
      <c r="Y828" s="98"/>
      <c r="Z828" s="98"/>
      <c r="AA828" s="98"/>
      <c r="AB828" s="98"/>
      <c r="AC828" s="97"/>
      <c r="AD828" s="99"/>
      <c r="AE828" s="95"/>
      <c r="AF828" s="94"/>
      <c r="AG828" s="89"/>
      <c r="AH828" s="89"/>
      <c r="AI828" s="89"/>
      <c r="AJ828" s="89"/>
      <c r="AK828" s="89"/>
      <c r="AL828" s="89"/>
      <c r="AM828" s="89"/>
      <c r="AN828" s="89"/>
      <c r="AO828" s="89"/>
      <c r="AP828" s="89"/>
      <c r="AQ828" s="89"/>
      <c r="AR828" s="89"/>
      <c r="AS828" s="89"/>
      <c r="AT828" s="89"/>
      <c r="AU828" s="89"/>
      <c r="AV828" s="89"/>
      <c r="AW828" s="100"/>
      <c r="AX828" s="100"/>
      <c r="AY828" s="89"/>
      <c r="AZ828" s="89"/>
      <c r="BA828" s="89"/>
      <c r="BB828" s="89"/>
      <c r="BC828" s="89"/>
      <c r="BD828" s="89"/>
      <c r="BE828" s="89"/>
      <c r="BF828" s="89"/>
      <c r="BG828" s="89"/>
      <c r="BH828" s="89"/>
      <c r="BI828" s="89"/>
      <c r="BJ828" s="89"/>
      <c r="BK828" s="89"/>
      <c r="BL828" s="89"/>
      <c r="BM828" s="89"/>
      <c r="BN828" s="89"/>
      <c r="BO828" s="89"/>
      <c r="BP828" s="89"/>
      <c r="BQ828" s="89"/>
      <c r="BR828" s="89"/>
      <c r="BS828" s="89"/>
    </row>
    <row r="829" spans="1:71" ht="27" customHeight="1" x14ac:dyDescent="0.2">
      <c r="A829" s="93"/>
      <c r="B829" s="89"/>
      <c r="C829" s="89"/>
      <c r="D829" s="89"/>
      <c r="E829" s="89"/>
      <c r="F829" s="89"/>
      <c r="G829" s="89"/>
      <c r="H829" s="94"/>
      <c r="I829" s="94"/>
      <c r="J829" s="94"/>
      <c r="K829" s="94"/>
      <c r="L829" s="94"/>
      <c r="M829" s="94"/>
      <c r="N829" s="94"/>
      <c r="O829" s="94"/>
      <c r="P829" s="94"/>
      <c r="Q829" s="94"/>
      <c r="R829" s="95"/>
      <c r="S829" s="94"/>
      <c r="T829" s="96"/>
      <c r="U829" s="94"/>
      <c r="V829" s="97"/>
      <c r="W829" s="94"/>
      <c r="X829" s="98"/>
      <c r="Y829" s="98"/>
      <c r="Z829" s="98"/>
      <c r="AA829" s="98"/>
      <c r="AB829" s="98"/>
      <c r="AC829" s="97"/>
      <c r="AD829" s="99"/>
      <c r="AE829" s="95"/>
      <c r="AF829" s="94"/>
      <c r="AG829" s="89"/>
      <c r="AH829" s="89"/>
      <c r="AI829" s="89"/>
      <c r="AJ829" s="89"/>
      <c r="AK829" s="89"/>
      <c r="AL829" s="89"/>
      <c r="AM829" s="89"/>
      <c r="AN829" s="89"/>
      <c r="AO829" s="89"/>
      <c r="AP829" s="89"/>
      <c r="AQ829" s="89"/>
      <c r="AR829" s="89"/>
      <c r="AS829" s="89"/>
      <c r="AT829" s="89"/>
      <c r="AU829" s="89"/>
      <c r="AV829" s="89"/>
      <c r="AW829" s="100"/>
      <c r="AX829" s="100"/>
      <c r="AY829" s="89"/>
      <c r="AZ829" s="89"/>
      <c r="BA829" s="89"/>
      <c r="BB829" s="89"/>
      <c r="BC829" s="89"/>
      <c r="BD829" s="89"/>
      <c r="BE829" s="89"/>
      <c r="BF829" s="89"/>
      <c r="BG829" s="89"/>
      <c r="BH829" s="89"/>
      <c r="BI829" s="89"/>
      <c r="BJ829" s="89"/>
      <c r="BK829" s="89"/>
      <c r="BL829" s="89"/>
      <c r="BM829" s="89"/>
      <c r="BN829" s="89"/>
      <c r="BO829" s="89"/>
      <c r="BP829" s="89"/>
      <c r="BQ829" s="89"/>
      <c r="BR829" s="89"/>
      <c r="BS829" s="89"/>
    </row>
    <row r="830" spans="1:71" ht="27" customHeight="1" x14ac:dyDescent="0.2">
      <c r="A830" s="93"/>
      <c r="B830" s="89"/>
      <c r="C830" s="89"/>
      <c r="D830" s="89"/>
      <c r="E830" s="89"/>
      <c r="F830" s="89"/>
      <c r="G830" s="89"/>
      <c r="H830" s="94"/>
      <c r="I830" s="94"/>
      <c r="J830" s="94"/>
      <c r="K830" s="94"/>
      <c r="L830" s="94"/>
      <c r="M830" s="94"/>
      <c r="N830" s="94"/>
      <c r="O830" s="94"/>
      <c r="P830" s="94"/>
      <c r="Q830" s="94"/>
      <c r="R830" s="95"/>
      <c r="S830" s="94"/>
      <c r="T830" s="96"/>
      <c r="U830" s="94"/>
      <c r="V830" s="97"/>
      <c r="W830" s="94"/>
      <c r="X830" s="98"/>
      <c r="Y830" s="98"/>
      <c r="Z830" s="98"/>
      <c r="AA830" s="98"/>
      <c r="AB830" s="98"/>
      <c r="AC830" s="97"/>
      <c r="AD830" s="99"/>
      <c r="AE830" s="95"/>
      <c r="AF830" s="94"/>
      <c r="AG830" s="89"/>
      <c r="AH830" s="89"/>
      <c r="AI830" s="89"/>
      <c r="AJ830" s="89"/>
      <c r="AK830" s="89"/>
      <c r="AL830" s="89"/>
      <c r="AM830" s="89"/>
      <c r="AN830" s="89"/>
      <c r="AO830" s="89"/>
      <c r="AP830" s="89"/>
      <c r="AQ830" s="89"/>
      <c r="AR830" s="89"/>
      <c r="AS830" s="89"/>
      <c r="AT830" s="89"/>
      <c r="AU830" s="89"/>
      <c r="AV830" s="89"/>
      <c r="AW830" s="100"/>
      <c r="AX830" s="100"/>
      <c r="AY830" s="89"/>
      <c r="AZ830" s="89"/>
      <c r="BA830" s="89"/>
      <c r="BB830" s="89"/>
      <c r="BC830" s="89"/>
      <c r="BD830" s="89"/>
      <c r="BE830" s="89"/>
      <c r="BF830" s="89"/>
      <c r="BG830" s="89"/>
      <c r="BH830" s="89"/>
      <c r="BI830" s="89"/>
      <c r="BJ830" s="89"/>
      <c r="BK830" s="89"/>
      <c r="BL830" s="89"/>
      <c r="BM830" s="89"/>
      <c r="BN830" s="89"/>
      <c r="BO830" s="89"/>
      <c r="BP830" s="89"/>
      <c r="BQ830" s="89"/>
      <c r="BR830" s="89"/>
      <c r="BS830" s="89"/>
    </row>
    <row r="831" spans="1:71" ht="27" customHeight="1" x14ac:dyDescent="0.2">
      <c r="A831" s="93"/>
      <c r="B831" s="89"/>
      <c r="C831" s="89"/>
      <c r="D831" s="89"/>
      <c r="E831" s="89"/>
      <c r="F831" s="89"/>
      <c r="G831" s="89"/>
      <c r="H831" s="94"/>
      <c r="I831" s="94"/>
      <c r="J831" s="94"/>
      <c r="K831" s="94"/>
      <c r="L831" s="94"/>
      <c r="M831" s="94"/>
      <c r="N831" s="94"/>
      <c r="O831" s="94"/>
      <c r="P831" s="94"/>
      <c r="Q831" s="94"/>
      <c r="R831" s="95"/>
      <c r="S831" s="94"/>
      <c r="T831" s="96"/>
      <c r="U831" s="94"/>
      <c r="V831" s="97"/>
      <c r="W831" s="94"/>
      <c r="X831" s="98"/>
      <c r="Y831" s="98"/>
      <c r="Z831" s="98"/>
      <c r="AA831" s="98"/>
      <c r="AB831" s="98"/>
      <c r="AC831" s="97"/>
      <c r="AD831" s="99"/>
      <c r="AE831" s="95"/>
      <c r="AF831" s="94"/>
      <c r="AG831" s="89"/>
      <c r="AH831" s="89"/>
      <c r="AI831" s="89"/>
      <c r="AJ831" s="89"/>
      <c r="AK831" s="89"/>
      <c r="AL831" s="89"/>
      <c r="AM831" s="89"/>
      <c r="AN831" s="89"/>
      <c r="AO831" s="89"/>
      <c r="AP831" s="89"/>
      <c r="AQ831" s="89"/>
      <c r="AR831" s="89"/>
      <c r="AS831" s="89"/>
      <c r="AT831" s="89"/>
      <c r="AU831" s="89"/>
      <c r="AV831" s="89"/>
      <c r="AW831" s="100"/>
      <c r="AX831" s="100"/>
      <c r="AY831" s="89"/>
      <c r="AZ831" s="89"/>
      <c r="BA831" s="89"/>
      <c r="BB831" s="89"/>
      <c r="BC831" s="89"/>
      <c r="BD831" s="89"/>
      <c r="BE831" s="89"/>
      <c r="BF831" s="89"/>
      <c r="BG831" s="89"/>
      <c r="BH831" s="89"/>
      <c r="BI831" s="89"/>
      <c r="BJ831" s="89"/>
      <c r="BK831" s="89"/>
      <c r="BL831" s="89"/>
      <c r="BM831" s="89"/>
      <c r="BN831" s="89"/>
      <c r="BO831" s="89"/>
      <c r="BP831" s="89"/>
      <c r="BQ831" s="89"/>
      <c r="BR831" s="89"/>
      <c r="BS831" s="89"/>
    </row>
    <row r="832" spans="1:71" ht="27" customHeight="1" x14ac:dyDescent="0.2">
      <c r="A832" s="93"/>
      <c r="B832" s="89"/>
      <c r="C832" s="89"/>
      <c r="D832" s="89"/>
      <c r="E832" s="89"/>
      <c r="F832" s="89"/>
      <c r="G832" s="89"/>
      <c r="H832" s="94"/>
      <c r="I832" s="94"/>
      <c r="J832" s="94"/>
      <c r="K832" s="94"/>
      <c r="L832" s="94"/>
      <c r="M832" s="94"/>
      <c r="N832" s="94"/>
      <c r="O832" s="94"/>
      <c r="P832" s="94"/>
      <c r="Q832" s="94"/>
      <c r="R832" s="95"/>
      <c r="S832" s="94"/>
      <c r="T832" s="96"/>
      <c r="U832" s="94"/>
      <c r="V832" s="97"/>
      <c r="W832" s="94"/>
      <c r="X832" s="98"/>
      <c r="Y832" s="98"/>
      <c r="Z832" s="98"/>
      <c r="AA832" s="98"/>
      <c r="AB832" s="98"/>
      <c r="AC832" s="97"/>
      <c r="AD832" s="99"/>
      <c r="AE832" s="95"/>
      <c r="AF832" s="94"/>
      <c r="AG832" s="89"/>
      <c r="AH832" s="89"/>
      <c r="AI832" s="89"/>
      <c r="AJ832" s="89"/>
      <c r="AK832" s="89"/>
      <c r="AL832" s="89"/>
      <c r="AM832" s="89"/>
      <c r="AN832" s="89"/>
      <c r="AO832" s="89"/>
      <c r="AP832" s="89"/>
      <c r="AQ832" s="89"/>
      <c r="AR832" s="89"/>
      <c r="AS832" s="89"/>
      <c r="AT832" s="89"/>
      <c r="AU832" s="89"/>
      <c r="AV832" s="89"/>
      <c r="AW832" s="100"/>
      <c r="AX832" s="100"/>
      <c r="AY832" s="89"/>
      <c r="AZ832" s="89"/>
      <c r="BA832" s="89"/>
      <c r="BB832" s="89"/>
      <c r="BC832" s="89"/>
      <c r="BD832" s="89"/>
      <c r="BE832" s="89"/>
      <c r="BF832" s="89"/>
      <c r="BG832" s="89"/>
      <c r="BH832" s="89"/>
      <c r="BI832" s="89"/>
      <c r="BJ832" s="89"/>
      <c r="BK832" s="89"/>
      <c r="BL832" s="89"/>
      <c r="BM832" s="89"/>
      <c r="BN832" s="89"/>
      <c r="BO832" s="89"/>
      <c r="BP832" s="89"/>
      <c r="BQ832" s="89"/>
      <c r="BR832" s="89"/>
      <c r="BS832" s="89"/>
    </row>
    <row r="833" spans="1:71" ht="27" customHeight="1" x14ac:dyDescent="0.2">
      <c r="A833" s="93"/>
      <c r="B833" s="89"/>
      <c r="C833" s="89"/>
      <c r="D833" s="89"/>
      <c r="E833" s="89"/>
      <c r="F833" s="89"/>
      <c r="G833" s="89"/>
      <c r="H833" s="94"/>
      <c r="I833" s="94"/>
      <c r="J833" s="94"/>
      <c r="K833" s="94"/>
      <c r="L833" s="94"/>
      <c r="M833" s="94"/>
      <c r="N833" s="94"/>
      <c r="O833" s="94"/>
      <c r="P833" s="94"/>
      <c r="Q833" s="94"/>
      <c r="R833" s="95"/>
      <c r="S833" s="94"/>
      <c r="T833" s="96"/>
      <c r="U833" s="94"/>
      <c r="V833" s="97"/>
      <c r="W833" s="94"/>
      <c r="X833" s="98"/>
      <c r="Y833" s="98"/>
      <c r="Z833" s="98"/>
      <c r="AA833" s="98"/>
      <c r="AB833" s="98"/>
      <c r="AC833" s="97"/>
      <c r="AD833" s="99"/>
      <c r="AE833" s="95"/>
      <c r="AF833" s="94"/>
      <c r="AG833" s="89"/>
      <c r="AH833" s="89"/>
      <c r="AI833" s="89"/>
      <c r="AJ833" s="89"/>
      <c r="AK833" s="89"/>
      <c r="AL833" s="89"/>
      <c r="AM833" s="89"/>
      <c r="AN833" s="89"/>
      <c r="AO833" s="89"/>
      <c r="AP833" s="89"/>
      <c r="AQ833" s="89"/>
      <c r="AR833" s="89"/>
      <c r="AS833" s="89"/>
      <c r="AT833" s="89"/>
      <c r="AU833" s="89"/>
      <c r="AV833" s="89"/>
      <c r="AW833" s="100"/>
      <c r="AX833" s="100"/>
      <c r="AY833" s="89"/>
      <c r="AZ833" s="89"/>
      <c r="BA833" s="89"/>
      <c r="BB833" s="89"/>
      <c r="BC833" s="89"/>
      <c r="BD833" s="89"/>
      <c r="BE833" s="89"/>
      <c r="BF833" s="89"/>
      <c r="BG833" s="89"/>
      <c r="BH833" s="89"/>
      <c r="BI833" s="89"/>
      <c r="BJ833" s="89"/>
      <c r="BK833" s="89"/>
      <c r="BL833" s="89"/>
      <c r="BM833" s="89"/>
      <c r="BN833" s="89"/>
      <c r="BO833" s="89"/>
      <c r="BP833" s="89"/>
      <c r="BQ833" s="89"/>
      <c r="BR833" s="89"/>
      <c r="BS833" s="89"/>
    </row>
    <row r="834" spans="1:71" ht="27" customHeight="1" x14ac:dyDescent="0.2">
      <c r="A834" s="93"/>
      <c r="B834" s="89"/>
      <c r="C834" s="89"/>
      <c r="D834" s="89"/>
      <c r="E834" s="89"/>
      <c r="F834" s="89"/>
      <c r="G834" s="89"/>
      <c r="H834" s="94"/>
      <c r="I834" s="94"/>
      <c r="J834" s="94"/>
      <c r="K834" s="94"/>
      <c r="L834" s="94"/>
      <c r="M834" s="94"/>
      <c r="N834" s="94"/>
      <c r="O834" s="94"/>
      <c r="P834" s="94"/>
      <c r="Q834" s="94"/>
      <c r="R834" s="95"/>
      <c r="S834" s="94"/>
      <c r="T834" s="96"/>
      <c r="U834" s="94"/>
      <c r="V834" s="97"/>
      <c r="W834" s="94"/>
      <c r="X834" s="98"/>
      <c r="Y834" s="98"/>
      <c r="Z834" s="98"/>
      <c r="AA834" s="98"/>
      <c r="AB834" s="98"/>
      <c r="AC834" s="97"/>
      <c r="AD834" s="99"/>
      <c r="AE834" s="95"/>
      <c r="AF834" s="94"/>
      <c r="AG834" s="89"/>
      <c r="AH834" s="89"/>
      <c r="AI834" s="89"/>
      <c r="AJ834" s="89"/>
      <c r="AK834" s="89"/>
      <c r="AL834" s="89"/>
      <c r="AM834" s="89"/>
      <c r="AN834" s="89"/>
      <c r="AO834" s="89"/>
      <c r="AP834" s="89"/>
      <c r="AQ834" s="89"/>
      <c r="AR834" s="89"/>
      <c r="AS834" s="89"/>
      <c r="AT834" s="89"/>
      <c r="AU834" s="89"/>
      <c r="AV834" s="89"/>
      <c r="AW834" s="100"/>
      <c r="AX834" s="100"/>
      <c r="AY834" s="89"/>
      <c r="AZ834" s="89"/>
      <c r="BA834" s="89"/>
      <c r="BB834" s="89"/>
      <c r="BC834" s="89"/>
      <c r="BD834" s="89"/>
      <c r="BE834" s="89"/>
      <c r="BF834" s="89"/>
      <c r="BG834" s="89"/>
      <c r="BH834" s="89"/>
      <c r="BI834" s="89"/>
      <c r="BJ834" s="89"/>
      <c r="BK834" s="89"/>
      <c r="BL834" s="89"/>
      <c r="BM834" s="89"/>
      <c r="BN834" s="89"/>
      <c r="BO834" s="89"/>
      <c r="BP834" s="89"/>
      <c r="BQ834" s="89"/>
      <c r="BR834" s="89"/>
      <c r="BS834" s="89"/>
    </row>
    <row r="835" spans="1:71" ht="27" customHeight="1" x14ac:dyDescent="0.2">
      <c r="A835" s="93"/>
      <c r="B835" s="89"/>
      <c r="C835" s="89"/>
      <c r="D835" s="89"/>
      <c r="E835" s="89"/>
      <c r="F835" s="89"/>
      <c r="G835" s="89"/>
      <c r="H835" s="94"/>
      <c r="I835" s="94"/>
      <c r="J835" s="94"/>
      <c r="K835" s="94"/>
      <c r="L835" s="94"/>
      <c r="M835" s="94"/>
      <c r="N835" s="94"/>
      <c r="O835" s="94"/>
      <c r="P835" s="94"/>
      <c r="Q835" s="94"/>
      <c r="R835" s="95"/>
      <c r="S835" s="94"/>
      <c r="T835" s="96"/>
      <c r="U835" s="94"/>
      <c r="V835" s="97"/>
      <c r="W835" s="94"/>
      <c r="X835" s="98"/>
      <c r="Y835" s="98"/>
      <c r="Z835" s="98"/>
      <c r="AA835" s="98"/>
      <c r="AB835" s="98"/>
      <c r="AC835" s="97"/>
      <c r="AD835" s="99"/>
      <c r="AE835" s="95"/>
      <c r="AF835" s="94"/>
      <c r="AG835" s="89"/>
      <c r="AH835" s="89"/>
      <c r="AI835" s="89"/>
      <c r="AJ835" s="89"/>
      <c r="AK835" s="89"/>
      <c r="AL835" s="89"/>
      <c r="AM835" s="89"/>
      <c r="AN835" s="89"/>
      <c r="AO835" s="89"/>
      <c r="AP835" s="89"/>
      <c r="AQ835" s="89"/>
      <c r="AR835" s="89"/>
      <c r="AS835" s="89"/>
      <c r="AT835" s="89"/>
      <c r="AU835" s="89"/>
      <c r="AV835" s="89"/>
      <c r="AW835" s="100"/>
      <c r="AX835" s="100"/>
      <c r="AY835" s="89"/>
      <c r="AZ835" s="89"/>
      <c r="BA835" s="89"/>
      <c r="BB835" s="89"/>
      <c r="BC835" s="89"/>
      <c r="BD835" s="89"/>
      <c r="BE835" s="89"/>
      <c r="BF835" s="89"/>
      <c r="BG835" s="89"/>
      <c r="BH835" s="89"/>
      <c r="BI835" s="89"/>
      <c r="BJ835" s="89"/>
      <c r="BK835" s="89"/>
      <c r="BL835" s="89"/>
      <c r="BM835" s="89"/>
      <c r="BN835" s="89"/>
      <c r="BO835" s="89"/>
      <c r="BP835" s="89"/>
      <c r="BQ835" s="89"/>
      <c r="BR835" s="89"/>
      <c r="BS835" s="89"/>
    </row>
    <row r="836" spans="1:71" ht="27" customHeight="1" x14ac:dyDescent="0.2">
      <c r="A836" s="93"/>
      <c r="B836" s="89"/>
      <c r="C836" s="89"/>
      <c r="D836" s="89"/>
      <c r="E836" s="89"/>
      <c r="F836" s="89"/>
      <c r="G836" s="89"/>
      <c r="H836" s="94"/>
      <c r="I836" s="94"/>
      <c r="J836" s="94"/>
      <c r="K836" s="94"/>
      <c r="L836" s="94"/>
      <c r="M836" s="94"/>
      <c r="N836" s="94"/>
      <c r="O836" s="94"/>
      <c r="P836" s="94"/>
      <c r="Q836" s="94"/>
      <c r="R836" s="95"/>
      <c r="S836" s="94"/>
      <c r="T836" s="96"/>
      <c r="U836" s="94"/>
      <c r="V836" s="97"/>
      <c r="W836" s="94"/>
      <c r="X836" s="98"/>
      <c r="Y836" s="98"/>
      <c r="Z836" s="98"/>
      <c r="AA836" s="98"/>
      <c r="AB836" s="98"/>
      <c r="AC836" s="97"/>
      <c r="AD836" s="99"/>
      <c r="AE836" s="95"/>
      <c r="AF836" s="94"/>
      <c r="AG836" s="89"/>
      <c r="AH836" s="89"/>
      <c r="AI836" s="89"/>
      <c r="AJ836" s="89"/>
      <c r="AK836" s="89"/>
      <c r="AL836" s="89"/>
      <c r="AM836" s="89"/>
      <c r="AN836" s="89"/>
      <c r="AO836" s="89"/>
      <c r="AP836" s="89"/>
      <c r="AQ836" s="89"/>
      <c r="AR836" s="89"/>
      <c r="AS836" s="89"/>
      <c r="AT836" s="89"/>
      <c r="AU836" s="89"/>
      <c r="AV836" s="89"/>
      <c r="AW836" s="100"/>
      <c r="AX836" s="100"/>
      <c r="AY836" s="89"/>
      <c r="AZ836" s="89"/>
      <c r="BA836" s="89"/>
      <c r="BB836" s="89"/>
      <c r="BC836" s="89"/>
      <c r="BD836" s="89"/>
      <c r="BE836" s="89"/>
      <c r="BF836" s="89"/>
      <c r="BG836" s="89"/>
      <c r="BH836" s="89"/>
      <c r="BI836" s="89"/>
      <c r="BJ836" s="89"/>
      <c r="BK836" s="89"/>
      <c r="BL836" s="89"/>
      <c r="BM836" s="89"/>
      <c r="BN836" s="89"/>
      <c r="BO836" s="89"/>
      <c r="BP836" s="89"/>
      <c r="BQ836" s="89"/>
      <c r="BR836" s="89"/>
      <c r="BS836" s="89"/>
    </row>
    <row r="837" spans="1:71" ht="27" customHeight="1" x14ac:dyDescent="0.2">
      <c r="A837" s="93"/>
      <c r="B837" s="89"/>
      <c r="C837" s="89"/>
      <c r="D837" s="89"/>
      <c r="E837" s="89"/>
      <c r="F837" s="89"/>
      <c r="G837" s="89"/>
      <c r="H837" s="94"/>
      <c r="I837" s="94"/>
      <c r="J837" s="94"/>
      <c r="K837" s="94"/>
      <c r="L837" s="94"/>
      <c r="M837" s="94"/>
      <c r="N837" s="94"/>
      <c r="O837" s="94"/>
      <c r="P837" s="94"/>
      <c r="Q837" s="94"/>
      <c r="R837" s="95"/>
      <c r="S837" s="94"/>
      <c r="T837" s="96"/>
      <c r="U837" s="94"/>
      <c r="V837" s="97"/>
      <c r="W837" s="94"/>
      <c r="X837" s="98"/>
      <c r="Y837" s="98"/>
      <c r="Z837" s="98"/>
      <c r="AA837" s="98"/>
      <c r="AB837" s="98"/>
      <c r="AC837" s="97"/>
      <c r="AD837" s="99"/>
      <c r="AE837" s="95"/>
      <c r="AF837" s="94"/>
      <c r="AG837" s="89"/>
      <c r="AH837" s="89"/>
      <c r="AI837" s="89"/>
      <c r="AJ837" s="89"/>
      <c r="AK837" s="89"/>
      <c r="AL837" s="89"/>
      <c r="AM837" s="89"/>
      <c r="AN837" s="89"/>
      <c r="AO837" s="89"/>
      <c r="AP837" s="89"/>
      <c r="AQ837" s="89"/>
      <c r="AR837" s="89"/>
      <c r="AS837" s="89"/>
      <c r="AT837" s="89"/>
      <c r="AU837" s="89"/>
      <c r="AV837" s="89"/>
      <c r="AW837" s="100"/>
      <c r="AX837" s="100"/>
      <c r="AY837" s="89"/>
      <c r="AZ837" s="89"/>
      <c r="BA837" s="89"/>
      <c r="BB837" s="89"/>
      <c r="BC837" s="89"/>
      <c r="BD837" s="89"/>
      <c r="BE837" s="89"/>
      <c r="BF837" s="89"/>
      <c r="BG837" s="89"/>
      <c r="BH837" s="89"/>
      <c r="BI837" s="89"/>
      <c r="BJ837" s="89"/>
      <c r="BK837" s="89"/>
      <c r="BL837" s="89"/>
      <c r="BM837" s="89"/>
      <c r="BN837" s="89"/>
      <c r="BO837" s="89"/>
      <c r="BP837" s="89"/>
      <c r="BQ837" s="89"/>
      <c r="BR837" s="89"/>
      <c r="BS837" s="89"/>
    </row>
    <row r="838" spans="1:71" ht="27" customHeight="1" x14ac:dyDescent="0.2">
      <c r="A838" s="93"/>
      <c r="B838" s="89"/>
      <c r="C838" s="89"/>
      <c r="D838" s="89"/>
      <c r="E838" s="89"/>
      <c r="F838" s="89"/>
      <c r="G838" s="89"/>
      <c r="H838" s="94"/>
      <c r="I838" s="94"/>
      <c r="J838" s="94"/>
      <c r="K838" s="94"/>
      <c r="L838" s="94"/>
      <c r="M838" s="94"/>
      <c r="N838" s="94"/>
      <c r="O838" s="94"/>
      <c r="P838" s="94"/>
      <c r="Q838" s="94"/>
      <c r="R838" s="95"/>
      <c r="S838" s="94"/>
      <c r="T838" s="96"/>
      <c r="U838" s="94"/>
      <c r="V838" s="97"/>
      <c r="W838" s="94"/>
      <c r="X838" s="98"/>
      <c r="Y838" s="98"/>
      <c r="Z838" s="98"/>
      <c r="AA838" s="98"/>
      <c r="AB838" s="98"/>
      <c r="AC838" s="97"/>
      <c r="AD838" s="99"/>
      <c r="AE838" s="95"/>
      <c r="AF838" s="94"/>
      <c r="AG838" s="89"/>
      <c r="AH838" s="89"/>
      <c r="AI838" s="89"/>
      <c r="AJ838" s="89"/>
      <c r="AK838" s="89"/>
      <c r="AL838" s="89"/>
      <c r="AM838" s="89"/>
      <c r="AN838" s="89"/>
      <c r="AO838" s="89"/>
      <c r="AP838" s="89"/>
      <c r="AQ838" s="89"/>
      <c r="AR838" s="89"/>
      <c r="AS838" s="89"/>
      <c r="AT838" s="89"/>
      <c r="AU838" s="89"/>
      <c r="AV838" s="89"/>
      <c r="AW838" s="100"/>
      <c r="AX838" s="100"/>
      <c r="AY838" s="89"/>
      <c r="AZ838" s="89"/>
      <c r="BA838" s="89"/>
      <c r="BB838" s="89"/>
      <c r="BC838" s="89"/>
      <c r="BD838" s="89"/>
      <c r="BE838" s="89"/>
      <c r="BF838" s="89"/>
      <c r="BG838" s="89"/>
      <c r="BH838" s="89"/>
      <c r="BI838" s="89"/>
      <c r="BJ838" s="89"/>
      <c r="BK838" s="89"/>
      <c r="BL838" s="89"/>
      <c r="BM838" s="89"/>
      <c r="BN838" s="89"/>
      <c r="BO838" s="89"/>
      <c r="BP838" s="89"/>
      <c r="BQ838" s="89"/>
      <c r="BR838" s="89"/>
      <c r="BS838" s="89"/>
    </row>
    <row r="839" spans="1:71" ht="27" customHeight="1" x14ac:dyDescent="0.2">
      <c r="A839" s="93"/>
      <c r="B839" s="89"/>
      <c r="C839" s="89"/>
      <c r="D839" s="89"/>
      <c r="E839" s="89"/>
      <c r="F839" s="89"/>
      <c r="G839" s="89"/>
      <c r="H839" s="94"/>
      <c r="I839" s="94"/>
      <c r="J839" s="94"/>
      <c r="K839" s="94"/>
      <c r="L839" s="94"/>
      <c r="M839" s="94"/>
      <c r="N839" s="94"/>
      <c r="O839" s="94"/>
      <c r="P839" s="94"/>
      <c r="Q839" s="94"/>
      <c r="R839" s="95"/>
      <c r="S839" s="94"/>
      <c r="T839" s="96"/>
      <c r="U839" s="94"/>
      <c r="V839" s="97"/>
      <c r="W839" s="94"/>
      <c r="X839" s="98"/>
      <c r="Y839" s="98"/>
      <c r="Z839" s="98"/>
      <c r="AA839" s="98"/>
      <c r="AB839" s="98"/>
      <c r="AC839" s="97"/>
      <c r="AD839" s="99"/>
      <c r="AE839" s="95"/>
      <c r="AF839" s="94"/>
      <c r="AG839" s="89"/>
      <c r="AH839" s="89"/>
      <c r="AI839" s="89"/>
      <c r="AJ839" s="89"/>
      <c r="AK839" s="89"/>
      <c r="AL839" s="89"/>
      <c r="AM839" s="89"/>
      <c r="AN839" s="89"/>
      <c r="AO839" s="89"/>
      <c r="AP839" s="89"/>
      <c r="AQ839" s="89"/>
      <c r="AR839" s="89"/>
      <c r="AS839" s="89"/>
      <c r="AT839" s="89"/>
      <c r="AU839" s="89"/>
      <c r="AV839" s="89"/>
      <c r="AW839" s="100"/>
      <c r="AX839" s="100"/>
      <c r="AY839" s="89"/>
      <c r="AZ839" s="89"/>
      <c r="BA839" s="89"/>
      <c r="BB839" s="89"/>
      <c r="BC839" s="89"/>
      <c r="BD839" s="89"/>
      <c r="BE839" s="89"/>
      <c r="BF839" s="89"/>
      <c r="BG839" s="89"/>
      <c r="BH839" s="89"/>
      <c r="BI839" s="89"/>
      <c r="BJ839" s="89"/>
      <c r="BK839" s="89"/>
      <c r="BL839" s="89"/>
      <c r="BM839" s="89"/>
      <c r="BN839" s="89"/>
      <c r="BO839" s="89"/>
      <c r="BP839" s="89"/>
      <c r="BQ839" s="89"/>
      <c r="BR839" s="89"/>
      <c r="BS839" s="89"/>
    </row>
    <row r="840" spans="1:71" ht="27" customHeight="1" x14ac:dyDescent="0.2">
      <c r="A840" s="93"/>
      <c r="B840" s="89"/>
      <c r="C840" s="89"/>
      <c r="D840" s="89"/>
      <c r="E840" s="89"/>
      <c r="F840" s="89"/>
      <c r="G840" s="89"/>
      <c r="H840" s="94"/>
      <c r="I840" s="94"/>
      <c r="J840" s="94"/>
      <c r="K840" s="94"/>
      <c r="L840" s="94"/>
      <c r="M840" s="94"/>
      <c r="N840" s="94"/>
      <c r="O840" s="94"/>
      <c r="P840" s="94"/>
      <c r="Q840" s="94"/>
      <c r="R840" s="95"/>
      <c r="S840" s="94"/>
      <c r="T840" s="96"/>
      <c r="U840" s="94"/>
      <c r="V840" s="97"/>
      <c r="W840" s="94"/>
      <c r="X840" s="98"/>
      <c r="Y840" s="98"/>
      <c r="Z840" s="98"/>
      <c r="AA840" s="98"/>
      <c r="AB840" s="98"/>
      <c r="AC840" s="97"/>
      <c r="AD840" s="99"/>
      <c r="AE840" s="95"/>
      <c r="AF840" s="94"/>
      <c r="AG840" s="89"/>
      <c r="AH840" s="89"/>
      <c r="AI840" s="89"/>
      <c r="AJ840" s="89"/>
      <c r="AK840" s="89"/>
      <c r="AL840" s="89"/>
      <c r="AM840" s="89"/>
      <c r="AN840" s="89"/>
      <c r="AO840" s="89"/>
      <c r="AP840" s="89"/>
      <c r="AQ840" s="89"/>
      <c r="AR840" s="89"/>
      <c r="AS840" s="89"/>
      <c r="AT840" s="89"/>
      <c r="AU840" s="89"/>
      <c r="AV840" s="89"/>
      <c r="AW840" s="100"/>
      <c r="AX840" s="100"/>
      <c r="AY840" s="89"/>
      <c r="AZ840" s="89"/>
      <c r="BA840" s="89"/>
      <c r="BB840" s="89"/>
      <c r="BC840" s="89"/>
      <c r="BD840" s="89"/>
      <c r="BE840" s="89"/>
      <c r="BF840" s="89"/>
      <c r="BG840" s="89"/>
      <c r="BH840" s="89"/>
      <c r="BI840" s="89"/>
      <c r="BJ840" s="89"/>
      <c r="BK840" s="89"/>
      <c r="BL840" s="89"/>
      <c r="BM840" s="89"/>
      <c r="BN840" s="89"/>
      <c r="BO840" s="89"/>
      <c r="BP840" s="89"/>
      <c r="BQ840" s="89"/>
      <c r="BR840" s="89"/>
      <c r="BS840" s="89"/>
    </row>
    <row r="841" spans="1:71" ht="27" customHeight="1" x14ac:dyDescent="0.2">
      <c r="A841" s="93"/>
      <c r="B841" s="89"/>
      <c r="C841" s="89"/>
      <c r="D841" s="89"/>
      <c r="E841" s="89"/>
      <c r="F841" s="89"/>
      <c r="G841" s="89"/>
      <c r="H841" s="94"/>
      <c r="I841" s="94"/>
      <c r="J841" s="94"/>
      <c r="K841" s="94"/>
      <c r="L841" s="94"/>
      <c r="M841" s="94"/>
      <c r="N841" s="94"/>
      <c r="O841" s="94"/>
      <c r="P841" s="94"/>
      <c r="Q841" s="94"/>
      <c r="R841" s="95"/>
      <c r="S841" s="94"/>
      <c r="T841" s="96"/>
      <c r="U841" s="94"/>
      <c r="V841" s="97"/>
      <c r="W841" s="94"/>
      <c r="X841" s="98"/>
      <c r="Y841" s="98"/>
      <c r="Z841" s="98"/>
      <c r="AA841" s="98"/>
      <c r="AB841" s="98"/>
      <c r="AC841" s="97"/>
      <c r="AD841" s="99"/>
      <c r="AE841" s="95"/>
      <c r="AF841" s="94"/>
      <c r="AG841" s="89"/>
      <c r="AH841" s="89"/>
      <c r="AI841" s="89"/>
      <c r="AJ841" s="89"/>
      <c r="AK841" s="89"/>
      <c r="AL841" s="89"/>
      <c r="AM841" s="89"/>
      <c r="AN841" s="89"/>
      <c r="AO841" s="89"/>
      <c r="AP841" s="89"/>
      <c r="AQ841" s="89"/>
      <c r="AR841" s="89"/>
      <c r="AS841" s="89"/>
      <c r="AT841" s="89"/>
      <c r="AU841" s="89"/>
      <c r="AV841" s="89"/>
      <c r="AW841" s="100"/>
      <c r="AX841" s="100"/>
      <c r="AY841" s="89"/>
      <c r="AZ841" s="89"/>
      <c r="BA841" s="89"/>
      <c r="BB841" s="89"/>
      <c r="BC841" s="89"/>
      <c r="BD841" s="89"/>
      <c r="BE841" s="89"/>
      <c r="BF841" s="89"/>
      <c r="BG841" s="89"/>
      <c r="BH841" s="89"/>
      <c r="BI841" s="89"/>
      <c r="BJ841" s="89"/>
      <c r="BK841" s="89"/>
      <c r="BL841" s="89"/>
      <c r="BM841" s="89"/>
      <c r="BN841" s="89"/>
      <c r="BO841" s="89"/>
      <c r="BP841" s="89"/>
      <c r="BQ841" s="89"/>
      <c r="BR841" s="89"/>
      <c r="BS841" s="89"/>
    </row>
    <row r="842" spans="1:71" ht="27" customHeight="1" x14ac:dyDescent="0.2">
      <c r="A842" s="93"/>
      <c r="B842" s="89"/>
      <c r="C842" s="89"/>
      <c r="D842" s="89"/>
      <c r="E842" s="89"/>
      <c r="F842" s="89"/>
      <c r="G842" s="89"/>
      <c r="H842" s="94"/>
      <c r="I842" s="94"/>
      <c r="J842" s="94"/>
      <c r="K842" s="94"/>
      <c r="L842" s="94"/>
      <c r="M842" s="94"/>
      <c r="N842" s="94"/>
      <c r="O842" s="94"/>
      <c r="P842" s="94"/>
      <c r="Q842" s="94"/>
      <c r="R842" s="95"/>
      <c r="S842" s="94"/>
      <c r="T842" s="96"/>
      <c r="U842" s="94"/>
      <c r="V842" s="97"/>
      <c r="W842" s="94"/>
      <c r="X842" s="98"/>
      <c r="Y842" s="98"/>
      <c r="Z842" s="98"/>
      <c r="AA842" s="98"/>
      <c r="AB842" s="98"/>
      <c r="AC842" s="97"/>
      <c r="AD842" s="99"/>
      <c r="AE842" s="95"/>
      <c r="AF842" s="94"/>
      <c r="AG842" s="89"/>
      <c r="AH842" s="89"/>
      <c r="AI842" s="89"/>
      <c r="AJ842" s="89"/>
      <c r="AK842" s="89"/>
      <c r="AL842" s="89"/>
      <c r="AM842" s="89"/>
      <c r="AN842" s="89"/>
      <c r="AO842" s="89"/>
      <c r="AP842" s="89"/>
      <c r="AQ842" s="89"/>
      <c r="AR842" s="89"/>
      <c r="AS842" s="89"/>
      <c r="AT842" s="89"/>
      <c r="AU842" s="89"/>
      <c r="AV842" s="89"/>
      <c r="AW842" s="100"/>
      <c r="AX842" s="100"/>
      <c r="AY842" s="89"/>
      <c r="AZ842" s="89"/>
      <c r="BA842" s="89"/>
      <c r="BB842" s="89"/>
      <c r="BC842" s="89"/>
      <c r="BD842" s="89"/>
      <c r="BE842" s="89"/>
      <c r="BF842" s="89"/>
      <c r="BG842" s="89"/>
      <c r="BH842" s="89"/>
      <c r="BI842" s="89"/>
      <c r="BJ842" s="89"/>
      <c r="BK842" s="89"/>
      <c r="BL842" s="89"/>
      <c r="BM842" s="89"/>
      <c r="BN842" s="89"/>
      <c r="BO842" s="89"/>
      <c r="BP842" s="89"/>
      <c r="BQ842" s="89"/>
      <c r="BR842" s="89"/>
      <c r="BS842" s="89"/>
    </row>
    <row r="843" spans="1:71" ht="27" customHeight="1" x14ac:dyDescent="0.2">
      <c r="A843" s="93"/>
      <c r="B843" s="89"/>
      <c r="C843" s="89"/>
      <c r="D843" s="89"/>
      <c r="E843" s="89"/>
      <c r="F843" s="89"/>
      <c r="G843" s="89"/>
      <c r="H843" s="94"/>
      <c r="I843" s="94"/>
      <c r="J843" s="94"/>
      <c r="K843" s="94"/>
      <c r="L843" s="94"/>
      <c r="M843" s="94"/>
      <c r="N843" s="94"/>
      <c r="O843" s="94"/>
      <c r="P843" s="94"/>
      <c r="Q843" s="94"/>
      <c r="R843" s="95"/>
      <c r="S843" s="94"/>
      <c r="T843" s="96"/>
      <c r="U843" s="94"/>
      <c r="V843" s="97"/>
      <c r="W843" s="94"/>
      <c r="X843" s="98"/>
      <c r="Y843" s="98"/>
      <c r="Z843" s="98"/>
      <c r="AA843" s="98"/>
      <c r="AB843" s="98"/>
      <c r="AC843" s="97"/>
      <c r="AD843" s="99"/>
      <c r="AE843" s="95"/>
      <c r="AF843" s="94"/>
      <c r="AG843" s="89"/>
      <c r="AH843" s="89"/>
      <c r="AI843" s="89"/>
      <c r="AJ843" s="89"/>
      <c r="AK843" s="89"/>
      <c r="AL843" s="89"/>
      <c r="AM843" s="89"/>
      <c r="AN843" s="89"/>
      <c r="AO843" s="89"/>
      <c r="AP843" s="89"/>
      <c r="AQ843" s="89"/>
      <c r="AR843" s="89"/>
      <c r="AS843" s="89"/>
      <c r="AT843" s="89"/>
      <c r="AU843" s="89"/>
      <c r="AV843" s="89"/>
      <c r="AW843" s="100"/>
      <c r="AX843" s="100"/>
      <c r="AY843" s="89"/>
      <c r="AZ843" s="89"/>
      <c r="BA843" s="89"/>
      <c r="BB843" s="89"/>
      <c r="BC843" s="89"/>
      <c r="BD843" s="89"/>
      <c r="BE843" s="89"/>
      <c r="BF843" s="89"/>
      <c r="BG843" s="89"/>
      <c r="BH843" s="89"/>
      <c r="BI843" s="89"/>
      <c r="BJ843" s="89"/>
      <c r="BK843" s="89"/>
      <c r="BL843" s="89"/>
      <c r="BM843" s="89"/>
      <c r="BN843" s="89"/>
      <c r="BO843" s="89"/>
      <c r="BP843" s="89"/>
      <c r="BQ843" s="89"/>
      <c r="BR843" s="89"/>
      <c r="BS843" s="89"/>
    </row>
    <row r="844" spans="1:71" ht="27" customHeight="1" x14ac:dyDescent="0.2">
      <c r="A844" s="93"/>
      <c r="B844" s="89"/>
      <c r="C844" s="89"/>
      <c r="D844" s="89"/>
      <c r="E844" s="89"/>
      <c r="F844" s="89"/>
      <c r="G844" s="89"/>
      <c r="H844" s="94"/>
      <c r="I844" s="94"/>
      <c r="J844" s="94"/>
      <c r="K844" s="94"/>
      <c r="L844" s="94"/>
      <c r="M844" s="94"/>
      <c r="N844" s="94"/>
      <c r="O844" s="94"/>
      <c r="P844" s="94"/>
      <c r="Q844" s="94"/>
      <c r="R844" s="95"/>
      <c r="S844" s="94"/>
      <c r="T844" s="96"/>
      <c r="U844" s="94"/>
      <c r="V844" s="97"/>
      <c r="W844" s="94"/>
      <c r="X844" s="98"/>
      <c r="Y844" s="98"/>
      <c r="Z844" s="98"/>
      <c r="AA844" s="98"/>
      <c r="AB844" s="98"/>
      <c r="AC844" s="97"/>
      <c r="AD844" s="99"/>
      <c r="AE844" s="95"/>
      <c r="AF844" s="94"/>
      <c r="AG844" s="89"/>
      <c r="AH844" s="89"/>
      <c r="AI844" s="89"/>
      <c r="AJ844" s="89"/>
      <c r="AK844" s="89"/>
      <c r="AL844" s="89"/>
      <c r="AM844" s="89"/>
      <c r="AN844" s="89"/>
      <c r="AO844" s="89"/>
      <c r="AP844" s="89"/>
      <c r="AQ844" s="89"/>
      <c r="AR844" s="89"/>
      <c r="AS844" s="89"/>
      <c r="AT844" s="89"/>
      <c r="AU844" s="89"/>
      <c r="AV844" s="89"/>
      <c r="AW844" s="100"/>
      <c r="AX844" s="100"/>
      <c r="AY844" s="89"/>
      <c r="AZ844" s="89"/>
      <c r="BA844" s="89"/>
      <c r="BB844" s="89"/>
      <c r="BC844" s="89"/>
      <c r="BD844" s="89"/>
      <c r="BE844" s="89"/>
      <c r="BF844" s="89"/>
      <c r="BG844" s="89"/>
      <c r="BH844" s="89"/>
      <c r="BI844" s="89"/>
      <c r="BJ844" s="89"/>
      <c r="BK844" s="89"/>
      <c r="BL844" s="89"/>
      <c r="BM844" s="89"/>
      <c r="BN844" s="89"/>
      <c r="BO844" s="89"/>
      <c r="BP844" s="89"/>
      <c r="BQ844" s="89"/>
      <c r="BR844" s="89"/>
      <c r="BS844" s="89"/>
    </row>
    <row r="845" spans="1:71" ht="27" customHeight="1" x14ac:dyDescent="0.2">
      <c r="A845" s="93"/>
      <c r="B845" s="89"/>
      <c r="C845" s="89"/>
      <c r="D845" s="89"/>
      <c r="E845" s="89"/>
      <c r="F845" s="89"/>
      <c r="G845" s="89"/>
      <c r="H845" s="94"/>
      <c r="I845" s="94"/>
      <c r="J845" s="94"/>
      <c r="K845" s="94"/>
      <c r="L845" s="94"/>
      <c r="M845" s="94"/>
      <c r="N845" s="94"/>
      <c r="O845" s="94"/>
      <c r="P845" s="94"/>
      <c r="Q845" s="94"/>
      <c r="R845" s="95"/>
      <c r="S845" s="94"/>
      <c r="T845" s="96"/>
      <c r="U845" s="94"/>
      <c r="V845" s="97"/>
      <c r="W845" s="94"/>
      <c r="X845" s="98"/>
      <c r="Y845" s="98"/>
      <c r="Z845" s="98"/>
      <c r="AA845" s="98"/>
      <c r="AB845" s="98"/>
      <c r="AC845" s="97"/>
      <c r="AD845" s="99"/>
      <c r="AE845" s="95"/>
      <c r="AF845" s="94"/>
      <c r="AG845" s="89"/>
      <c r="AH845" s="89"/>
      <c r="AI845" s="89"/>
      <c r="AJ845" s="89"/>
      <c r="AK845" s="89"/>
      <c r="AL845" s="89"/>
      <c r="AM845" s="89"/>
      <c r="AN845" s="89"/>
      <c r="AO845" s="89"/>
      <c r="AP845" s="89"/>
      <c r="AQ845" s="89"/>
      <c r="AR845" s="89"/>
      <c r="AS845" s="89"/>
      <c r="AT845" s="89"/>
      <c r="AU845" s="89"/>
      <c r="AV845" s="89"/>
      <c r="AW845" s="100"/>
      <c r="AX845" s="100"/>
      <c r="AY845" s="89"/>
      <c r="AZ845" s="89"/>
      <c r="BA845" s="89"/>
      <c r="BB845" s="89"/>
      <c r="BC845" s="89"/>
      <c r="BD845" s="89"/>
      <c r="BE845" s="89"/>
      <c r="BF845" s="89"/>
      <c r="BG845" s="89"/>
      <c r="BH845" s="89"/>
      <c r="BI845" s="89"/>
      <c r="BJ845" s="89"/>
      <c r="BK845" s="89"/>
      <c r="BL845" s="89"/>
      <c r="BM845" s="89"/>
      <c r="BN845" s="89"/>
      <c r="BO845" s="89"/>
      <c r="BP845" s="89"/>
      <c r="BQ845" s="89"/>
      <c r="BR845" s="89"/>
      <c r="BS845" s="89"/>
    </row>
    <row r="846" spans="1:71" ht="27" customHeight="1" x14ac:dyDescent="0.2">
      <c r="A846" s="93"/>
      <c r="B846" s="89"/>
      <c r="C846" s="89"/>
      <c r="D846" s="89"/>
      <c r="E846" s="89"/>
      <c r="F846" s="89"/>
      <c r="G846" s="89"/>
      <c r="H846" s="94"/>
      <c r="I846" s="94"/>
      <c r="J846" s="94"/>
      <c r="K846" s="94"/>
      <c r="L846" s="94"/>
      <c r="M846" s="94"/>
      <c r="N846" s="94"/>
      <c r="O846" s="94"/>
      <c r="P846" s="94"/>
      <c r="Q846" s="94"/>
      <c r="R846" s="95"/>
      <c r="S846" s="94"/>
      <c r="T846" s="96"/>
      <c r="U846" s="94"/>
      <c r="V846" s="97"/>
      <c r="W846" s="94"/>
      <c r="X846" s="98"/>
      <c r="Y846" s="98"/>
      <c r="Z846" s="98"/>
      <c r="AA846" s="98"/>
      <c r="AB846" s="98"/>
      <c r="AC846" s="97"/>
      <c r="AD846" s="99"/>
      <c r="AE846" s="95"/>
      <c r="AF846" s="94"/>
      <c r="AG846" s="89"/>
      <c r="AH846" s="89"/>
      <c r="AI846" s="89"/>
      <c r="AJ846" s="89"/>
      <c r="AK846" s="89"/>
      <c r="AL846" s="89"/>
      <c r="AM846" s="89"/>
      <c r="AN846" s="89"/>
      <c r="AO846" s="89"/>
      <c r="AP846" s="89"/>
      <c r="AQ846" s="89"/>
      <c r="AR846" s="89"/>
      <c r="AS846" s="89"/>
      <c r="AT846" s="89"/>
      <c r="AU846" s="89"/>
      <c r="AV846" s="89"/>
      <c r="AW846" s="100"/>
      <c r="AX846" s="100"/>
      <c r="AY846" s="89"/>
      <c r="AZ846" s="89"/>
      <c r="BA846" s="89"/>
      <c r="BB846" s="89"/>
      <c r="BC846" s="89"/>
      <c r="BD846" s="89"/>
      <c r="BE846" s="89"/>
      <c r="BF846" s="89"/>
      <c r="BG846" s="89"/>
      <c r="BH846" s="89"/>
      <c r="BI846" s="89"/>
      <c r="BJ846" s="89"/>
      <c r="BK846" s="89"/>
      <c r="BL846" s="89"/>
      <c r="BM846" s="89"/>
      <c r="BN846" s="89"/>
      <c r="BO846" s="89"/>
      <c r="BP846" s="89"/>
      <c r="BQ846" s="89"/>
      <c r="BR846" s="89"/>
      <c r="BS846" s="89"/>
    </row>
    <row r="847" spans="1:71" ht="27" customHeight="1" x14ac:dyDescent="0.2">
      <c r="A847" s="93"/>
      <c r="B847" s="89"/>
      <c r="C847" s="89"/>
      <c r="D847" s="89"/>
      <c r="E847" s="89"/>
      <c r="F847" s="89"/>
      <c r="G847" s="89"/>
      <c r="H847" s="94"/>
      <c r="I847" s="94"/>
      <c r="J847" s="94"/>
      <c r="K847" s="94"/>
      <c r="L847" s="94"/>
      <c r="M847" s="94"/>
      <c r="N847" s="94"/>
      <c r="O847" s="94"/>
      <c r="P847" s="94"/>
      <c r="Q847" s="94"/>
      <c r="R847" s="95"/>
      <c r="S847" s="94"/>
      <c r="T847" s="96"/>
      <c r="U847" s="94"/>
      <c r="V847" s="97"/>
      <c r="W847" s="94"/>
      <c r="X847" s="98"/>
      <c r="Y847" s="98"/>
      <c r="Z847" s="98"/>
      <c r="AA847" s="98"/>
      <c r="AB847" s="98"/>
      <c r="AC847" s="97"/>
      <c r="AD847" s="99"/>
      <c r="AE847" s="95"/>
      <c r="AF847" s="94"/>
      <c r="AG847" s="89"/>
      <c r="AH847" s="89"/>
      <c r="AI847" s="89"/>
      <c r="AJ847" s="89"/>
      <c r="AK847" s="89"/>
      <c r="AL847" s="89"/>
      <c r="AM847" s="89"/>
      <c r="AN847" s="89"/>
      <c r="AO847" s="89"/>
      <c r="AP847" s="89"/>
      <c r="AQ847" s="89"/>
      <c r="AR847" s="89"/>
      <c r="AS847" s="89"/>
      <c r="AT847" s="89"/>
      <c r="AU847" s="89"/>
      <c r="AV847" s="89"/>
      <c r="AW847" s="100"/>
      <c r="AX847" s="100"/>
      <c r="AY847" s="89"/>
      <c r="AZ847" s="89"/>
      <c r="BA847" s="89"/>
      <c r="BB847" s="89"/>
      <c r="BC847" s="89"/>
      <c r="BD847" s="89"/>
      <c r="BE847" s="89"/>
      <c r="BF847" s="89"/>
      <c r="BG847" s="89"/>
      <c r="BH847" s="89"/>
      <c r="BI847" s="89"/>
      <c r="BJ847" s="89"/>
      <c r="BK847" s="89"/>
      <c r="BL847" s="89"/>
      <c r="BM847" s="89"/>
      <c r="BN847" s="89"/>
      <c r="BO847" s="89"/>
      <c r="BP847" s="89"/>
      <c r="BQ847" s="89"/>
      <c r="BR847" s="89"/>
      <c r="BS847" s="89"/>
    </row>
    <row r="848" spans="1:71" ht="27" customHeight="1" x14ac:dyDescent="0.2">
      <c r="A848" s="93"/>
      <c r="B848" s="89"/>
      <c r="C848" s="89"/>
      <c r="D848" s="89"/>
      <c r="E848" s="89"/>
      <c r="F848" s="89"/>
      <c r="G848" s="89"/>
      <c r="H848" s="94"/>
      <c r="I848" s="94"/>
      <c r="J848" s="94"/>
      <c r="K848" s="94"/>
      <c r="L848" s="94"/>
      <c r="M848" s="94"/>
      <c r="N848" s="94"/>
      <c r="O848" s="94"/>
      <c r="P848" s="94"/>
      <c r="Q848" s="94"/>
      <c r="R848" s="95"/>
      <c r="S848" s="94"/>
      <c r="T848" s="96"/>
      <c r="U848" s="94"/>
      <c r="V848" s="97"/>
      <c r="W848" s="94"/>
      <c r="X848" s="98"/>
      <c r="Y848" s="98"/>
      <c r="Z848" s="98"/>
      <c r="AA848" s="98"/>
      <c r="AB848" s="98"/>
      <c r="AC848" s="97"/>
      <c r="AD848" s="99"/>
      <c r="AE848" s="95"/>
      <c r="AF848" s="94"/>
      <c r="AG848" s="89"/>
      <c r="AH848" s="89"/>
      <c r="AI848" s="89"/>
      <c r="AJ848" s="89"/>
      <c r="AK848" s="89"/>
      <c r="AL848" s="89"/>
      <c r="AM848" s="89"/>
      <c r="AN848" s="89"/>
      <c r="AO848" s="89"/>
      <c r="AP848" s="89"/>
      <c r="AQ848" s="89"/>
      <c r="AR848" s="89"/>
      <c r="AS848" s="89"/>
      <c r="AT848" s="89"/>
      <c r="AU848" s="89"/>
      <c r="AV848" s="89"/>
      <c r="AW848" s="100"/>
      <c r="AX848" s="100"/>
      <c r="AY848" s="89"/>
      <c r="AZ848" s="89"/>
      <c r="BA848" s="89"/>
      <c r="BB848" s="89"/>
      <c r="BC848" s="89"/>
      <c r="BD848" s="89"/>
      <c r="BE848" s="89"/>
      <c r="BF848" s="89"/>
      <c r="BG848" s="89"/>
      <c r="BH848" s="89"/>
      <c r="BI848" s="89"/>
      <c r="BJ848" s="89"/>
      <c r="BK848" s="89"/>
      <c r="BL848" s="89"/>
      <c r="BM848" s="89"/>
      <c r="BN848" s="89"/>
      <c r="BO848" s="89"/>
      <c r="BP848" s="89"/>
      <c r="BQ848" s="89"/>
      <c r="BR848" s="89"/>
      <c r="BS848" s="89"/>
    </row>
    <row r="849" spans="1:71" ht="27" customHeight="1" x14ac:dyDescent="0.2">
      <c r="A849" s="93"/>
      <c r="B849" s="89"/>
      <c r="C849" s="89"/>
      <c r="D849" s="89"/>
      <c r="E849" s="89"/>
      <c r="F849" s="89"/>
      <c r="G849" s="89"/>
      <c r="H849" s="94"/>
      <c r="I849" s="94"/>
      <c r="J849" s="94"/>
      <c r="K849" s="94"/>
      <c r="L849" s="94"/>
      <c r="M849" s="94"/>
      <c r="N849" s="94"/>
      <c r="O849" s="94"/>
      <c r="P849" s="94"/>
      <c r="Q849" s="94"/>
      <c r="R849" s="95"/>
      <c r="S849" s="94"/>
      <c r="T849" s="96"/>
      <c r="U849" s="94"/>
      <c r="V849" s="97"/>
      <c r="W849" s="94"/>
      <c r="X849" s="98"/>
      <c r="Y849" s="98"/>
      <c r="Z849" s="98"/>
      <c r="AA849" s="98"/>
      <c r="AB849" s="98"/>
      <c r="AC849" s="97"/>
      <c r="AD849" s="99"/>
      <c r="AE849" s="95"/>
      <c r="AF849" s="94"/>
      <c r="AG849" s="89"/>
      <c r="AH849" s="89"/>
      <c r="AI849" s="89"/>
      <c r="AJ849" s="89"/>
      <c r="AK849" s="89"/>
      <c r="AL849" s="89"/>
      <c r="AM849" s="89"/>
      <c r="AN849" s="89"/>
      <c r="AO849" s="89"/>
      <c r="AP849" s="89"/>
      <c r="AQ849" s="89"/>
      <c r="AR849" s="89"/>
      <c r="AS849" s="89"/>
      <c r="AT849" s="89"/>
      <c r="AU849" s="89"/>
      <c r="AV849" s="89"/>
      <c r="AW849" s="100"/>
      <c r="AX849" s="100"/>
      <c r="AY849" s="89"/>
      <c r="AZ849" s="89"/>
      <c r="BA849" s="89"/>
      <c r="BB849" s="89"/>
      <c r="BC849" s="89"/>
      <c r="BD849" s="89"/>
      <c r="BE849" s="89"/>
      <c r="BF849" s="89"/>
      <c r="BG849" s="89"/>
      <c r="BH849" s="89"/>
      <c r="BI849" s="89"/>
      <c r="BJ849" s="89"/>
      <c r="BK849" s="89"/>
      <c r="BL849" s="89"/>
      <c r="BM849" s="89"/>
      <c r="BN849" s="89"/>
      <c r="BO849" s="89"/>
      <c r="BP849" s="89"/>
      <c r="BQ849" s="89"/>
      <c r="BR849" s="89"/>
      <c r="BS849" s="89"/>
    </row>
    <row r="850" spans="1:71" ht="27" customHeight="1" x14ac:dyDescent="0.2">
      <c r="A850" s="93"/>
      <c r="B850" s="89"/>
      <c r="C850" s="89"/>
      <c r="D850" s="89"/>
      <c r="E850" s="89"/>
      <c r="F850" s="89"/>
      <c r="G850" s="89"/>
      <c r="H850" s="94"/>
      <c r="I850" s="94"/>
      <c r="J850" s="94"/>
      <c r="K850" s="94"/>
      <c r="L850" s="94"/>
      <c r="M850" s="94"/>
      <c r="N850" s="94"/>
      <c r="O850" s="94"/>
      <c r="P850" s="94"/>
      <c r="Q850" s="94"/>
      <c r="R850" s="95"/>
      <c r="S850" s="94"/>
      <c r="T850" s="96"/>
      <c r="U850" s="94"/>
      <c r="V850" s="97"/>
      <c r="W850" s="94"/>
      <c r="X850" s="98"/>
      <c r="Y850" s="98"/>
      <c r="Z850" s="98"/>
      <c r="AA850" s="98"/>
      <c r="AB850" s="98"/>
      <c r="AC850" s="97"/>
      <c r="AD850" s="99"/>
      <c r="AE850" s="95"/>
      <c r="AF850" s="94"/>
      <c r="AG850" s="89"/>
      <c r="AH850" s="89"/>
      <c r="AI850" s="89"/>
      <c r="AJ850" s="89"/>
      <c r="AK850" s="89"/>
      <c r="AL850" s="89"/>
      <c r="AM850" s="89"/>
      <c r="AN850" s="89"/>
      <c r="AO850" s="89"/>
      <c r="AP850" s="89"/>
      <c r="AQ850" s="89"/>
      <c r="AR850" s="89"/>
      <c r="AS850" s="89"/>
      <c r="AT850" s="89"/>
      <c r="AU850" s="89"/>
      <c r="AV850" s="89"/>
      <c r="AW850" s="100"/>
      <c r="AX850" s="100"/>
      <c r="AY850" s="89"/>
      <c r="AZ850" s="89"/>
      <c r="BA850" s="89"/>
      <c r="BB850" s="89"/>
      <c r="BC850" s="89"/>
      <c r="BD850" s="89"/>
      <c r="BE850" s="89"/>
      <c r="BF850" s="89"/>
      <c r="BG850" s="89"/>
      <c r="BH850" s="89"/>
      <c r="BI850" s="89"/>
      <c r="BJ850" s="89"/>
      <c r="BK850" s="89"/>
      <c r="BL850" s="89"/>
      <c r="BM850" s="89"/>
      <c r="BN850" s="89"/>
      <c r="BO850" s="89"/>
      <c r="BP850" s="89"/>
      <c r="BQ850" s="89"/>
      <c r="BR850" s="89"/>
      <c r="BS850" s="89"/>
    </row>
    <row r="851" spans="1:71" ht="27" customHeight="1" x14ac:dyDescent="0.2">
      <c r="A851" s="93"/>
      <c r="B851" s="89"/>
      <c r="C851" s="89"/>
      <c r="D851" s="89"/>
      <c r="E851" s="89"/>
      <c r="F851" s="89"/>
      <c r="G851" s="89"/>
      <c r="H851" s="94"/>
      <c r="I851" s="94"/>
      <c r="J851" s="94"/>
      <c r="K851" s="94"/>
      <c r="L851" s="94"/>
      <c r="M851" s="94"/>
      <c r="N851" s="94"/>
      <c r="O851" s="94"/>
      <c r="P851" s="94"/>
      <c r="Q851" s="94"/>
      <c r="R851" s="95"/>
      <c r="S851" s="94"/>
      <c r="T851" s="96"/>
      <c r="U851" s="94"/>
      <c r="V851" s="97"/>
      <c r="W851" s="94"/>
      <c r="X851" s="98"/>
      <c r="Y851" s="98"/>
      <c r="Z851" s="98"/>
      <c r="AA851" s="98"/>
      <c r="AB851" s="98"/>
      <c r="AC851" s="97"/>
      <c r="AD851" s="99"/>
      <c r="AE851" s="95"/>
      <c r="AF851" s="94"/>
      <c r="AG851" s="89"/>
      <c r="AH851" s="89"/>
      <c r="AI851" s="89"/>
      <c r="AJ851" s="89"/>
      <c r="AK851" s="89"/>
      <c r="AL851" s="89"/>
      <c r="AM851" s="89"/>
      <c r="AN851" s="89"/>
      <c r="AO851" s="89"/>
      <c r="AP851" s="89"/>
      <c r="AQ851" s="89"/>
      <c r="AR851" s="89"/>
      <c r="AS851" s="89"/>
      <c r="AT851" s="89"/>
      <c r="AU851" s="89"/>
      <c r="AV851" s="89"/>
      <c r="AW851" s="100"/>
      <c r="AX851" s="100"/>
      <c r="AY851" s="89"/>
      <c r="AZ851" s="89"/>
      <c r="BA851" s="89"/>
      <c r="BB851" s="89"/>
      <c r="BC851" s="89"/>
      <c r="BD851" s="89"/>
      <c r="BE851" s="89"/>
      <c r="BF851" s="89"/>
      <c r="BG851" s="89"/>
      <c r="BH851" s="89"/>
      <c r="BI851" s="89"/>
      <c r="BJ851" s="89"/>
      <c r="BK851" s="89"/>
      <c r="BL851" s="89"/>
      <c r="BM851" s="89"/>
      <c r="BN851" s="89"/>
      <c r="BO851" s="89"/>
      <c r="BP851" s="89"/>
      <c r="BQ851" s="89"/>
      <c r="BR851" s="89"/>
      <c r="BS851" s="89"/>
    </row>
    <row r="852" spans="1:71" ht="27" customHeight="1" x14ac:dyDescent="0.2">
      <c r="A852" s="93"/>
      <c r="B852" s="89"/>
      <c r="C852" s="89"/>
      <c r="D852" s="89"/>
      <c r="E852" s="89"/>
      <c r="F852" s="89"/>
      <c r="G852" s="89"/>
      <c r="H852" s="94"/>
      <c r="I852" s="94"/>
      <c r="J852" s="94"/>
      <c r="K852" s="94"/>
      <c r="L852" s="94"/>
      <c r="M852" s="94"/>
      <c r="N852" s="94"/>
      <c r="O852" s="94"/>
      <c r="P852" s="94"/>
      <c r="Q852" s="94"/>
      <c r="R852" s="95"/>
      <c r="S852" s="94"/>
      <c r="T852" s="96"/>
      <c r="U852" s="94"/>
      <c r="V852" s="97"/>
      <c r="W852" s="94"/>
      <c r="X852" s="98"/>
      <c r="Y852" s="98"/>
      <c r="Z852" s="98"/>
      <c r="AA852" s="98"/>
      <c r="AB852" s="98"/>
      <c r="AC852" s="97"/>
      <c r="AD852" s="99"/>
      <c r="AE852" s="95"/>
      <c r="AF852" s="94"/>
      <c r="AG852" s="89"/>
      <c r="AH852" s="89"/>
      <c r="AI852" s="89"/>
      <c r="AJ852" s="89"/>
      <c r="AK852" s="89"/>
      <c r="AL852" s="89"/>
      <c r="AM852" s="89"/>
      <c r="AN852" s="89"/>
      <c r="AO852" s="89"/>
      <c r="AP852" s="89"/>
      <c r="AQ852" s="89"/>
      <c r="AR852" s="89"/>
      <c r="AS852" s="89"/>
      <c r="AT852" s="89"/>
      <c r="AU852" s="89"/>
      <c r="AV852" s="89"/>
      <c r="AW852" s="100"/>
      <c r="AX852" s="100"/>
      <c r="AY852" s="89"/>
      <c r="AZ852" s="89"/>
      <c r="BA852" s="89"/>
      <c r="BB852" s="89"/>
      <c r="BC852" s="89"/>
      <c r="BD852" s="89"/>
      <c r="BE852" s="89"/>
      <c r="BF852" s="89"/>
      <c r="BG852" s="89"/>
      <c r="BH852" s="89"/>
      <c r="BI852" s="89"/>
      <c r="BJ852" s="89"/>
      <c r="BK852" s="89"/>
      <c r="BL852" s="89"/>
      <c r="BM852" s="89"/>
      <c r="BN852" s="89"/>
      <c r="BO852" s="89"/>
      <c r="BP852" s="89"/>
      <c r="BQ852" s="89"/>
      <c r="BR852" s="89"/>
      <c r="BS852" s="89"/>
    </row>
    <row r="853" spans="1:71" ht="27" customHeight="1" x14ac:dyDescent="0.2">
      <c r="A853" s="93"/>
      <c r="B853" s="89"/>
      <c r="C853" s="89"/>
      <c r="D853" s="89"/>
      <c r="E853" s="89"/>
      <c r="F853" s="89"/>
      <c r="G853" s="89"/>
      <c r="H853" s="94"/>
      <c r="I853" s="94"/>
      <c r="J853" s="94"/>
      <c r="K853" s="94"/>
      <c r="L853" s="94"/>
      <c r="M853" s="94"/>
      <c r="N853" s="94"/>
      <c r="O853" s="94"/>
      <c r="P853" s="94"/>
      <c r="Q853" s="94"/>
      <c r="R853" s="95"/>
      <c r="S853" s="94"/>
      <c r="T853" s="96"/>
      <c r="U853" s="94"/>
      <c r="V853" s="97"/>
      <c r="W853" s="94"/>
      <c r="X853" s="98"/>
      <c r="Y853" s="98"/>
      <c r="Z853" s="98"/>
      <c r="AA853" s="98"/>
      <c r="AB853" s="98"/>
      <c r="AC853" s="97"/>
      <c r="AD853" s="99"/>
      <c r="AE853" s="95"/>
      <c r="AF853" s="94"/>
      <c r="AG853" s="89"/>
      <c r="AH853" s="89"/>
      <c r="AI853" s="89"/>
      <c r="AJ853" s="89"/>
      <c r="AK853" s="89"/>
      <c r="AL853" s="89"/>
      <c r="AM853" s="89"/>
      <c r="AN853" s="89"/>
      <c r="AO853" s="89"/>
      <c r="AP853" s="89"/>
      <c r="AQ853" s="89"/>
      <c r="AR853" s="89"/>
      <c r="AS853" s="89"/>
      <c r="AT853" s="89"/>
      <c r="AU853" s="89"/>
      <c r="AV853" s="89"/>
      <c r="AW853" s="100"/>
      <c r="AX853" s="100"/>
      <c r="AY853" s="89"/>
      <c r="AZ853" s="89"/>
      <c r="BA853" s="89"/>
      <c r="BB853" s="89"/>
      <c r="BC853" s="89"/>
      <c r="BD853" s="89"/>
      <c r="BE853" s="89"/>
      <c r="BF853" s="89"/>
      <c r="BG853" s="89"/>
      <c r="BH853" s="89"/>
      <c r="BI853" s="89"/>
      <c r="BJ853" s="89"/>
      <c r="BK853" s="89"/>
      <c r="BL853" s="89"/>
      <c r="BM853" s="89"/>
      <c r="BN853" s="89"/>
      <c r="BO853" s="89"/>
      <c r="BP853" s="89"/>
      <c r="BQ853" s="89"/>
      <c r="BR853" s="89"/>
      <c r="BS853" s="89"/>
    </row>
    <row r="854" spans="1:71" ht="27" customHeight="1" x14ac:dyDescent="0.2">
      <c r="A854" s="93"/>
      <c r="B854" s="89"/>
      <c r="C854" s="89"/>
      <c r="D854" s="89"/>
      <c r="E854" s="89"/>
      <c r="F854" s="89"/>
      <c r="G854" s="89"/>
      <c r="H854" s="94"/>
      <c r="I854" s="94"/>
      <c r="J854" s="94"/>
      <c r="K854" s="94"/>
      <c r="L854" s="94"/>
      <c r="M854" s="94"/>
      <c r="N854" s="94"/>
      <c r="O854" s="94"/>
      <c r="P854" s="94"/>
      <c r="Q854" s="94"/>
      <c r="R854" s="95"/>
      <c r="S854" s="94"/>
      <c r="T854" s="96"/>
      <c r="U854" s="94"/>
      <c r="V854" s="97"/>
      <c r="W854" s="94"/>
      <c r="X854" s="98"/>
      <c r="Y854" s="98"/>
      <c r="Z854" s="98"/>
      <c r="AA854" s="98"/>
      <c r="AB854" s="98"/>
      <c r="AC854" s="97"/>
      <c r="AD854" s="99"/>
      <c r="AE854" s="95"/>
      <c r="AF854" s="94"/>
      <c r="AG854" s="89"/>
      <c r="AH854" s="89"/>
      <c r="AI854" s="89"/>
      <c r="AJ854" s="89"/>
      <c r="AK854" s="89"/>
      <c r="AL854" s="89"/>
      <c r="AM854" s="89"/>
      <c r="AN854" s="89"/>
      <c r="AO854" s="89"/>
      <c r="AP854" s="89"/>
      <c r="AQ854" s="89"/>
      <c r="AR854" s="89"/>
      <c r="AS854" s="89"/>
      <c r="AT854" s="89"/>
      <c r="AU854" s="89"/>
      <c r="AV854" s="89"/>
      <c r="AW854" s="100"/>
      <c r="AX854" s="100"/>
      <c r="AY854" s="89"/>
      <c r="AZ854" s="89"/>
      <c r="BA854" s="89"/>
      <c r="BB854" s="89"/>
      <c r="BC854" s="89"/>
      <c r="BD854" s="89"/>
      <c r="BE854" s="89"/>
      <c r="BF854" s="89"/>
      <c r="BG854" s="89"/>
      <c r="BH854" s="89"/>
      <c r="BI854" s="89"/>
      <c r="BJ854" s="89"/>
      <c r="BK854" s="89"/>
      <c r="BL854" s="89"/>
      <c r="BM854" s="89"/>
      <c r="BN854" s="89"/>
      <c r="BO854" s="89"/>
      <c r="BP854" s="89"/>
      <c r="BQ854" s="89"/>
      <c r="BR854" s="89"/>
      <c r="BS854" s="89"/>
    </row>
    <row r="855" spans="1:71" ht="27" customHeight="1" x14ac:dyDescent="0.2">
      <c r="A855" s="93"/>
      <c r="B855" s="89"/>
      <c r="C855" s="89"/>
      <c r="D855" s="89"/>
      <c r="E855" s="89"/>
      <c r="F855" s="89"/>
      <c r="G855" s="89"/>
      <c r="H855" s="94"/>
      <c r="I855" s="94"/>
      <c r="J855" s="94"/>
      <c r="K855" s="94"/>
      <c r="L855" s="94"/>
      <c r="M855" s="94"/>
      <c r="N855" s="94"/>
      <c r="O855" s="94"/>
      <c r="P855" s="94"/>
      <c r="Q855" s="94"/>
      <c r="R855" s="95"/>
      <c r="S855" s="94"/>
      <c r="T855" s="96"/>
      <c r="U855" s="94"/>
      <c r="V855" s="97"/>
      <c r="W855" s="94"/>
      <c r="X855" s="98"/>
      <c r="Y855" s="98"/>
      <c r="Z855" s="98"/>
      <c r="AA855" s="98"/>
      <c r="AB855" s="98"/>
      <c r="AC855" s="97"/>
      <c r="AD855" s="99"/>
      <c r="AE855" s="95"/>
      <c r="AF855" s="94"/>
      <c r="AG855" s="89"/>
      <c r="AH855" s="89"/>
      <c r="AI855" s="89"/>
      <c r="AJ855" s="89"/>
      <c r="AK855" s="89"/>
      <c r="AL855" s="89"/>
      <c r="AM855" s="89"/>
      <c r="AN855" s="89"/>
      <c r="AO855" s="89"/>
      <c r="AP855" s="89"/>
      <c r="AQ855" s="89"/>
      <c r="AR855" s="89"/>
      <c r="AS855" s="89"/>
      <c r="AT855" s="89"/>
      <c r="AU855" s="89"/>
      <c r="AV855" s="89"/>
      <c r="AW855" s="100"/>
      <c r="AX855" s="100"/>
      <c r="AY855" s="89"/>
      <c r="AZ855" s="89"/>
      <c r="BA855" s="89"/>
      <c r="BB855" s="89"/>
      <c r="BC855" s="89"/>
      <c r="BD855" s="89"/>
      <c r="BE855" s="89"/>
      <c r="BF855" s="89"/>
      <c r="BG855" s="89"/>
      <c r="BH855" s="89"/>
      <c r="BI855" s="89"/>
      <c r="BJ855" s="89"/>
      <c r="BK855" s="89"/>
      <c r="BL855" s="89"/>
      <c r="BM855" s="89"/>
      <c r="BN855" s="89"/>
      <c r="BO855" s="89"/>
      <c r="BP855" s="89"/>
      <c r="BQ855" s="89"/>
      <c r="BR855" s="89"/>
      <c r="BS855" s="89"/>
    </row>
    <row r="856" spans="1:71" ht="27" customHeight="1" x14ac:dyDescent="0.2">
      <c r="A856" s="93"/>
      <c r="B856" s="89"/>
      <c r="C856" s="89"/>
      <c r="D856" s="89"/>
      <c r="E856" s="89"/>
      <c r="F856" s="89"/>
      <c r="G856" s="89"/>
      <c r="H856" s="94"/>
      <c r="I856" s="94"/>
      <c r="J856" s="94"/>
      <c r="K856" s="94"/>
      <c r="L856" s="94"/>
      <c r="M856" s="94"/>
      <c r="N856" s="94"/>
      <c r="O856" s="94"/>
      <c r="P856" s="94"/>
      <c r="Q856" s="94"/>
      <c r="R856" s="95"/>
      <c r="S856" s="94"/>
      <c r="T856" s="96"/>
      <c r="U856" s="94"/>
      <c r="V856" s="97"/>
      <c r="W856" s="94"/>
      <c r="X856" s="98"/>
      <c r="Y856" s="98"/>
      <c r="Z856" s="98"/>
      <c r="AA856" s="98"/>
      <c r="AB856" s="98"/>
      <c r="AC856" s="97"/>
      <c r="AD856" s="99"/>
      <c r="AE856" s="95"/>
      <c r="AF856" s="94"/>
      <c r="AG856" s="89"/>
      <c r="AH856" s="89"/>
      <c r="AI856" s="89"/>
      <c r="AJ856" s="89"/>
      <c r="AK856" s="89"/>
      <c r="AL856" s="89"/>
      <c r="AM856" s="89"/>
      <c r="AN856" s="89"/>
      <c r="AO856" s="89"/>
      <c r="AP856" s="89"/>
      <c r="AQ856" s="89"/>
      <c r="AR856" s="89"/>
      <c r="AS856" s="89"/>
      <c r="AT856" s="89"/>
      <c r="AU856" s="89"/>
      <c r="AV856" s="89"/>
      <c r="AW856" s="100"/>
      <c r="AX856" s="100"/>
      <c r="AY856" s="89"/>
      <c r="AZ856" s="89"/>
      <c r="BA856" s="89"/>
      <c r="BB856" s="89"/>
      <c r="BC856" s="89"/>
      <c r="BD856" s="89"/>
      <c r="BE856" s="89"/>
      <c r="BF856" s="89"/>
      <c r="BG856" s="89"/>
      <c r="BH856" s="89"/>
      <c r="BI856" s="89"/>
      <c r="BJ856" s="89"/>
      <c r="BK856" s="89"/>
      <c r="BL856" s="89"/>
      <c r="BM856" s="89"/>
      <c r="BN856" s="89"/>
      <c r="BO856" s="89"/>
      <c r="BP856" s="89"/>
      <c r="BQ856" s="89"/>
      <c r="BR856" s="89"/>
      <c r="BS856" s="89"/>
    </row>
    <row r="857" spans="1:71" ht="27" customHeight="1" x14ac:dyDescent="0.2">
      <c r="A857" s="93"/>
      <c r="B857" s="89"/>
      <c r="C857" s="89"/>
      <c r="D857" s="89"/>
      <c r="E857" s="89"/>
      <c r="F857" s="89"/>
      <c r="G857" s="89"/>
      <c r="H857" s="94"/>
      <c r="I857" s="94"/>
      <c r="J857" s="94"/>
      <c r="K857" s="94"/>
      <c r="L857" s="94"/>
      <c r="M857" s="94"/>
      <c r="N857" s="94"/>
      <c r="O857" s="94"/>
      <c r="P857" s="94"/>
      <c r="Q857" s="94"/>
      <c r="R857" s="95"/>
      <c r="S857" s="94"/>
      <c r="T857" s="96"/>
      <c r="U857" s="94"/>
      <c r="V857" s="97"/>
      <c r="W857" s="94"/>
      <c r="X857" s="98"/>
      <c r="Y857" s="98"/>
      <c r="Z857" s="98"/>
      <c r="AA857" s="98"/>
      <c r="AB857" s="98"/>
      <c r="AC857" s="97"/>
      <c r="AD857" s="99"/>
      <c r="AE857" s="95"/>
      <c r="AF857" s="94"/>
      <c r="AG857" s="89"/>
      <c r="AH857" s="89"/>
      <c r="AI857" s="89"/>
      <c r="AJ857" s="89"/>
      <c r="AK857" s="89"/>
      <c r="AL857" s="89"/>
      <c r="AM857" s="89"/>
      <c r="AN857" s="89"/>
      <c r="AO857" s="89"/>
      <c r="AP857" s="89"/>
      <c r="AQ857" s="89"/>
      <c r="AR857" s="89"/>
      <c r="AS857" s="89"/>
      <c r="AT857" s="89"/>
      <c r="AU857" s="89"/>
      <c r="AV857" s="89"/>
      <c r="AW857" s="100"/>
      <c r="AX857" s="100"/>
      <c r="AY857" s="89"/>
      <c r="AZ857" s="89"/>
      <c r="BA857" s="89"/>
      <c r="BB857" s="89"/>
      <c r="BC857" s="89"/>
      <c r="BD857" s="89"/>
      <c r="BE857" s="89"/>
      <c r="BF857" s="89"/>
      <c r="BG857" s="89"/>
      <c r="BH857" s="89"/>
      <c r="BI857" s="89"/>
      <c r="BJ857" s="89"/>
      <c r="BK857" s="89"/>
      <c r="BL857" s="89"/>
      <c r="BM857" s="89"/>
      <c r="BN857" s="89"/>
      <c r="BO857" s="89"/>
      <c r="BP857" s="89"/>
      <c r="BQ857" s="89"/>
      <c r="BR857" s="89"/>
      <c r="BS857" s="89"/>
    </row>
    <row r="858" spans="1:71" ht="27" customHeight="1" x14ac:dyDescent="0.2">
      <c r="A858" s="93"/>
      <c r="B858" s="89"/>
      <c r="C858" s="89"/>
      <c r="D858" s="89"/>
      <c r="E858" s="89"/>
      <c r="F858" s="89"/>
      <c r="G858" s="89"/>
      <c r="H858" s="94"/>
      <c r="I858" s="94"/>
      <c r="J858" s="94"/>
      <c r="K858" s="94"/>
      <c r="L858" s="94"/>
      <c r="M858" s="94"/>
      <c r="N858" s="94"/>
      <c r="O858" s="94"/>
      <c r="P858" s="94"/>
      <c r="Q858" s="94"/>
      <c r="R858" s="95"/>
      <c r="S858" s="94"/>
      <c r="T858" s="96"/>
      <c r="U858" s="94"/>
      <c r="V858" s="97"/>
      <c r="W858" s="94"/>
      <c r="X858" s="98"/>
      <c r="Y858" s="98"/>
      <c r="Z858" s="98"/>
      <c r="AA858" s="98"/>
      <c r="AB858" s="98"/>
      <c r="AC858" s="97"/>
      <c r="AD858" s="99"/>
      <c r="AE858" s="95"/>
      <c r="AF858" s="94"/>
      <c r="AG858" s="89"/>
      <c r="AH858" s="89"/>
      <c r="AI858" s="89"/>
      <c r="AJ858" s="89"/>
      <c r="AK858" s="89"/>
      <c r="AL858" s="89"/>
      <c r="AM858" s="89"/>
      <c r="AN858" s="89"/>
      <c r="AO858" s="89"/>
      <c r="AP858" s="89"/>
      <c r="AQ858" s="89"/>
      <c r="AR858" s="89"/>
      <c r="AS858" s="89"/>
      <c r="AT858" s="89"/>
      <c r="AU858" s="89"/>
      <c r="AV858" s="89"/>
      <c r="AW858" s="100"/>
      <c r="AX858" s="100"/>
      <c r="AY858" s="89"/>
      <c r="AZ858" s="89"/>
      <c r="BA858" s="89"/>
      <c r="BB858" s="89"/>
      <c r="BC858" s="89"/>
      <c r="BD858" s="89"/>
      <c r="BE858" s="89"/>
      <c r="BF858" s="89"/>
      <c r="BG858" s="89"/>
      <c r="BH858" s="89"/>
      <c r="BI858" s="89"/>
      <c r="BJ858" s="89"/>
      <c r="BK858" s="89"/>
      <c r="BL858" s="89"/>
      <c r="BM858" s="89"/>
      <c r="BN858" s="89"/>
      <c r="BO858" s="89"/>
      <c r="BP858" s="89"/>
      <c r="BQ858" s="89"/>
      <c r="BR858" s="89"/>
      <c r="BS858" s="89"/>
    </row>
    <row r="859" spans="1:71" ht="27" customHeight="1" x14ac:dyDescent="0.2">
      <c r="A859" s="93"/>
      <c r="B859" s="89"/>
      <c r="C859" s="89"/>
      <c r="D859" s="89"/>
      <c r="E859" s="89"/>
      <c r="F859" s="89"/>
      <c r="G859" s="89"/>
      <c r="H859" s="94"/>
      <c r="I859" s="94"/>
      <c r="J859" s="94"/>
      <c r="K859" s="94"/>
      <c r="L859" s="94"/>
      <c r="M859" s="94"/>
      <c r="N859" s="94"/>
      <c r="O859" s="94"/>
      <c r="P859" s="94"/>
      <c r="Q859" s="94"/>
      <c r="R859" s="95"/>
      <c r="S859" s="94"/>
      <c r="T859" s="96"/>
      <c r="U859" s="94"/>
      <c r="V859" s="97"/>
      <c r="W859" s="94"/>
      <c r="X859" s="98"/>
      <c r="Y859" s="98"/>
      <c r="Z859" s="98"/>
      <c r="AA859" s="98"/>
      <c r="AB859" s="98"/>
      <c r="AC859" s="97"/>
      <c r="AD859" s="99"/>
      <c r="AE859" s="95"/>
      <c r="AF859" s="94"/>
      <c r="AG859" s="89"/>
      <c r="AH859" s="89"/>
      <c r="AI859" s="89"/>
      <c r="AJ859" s="89"/>
      <c r="AK859" s="89"/>
      <c r="AL859" s="89"/>
      <c r="AM859" s="89"/>
      <c r="AN859" s="89"/>
      <c r="AO859" s="89"/>
      <c r="AP859" s="89"/>
      <c r="AQ859" s="89"/>
      <c r="AR859" s="89"/>
      <c r="AS859" s="89"/>
      <c r="AT859" s="89"/>
      <c r="AU859" s="89"/>
      <c r="AV859" s="89"/>
      <c r="AW859" s="100"/>
      <c r="AX859" s="100"/>
      <c r="AY859" s="89"/>
      <c r="AZ859" s="89"/>
      <c r="BA859" s="89"/>
      <c r="BB859" s="89"/>
      <c r="BC859" s="89"/>
      <c r="BD859" s="89"/>
      <c r="BE859" s="89"/>
      <c r="BF859" s="89"/>
      <c r="BG859" s="89"/>
      <c r="BH859" s="89"/>
      <c r="BI859" s="89"/>
      <c r="BJ859" s="89"/>
      <c r="BK859" s="89"/>
      <c r="BL859" s="89"/>
      <c r="BM859" s="89"/>
      <c r="BN859" s="89"/>
      <c r="BO859" s="89"/>
      <c r="BP859" s="89"/>
      <c r="BQ859" s="89"/>
      <c r="BR859" s="89"/>
      <c r="BS859" s="89"/>
    </row>
    <row r="860" spans="1:71" ht="27" customHeight="1" x14ac:dyDescent="0.2">
      <c r="A860" s="93"/>
      <c r="B860" s="89"/>
      <c r="C860" s="89"/>
      <c r="D860" s="89"/>
      <c r="E860" s="89"/>
      <c r="F860" s="89"/>
      <c r="G860" s="89"/>
      <c r="H860" s="94"/>
      <c r="I860" s="94"/>
      <c r="J860" s="94"/>
      <c r="K860" s="94"/>
      <c r="L860" s="94"/>
      <c r="M860" s="94"/>
      <c r="N860" s="94"/>
      <c r="O860" s="94"/>
      <c r="P860" s="94"/>
      <c r="Q860" s="94"/>
      <c r="R860" s="95"/>
      <c r="S860" s="94"/>
      <c r="T860" s="96"/>
      <c r="U860" s="94"/>
      <c r="V860" s="97"/>
      <c r="W860" s="94"/>
      <c r="X860" s="98"/>
      <c r="Y860" s="98"/>
      <c r="Z860" s="98"/>
      <c r="AA860" s="98"/>
      <c r="AB860" s="98"/>
      <c r="AC860" s="97"/>
      <c r="AD860" s="99"/>
      <c r="AE860" s="95"/>
      <c r="AF860" s="94"/>
      <c r="AG860" s="89"/>
      <c r="AH860" s="89"/>
      <c r="AI860" s="89"/>
      <c r="AJ860" s="89"/>
      <c r="AK860" s="89"/>
      <c r="AL860" s="89"/>
      <c r="AM860" s="89"/>
      <c r="AN860" s="89"/>
      <c r="AO860" s="89"/>
      <c r="AP860" s="89"/>
      <c r="AQ860" s="89"/>
      <c r="AR860" s="89"/>
      <c r="AS860" s="89"/>
      <c r="AT860" s="89"/>
      <c r="AU860" s="89"/>
      <c r="AV860" s="89"/>
      <c r="AW860" s="100"/>
      <c r="AX860" s="100"/>
      <c r="AY860" s="89"/>
      <c r="AZ860" s="89"/>
      <c r="BA860" s="89"/>
      <c r="BB860" s="89"/>
      <c r="BC860" s="89"/>
      <c r="BD860" s="89"/>
      <c r="BE860" s="89"/>
      <c r="BF860" s="89"/>
      <c r="BG860" s="89"/>
      <c r="BH860" s="89"/>
      <c r="BI860" s="89"/>
      <c r="BJ860" s="89"/>
      <c r="BK860" s="89"/>
      <c r="BL860" s="89"/>
      <c r="BM860" s="89"/>
      <c r="BN860" s="89"/>
      <c r="BO860" s="89"/>
      <c r="BP860" s="89"/>
      <c r="BQ860" s="89"/>
      <c r="BR860" s="89"/>
      <c r="BS860" s="89"/>
    </row>
    <row r="861" spans="1:71" ht="27" customHeight="1" x14ac:dyDescent="0.2">
      <c r="A861" s="93"/>
      <c r="B861" s="89"/>
      <c r="C861" s="89"/>
      <c r="D861" s="89"/>
      <c r="E861" s="89"/>
      <c r="F861" s="89"/>
      <c r="G861" s="89"/>
      <c r="H861" s="94"/>
      <c r="I861" s="94"/>
      <c r="J861" s="94"/>
      <c r="K861" s="94"/>
      <c r="L861" s="94"/>
      <c r="M861" s="94"/>
      <c r="N861" s="94"/>
      <c r="O861" s="94"/>
      <c r="P861" s="94"/>
      <c r="Q861" s="94"/>
      <c r="R861" s="95"/>
      <c r="S861" s="94"/>
      <c r="T861" s="96"/>
      <c r="U861" s="94"/>
      <c r="V861" s="97"/>
      <c r="W861" s="94"/>
      <c r="X861" s="98"/>
      <c r="Y861" s="98"/>
      <c r="Z861" s="98"/>
      <c r="AA861" s="98"/>
      <c r="AB861" s="98"/>
      <c r="AC861" s="97"/>
      <c r="AD861" s="99"/>
      <c r="AE861" s="95"/>
      <c r="AF861" s="94"/>
      <c r="AG861" s="89"/>
      <c r="AH861" s="89"/>
      <c r="AI861" s="89"/>
      <c r="AJ861" s="89"/>
      <c r="AK861" s="89"/>
      <c r="AL861" s="89"/>
      <c r="AM861" s="89"/>
      <c r="AN861" s="89"/>
      <c r="AO861" s="89"/>
      <c r="AP861" s="89"/>
      <c r="AQ861" s="89"/>
      <c r="AR861" s="89"/>
      <c r="AS861" s="89"/>
      <c r="AT861" s="89"/>
      <c r="AU861" s="89"/>
      <c r="AV861" s="89"/>
      <c r="AW861" s="100"/>
      <c r="AX861" s="100"/>
      <c r="AY861" s="89"/>
      <c r="AZ861" s="89"/>
      <c r="BA861" s="89"/>
      <c r="BB861" s="89"/>
      <c r="BC861" s="89"/>
      <c r="BD861" s="89"/>
      <c r="BE861" s="89"/>
      <c r="BF861" s="89"/>
      <c r="BG861" s="89"/>
      <c r="BH861" s="89"/>
      <c r="BI861" s="89"/>
      <c r="BJ861" s="89"/>
      <c r="BK861" s="89"/>
      <c r="BL861" s="89"/>
      <c r="BM861" s="89"/>
      <c r="BN861" s="89"/>
      <c r="BO861" s="89"/>
      <c r="BP861" s="89"/>
      <c r="BQ861" s="89"/>
      <c r="BR861" s="89"/>
      <c r="BS861" s="89"/>
    </row>
    <row r="862" spans="1:71" ht="27" customHeight="1" x14ac:dyDescent="0.2">
      <c r="A862" s="93"/>
      <c r="B862" s="89"/>
      <c r="C862" s="89"/>
      <c r="D862" s="89"/>
      <c r="E862" s="89"/>
      <c r="F862" s="89"/>
      <c r="G862" s="89"/>
      <c r="H862" s="94"/>
      <c r="I862" s="94"/>
      <c r="J862" s="94"/>
      <c r="K862" s="94"/>
      <c r="L862" s="94"/>
      <c r="M862" s="94"/>
      <c r="N862" s="94"/>
      <c r="O862" s="94"/>
      <c r="P862" s="94"/>
      <c r="Q862" s="94"/>
      <c r="R862" s="95"/>
      <c r="S862" s="94"/>
      <c r="T862" s="96"/>
      <c r="U862" s="94"/>
      <c r="V862" s="97"/>
      <c r="W862" s="94"/>
      <c r="X862" s="98"/>
      <c r="Y862" s="98"/>
      <c r="Z862" s="98"/>
      <c r="AA862" s="98"/>
      <c r="AB862" s="98"/>
      <c r="AC862" s="97"/>
      <c r="AD862" s="99"/>
      <c r="AE862" s="95"/>
      <c r="AF862" s="94"/>
      <c r="AG862" s="89"/>
      <c r="AH862" s="89"/>
      <c r="AI862" s="89"/>
      <c r="AJ862" s="89"/>
      <c r="AK862" s="89"/>
      <c r="AL862" s="89"/>
      <c r="AM862" s="89"/>
      <c r="AN862" s="89"/>
      <c r="AO862" s="89"/>
      <c r="AP862" s="89"/>
      <c r="AQ862" s="89"/>
      <c r="AR862" s="89"/>
      <c r="AS862" s="89"/>
      <c r="AT862" s="89"/>
      <c r="AU862" s="89"/>
      <c r="AV862" s="89"/>
      <c r="AW862" s="100"/>
      <c r="AX862" s="100"/>
      <c r="AY862" s="89"/>
      <c r="AZ862" s="89"/>
      <c r="BA862" s="89"/>
      <c r="BB862" s="89"/>
      <c r="BC862" s="89"/>
      <c r="BD862" s="89"/>
      <c r="BE862" s="89"/>
      <c r="BF862" s="89"/>
      <c r="BG862" s="89"/>
      <c r="BH862" s="89"/>
      <c r="BI862" s="89"/>
      <c r="BJ862" s="89"/>
      <c r="BK862" s="89"/>
      <c r="BL862" s="89"/>
      <c r="BM862" s="89"/>
      <c r="BN862" s="89"/>
      <c r="BO862" s="89"/>
      <c r="BP862" s="89"/>
      <c r="BQ862" s="89"/>
      <c r="BR862" s="89"/>
      <c r="BS862" s="89"/>
    </row>
    <row r="863" spans="1:71" ht="27" customHeight="1" x14ac:dyDescent="0.2">
      <c r="A863" s="93"/>
      <c r="B863" s="89"/>
      <c r="C863" s="89"/>
      <c r="D863" s="89"/>
      <c r="E863" s="89"/>
      <c r="F863" s="89"/>
      <c r="G863" s="89"/>
      <c r="H863" s="94"/>
      <c r="I863" s="94"/>
      <c r="J863" s="94"/>
      <c r="K863" s="94"/>
      <c r="L863" s="94"/>
      <c r="M863" s="94"/>
      <c r="N863" s="94"/>
      <c r="O863" s="94"/>
      <c r="P863" s="94"/>
      <c r="Q863" s="94"/>
      <c r="R863" s="95"/>
      <c r="S863" s="94"/>
      <c r="T863" s="96"/>
      <c r="U863" s="94"/>
      <c r="V863" s="97"/>
      <c r="W863" s="94"/>
      <c r="X863" s="98"/>
      <c r="Y863" s="98"/>
      <c r="Z863" s="98"/>
      <c r="AA863" s="98"/>
      <c r="AB863" s="98"/>
      <c r="AC863" s="97"/>
      <c r="AD863" s="99"/>
      <c r="AE863" s="95"/>
      <c r="AF863" s="94"/>
      <c r="AG863" s="89"/>
      <c r="AH863" s="89"/>
      <c r="AI863" s="89"/>
      <c r="AJ863" s="89"/>
      <c r="AK863" s="89"/>
      <c r="AL863" s="89"/>
      <c r="AM863" s="89"/>
      <c r="AN863" s="89"/>
      <c r="AO863" s="89"/>
      <c r="AP863" s="89"/>
      <c r="AQ863" s="89"/>
      <c r="AR863" s="89"/>
      <c r="AS863" s="89"/>
      <c r="AT863" s="89"/>
      <c r="AU863" s="89"/>
      <c r="AV863" s="89"/>
      <c r="AW863" s="100"/>
      <c r="AX863" s="100"/>
      <c r="AY863" s="89"/>
      <c r="AZ863" s="89"/>
      <c r="BA863" s="89"/>
      <c r="BB863" s="89"/>
      <c r="BC863" s="89"/>
      <c r="BD863" s="89"/>
      <c r="BE863" s="89"/>
      <c r="BF863" s="89"/>
      <c r="BG863" s="89"/>
      <c r="BH863" s="89"/>
      <c r="BI863" s="89"/>
      <c r="BJ863" s="89"/>
      <c r="BK863" s="89"/>
      <c r="BL863" s="89"/>
      <c r="BM863" s="89"/>
      <c r="BN863" s="89"/>
      <c r="BO863" s="89"/>
      <c r="BP863" s="89"/>
      <c r="BQ863" s="89"/>
      <c r="BR863" s="89"/>
      <c r="BS863" s="89"/>
    </row>
    <row r="864" spans="1:71" ht="27" customHeight="1" x14ac:dyDescent="0.2">
      <c r="A864" s="93"/>
      <c r="B864" s="89"/>
      <c r="C864" s="89"/>
      <c r="D864" s="89"/>
      <c r="E864" s="89"/>
      <c r="F864" s="89"/>
      <c r="G864" s="89"/>
      <c r="H864" s="94"/>
      <c r="I864" s="94"/>
      <c r="J864" s="94"/>
      <c r="K864" s="94"/>
      <c r="L864" s="94"/>
      <c r="M864" s="94"/>
      <c r="N864" s="94"/>
      <c r="O864" s="94"/>
      <c r="P864" s="94"/>
      <c r="Q864" s="94"/>
      <c r="R864" s="95"/>
      <c r="S864" s="94"/>
      <c r="T864" s="96"/>
      <c r="U864" s="94"/>
      <c r="V864" s="97"/>
      <c r="W864" s="94"/>
      <c r="X864" s="98"/>
      <c r="Y864" s="98"/>
      <c r="Z864" s="98"/>
      <c r="AA864" s="98"/>
      <c r="AB864" s="98"/>
      <c r="AC864" s="97"/>
      <c r="AD864" s="99"/>
      <c r="AE864" s="95"/>
      <c r="AF864" s="94"/>
      <c r="AG864" s="89"/>
      <c r="AH864" s="89"/>
      <c r="AI864" s="89"/>
      <c r="AJ864" s="89"/>
      <c r="AK864" s="89"/>
      <c r="AL864" s="89"/>
      <c r="AM864" s="89"/>
      <c r="AN864" s="89"/>
      <c r="AO864" s="89"/>
      <c r="AP864" s="89"/>
      <c r="AQ864" s="89"/>
      <c r="AR864" s="89"/>
      <c r="AS864" s="89"/>
      <c r="AT864" s="89"/>
      <c r="AU864" s="89"/>
      <c r="AV864" s="89"/>
      <c r="AW864" s="100"/>
      <c r="AX864" s="100"/>
      <c r="AY864" s="89"/>
      <c r="AZ864" s="89"/>
      <c r="BA864" s="89"/>
      <c r="BB864" s="89"/>
      <c r="BC864" s="89"/>
      <c r="BD864" s="89"/>
      <c r="BE864" s="89"/>
      <c r="BF864" s="89"/>
      <c r="BG864" s="89"/>
      <c r="BH864" s="89"/>
      <c r="BI864" s="89"/>
      <c r="BJ864" s="89"/>
      <c r="BK864" s="89"/>
      <c r="BL864" s="89"/>
      <c r="BM864" s="89"/>
      <c r="BN864" s="89"/>
      <c r="BO864" s="89"/>
      <c r="BP864" s="89"/>
      <c r="BQ864" s="89"/>
      <c r="BR864" s="89"/>
      <c r="BS864" s="89"/>
    </row>
    <row r="865" spans="1:71" ht="27" customHeight="1" x14ac:dyDescent="0.2">
      <c r="A865" s="93"/>
      <c r="B865" s="89"/>
      <c r="C865" s="89"/>
      <c r="D865" s="89"/>
      <c r="E865" s="89"/>
      <c r="F865" s="89"/>
      <c r="G865" s="89"/>
      <c r="H865" s="94"/>
      <c r="I865" s="94"/>
      <c r="J865" s="94"/>
      <c r="K865" s="94"/>
      <c r="L865" s="94"/>
      <c r="M865" s="94"/>
      <c r="N865" s="94"/>
      <c r="O865" s="94"/>
      <c r="P865" s="94"/>
      <c r="Q865" s="94"/>
      <c r="R865" s="95"/>
      <c r="S865" s="94"/>
      <c r="T865" s="96"/>
      <c r="U865" s="94"/>
      <c r="V865" s="97"/>
      <c r="W865" s="94"/>
      <c r="X865" s="98"/>
      <c r="Y865" s="98"/>
      <c r="Z865" s="98"/>
      <c r="AA865" s="98"/>
      <c r="AB865" s="98"/>
      <c r="AC865" s="97"/>
      <c r="AD865" s="99"/>
      <c r="AE865" s="95"/>
      <c r="AF865" s="94"/>
      <c r="AG865" s="89"/>
      <c r="AH865" s="89"/>
      <c r="AI865" s="89"/>
      <c r="AJ865" s="89"/>
      <c r="AK865" s="89"/>
      <c r="AL865" s="89"/>
      <c r="AM865" s="89"/>
      <c r="AN865" s="89"/>
      <c r="AO865" s="89"/>
      <c r="AP865" s="89"/>
      <c r="AQ865" s="89"/>
      <c r="AR865" s="89"/>
      <c r="AS865" s="89"/>
      <c r="AT865" s="89"/>
      <c r="AU865" s="89"/>
      <c r="AV865" s="89"/>
      <c r="AW865" s="100"/>
      <c r="AX865" s="100"/>
      <c r="AY865" s="89"/>
      <c r="AZ865" s="89"/>
      <c r="BA865" s="89"/>
      <c r="BB865" s="89"/>
      <c r="BC865" s="89"/>
      <c r="BD865" s="89"/>
      <c r="BE865" s="89"/>
      <c r="BF865" s="89"/>
      <c r="BG865" s="89"/>
      <c r="BH865" s="89"/>
      <c r="BI865" s="89"/>
      <c r="BJ865" s="89"/>
      <c r="BK865" s="89"/>
      <c r="BL865" s="89"/>
      <c r="BM865" s="89"/>
      <c r="BN865" s="89"/>
      <c r="BO865" s="89"/>
      <c r="BP865" s="89"/>
      <c r="BQ865" s="89"/>
      <c r="BR865" s="89"/>
      <c r="BS865" s="89"/>
    </row>
    <row r="866" spans="1:71" ht="27" customHeight="1" x14ac:dyDescent="0.2">
      <c r="A866" s="93"/>
      <c r="B866" s="89"/>
      <c r="C866" s="89"/>
      <c r="D866" s="89"/>
      <c r="E866" s="89"/>
      <c r="F866" s="89"/>
      <c r="G866" s="89"/>
      <c r="H866" s="94"/>
      <c r="I866" s="94"/>
      <c r="J866" s="94"/>
      <c r="K866" s="94"/>
      <c r="L866" s="94"/>
      <c r="M866" s="94"/>
      <c r="N866" s="94"/>
      <c r="O866" s="94"/>
      <c r="P866" s="94"/>
      <c r="Q866" s="94"/>
      <c r="R866" s="95"/>
      <c r="S866" s="94"/>
      <c r="T866" s="96"/>
      <c r="U866" s="94"/>
      <c r="V866" s="97"/>
      <c r="W866" s="94"/>
      <c r="X866" s="98"/>
      <c r="Y866" s="98"/>
      <c r="Z866" s="98"/>
      <c r="AA866" s="98"/>
      <c r="AB866" s="98"/>
      <c r="AC866" s="97"/>
      <c r="AD866" s="99"/>
      <c r="AE866" s="95"/>
      <c r="AF866" s="94"/>
      <c r="AG866" s="89"/>
      <c r="AH866" s="89"/>
      <c r="AI866" s="89"/>
      <c r="AJ866" s="89"/>
      <c r="AK866" s="89"/>
      <c r="AL866" s="89"/>
      <c r="AM866" s="89"/>
      <c r="AN866" s="89"/>
      <c r="AO866" s="89"/>
      <c r="AP866" s="89"/>
      <c r="AQ866" s="89"/>
      <c r="AR866" s="89"/>
      <c r="AS866" s="89"/>
      <c r="AT866" s="89"/>
      <c r="AU866" s="89"/>
      <c r="AV866" s="89"/>
      <c r="AW866" s="100"/>
      <c r="AX866" s="100"/>
      <c r="AY866" s="89"/>
      <c r="AZ866" s="89"/>
      <c r="BA866" s="89"/>
      <c r="BB866" s="89"/>
      <c r="BC866" s="89"/>
      <c r="BD866" s="89"/>
      <c r="BE866" s="89"/>
      <c r="BF866" s="89"/>
      <c r="BG866" s="89"/>
      <c r="BH866" s="89"/>
      <c r="BI866" s="89"/>
      <c r="BJ866" s="89"/>
      <c r="BK866" s="89"/>
      <c r="BL866" s="89"/>
      <c r="BM866" s="89"/>
      <c r="BN866" s="89"/>
      <c r="BO866" s="89"/>
      <c r="BP866" s="89"/>
      <c r="BQ866" s="89"/>
      <c r="BR866" s="89"/>
      <c r="BS866" s="89"/>
    </row>
    <row r="867" spans="1:71" ht="27" customHeight="1" x14ac:dyDescent="0.2">
      <c r="A867" s="93"/>
      <c r="B867" s="89"/>
      <c r="C867" s="89"/>
      <c r="D867" s="89"/>
      <c r="E867" s="89"/>
      <c r="F867" s="89"/>
      <c r="G867" s="89"/>
      <c r="H867" s="94"/>
      <c r="I867" s="94"/>
      <c r="J867" s="94"/>
      <c r="K867" s="94"/>
      <c r="L867" s="94"/>
      <c r="M867" s="94"/>
      <c r="N867" s="94"/>
      <c r="O867" s="94"/>
      <c r="P867" s="94"/>
      <c r="Q867" s="94"/>
      <c r="R867" s="95"/>
      <c r="S867" s="94"/>
      <c r="T867" s="96"/>
      <c r="U867" s="94"/>
      <c r="V867" s="97"/>
      <c r="W867" s="94"/>
      <c r="X867" s="98"/>
      <c r="Y867" s="98"/>
      <c r="Z867" s="98"/>
      <c r="AA867" s="98"/>
      <c r="AB867" s="98"/>
      <c r="AC867" s="97"/>
      <c r="AD867" s="99"/>
      <c r="AE867" s="95"/>
      <c r="AF867" s="94"/>
      <c r="AG867" s="89"/>
      <c r="AH867" s="89"/>
      <c r="AI867" s="89"/>
      <c r="AJ867" s="89"/>
      <c r="AK867" s="89"/>
      <c r="AL867" s="89"/>
      <c r="AM867" s="89"/>
      <c r="AN867" s="89"/>
      <c r="AO867" s="89"/>
      <c r="AP867" s="89"/>
      <c r="AQ867" s="89"/>
      <c r="AR867" s="89"/>
      <c r="AS867" s="89"/>
      <c r="AT867" s="89"/>
      <c r="AU867" s="89"/>
      <c r="AV867" s="89"/>
      <c r="AW867" s="100"/>
      <c r="AX867" s="100"/>
      <c r="AY867" s="89"/>
      <c r="AZ867" s="89"/>
      <c r="BA867" s="89"/>
      <c r="BB867" s="89"/>
      <c r="BC867" s="89"/>
      <c r="BD867" s="89"/>
      <c r="BE867" s="89"/>
      <c r="BF867" s="89"/>
      <c r="BG867" s="89"/>
      <c r="BH867" s="89"/>
      <c r="BI867" s="89"/>
      <c r="BJ867" s="89"/>
      <c r="BK867" s="89"/>
      <c r="BL867" s="89"/>
      <c r="BM867" s="89"/>
      <c r="BN867" s="89"/>
      <c r="BO867" s="89"/>
      <c r="BP867" s="89"/>
      <c r="BQ867" s="89"/>
      <c r="BR867" s="89"/>
      <c r="BS867" s="89"/>
    </row>
    <row r="868" spans="1:71" ht="27" customHeight="1" x14ac:dyDescent="0.2">
      <c r="A868" s="93"/>
      <c r="B868" s="89"/>
      <c r="C868" s="89"/>
      <c r="D868" s="89"/>
      <c r="E868" s="89"/>
      <c r="F868" s="89"/>
      <c r="G868" s="89"/>
      <c r="H868" s="94"/>
      <c r="I868" s="94"/>
      <c r="J868" s="94"/>
      <c r="K868" s="94"/>
      <c r="L868" s="94"/>
      <c r="M868" s="94"/>
      <c r="N868" s="94"/>
      <c r="O868" s="94"/>
      <c r="P868" s="94"/>
      <c r="Q868" s="94"/>
      <c r="R868" s="95"/>
      <c r="S868" s="94"/>
      <c r="T868" s="96"/>
      <c r="U868" s="94"/>
      <c r="V868" s="97"/>
      <c r="W868" s="94"/>
      <c r="X868" s="98"/>
      <c r="Y868" s="98"/>
      <c r="Z868" s="98"/>
      <c r="AA868" s="98"/>
      <c r="AB868" s="98"/>
      <c r="AC868" s="97"/>
      <c r="AD868" s="99"/>
      <c r="AE868" s="95"/>
      <c r="AF868" s="94"/>
      <c r="AG868" s="89"/>
      <c r="AH868" s="89"/>
      <c r="AI868" s="89"/>
      <c r="AJ868" s="89"/>
      <c r="AK868" s="89"/>
      <c r="AL868" s="89"/>
      <c r="AM868" s="89"/>
      <c r="AN868" s="89"/>
      <c r="AO868" s="89"/>
      <c r="AP868" s="89"/>
      <c r="AQ868" s="89"/>
      <c r="AR868" s="89"/>
      <c r="AS868" s="89"/>
      <c r="AT868" s="89"/>
      <c r="AU868" s="89"/>
      <c r="AV868" s="89"/>
      <c r="AW868" s="100"/>
      <c r="AX868" s="100"/>
      <c r="AY868" s="89"/>
      <c r="AZ868" s="89"/>
      <c r="BA868" s="89"/>
      <c r="BB868" s="89"/>
      <c r="BC868" s="89"/>
      <c r="BD868" s="89"/>
      <c r="BE868" s="89"/>
      <c r="BF868" s="89"/>
      <c r="BG868" s="89"/>
      <c r="BH868" s="89"/>
      <c r="BI868" s="89"/>
      <c r="BJ868" s="89"/>
      <c r="BK868" s="89"/>
      <c r="BL868" s="89"/>
      <c r="BM868" s="89"/>
      <c r="BN868" s="89"/>
      <c r="BO868" s="89"/>
      <c r="BP868" s="89"/>
      <c r="BQ868" s="89"/>
      <c r="BR868" s="89"/>
      <c r="BS868" s="89"/>
    </row>
    <row r="869" spans="1:71" ht="27" customHeight="1" x14ac:dyDescent="0.2">
      <c r="A869" s="93"/>
      <c r="B869" s="89"/>
      <c r="C869" s="89"/>
      <c r="D869" s="89"/>
      <c r="E869" s="89"/>
      <c r="F869" s="89"/>
      <c r="G869" s="89"/>
      <c r="H869" s="94"/>
      <c r="I869" s="94"/>
      <c r="J869" s="94"/>
      <c r="K869" s="94"/>
      <c r="L869" s="94"/>
      <c r="M869" s="94"/>
      <c r="N869" s="94"/>
      <c r="O869" s="94"/>
      <c r="P869" s="94"/>
      <c r="Q869" s="94"/>
      <c r="R869" s="95"/>
      <c r="S869" s="94"/>
      <c r="T869" s="96"/>
      <c r="U869" s="94"/>
      <c r="V869" s="97"/>
      <c r="W869" s="94"/>
      <c r="X869" s="98"/>
      <c r="Y869" s="98"/>
      <c r="Z869" s="98"/>
      <c r="AA869" s="98"/>
      <c r="AB869" s="98"/>
      <c r="AC869" s="97"/>
      <c r="AD869" s="99"/>
      <c r="AE869" s="95"/>
      <c r="AF869" s="94"/>
      <c r="AG869" s="89"/>
      <c r="AH869" s="89"/>
      <c r="AI869" s="89"/>
      <c r="AJ869" s="89"/>
      <c r="AK869" s="89"/>
      <c r="AL869" s="89"/>
      <c r="AM869" s="89"/>
      <c r="AN869" s="89"/>
      <c r="AO869" s="89"/>
      <c r="AP869" s="89"/>
      <c r="AQ869" s="89"/>
      <c r="AR869" s="89"/>
      <c r="AS869" s="89"/>
      <c r="AT869" s="89"/>
      <c r="AU869" s="89"/>
      <c r="AV869" s="89"/>
      <c r="AW869" s="100"/>
      <c r="AX869" s="100"/>
      <c r="AY869" s="89"/>
      <c r="AZ869" s="89"/>
      <c r="BA869" s="89"/>
      <c r="BB869" s="89"/>
      <c r="BC869" s="89"/>
      <c r="BD869" s="89"/>
      <c r="BE869" s="89"/>
      <c r="BF869" s="89"/>
      <c r="BG869" s="89"/>
      <c r="BH869" s="89"/>
      <c r="BI869" s="89"/>
      <c r="BJ869" s="89"/>
      <c r="BK869" s="89"/>
      <c r="BL869" s="89"/>
      <c r="BM869" s="89"/>
      <c r="BN869" s="89"/>
      <c r="BO869" s="89"/>
      <c r="BP869" s="89"/>
      <c r="BQ869" s="89"/>
      <c r="BR869" s="89"/>
      <c r="BS869" s="89"/>
    </row>
    <row r="870" spans="1:71" ht="27" customHeight="1" x14ac:dyDescent="0.2">
      <c r="A870" s="93"/>
      <c r="B870" s="89"/>
      <c r="C870" s="89"/>
      <c r="D870" s="89"/>
      <c r="E870" s="89"/>
      <c r="F870" s="89"/>
      <c r="G870" s="89"/>
      <c r="H870" s="94"/>
      <c r="I870" s="94"/>
      <c r="J870" s="94"/>
      <c r="K870" s="94"/>
      <c r="L870" s="94"/>
      <c r="M870" s="94"/>
      <c r="N870" s="94"/>
      <c r="O870" s="94"/>
      <c r="P870" s="94"/>
      <c r="Q870" s="94"/>
      <c r="R870" s="95"/>
      <c r="S870" s="94"/>
      <c r="T870" s="96"/>
      <c r="U870" s="94"/>
      <c r="V870" s="97"/>
      <c r="W870" s="94"/>
      <c r="X870" s="98"/>
      <c r="Y870" s="98"/>
      <c r="Z870" s="98"/>
      <c r="AA870" s="98"/>
      <c r="AB870" s="98"/>
      <c r="AC870" s="97"/>
      <c r="AD870" s="99"/>
      <c r="AE870" s="95"/>
      <c r="AF870" s="94"/>
      <c r="AG870" s="89"/>
      <c r="AH870" s="89"/>
      <c r="AI870" s="89"/>
      <c r="AJ870" s="89"/>
      <c r="AK870" s="89"/>
      <c r="AL870" s="89"/>
      <c r="AM870" s="89"/>
      <c r="AN870" s="89"/>
      <c r="AO870" s="89"/>
      <c r="AP870" s="89"/>
      <c r="AQ870" s="89"/>
      <c r="AR870" s="89"/>
      <c r="AS870" s="89"/>
      <c r="AT870" s="89"/>
      <c r="AU870" s="89"/>
      <c r="AV870" s="89"/>
      <c r="AW870" s="100"/>
      <c r="AX870" s="100"/>
      <c r="AY870" s="89"/>
      <c r="AZ870" s="89"/>
      <c r="BA870" s="89"/>
      <c r="BB870" s="89"/>
      <c r="BC870" s="89"/>
      <c r="BD870" s="89"/>
      <c r="BE870" s="89"/>
      <c r="BF870" s="89"/>
      <c r="BG870" s="89"/>
      <c r="BH870" s="89"/>
      <c r="BI870" s="89"/>
      <c r="BJ870" s="89"/>
      <c r="BK870" s="89"/>
      <c r="BL870" s="89"/>
      <c r="BM870" s="89"/>
      <c r="BN870" s="89"/>
      <c r="BO870" s="89"/>
      <c r="BP870" s="89"/>
      <c r="BQ870" s="89"/>
      <c r="BR870" s="89"/>
      <c r="BS870" s="89"/>
    </row>
    <row r="871" spans="1:71" ht="27" customHeight="1" x14ac:dyDescent="0.2">
      <c r="A871" s="93"/>
      <c r="B871" s="89"/>
      <c r="C871" s="89"/>
      <c r="D871" s="89"/>
      <c r="E871" s="89"/>
      <c r="F871" s="89"/>
      <c r="G871" s="89"/>
      <c r="H871" s="94"/>
      <c r="I871" s="94"/>
      <c r="J871" s="94"/>
      <c r="K871" s="94"/>
      <c r="L871" s="94"/>
      <c r="M871" s="94"/>
      <c r="N871" s="94"/>
      <c r="O871" s="94"/>
      <c r="P871" s="94"/>
      <c r="Q871" s="94"/>
      <c r="R871" s="95"/>
      <c r="S871" s="94"/>
      <c r="T871" s="96"/>
      <c r="U871" s="94"/>
      <c r="V871" s="97"/>
      <c r="W871" s="94"/>
      <c r="X871" s="98"/>
      <c r="Y871" s="98"/>
      <c r="Z871" s="98"/>
      <c r="AA871" s="98"/>
      <c r="AB871" s="98"/>
      <c r="AC871" s="97"/>
      <c r="AD871" s="99"/>
      <c r="AE871" s="95"/>
      <c r="AF871" s="94"/>
      <c r="AG871" s="89"/>
      <c r="AH871" s="89"/>
      <c r="AI871" s="89"/>
      <c r="AJ871" s="89"/>
      <c r="AK871" s="89"/>
      <c r="AL871" s="89"/>
      <c r="AM871" s="89"/>
      <c r="AN871" s="89"/>
      <c r="AO871" s="89"/>
      <c r="AP871" s="89"/>
      <c r="AQ871" s="89"/>
      <c r="AR871" s="89"/>
      <c r="AS871" s="89"/>
      <c r="AT871" s="89"/>
      <c r="AU871" s="89"/>
      <c r="AV871" s="89"/>
      <c r="AW871" s="100"/>
      <c r="AX871" s="100"/>
      <c r="AY871" s="89"/>
      <c r="AZ871" s="89"/>
      <c r="BA871" s="89"/>
      <c r="BB871" s="89"/>
      <c r="BC871" s="89"/>
      <c r="BD871" s="89"/>
      <c r="BE871" s="89"/>
      <c r="BF871" s="89"/>
      <c r="BG871" s="89"/>
      <c r="BH871" s="89"/>
      <c r="BI871" s="89"/>
      <c r="BJ871" s="89"/>
      <c r="BK871" s="89"/>
      <c r="BL871" s="89"/>
      <c r="BM871" s="89"/>
      <c r="BN871" s="89"/>
      <c r="BO871" s="89"/>
      <c r="BP871" s="89"/>
      <c r="BQ871" s="89"/>
      <c r="BR871" s="89"/>
      <c r="BS871" s="89"/>
    </row>
    <row r="872" spans="1:71" ht="27" customHeight="1" x14ac:dyDescent="0.2">
      <c r="A872" s="93"/>
      <c r="B872" s="89"/>
      <c r="C872" s="89"/>
      <c r="D872" s="89"/>
      <c r="E872" s="89"/>
      <c r="F872" s="89"/>
      <c r="G872" s="89"/>
      <c r="H872" s="94"/>
      <c r="I872" s="94"/>
      <c r="J872" s="94"/>
      <c r="K872" s="94"/>
      <c r="L872" s="94"/>
      <c r="M872" s="94"/>
      <c r="N872" s="94"/>
      <c r="O872" s="94"/>
      <c r="P872" s="94"/>
      <c r="Q872" s="94"/>
      <c r="R872" s="95"/>
      <c r="S872" s="94"/>
      <c r="T872" s="96"/>
      <c r="U872" s="94"/>
      <c r="V872" s="97"/>
      <c r="W872" s="94"/>
      <c r="X872" s="98"/>
      <c r="Y872" s="98"/>
      <c r="Z872" s="98"/>
      <c r="AA872" s="98"/>
      <c r="AB872" s="98"/>
      <c r="AC872" s="97"/>
      <c r="AD872" s="99"/>
      <c r="AE872" s="95"/>
      <c r="AF872" s="94"/>
      <c r="AG872" s="89"/>
      <c r="AH872" s="89"/>
      <c r="AI872" s="89"/>
      <c r="AJ872" s="89"/>
      <c r="AK872" s="89"/>
      <c r="AL872" s="89"/>
      <c r="AM872" s="89"/>
      <c r="AN872" s="89"/>
      <c r="AO872" s="89"/>
      <c r="AP872" s="89"/>
      <c r="AQ872" s="89"/>
      <c r="AR872" s="89"/>
      <c r="AS872" s="89"/>
      <c r="AT872" s="89"/>
      <c r="AU872" s="89"/>
      <c r="AV872" s="89"/>
      <c r="AW872" s="100"/>
      <c r="AX872" s="100"/>
      <c r="AY872" s="89"/>
      <c r="AZ872" s="89"/>
      <c r="BA872" s="89"/>
      <c r="BB872" s="89"/>
      <c r="BC872" s="89"/>
      <c r="BD872" s="89"/>
      <c r="BE872" s="89"/>
      <c r="BF872" s="89"/>
      <c r="BG872" s="89"/>
      <c r="BH872" s="89"/>
      <c r="BI872" s="89"/>
      <c r="BJ872" s="89"/>
      <c r="BK872" s="89"/>
      <c r="BL872" s="89"/>
      <c r="BM872" s="89"/>
      <c r="BN872" s="89"/>
      <c r="BO872" s="89"/>
      <c r="BP872" s="89"/>
      <c r="BQ872" s="89"/>
      <c r="BR872" s="89"/>
      <c r="BS872" s="89"/>
    </row>
    <row r="873" spans="1:71" ht="27" customHeight="1" x14ac:dyDescent="0.2">
      <c r="A873" s="93"/>
      <c r="B873" s="89"/>
      <c r="C873" s="89"/>
      <c r="D873" s="89"/>
      <c r="E873" s="89"/>
      <c r="F873" s="89"/>
      <c r="G873" s="89"/>
      <c r="H873" s="94"/>
      <c r="I873" s="94"/>
      <c r="J873" s="94"/>
      <c r="K873" s="94"/>
      <c r="L873" s="94"/>
      <c r="M873" s="94"/>
      <c r="N873" s="94"/>
      <c r="O873" s="94"/>
      <c r="P873" s="94"/>
      <c r="Q873" s="94"/>
      <c r="R873" s="95"/>
      <c r="S873" s="94"/>
      <c r="T873" s="96"/>
      <c r="U873" s="94"/>
      <c r="V873" s="97"/>
      <c r="W873" s="94"/>
      <c r="X873" s="98"/>
      <c r="Y873" s="98"/>
      <c r="Z873" s="98"/>
      <c r="AA873" s="98"/>
      <c r="AB873" s="98"/>
      <c r="AC873" s="97"/>
      <c r="AD873" s="99"/>
      <c r="AE873" s="95"/>
      <c r="AF873" s="94"/>
      <c r="AG873" s="89"/>
      <c r="AH873" s="89"/>
      <c r="AI873" s="89"/>
      <c r="AJ873" s="89"/>
      <c r="AK873" s="89"/>
      <c r="AL873" s="89"/>
      <c r="AM873" s="89"/>
      <c r="AN873" s="89"/>
      <c r="AO873" s="89"/>
      <c r="AP873" s="89"/>
      <c r="AQ873" s="89"/>
      <c r="AR873" s="89"/>
      <c r="AS873" s="89"/>
      <c r="AT873" s="89"/>
      <c r="AU873" s="89"/>
      <c r="AV873" s="89"/>
      <c r="AW873" s="100"/>
      <c r="AX873" s="100"/>
      <c r="AY873" s="89"/>
      <c r="AZ873" s="89"/>
      <c r="BA873" s="89"/>
      <c r="BB873" s="89"/>
      <c r="BC873" s="89"/>
      <c r="BD873" s="89"/>
      <c r="BE873" s="89"/>
      <c r="BF873" s="89"/>
      <c r="BG873" s="89"/>
      <c r="BH873" s="89"/>
      <c r="BI873" s="89"/>
      <c r="BJ873" s="89"/>
      <c r="BK873" s="89"/>
      <c r="BL873" s="89"/>
      <c r="BM873" s="89"/>
      <c r="BN873" s="89"/>
      <c r="BO873" s="89"/>
      <c r="BP873" s="89"/>
      <c r="BQ873" s="89"/>
      <c r="BR873" s="89"/>
      <c r="BS873" s="89"/>
    </row>
    <row r="874" spans="1:71" ht="27" customHeight="1" x14ac:dyDescent="0.2">
      <c r="A874" s="93"/>
      <c r="B874" s="89"/>
      <c r="C874" s="89"/>
      <c r="D874" s="89"/>
      <c r="E874" s="89"/>
      <c r="F874" s="89"/>
      <c r="G874" s="89"/>
      <c r="H874" s="94"/>
      <c r="I874" s="94"/>
      <c r="J874" s="94"/>
      <c r="K874" s="94"/>
      <c r="L874" s="94"/>
      <c r="M874" s="94"/>
      <c r="N874" s="94"/>
      <c r="O874" s="94"/>
      <c r="P874" s="94"/>
      <c r="Q874" s="94"/>
      <c r="R874" s="95"/>
      <c r="S874" s="94"/>
      <c r="T874" s="96"/>
      <c r="U874" s="94"/>
      <c r="V874" s="97"/>
      <c r="W874" s="94"/>
      <c r="X874" s="98"/>
      <c r="Y874" s="98"/>
      <c r="Z874" s="98"/>
      <c r="AA874" s="98"/>
      <c r="AB874" s="98"/>
      <c r="AC874" s="97"/>
      <c r="AD874" s="99"/>
      <c r="AE874" s="95"/>
      <c r="AF874" s="94"/>
      <c r="AG874" s="89"/>
      <c r="AH874" s="89"/>
      <c r="AI874" s="89"/>
      <c r="AJ874" s="89"/>
      <c r="AK874" s="89"/>
      <c r="AL874" s="89"/>
      <c r="AM874" s="89"/>
      <c r="AN874" s="89"/>
      <c r="AO874" s="89"/>
      <c r="AP874" s="89"/>
      <c r="AQ874" s="89"/>
      <c r="AR874" s="89"/>
      <c r="AS874" s="89"/>
      <c r="AT874" s="89"/>
      <c r="AU874" s="89"/>
      <c r="AV874" s="89"/>
      <c r="AW874" s="100"/>
      <c r="AX874" s="100"/>
      <c r="AY874" s="89"/>
      <c r="AZ874" s="89"/>
      <c r="BA874" s="89"/>
      <c r="BB874" s="89"/>
      <c r="BC874" s="89"/>
      <c r="BD874" s="89"/>
      <c r="BE874" s="89"/>
      <c r="BF874" s="89"/>
      <c r="BG874" s="89"/>
      <c r="BH874" s="89"/>
      <c r="BI874" s="89"/>
      <c r="BJ874" s="89"/>
      <c r="BK874" s="89"/>
      <c r="BL874" s="89"/>
      <c r="BM874" s="89"/>
      <c r="BN874" s="89"/>
      <c r="BO874" s="89"/>
      <c r="BP874" s="89"/>
      <c r="BQ874" s="89"/>
      <c r="BR874" s="89"/>
      <c r="BS874" s="89"/>
    </row>
    <row r="875" spans="1:71" ht="27" customHeight="1" x14ac:dyDescent="0.2">
      <c r="A875" s="93"/>
      <c r="B875" s="89"/>
      <c r="C875" s="89"/>
      <c r="D875" s="89"/>
      <c r="E875" s="89"/>
      <c r="F875" s="89"/>
      <c r="G875" s="89"/>
      <c r="H875" s="94"/>
      <c r="I875" s="94"/>
      <c r="J875" s="94"/>
      <c r="K875" s="94"/>
      <c r="L875" s="94"/>
      <c r="M875" s="94"/>
      <c r="N875" s="94"/>
      <c r="O875" s="94"/>
      <c r="P875" s="94"/>
      <c r="Q875" s="94"/>
      <c r="R875" s="95"/>
      <c r="S875" s="94"/>
      <c r="T875" s="96"/>
      <c r="U875" s="94"/>
      <c r="V875" s="97"/>
      <c r="W875" s="94"/>
      <c r="X875" s="98"/>
      <c r="Y875" s="98"/>
      <c r="Z875" s="98"/>
      <c r="AA875" s="98"/>
      <c r="AB875" s="98"/>
      <c r="AC875" s="97"/>
      <c r="AD875" s="99"/>
      <c r="AE875" s="95"/>
      <c r="AF875" s="94"/>
      <c r="AG875" s="89"/>
      <c r="AH875" s="89"/>
      <c r="AI875" s="89"/>
      <c r="AJ875" s="89"/>
      <c r="AK875" s="89"/>
      <c r="AL875" s="89"/>
      <c r="AM875" s="89"/>
      <c r="AN875" s="89"/>
      <c r="AO875" s="89"/>
      <c r="AP875" s="89"/>
      <c r="AQ875" s="89"/>
      <c r="AR875" s="89"/>
      <c r="AS875" s="89"/>
      <c r="AT875" s="89"/>
      <c r="AU875" s="89"/>
      <c r="AV875" s="89"/>
      <c r="AW875" s="100"/>
      <c r="AX875" s="100"/>
      <c r="AY875" s="89"/>
      <c r="AZ875" s="89"/>
      <c r="BA875" s="89"/>
      <c r="BB875" s="89"/>
      <c r="BC875" s="89"/>
      <c r="BD875" s="89"/>
      <c r="BE875" s="89"/>
      <c r="BF875" s="89"/>
      <c r="BG875" s="89"/>
      <c r="BH875" s="89"/>
      <c r="BI875" s="89"/>
      <c r="BJ875" s="89"/>
      <c r="BK875" s="89"/>
      <c r="BL875" s="89"/>
      <c r="BM875" s="89"/>
      <c r="BN875" s="89"/>
      <c r="BO875" s="89"/>
      <c r="BP875" s="89"/>
      <c r="BQ875" s="89"/>
      <c r="BR875" s="89"/>
      <c r="BS875" s="89"/>
    </row>
    <row r="876" spans="1:71" ht="27" customHeight="1" x14ac:dyDescent="0.2">
      <c r="A876" s="93"/>
      <c r="B876" s="89"/>
      <c r="C876" s="89"/>
      <c r="D876" s="89"/>
      <c r="E876" s="89"/>
      <c r="F876" s="89"/>
      <c r="G876" s="89"/>
      <c r="H876" s="94"/>
      <c r="I876" s="94"/>
      <c r="J876" s="94"/>
      <c r="K876" s="94"/>
      <c r="L876" s="94"/>
      <c r="M876" s="94"/>
      <c r="N876" s="94"/>
      <c r="O876" s="94"/>
      <c r="P876" s="94"/>
      <c r="Q876" s="94"/>
      <c r="R876" s="95"/>
      <c r="S876" s="94"/>
      <c r="T876" s="96"/>
      <c r="U876" s="94"/>
      <c r="V876" s="97"/>
      <c r="W876" s="94"/>
      <c r="X876" s="98"/>
      <c r="Y876" s="98"/>
      <c r="Z876" s="98"/>
      <c r="AA876" s="98"/>
      <c r="AB876" s="98"/>
      <c r="AC876" s="97"/>
      <c r="AD876" s="99"/>
      <c r="AE876" s="95"/>
      <c r="AF876" s="94"/>
      <c r="AG876" s="89"/>
      <c r="AH876" s="89"/>
      <c r="AI876" s="89"/>
      <c r="AJ876" s="89"/>
      <c r="AK876" s="89"/>
      <c r="AL876" s="89"/>
      <c r="AM876" s="89"/>
      <c r="AN876" s="89"/>
      <c r="AO876" s="89"/>
      <c r="AP876" s="89"/>
      <c r="AQ876" s="89"/>
      <c r="AR876" s="89"/>
      <c r="AS876" s="89"/>
      <c r="AT876" s="89"/>
      <c r="AU876" s="89"/>
      <c r="AV876" s="89"/>
      <c r="AW876" s="100"/>
      <c r="AX876" s="100"/>
      <c r="AY876" s="89"/>
      <c r="AZ876" s="89"/>
      <c r="BA876" s="89"/>
      <c r="BB876" s="89"/>
      <c r="BC876" s="89"/>
      <c r="BD876" s="89"/>
      <c r="BE876" s="89"/>
      <c r="BF876" s="89"/>
      <c r="BG876" s="89"/>
      <c r="BH876" s="89"/>
      <c r="BI876" s="89"/>
      <c r="BJ876" s="89"/>
      <c r="BK876" s="89"/>
      <c r="BL876" s="89"/>
      <c r="BM876" s="89"/>
      <c r="BN876" s="89"/>
      <c r="BO876" s="89"/>
      <c r="BP876" s="89"/>
      <c r="BQ876" s="89"/>
      <c r="BR876" s="89"/>
      <c r="BS876" s="89"/>
    </row>
    <row r="877" spans="1:71" ht="27" customHeight="1" x14ac:dyDescent="0.2">
      <c r="A877" s="93"/>
      <c r="B877" s="89"/>
      <c r="C877" s="89"/>
      <c r="D877" s="89"/>
      <c r="E877" s="89"/>
      <c r="F877" s="89"/>
      <c r="G877" s="89"/>
      <c r="H877" s="94"/>
      <c r="I877" s="94"/>
      <c r="J877" s="94"/>
      <c r="K877" s="94"/>
      <c r="L877" s="94"/>
      <c r="M877" s="94"/>
      <c r="N877" s="94"/>
      <c r="O877" s="94"/>
      <c r="P877" s="94"/>
      <c r="Q877" s="94"/>
      <c r="R877" s="95"/>
      <c r="S877" s="94"/>
      <c r="T877" s="96"/>
      <c r="U877" s="94"/>
      <c r="V877" s="97"/>
      <c r="W877" s="94"/>
      <c r="X877" s="98"/>
      <c r="Y877" s="98"/>
      <c r="Z877" s="98"/>
      <c r="AA877" s="98"/>
      <c r="AB877" s="98"/>
      <c r="AC877" s="97"/>
      <c r="AD877" s="99"/>
      <c r="AE877" s="95"/>
      <c r="AF877" s="94"/>
      <c r="AG877" s="89"/>
      <c r="AH877" s="89"/>
      <c r="AI877" s="89"/>
      <c r="AJ877" s="89"/>
      <c r="AK877" s="89"/>
      <c r="AL877" s="89"/>
      <c r="AM877" s="89"/>
      <c r="AN877" s="89"/>
      <c r="AO877" s="89"/>
      <c r="AP877" s="89"/>
      <c r="AQ877" s="89"/>
      <c r="AR877" s="89"/>
      <c r="AS877" s="89"/>
      <c r="AT877" s="89"/>
      <c r="AU877" s="89"/>
      <c r="AV877" s="89"/>
      <c r="AW877" s="100"/>
      <c r="AX877" s="100"/>
      <c r="AY877" s="89"/>
      <c r="AZ877" s="89"/>
      <c r="BA877" s="89"/>
      <c r="BB877" s="89"/>
      <c r="BC877" s="89"/>
      <c r="BD877" s="89"/>
      <c r="BE877" s="89"/>
      <c r="BF877" s="89"/>
      <c r="BG877" s="89"/>
      <c r="BH877" s="89"/>
      <c r="BI877" s="89"/>
      <c r="BJ877" s="89"/>
      <c r="BK877" s="89"/>
      <c r="BL877" s="89"/>
      <c r="BM877" s="89"/>
      <c r="BN877" s="89"/>
      <c r="BO877" s="89"/>
      <c r="BP877" s="89"/>
      <c r="BQ877" s="89"/>
      <c r="BR877" s="89"/>
      <c r="BS877" s="89"/>
    </row>
    <row r="878" spans="1:71" ht="27" customHeight="1" x14ac:dyDescent="0.2">
      <c r="A878" s="93"/>
      <c r="B878" s="89"/>
      <c r="C878" s="89"/>
      <c r="D878" s="89"/>
      <c r="E878" s="89"/>
      <c r="F878" s="89"/>
      <c r="G878" s="89"/>
      <c r="H878" s="94"/>
      <c r="I878" s="94"/>
      <c r="J878" s="94"/>
      <c r="K878" s="94"/>
      <c r="L878" s="94"/>
      <c r="M878" s="94"/>
      <c r="N878" s="94"/>
      <c r="O878" s="94"/>
      <c r="P878" s="94"/>
      <c r="Q878" s="94"/>
      <c r="R878" s="95"/>
      <c r="S878" s="94"/>
      <c r="T878" s="96"/>
      <c r="U878" s="94"/>
      <c r="V878" s="97"/>
      <c r="W878" s="94"/>
      <c r="X878" s="98"/>
      <c r="Y878" s="98"/>
      <c r="Z878" s="98"/>
      <c r="AA878" s="98"/>
      <c r="AB878" s="98"/>
      <c r="AC878" s="97"/>
      <c r="AD878" s="99"/>
      <c r="AE878" s="95"/>
      <c r="AF878" s="94"/>
      <c r="AG878" s="89"/>
      <c r="AH878" s="89"/>
      <c r="AI878" s="89"/>
      <c r="AJ878" s="89"/>
      <c r="AK878" s="89"/>
      <c r="AL878" s="89"/>
      <c r="AM878" s="89"/>
      <c r="AN878" s="89"/>
      <c r="AO878" s="89"/>
      <c r="AP878" s="89"/>
      <c r="AQ878" s="89"/>
      <c r="AR878" s="89"/>
      <c r="AS878" s="89"/>
      <c r="AT878" s="89"/>
      <c r="AU878" s="89"/>
      <c r="AV878" s="89"/>
      <c r="AW878" s="100"/>
      <c r="AX878" s="100"/>
      <c r="AY878" s="89"/>
      <c r="AZ878" s="89"/>
      <c r="BA878" s="89"/>
      <c r="BB878" s="89"/>
      <c r="BC878" s="89"/>
      <c r="BD878" s="89"/>
      <c r="BE878" s="89"/>
      <c r="BF878" s="89"/>
      <c r="BG878" s="89"/>
      <c r="BH878" s="89"/>
      <c r="BI878" s="89"/>
      <c r="BJ878" s="89"/>
      <c r="BK878" s="89"/>
      <c r="BL878" s="89"/>
      <c r="BM878" s="89"/>
      <c r="BN878" s="89"/>
      <c r="BO878" s="89"/>
      <c r="BP878" s="89"/>
      <c r="BQ878" s="89"/>
      <c r="BR878" s="89"/>
      <c r="BS878" s="89"/>
    </row>
    <row r="879" spans="1:71" ht="27" customHeight="1" x14ac:dyDescent="0.2">
      <c r="A879" s="93"/>
      <c r="B879" s="89"/>
      <c r="C879" s="89"/>
      <c r="D879" s="89"/>
      <c r="E879" s="89"/>
      <c r="F879" s="89"/>
      <c r="G879" s="89"/>
      <c r="H879" s="94"/>
      <c r="I879" s="94"/>
      <c r="J879" s="94"/>
      <c r="K879" s="94"/>
      <c r="L879" s="94"/>
      <c r="M879" s="94"/>
      <c r="N879" s="94"/>
      <c r="O879" s="94"/>
      <c r="P879" s="94"/>
      <c r="Q879" s="94"/>
      <c r="R879" s="95"/>
      <c r="S879" s="94"/>
      <c r="T879" s="96"/>
      <c r="U879" s="94"/>
      <c r="V879" s="97"/>
      <c r="W879" s="94"/>
      <c r="X879" s="98"/>
      <c r="Y879" s="98"/>
      <c r="Z879" s="98"/>
      <c r="AA879" s="98"/>
      <c r="AB879" s="98"/>
      <c r="AC879" s="97"/>
      <c r="AD879" s="99"/>
      <c r="AE879" s="95"/>
      <c r="AF879" s="94"/>
      <c r="AG879" s="89"/>
      <c r="AH879" s="89"/>
      <c r="AI879" s="89"/>
      <c r="AJ879" s="89"/>
      <c r="AK879" s="89"/>
      <c r="AL879" s="89"/>
      <c r="AM879" s="89"/>
      <c r="AN879" s="89"/>
      <c r="AO879" s="89"/>
      <c r="AP879" s="89"/>
      <c r="AQ879" s="89"/>
      <c r="AR879" s="89"/>
      <c r="AS879" s="89"/>
      <c r="AT879" s="89"/>
      <c r="AU879" s="89"/>
      <c r="AV879" s="89"/>
      <c r="AW879" s="100"/>
      <c r="AX879" s="100"/>
      <c r="AY879" s="89"/>
      <c r="AZ879" s="89"/>
      <c r="BA879" s="89"/>
      <c r="BB879" s="89"/>
      <c r="BC879" s="89"/>
      <c r="BD879" s="89"/>
      <c r="BE879" s="89"/>
      <c r="BF879" s="89"/>
      <c r="BG879" s="89"/>
      <c r="BH879" s="89"/>
      <c r="BI879" s="89"/>
      <c r="BJ879" s="89"/>
      <c r="BK879" s="89"/>
      <c r="BL879" s="89"/>
      <c r="BM879" s="89"/>
      <c r="BN879" s="89"/>
      <c r="BO879" s="89"/>
      <c r="BP879" s="89"/>
      <c r="BQ879" s="89"/>
      <c r="BR879" s="89"/>
      <c r="BS879" s="89"/>
    </row>
    <row r="880" spans="1:71" ht="27" customHeight="1" x14ac:dyDescent="0.2">
      <c r="A880" s="93"/>
      <c r="B880" s="89"/>
      <c r="C880" s="89"/>
      <c r="D880" s="89"/>
      <c r="E880" s="89"/>
      <c r="F880" s="89"/>
      <c r="G880" s="89"/>
      <c r="H880" s="94"/>
      <c r="I880" s="94"/>
      <c r="J880" s="94"/>
      <c r="K880" s="94"/>
      <c r="L880" s="94"/>
      <c r="M880" s="94"/>
      <c r="N880" s="94"/>
      <c r="O880" s="94"/>
      <c r="P880" s="94"/>
      <c r="Q880" s="94"/>
      <c r="R880" s="95"/>
      <c r="S880" s="94"/>
      <c r="T880" s="96"/>
      <c r="U880" s="94"/>
      <c r="V880" s="97"/>
      <c r="W880" s="94"/>
      <c r="X880" s="98"/>
      <c r="Y880" s="98"/>
      <c r="Z880" s="98"/>
      <c r="AA880" s="98"/>
      <c r="AB880" s="98"/>
      <c r="AC880" s="97"/>
      <c r="AD880" s="99"/>
      <c r="AE880" s="95"/>
      <c r="AF880" s="94"/>
      <c r="AG880" s="89"/>
      <c r="AH880" s="89"/>
      <c r="AI880" s="89"/>
      <c r="AJ880" s="89"/>
      <c r="AK880" s="89"/>
      <c r="AL880" s="89"/>
      <c r="AM880" s="89"/>
      <c r="AN880" s="89"/>
      <c r="AO880" s="89"/>
      <c r="AP880" s="89"/>
      <c r="AQ880" s="89"/>
      <c r="AR880" s="89"/>
      <c r="AS880" s="89"/>
      <c r="AT880" s="89"/>
      <c r="AU880" s="89"/>
      <c r="AV880" s="89"/>
      <c r="AW880" s="100"/>
      <c r="AX880" s="100"/>
      <c r="AY880" s="89"/>
      <c r="AZ880" s="89"/>
      <c r="BA880" s="89"/>
      <c r="BB880" s="89"/>
      <c r="BC880" s="89"/>
      <c r="BD880" s="89"/>
      <c r="BE880" s="89"/>
      <c r="BF880" s="89"/>
      <c r="BG880" s="89"/>
      <c r="BH880" s="89"/>
      <c r="BI880" s="89"/>
      <c r="BJ880" s="89"/>
      <c r="BK880" s="89"/>
      <c r="BL880" s="89"/>
      <c r="BM880" s="89"/>
      <c r="BN880" s="89"/>
      <c r="BO880" s="89"/>
      <c r="BP880" s="89"/>
      <c r="BQ880" s="89"/>
      <c r="BR880" s="89"/>
      <c r="BS880" s="89"/>
    </row>
    <row r="881" spans="1:71" ht="27" customHeight="1" x14ac:dyDescent="0.2">
      <c r="A881" s="93"/>
      <c r="B881" s="89"/>
      <c r="C881" s="89"/>
      <c r="D881" s="89"/>
      <c r="E881" s="89"/>
      <c r="F881" s="89"/>
      <c r="G881" s="89"/>
      <c r="H881" s="94"/>
      <c r="I881" s="94"/>
      <c r="J881" s="94"/>
      <c r="K881" s="94"/>
      <c r="L881" s="94"/>
      <c r="M881" s="94"/>
      <c r="N881" s="94"/>
      <c r="O881" s="94"/>
      <c r="P881" s="94"/>
      <c r="Q881" s="94"/>
      <c r="R881" s="95"/>
      <c r="S881" s="94"/>
      <c r="T881" s="96"/>
      <c r="U881" s="94"/>
      <c r="V881" s="97"/>
      <c r="W881" s="94"/>
      <c r="X881" s="98"/>
      <c r="Y881" s="98"/>
      <c r="Z881" s="98"/>
      <c r="AA881" s="98"/>
      <c r="AB881" s="98"/>
      <c r="AC881" s="97"/>
      <c r="AD881" s="99"/>
      <c r="AE881" s="95"/>
      <c r="AF881" s="94"/>
      <c r="AG881" s="89"/>
      <c r="AH881" s="89"/>
      <c r="AI881" s="89"/>
      <c r="AJ881" s="89"/>
      <c r="AK881" s="89"/>
      <c r="AL881" s="89"/>
      <c r="AM881" s="89"/>
      <c r="AN881" s="89"/>
      <c r="AO881" s="89"/>
      <c r="AP881" s="89"/>
      <c r="AQ881" s="89"/>
      <c r="AR881" s="89"/>
      <c r="AS881" s="89"/>
      <c r="AT881" s="89"/>
      <c r="AU881" s="89"/>
      <c r="AV881" s="89"/>
      <c r="AW881" s="100"/>
      <c r="AX881" s="100"/>
      <c r="AY881" s="89"/>
      <c r="AZ881" s="89"/>
      <c r="BA881" s="89"/>
      <c r="BB881" s="89"/>
      <c r="BC881" s="89"/>
      <c r="BD881" s="89"/>
      <c r="BE881" s="89"/>
      <c r="BF881" s="89"/>
      <c r="BG881" s="89"/>
      <c r="BH881" s="89"/>
      <c r="BI881" s="89"/>
      <c r="BJ881" s="89"/>
      <c r="BK881" s="89"/>
      <c r="BL881" s="89"/>
      <c r="BM881" s="89"/>
      <c r="BN881" s="89"/>
      <c r="BO881" s="89"/>
      <c r="BP881" s="89"/>
      <c r="BQ881" s="89"/>
      <c r="BR881" s="89"/>
      <c r="BS881" s="89"/>
    </row>
    <row r="882" spans="1:71" ht="27" customHeight="1" x14ac:dyDescent="0.2">
      <c r="A882" s="93"/>
      <c r="B882" s="89"/>
      <c r="C882" s="89"/>
      <c r="D882" s="89"/>
      <c r="E882" s="89"/>
      <c r="F882" s="89"/>
      <c r="G882" s="89"/>
      <c r="H882" s="94"/>
      <c r="I882" s="94"/>
      <c r="J882" s="94"/>
      <c r="K882" s="94"/>
      <c r="L882" s="94"/>
      <c r="M882" s="94"/>
      <c r="N882" s="94"/>
      <c r="O882" s="94"/>
      <c r="P882" s="94"/>
      <c r="Q882" s="94"/>
      <c r="R882" s="95"/>
      <c r="S882" s="94"/>
      <c r="T882" s="96"/>
      <c r="U882" s="94"/>
      <c r="V882" s="97"/>
      <c r="W882" s="94"/>
      <c r="X882" s="98"/>
      <c r="Y882" s="98"/>
      <c r="Z882" s="98"/>
      <c r="AA882" s="98"/>
      <c r="AB882" s="98"/>
      <c r="AC882" s="97"/>
      <c r="AD882" s="99"/>
      <c r="AE882" s="95"/>
      <c r="AF882" s="94"/>
      <c r="AG882" s="89"/>
      <c r="AH882" s="89"/>
      <c r="AI882" s="89"/>
      <c r="AJ882" s="89"/>
      <c r="AK882" s="89"/>
      <c r="AL882" s="89"/>
      <c r="AM882" s="89"/>
      <c r="AN882" s="89"/>
      <c r="AO882" s="89"/>
      <c r="AP882" s="89"/>
      <c r="AQ882" s="89"/>
      <c r="AR882" s="89"/>
      <c r="AS882" s="89"/>
      <c r="AT882" s="89"/>
      <c r="AU882" s="89"/>
      <c r="AV882" s="89"/>
      <c r="AW882" s="100"/>
      <c r="AX882" s="100"/>
      <c r="AY882" s="89"/>
      <c r="AZ882" s="89"/>
      <c r="BA882" s="89"/>
      <c r="BB882" s="89"/>
      <c r="BC882" s="89"/>
      <c r="BD882" s="89"/>
      <c r="BE882" s="89"/>
      <c r="BF882" s="89"/>
      <c r="BG882" s="89"/>
      <c r="BH882" s="89"/>
      <c r="BI882" s="89"/>
      <c r="BJ882" s="89"/>
      <c r="BK882" s="89"/>
      <c r="BL882" s="89"/>
      <c r="BM882" s="89"/>
      <c r="BN882" s="89"/>
      <c r="BO882" s="89"/>
      <c r="BP882" s="89"/>
      <c r="BQ882" s="89"/>
      <c r="BR882" s="89"/>
      <c r="BS882" s="89"/>
    </row>
    <row r="883" spans="1:71" ht="27" customHeight="1" x14ac:dyDescent="0.2">
      <c r="A883" s="93"/>
      <c r="B883" s="89"/>
      <c r="C883" s="89"/>
      <c r="D883" s="89"/>
      <c r="E883" s="89"/>
      <c r="F883" s="89"/>
      <c r="G883" s="89"/>
      <c r="H883" s="94"/>
      <c r="I883" s="94"/>
      <c r="J883" s="94"/>
      <c r="K883" s="94"/>
      <c r="L883" s="94"/>
      <c r="M883" s="94"/>
      <c r="N883" s="94"/>
      <c r="O883" s="94"/>
      <c r="P883" s="94"/>
      <c r="Q883" s="94"/>
      <c r="R883" s="95"/>
      <c r="S883" s="94"/>
      <c r="T883" s="96"/>
      <c r="U883" s="94"/>
      <c r="V883" s="97"/>
      <c r="W883" s="94"/>
      <c r="X883" s="98"/>
      <c r="Y883" s="98"/>
      <c r="Z883" s="98"/>
      <c r="AA883" s="98"/>
      <c r="AB883" s="98"/>
      <c r="AC883" s="97"/>
      <c r="AD883" s="99"/>
      <c r="AE883" s="95"/>
      <c r="AF883" s="94"/>
      <c r="AG883" s="89"/>
      <c r="AH883" s="89"/>
      <c r="AI883" s="89"/>
      <c r="AJ883" s="89"/>
      <c r="AK883" s="89"/>
      <c r="AL883" s="89"/>
      <c r="AM883" s="89"/>
      <c r="AN883" s="89"/>
      <c r="AO883" s="89"/>
      <c r="AP883" s="89"/>
      <c r="AQ883" s="89"/>
      <c r="AR883" s="89"/>
      <c r="AS883" s="89"/>
      <c r="AT883" s="89"/>
      <c r="AU883" s="89"/>
      <c r="AV883" s="89"/>
      <c r="AW883" s="100"/>
      <c r="AX883" s="100"/>
      <c r="AY883" s="89"/>
      <c r="AZ883" s="89"/>
      <c r="BA883" s="89"/>
      <c r="BB883" s="89"/>
      <c r="BC883" s="89"/>
      <c r="BD883" s="89"/>
      <c r="BE883" s="89"/>
      <c r="BF883" s="89"/>
      <c r="BG883" s="89"/>
      <c r="BH883" s="89"/>
      <c r="BI883" s="89"/>
      <c r="BJ883" s="89"/>
      <c r="BK883" s="89"/>
      <c r="BL883" s="89"/>
      <c r="BM883" s="89"/>
      <c r="BN883" s="89"/>
      <c r="BO883" s="89"/>
      <c r="BP883" s="89"/>
      <c r="BQ883" s="89"/>
      <c r="BR883" s="89"/>
      <c r="BS883" s="89"/>
    </row>
    <row r="884" spans="1:71" ht="27" customHeight="1" x14ac:dyDescent="0.2">
      <c r="A884" s="93"/>
      <c r="B884" s="89"/>
      <c r="C884" s="89"/>
      <c r="D884" s="89"/>
      <c r="E884" s="89"/>
      <c r="F884" s="89"/>
      <c r="G884" s="89"/>
      <c r="H884" s="94"/>
      <c r="I884" s="94"/>
      <c r="J884" s="94"/>
      <c r="K884" s="94"/>
      <c r="L884" s="94"/>
      <c r="M884" s="94"/>
      <c r="N884" s="94"/>
      <c r="O884" s="94"/>
      <c r="P884" s="94"/>
      <c r="Q884" s="94"/>
      <c r="R884" s="95"/>
      <c r="S884" s="94"/>
      <c r="T884" s="96"/>
      <c r="U884" s="94"/>
      <c r="V884" s="97"/>
      <c r="W884" s="94"/>
      <c r="X884" s="98"/>
      <c r="Y884" s="98"/>
      <c r="Z884" s="98"/>
      <c r="AA884" s="98"/>
      <c r="AB884" s="98"/>
      <c r="AC884" s="97"/>
      <c r="AD884" s="99"/>
      <c r="AE884" s="95"/>
      <c r="AF884" s="94"/>
      <c r="AG884" s="89"/>
      <c r="AH884" s="89"/>
      <c r="AI884" s="89"/>
      <c r="AJ884" s="89"/>
      <c r="AK884" s="89"/>
      <c r="AL884" s="89"/>
      <c r="AM884" s="89"/>
      <c r="AN884" s="89"/>
      <c r="AO884" s="89"/>
      <c r="AP884" s="89"/>
      <c r="AQ884" s="89"/>
      <c r="AR884" s="89"/>
      <c r="AS884" s="89"/>
      <c r="AT884" s="89"/>
      <c r="AU884" s="89"/>
      <c r="AV884" s="89"/>
      <c r="AW884" s="100"/>
      <c r="AX884" s="100"/>
      <c r="AY884" s="89"/>
      <c r="AZ884" s="89"/>
      <c r="BA884" s="89"/>
      <c r="BB884" s="89"/>
      <c r="BC884" s="89"/>
      <c r="BD884" s="89"/>
      <c r="BE884" s="89"/>
      <c r="BF884" s="89"/>
      <c r="BG884" s="89"/>
      <c r="BH884" s="89"/>
      <c r="BI884" s="89"/>
      <c r="BJ884" s="89"/>
      <c r="BK884" s="89"/>
      <c r="BL884" s="89"/>
      <c r="BM884" s="89"/>
      <c r="BN884" s="89"/>
      <c r="BO884" s="89"/>
      <c r="BP884" s="89"/>
      <c r="BQ884" s="89"/>
      <c r="BR884" s="89"/>
      <c r="BS884" s="89"/>
    </row>
    <row r="885" spans="1:71" ht="27" customHeight="1" x14ac:dyDescent="0.2">
      <c r="A885" s="93"/>
      <c r="B885" s="89"/>
      <c r="C885" s="89"/>
      <c r="D885" s="89"/>
      <c r="E885" s="89"/>
      <c r="F885" s="89"/>
      <c r="G885" s="89"/>
      <c r="H885" s="94"/>
      <c r="I885" s="94"/>
      <c r="J885" s="94"/>
      <c r="K885" s="94"/>
      <c r="L885" s="94"/>
      <c r="M885" s="94"/>
      <c r="N885" s="94"/>
      <c r="O885" s="94"/>
      <c r="P885" s="94"/>
      <c r="Q885" s="94"/>
      <c r="R885" s="95"/>
      <c r="S885" s="94"/>
      <c r="T885" s="96"/>
      <c r="U885" s="94"/>
      <c r="V885" s="97"/>
      <c r="W885" s="94"/>
      <c r="X885" s="98"/>
      <c r="Y885" s="98"/>
      <c r="Z885" s="98"/>
      <c r="AA885" s="98"/>
      <c r="AB885" s="98"/>
      <c r="AC885" s="97"/>
      <c r="AD885" s="99"/>
      <c r="AE885" s="95"/>
      <c r="AF885" s="94"/>
      <c r="AG885" s="89"/>
      <c r="AH885" s="89"/>
      <c r="AI885" s="89"/>
      <c r="AJ885" s="89"/>
      <c r="AK885" s="89"/>
      <c r="AL885" s="89"/>
      <c r="AM885" s="89"/>
      <c r="AN885" s="89"/>
      <c r="AO885" s="89"/>
      <c r="AP885" s="89"/>
      <c r="AQ885" s="89"/>
      <c r="AR885" s="89"/>
      <c r="AS885" s="89"/>
      <c r="AT885" s="89"/>
      <c r="AU885" s="89"/>
      <c r="AV885" s="89"/>
      <c r="AW885" s="100"/>
      <c r="AX885" s="100"/>
      <c r="AY885" s="89"/>
      <c r="AZ885" s="89"/>
      <c r="BA885" s="89"/>
      <c r="BB885" s="89"/>
      <c r="BC885" s="89"/>
      <c r="BD885" s="89"/>
      <c r="BE885" s="89"/>
      <c r="BF885" s="89"/>
      <c r="BG885" s="89"/>
      <c r="BH885" s="89"/>
      <c r="BI885" s="89"/>
      <c r="BJ885" s="89"/>
      <c r="BK885" s="89"/>
      <c r="BL885" s="89"/>
      <c r="BM885" s="89"/>
      <c r="BN885" s="89"/>
      <c r="BO885" s="89"/>
      <c r="BP885" s="89"/>
      <c r="BQ885" s="89"/>
      <c r="BR885" s="89"/>
      <c r="BS885" s="89"/>
    </row>
    <row r="886" spans="1:71" ht="27" customHeight="1" x14ac:dyDescent="0.2">
      <c r="A886" s="93"/>
      <c r="B886" s="89"/>
      <c r="C886" s="89"/>
      <c r="D886" s="89"/>
      <c r="E886" s="89"/>
      <c r="F886" s="89"/>
      <c r="G886" s="89"/>
      <c r="H886" s="94"/>
      <c r="I886" s="94"/>
      <c r="J886" s="94"/>
      <c r="K886" s="94"/>
      <c r="L886" s="94"/>
      <c r="M886" s="94"/>
      <c r="N886" s="94"/>
      <c r="O886" s="94"/>
      <c r="P886" s="94"/>
      <c r="Q886" s="94"/>
      <c r="R886" s="95"/>
      <c r="S886" s="94"/>
      <c r="T886" s="96"/>
      <c r="U886" s="94"/>
      <c r="V886" s="97"/>
      <c r="W886" s="94"/>
      <c r="X886" s="98"/>
      <c r="Y886" s="98"/>
      <c r="Z886" s="98"/>
      <c r="AA886" s="98"/>
      <c r="AB886" s="98"/>
      <c r="AC886" s="97"/>
      <c r="AD886" s="99"/>
      <c r="AE886" s="95"/>
      <c r="AF886" s="94"/>
      <c r="AG886" s="89"/>
      <c r="AH886" s="89"/>
      <c r="AI886" s="89"/>
      <c r="AJ886" s="89"/>
      <c r="AK886" s="89"/>
      <c r="AL886" s="89"/>
      <c r="AM886" s="89"/>
      <c r="AN886" s="89"/>
      <c r="AO886" s="89"/>
      <c r="AP886" s="89"/>
      <c r="AQ886" s="89"/>
      <c r="AR886" s="89"/>
      <c r="AS886" s="89"/>
      <c r="AT886" s="89"/>
      <c r="AU886" s="89"/>
      <c r="AV886" s="89"/>
      <c r="AW886" s="100"/>
      <c r="AX886" s="100"/>
      <c r="AY886" s="89"/>
      <c r="AZ886" s="89"/>
      <c r="BA886" s="89"/>
      <c r="BB886" s="89"/>
      <c r="BC886" s="89"/>
      <c r="BD886" s="89"/>
      <c r="BE886" s="89"/>
      <c r="BF886" s="89"/>
      <c r="BG886" s="89"/>
      <c r="BH886" s="89"/>
      <c r="BI886" s="89"/>
      <c r="BJ886" s="89"/>
      <c r="BK886" s="89"/>
      <c r="BL886" s="89"/>
      <c r="BM886" s="89"/>
      <c r="BN886" s="89"/>
      <c r="BO886" s="89"/>
      <c r="BP886" s="89"/>
      <c r="BQ886" s="89"/>
      <c r="BR886" s="89"/>
      <c r="BS886" s="89"/>
    </row>
    <row r="887" spans="1:71" ht="27" customHeight="1" x14ac:dyDescent="0.2">
      <c r="A887" s="93"/>
      <c r="B887" s="89"/>
      <c r="C887" s="89"/>
      <c r="D887" s="89"/>
      <c r="E887" s="89"/>
      <c r="F887" s="89"/>
      <c r="G887" s="89"/>
      <c r="H887" s="94"/>
      <c r="I887" s="94"/>
      <c r="J887" s="94"/>
      <c r="K887" s="94"/>
      <c r="L887" s="94"/>
      <c r="M887" s="94"/>
      <c r="N887" s="94"/>
      <c r="O887" s="94"/>
      <c r="P887" s="94"/>
      <c r="Q887" s="94"/>
      <c r="R887" s="95"/>
      <c r="S887" s="94"/>
      <c r="T887" s="96"/>
      <c r="U887" s="94"/>
      <c r="V887" s="97"/>
      <c r="W887" s="94"/>
      <c r="X887" s="98"/>
      <c r="Y887" s="98"/>
      <c r="Z887" s="98"/>
      <c r="AA887" s="98"/>
      <c r="AB887" s="98"/>
      <c r="AC887" s="97"/>
      <c r="AD887" s="99"/>
      <c r="AE887" s="95"/>
      <c r="AF887" s="94"/>
      <c r="AG887" s="89"/>
      <c r="AH887" s="89"/>
      <c r="AI887" s="89"/>
      <c r="AJ887" s="89"/>
      <c r="AK887" s="89"/>
      <c r="AL887" s="89"/>
      <c r="AM887" s="89"/>
      <c r="AN887" s="89"/>
      <c r="AO887" s="89"/>
      <c r="AP887" s="89"/>
      <c r="AQ887" s="89"/>
      <c r="AR887" s="89"/>
      <c r="AS887" s="89"/>
      <c r="AT887" s="89"/>
      <c r="AU887" s="89"/>
      <c r="AV887" s="89"/>
      <c r="AW887" s="100"/>
      <c r="AX887" s="100"/>
      <c r="AY887" s="89"/>
      <c r="AZ887" s="89"/>
      <c r="BA887" s="89"/>
      <c r="BB887" s="89"/>
      <c r="BC887" s="89"/>
      <c r="BD887" s="89"/>
      <c r="BE887" s="89"/>
      <c r="BF887" s="89"/>
      <c r="BG887" s="89"/>
      <c r="BH887" s="89"/>
      <c r="BI887" s="89"/>
      <c r="BJ887" s="89"/>
      <c r="BK887" s="89"/>
      <c r="BL887" s="89"/>
      <c r="BM887" s="89"/>
      <c r="BN887" s="89"/>
      <c r="BO887" s="89"/>
      <c r="BP887" s="89"/>
      <c r="BQ887" s="89"/>
      <c r="BR887" s="89"/>
      <c r="BS887" s="89"/>
    </row>
    <row r="888" spans="1:71" ht="27" customHeight="1" x14ac:dyDescent="0.2">
      <c r="A888" s="93"/>
      <c r="B888" s="89"/>
      <c r="C888" s="89"/>
      <c r="D888" s="89"/>
      <c r="E888" s="89"/>
      <c r="F888" s="89"/>
      <c r="G888" s="89"/>
      <c r="H888" s="94"/>
      <c r="I888" s="94"/>
      <c r="J888" s="94"/>
      <c r="K888" s="94"/>
      <c r="L888" s="94"/>
      <c r="M888" s="94"/>
      <c r="N888" s="94"/>
      <c r="O888" s="94"/>
      <c r="P888" s="94"/>
      <c r="Q888" s="94"/>
      <c r="R888" s="95"/>
      <c r="S888" s="94"/>
      <c r="T888" s="96"/>
      <c r="U888" s="94"/>
      <c r="V888" s="97"/>
      <c r="W888" s="94"/>
      <c r="X888" s="98"/>
      <c r="Y888" s="98"/>
      <c r="Z888" s="98"/>
      <c r="AA888" s="98"/>
      <c r="AB888" s="98"/>
      <c r="AC888" s="97"/>
      <c r="AD888" s="99"/>
      <c r="AE888" s="95"/>
      <c r="AF888" s="94"/>
      <c r="AG888" s="89"/>
      <c r="AH888" s="89"/>
      <c r="AI888" s="89"/>
      <c r="AJ888" s="89"/>
      <c r="AK888" s="89"/>
      <c r="AL888" s="89"/>
      <c r="AM888" s="89"/>
      <c r="AN888" s="89"/>
      <c r="AO888" s="89"/>
      <c r="AP888" s="89"/>
      <c r="AQ888" s="89"/>
      <c r="AR888" s="89"/>
      <c r="AS888" s="89"/>
      <c r="AT888" s="89"/>
      <c r="AU888" s="89"/>
      <c r="AV888" s="89"/>
      <c r="AW888" s="100"/>
      <c r="AX888" s="100"/>
      <c r="AY888" s="89"/>
      <c r="AZ888" s="89"/>
      <c r="BA888" s="89"/>
      <c r="BB888" s="89"/>
      <c r="BC888" s="89"/>
      <c r="BD888" s="89"/>
      <c r="BE888" s="89"/>
      <c r="BF888" s="89"/>
      <c r="BG888" s="89"/>
      <c r="BH888" s="89"/>
      <c r="BI888" s="89"/>
      <c r="BJ888" s="89"/>
      <c r="BK888" s="89"/>
      <c r="BL888" s="89"/>
      <c r="BM888" s="89"/>
      <c r="BN888" s="89"/>
      <c r="BO888" s="89"/>
      <c r="BP888" s="89"/>
      <c r="BQ888" s="89"/>
      <c r="BR888" s="89"/>
      <c r="BS888" s="89"/>
    </row>
    <row r="889" spans="1:71" ht="27" customHeight="1" x14ac:dyDescent="0.2">
      <c r="A889" s="93"/>
      <c r="B889" s="89"/>
      <c r="C889" s="89"/>
      <c r="D889" s="89"/>
      <c r="E889" s="89"/>
      <c r="F889" s="89"/>
      <c r="G889" s="89"/>
      <c r="H889" s="94"/>
      <c r="I889" s="94"/>
      <c r="J889" s="94"/>
      <c r="K889" s="94"/>
      <c r="L889" s="94"/>
      <c r="M889" s="94"/>
      <c r="N889" s="94"/>
      <c r="O889" s="94"/>
      <c r="P889" s="94"/>
      <c r="Q889" s="94"/>
      <c r="R889" s="95"/>
      <c r="S889" s="94"/>
      <c r="T889" s="96"/>
      <c r="U889" s="94"/>
      <c r="V889" s="97"/>
      <c r="W889" s="94"/>
      <c r="X889" s="98"/>
      <c r="Y889" s="98"/>
      <c r="Z889" s="98"/>
      <c r="AA889" s="98"/>
      <c r="AB889" s="98"/>
      <c r="AC889" s="97"/>
      <c r="AD889" s="99"/>
      <c r="AE889" s="95"/>
      <c r="AF889" s="94"/>
      <c r="AG889" s="89"/>
      <c r="AH889" s="89"/>
      <c r="AI889" s="89"/>
      <c r="AJ889" s="89"/>
      <c r="AK889" s="89"/>
      <c r="AL889" s="89"/>
      <c r="AM889" s="89"/>
      <c r="AN889" s="89"/>
      <c r="AO889" s="89"/>
      <c r="AP889" s="89"/>
      <c r="AQ889" s="89"/>
      <c r="AR889" s="89"/>
      <c r="AS889" s="89"/>
      <c r="AT889" s="89"/>
      <c r="AU889" s="89"/>
      <c r="AV889" s="89"/>
      <c r="AW889" s="100"/>
      <c r="AX889" s="100"/>
      <c r="AY889" s="89"/>
      <c r="AZ889" s="89"/>
      <c r="BA889" s="89"/>
      <c r="BB889" s="89"/>
      <c r="BC889" s="89"/>
      <c r="BD889" s="89"/>
      <c r="BE889" s="89"/>
      <c r="BF889" s="89"/>
      <c r="BG889" s="89"/>
      <c r="BH889" s="89"/>
      <c r="BI889" s="89"/>
      <c r="BJ889" s="89"/>
      <c r="BK889" s="89"/>
      <c r="BL889" s="89"/>
      <c r="BM889" s="89"/>
      <c r="BN889" s="89"/>
      <c r="BO889" s="89"/>
      <c r="BP889" s="89"/>
      <c r="BQ889" s="89"/>
      <c r="BR889" s="89"/>
      <c r="BS889" s="89"/>
    </row>
    <row r="890" spans="1:71" ht="27" customHeight="1" x14ac:dyDescent="0.2">
      <c r="A890" s="93"/>
      <c r="B890" s="89"/>
      <c r="C890" s="89"/>
      <c r="D890" s="89"/>
      <c r="E890" s="89"/>
      <c r="F890" s="89"/>
      <c r="G890" s="89"/>
      <c r="H890" s="94"/>
      <c r="I890" s="94"/>
      <c r="J890" s="94"/>
      <c r="K890" s="94"/>
      <c r="L890" s="94"/>
      <c r="M890" s="94"/>
      <c r="N890" s="94"/>
      <c r="O890" s="94"/>
      <c r="P890" s="94"/>
      <c r="Q890" s="94"/>
      <c r="R890" s="95"/>
      <c r="S890" s="94"/>
      <c r="T890" s="96"/>
      <c r="U890" s="94"/>
      <c r="V890" s="97"/>
      <c r="W890" s="94"/>
      <c r="X890" s="98"/>
      <c r="Y890" s="98"/>
      <c r="Z890" s="98"/>
      <c r="AA890" s="98"/>
      <c r="AB890" s="98"/>
      <c r="AC890" s="97"/>
      <c r="AD890" s="99"/>
      <c r="AE890" s="95"/>
      <c r="AF890" s="94"/>
      <c r="AG890" s="89"/>
      <c r="AH890" s="89"/>
      <c r="AI890" s="89"/>
      <c r="AJ890" s="89"/>
      <c r="AK890" s="89"/>
      <c r="AL890" s="89"/>
      <c r="AM890" s="89"/>
      <c r="AN890" s="89"/>
      <c r="AO890" s="89"/>
      <c r="AP890" s="89"/>
      <c r="AQ890" s="89"/>
      <c r="AR890" s="89"/>
      <c r="AS890" s="89"/>
      <c r="AT890" s="89"/>
      <c r="AU890" s="89"/>
      <c r="AV890" s="89"/>
      <c r="AW890" s="100"/>
      <c r="AX890" s="100"/>
      <c r="AY890" s="89"/>
      <c r="AZ890" s="89"/>
      <c r="BA890" s="89"/>
      <c r="BB890" s="89"/>
      <c r="BC890" s="89"/>
      <c r="BD890" s="89"/>
      <c r="BE890" s="89"/>
      <c r="BF890" s="89"/>
      <c r="BG890" s="89"/>
      <c r="BH890" s="89"/>
      <c r="BI890" s="89"/>
      <c r="BJ890" s="89"/>
      <c r="BK890" s="89"/>
      <c r="BL890" s="89"/>
      <c r="BM890" s="89"/>
      <c r="BN890" s="89"/>
      <c r="BO890" s="89"/>
      <c r="BP890" s="89"/>
      <c r="BQ890" s="89"/>
      <c r="BR890" s="89"/>
      <c r="BS890" s="89"/>
    </row>
    <row r="891" spans="1:71" ht="27" customHeight="1" x14ac:dyDescent="0.2">
      <c r="A891" s="93"/>
      <c r="B891" s="89"/>
      <c r="C891" s="89"/>
      <c r="D891" s="89"/>
      <c r="E891" s="89"/>
      <c r="F891" s="89"/>
      <c r="G891" s="89"/>
      <c r="H891" s="94"/>
      <c r="I891" s="94"/>
      <c r="J891" s="94"/>
      <c r="K891" s="94"/>
      <c r="L891" s="94"/>
      <c r="M891" s="94"/>
      <c r="N891" s="94"/>
      <c r="O891" s="94"/>
      <c r="P891" s="94"/>
      <c r="Q891" s="94"/>
      <c r="R891" s="95"/>
      <c r="S891" s="94"/>
      <c r="T891" s="96"/>
      <c r="U891" s="94"/>
      <c r="V891" s="97"/>
      <c r="W891" s="94"/>
      <c r="X891" s="98"/>
      <c r="Y891" s="98"/>
      <c r="Z891" s="98"/>
      <c r="AA891" s="98"/>
      <c r="AB891" s="98"/>
      <c r="AC891" s="97"/>
      <c r="AD891" s="99"/>
      <c r="AE891" s="95"/>
      <c r="AF891" s="94"/>
      <c r="AG891" s="89"/>
      <c r="AH891" s="89"/>
      <c r="AI891" s="89"/>
      <c r="AJ891" s="89"/>
      <c r="AK891" s="89"/>
      <c r="AL891" s="89"/>
      <c r="AM891" s="89"/>
      <c r="AN891" s="89"/>
      <c r="AO891" s="89"/>
      <c r="AP891" s="89"/>
      <c r="AQ891" s="89"/>
      <c r="AR891" s="89"/>
      <c r="AS891" s="89"/>
      <c r="AT891" s="89"/>
      <c r="AU891" s="89"/>
      <c r="AV891" s="89"/>
      <c r="AW891" s="100"/>
      <c r="AX891" s="100"/>
      <c r="AY891" s="89"/>
      <c r="AZ891" s="89"/>
      <c r="BA891" s="89"/>
      <c r="BB891" s="89"/>
      <c r="BC891" s="89"/>
      <c r="BD891" s="89"/>
      <c r="BE891" s="89"/>
      <c r="BF891" s="89"/>
      <c r="BG891" s="89"/>
      <c r="BH891" s="89"/>
      <c r="BI891" s="89"/>
      <c r="BJ891" s="89"/>
      <c r="BK891" s="89"/>
      <c r="BL891" s="89"/>
      <c r="BM891" s="89"/>
      <c r="BN891" s="89"/>
      <c r="BO891" s="89"/>
      <c r="BP891" s="89"/>
      <c r="BQ891" s="89"/>
      <c r="BR891" s="89"/>
      <c r="BS891" s="89"/>
    </row>
    <row r="892" spans="1:71" ht="27" customHeight="1" x14ac:dyDescent="0.2">
      <c r="A892" s="93"/>
      <c r="B892" s="89"/>
      <c r="C892" s="89"/>
      <c r="D892" s="89"/>
      <c r="E892" s="89"/>
      <c r="F892" s="89"/>
      <c r="G892" s="89"/>
      <c r="H892" s="94"/>
      <c r="I892" s="94"/>
      <c r="J892" s="94"/>
      <c r="K892" s="94"/>
      <c r="L892" s="94"/>
      <c r="M892" s="94"/>
      <c r="N892" s="94"/>
      <c r="O892" s="94"/>
      <c r="P892" s="94"/>
      <c r="Q892" s="94"/>
      <c r="R892" s="95"/>
      <c r="S892" s="94"/>
      <c r="T892" s="96"/>
      <c r="U892" s="94"/>
      <c r="V892" s="97"/>
      <c r="W892" s="94"/>
      <c r="X892" s="98"/>
      <c r="Y892" s="98"/>
      <c r="Z892" s="98"/>
      <c r="AA892" s="98"/>
      <c r="AB892" s="98"/>
      <c r="AC892" s="97"/>
      <c r="AD892" s="99"/>
      <c r="AE892" s="95"/>
      <c r="AF892" s="94"/>
      <c r="AG892" s="89"/>
      <c r="AH892" s="89"/>
      <c r="AI892" s="89"/>
      <c r="AJ892" s="89"/>
      <c r="AK892" s="89"/>
      <c r="AL892" s="89"/>
      <c r="AM892" s="89"/>
      <c r="AN892" s="89"/>
      <c r="AO892" s="89"/>
      <c r="AP892" s="89"/>
      <c r="AQ892" s="89"/>
      <c r="AR892" s="89"/>
      <c r="AS892" s="89"/>
      <c r="AT892" s="89"/>
      <c r="AU892" s="89"/>
      <c r="AV892" s="89"/>
      <c r="AW892" s="100"/>
      <c r="AX892" s="100"/>
      <c r="AY892" s="89"/>
      <c r="AZ892" s="89"/>
      <c r="BA892" s="89"/>
      <c r="BB892" s="89"/>
      <c r="BC892" s="89"/>
      <c r="BD892" s="89"/>
      <c r="BE892" s="89"/>
      <c r="BF892" s="89"/>
      <c r="BG892" s="89"/>
      <c r="BH892" s="89"/>
      <c r="BI892" s="89"/>
      <c r="BJ892" s="89"/>
      <c r="BK892" s="89"/>
      <c r="BL892" s="89"/>
      <c r="BM892" s="89"/>
      <c r="BN892" s="89"/>
      <c r="BO892" s="89"/>
      <c r="BP892" s="89"/>
      <c r="BQ892" s="89"/>
      <c r="BR892" s="89"/>
      <c r="BS892" s="89"/>
    </row>
    <row r="893" spans="1:71" ht="27" customHeight="1" x14ac:dyDescent="0.2">
      <c r="A893" s="93"/>
      <c r="B893" s="89"/>
      <c r="C893" s="89"/>
      <c r="D893" s="89"/>
      <c r="E893" s="89"/>
      <c r="F893" s="89"/>
      <c r="G893" s="89"/>
      <c r="H893" s="94"/>
      <c r="I893" s="94"/>
      <c r="J893" s="94"/>
      <c r="K893" s="94"/>
      <c r="L893" s="94"/>
      <c r="M893" s="94"/>
      <c r="N893" s="94"/>
      <c r="O893" s="94"/>
      <c r="P893" s="94"/>
      <c r="Q893" s="94"/>
      <c r="R893" s="95"/>
      <c r="S893" s="94"/>
      <c r="T893" s="96"/>
      <c r="U893" s="94"/>
      <c r="V893" s="97"/>
      <c r="W893" s="94"/>
      <c r="X893" s="98"/>
      <c r="Y893" s="98"/>
      <c r="Z893" s="98"/>
      <c r="AA893" s="98"/>
      <c r="AB893" s="98"/>
      <c r="AC893" s="97"/>
      <c r="AD893" s="99"/>
      <c r="AE893" s="95"/>
      <c r="AF893" s="94"/>
      <c r="AG893" s="89"/>
      <c r="AH893" s="89"/>
      <c r="AI893" s="89"/>
      <c r="AJ893" s="89"/>
      <c r="AK893" s="89"/>
      <c r="AL893" s="89"/>
      <c r="AM893" s="89"/>
      <c r="AN893" s="89"/>
      <c r="AO893" s="89"/>
      <c r="AP893" s="89"/>
      <c r="AQ893" s="89"/>
      <c r="AR893" s="89"/>
      <c r="AS893" s="89"/>
      <c r="AT893" s="89"/>
      <c r="AU893" s="89"/>
      <c r="AV893" s="89"/>
      <c r="AW893" s="100"/>
      <c r="AX893" s="100"/>
      <c r="AY893" s="89"/>
      <c r="AZ893" s="89"/>
      <c r="BA893" s="89"/>
      <c r="BB893" s="89"/>
      <c r="BC893" s="89"/>
      <c r="BD893" s="89"/>
      <c r="BE893" s="89"/>
      <c r="BF893" s="89"/>
      <c r="BG893" s="89"/>
      <c r="BH893" s="89"/>
      <c r="BI893" s="89"/>
      <c r="BJ893" s="89"/>
      <c r="BK893" s="89"/>
      <c r="BL893" s="89"/>
      <c r="BM893" s="89"/>
      <c r="BN893" s="89"/>
      <c r="BO893" s="89"/>
      <c r="BP893" s="89"/>
      <c r="BQ893" s="89"/>
      <c r="BR893" s="89"/>
      <c r="BS893" s="89"/>
    </row>
    <row r="894" spans="1:71" ht="27" customHeight="1" x14ac:dyDescent="0.2">
      <c r="A894" s="93"/>
      <c r="B894" s="89"/>
      <c r="C894" s="89"/>
      <c r="D894" s="89"/>
      <c r="E894" s="89"/>
      <c r="F894" s="89"/>
      <c r="G894" s="89"/>
      <c r="H894" s="94"/>
      <c r="I894" s="94"/>
      <c r="J894" s="94"/>
      <c r="K894" s="94"/>
      <c r="L894" s="94"/>
      <c r="M894" s="94"/>
      <c r="N894" s="94"/>
      <c r="O894" s="94"/>
      <c r="P894" s="94"/>
      <c r="Q894" s="94"/>
      <c r="R894" s="95"/>
      <c r="S894" s="94"/>
      <c r="T894" s="96"/>
      <c r="U894" s="94"/>
      <c r="V894" s="97"/>
      <c r="W894" s="94"/>
      <c r="X894" s="98"/>
      <c r="Y894" s="98"/>
      <c r="Z894" s="98"/>
      <c r="AA894" s="98"/>
      <c r="AB894" s="98"/>
      <c r="AC894" s="97"/>
      <c r="AD894" s="99"/>
      <c r="AE894" s="95"/>
      <c r="AF894" s="94"/>
      <c r="AG894" s="89"/>
      <c r="AH894" s="89"/>
      <c r="AI894" s="89"/>
      <c r="AJ894" s="89"/>
      <c r="AK894" s="89"/>
      <c r="AL894" s="89"/>
      <c r="AM894" s="89"/>
      <c r="AN894" s="89"/>
      <c r="AO894" s="89"/>
      <c r="AP894" s="89"/>
      <c r="AQ894" s="89"/>
      <c r="AR894" s="89"/>
      <c r="AS894" s="89"/>
      <c r="AT894" s="89"/>
      <c r="AU894" s="89"/>
      <c r="AV894" s="89"/>
      <c r="AW894" s="100"/>
      <c r="AX894" s="100"/>
      <c r="AY894" s="89"/>
      <c r="AZ894" s="89"/>
      <c r="BA894" s="89"/>
      <c r="BB894" s="89"/>
      <c r="BC894" s="89"/>
      <c r="BD894" s="89"/>
      <c r="BE894" s="89"/>
      <c r="BF894" s="89"/>
      <c r="BG894" s="89"/>
      <c r="BH894" s="89"/>
      <c r="BI894" s="89"/>
      <c r="BJ894" s="89"/>
      <c r="BK894" s="89"/>
      <c r="BL894" s="89"/>
      <c r="BM894" s="89"/>
      <c r="BN894" s="89"/>
      <c r="BO894" s="89"/>
      <c r="BP894" s="89"/>
      <c r="BQ894" s="89"/>
      <c r="BR894" s="89"/>
      <c r="BS894" s="89"/>
    </row>
    <row r="895" spans="1:71" ht="27" customHeight="1" x14ac:dyDescent="0.2">
      <c r="A895" s="93"/>
      <c r="B895" s="89"/>
      <c r="C895" s="89"/>
      <c r="D895" s="89"/>
      <c r="E895" s="89"/>
      <c r="F895" s="89"/>
      <c r="G895" s="89"/>
      <c r="H895" s="94"/>
      <c r="I895" s="94"/>
      <c r="J895" s="94"/>
      <c r="K895" s="94"/>
      <c r="L895" s="94"/>
      <c r="M895" s="94"/>
      <c r="N895" s="94"/>
      <c r="O895" s="94"/>
      <c r="P895" s="94"/>
      <c r="Q895" s="94"/>
      <c r="R895" s="95"/>
      <c r="S895" s="94"/>
      <c r="T895" s="96"/>
      <c r="U895" s="94"/>
      <c r="V895" s="97"/>
      <c r="W895" s="94"/>
      <c r="X895" s="98"/>
      <c r="Y895" s="98"/>
      <c r="Z895" s="98"/>
      <c r="AA895" s="98"/>
      <c r="AB895" s="98"/>
      <c r="AC895" s="97"/>
      <c r="AD895" s="99"/>
      <c r="AE895" s="95"/>
      <c r="AF895" s="94"/>
      <c r="AG895" s="89"/>
      <c r="AH895" s="89"/>
      <c r="AI895" s="89"/>
      <c r="AJ895" s="89"/>
      <c r="AK895" s="89"/>
      <c r="AL895" s="89"/>
      <c r="AM895" s="89"/>
      <c r="AN895" s="89"/>
      <c r="AO895" s="89"/>
      <c r="AP895" s="89"/>
      <c r="AQ895" s="89"/>
      <c r="AR895" s="89"/>
      <c r="AS895" s="89"/>
      <c r="AT895" s="89"/>
      <c r="AU895" s="89"/>
      <c r="AV895" s="89"/>
      <c r="AW895" s="100"/>
      <c r="AX895" s="100"/>
      <c r="AY895" s="89"/>
      <c r="AZ895" s="89"/>
      <c r="BA895" s="89"/>
      <c r="BB895" s="89"/>
      <c r="BC895" s="89"/>
      <c r="BD895" s="89"/>
      <c r="BE895" s="89"/>
      <c r="BF895" s="89"/>
      <c r="BG895" s="89"/>
      <c r="BH895" s="89"/>
      <c r="BI895" s="89"/>
      <c r="BJ895" s="89"/>
      <c r="BK895" s="89"/>
      <c r="BL895" s="89"/>
      <c r="BM895" s="89"/>
      <c r="BN895" s="89"/>
      <c r="BO895" s="89"/>
      <c r="BP895" s="89"/>
      <c r="BQ895" s="89"/>
      <c r="BR895" s="89"/>
      <c r="BS895" s="89"/>
    </row>
    <row r="896" spans="1:71" ht="27" customHeight="1" x14ac:dyDescent="0.2">
      <c r="A896" s="93"/>
      <c r="B896" s="89"/>
      <c r="C896" s="89"/>
      <c r="D896" s="89"/>
      <c r="E896" s="89"/>
      <c r="F896" s="89"/>
      <c r="G896" s="89"/>
      <c r="H896" s="94"/>
      <c r="I896" s="94"/>
      <c r="J896" s="94"/>
      <c r="K896" s="94"/>
      <c r="L896" s="94"/>
      <c r="M896" s="94"/>
      <c r="N896" s="94"/>
      <c r="O896" s="94"/>
      <c r="P896" s="94"/>
      <c r="Q896" s="94"/>
      <c r="R896" s="95"/>
      <c r="S896" s="94"/>
      <c r="T896" s="96"/>
      <c r="U896" s="94"/>
      <c r="V896" s="97"/>
      <c r="W896" s="94"/>
      <c r="X896" s="98"/>
      <c r="Y896" s="98"/>
      <c r="Z896" s="98"/>
      <c r="AA896" s="98"/>
      <c r="AB896" s="98"/>
      <c r="AC896" s="97"/>
      <c r="AD896" s="99"/>
      <c r="AE896" s="95"/>
      <c r="AF896" s="94"/>
      <c r="AG896" s="89"/>
      <c r="AH896" s="89"/>
      <c r="AI896" s="89"/>
      <c r="AJ896" s="89"/>
      <c r="AK896" s="89"/>
      <c r="AL896" s="89"/>
      <c r="AM896" s="89"/>
      <c r="AN896" s="89"/>
      <c r="AO896" s="89"/>
      <c r="AP896" s="89"/>
      <c r="AQ896" s="89"/>
      <c r="AR896" s="89"/>
      <c r="AS896" s="89"/>
      <c r="AT896" s="89"/>
      <c r="AU896" s="89"/>
      <c r="AV896" s="89"/>
      <c r="AW896" s="100"/>
      <c r="AX896" s="100"/>
      <c r="AY896" s="89"/>
      <c r="AZ896" s="89"/>
      <c r="BA896" s="89"/>
      <c r="BB896" s="89"/>
      <c r="BC896" s="89"/>
      <c r="BD896" s="89"/>
      <c r="BE896" s="89"/>
      <c r="BF896" s="89"/>
      <c r="BG896" s="89"/>
      <c r="BH896" s="89"/>
      <c r="BI896" s="89"/>
      <c r="BJ896" s="89"/>
      <c r="BK896" s="89"/>
      <c r="BL896" s="89"/>
      <c r="BM896" s="89"/>
      <c r="BN896" s="89"/>
      <c r="BO896" s="89"/>
      <c r="BP896" s="89"/>
      <c r="BQ896" s="89"/>
      <c r="BR896" s="89"/>
      <c r="BS896" s="89"/>
    </row>
    <row r="897" spans="1:71" ht="27" customHeight="1" x14ac:dyDescent="0.2">
      <c r="A897" s="93"/>
      <c r="B897" s="89"/>
      <c r="C897" s="89"/>
      <c r="D897" s="89"/>
      <c r="E897" s="89"/>
      <c r="F897" s="89"/>
      <c r="G897" s="89"/>
      <c r="H897" s="94"/>
      <c r="I897" s="94"/>
      <c r="J897" s="94"/>
      <c r="K897" s="94"/>
      <c r="L897" s="94"/>
      <c r="M897" s="94"/>
      <c r="N897" s="94"/>
      <c r="O897" s="94"/>
      <c r="P897" s="94"/>
      <c r="Q897" s="94"/>
      <c r="R897" s="95"/>
      <c r="S897" s="94"/>
      <c r="T897" s="96"/>
      <c r="U897" s="94"/>
      <c r="V897" s="97"/>
      <c r="W897" s="94"/>
      <c r="X897" s="98"/>
      <c r="Y897" s="98"/>
      <c r="Z897" s="98"/>
      <c r="AA897" s="98"/>
      <c r="AB897" s="98"/>
      <c r="AC897" s="97"/>
      <c r="AD897" s="99"/>
      <c r="AE897" s="95"/>
      <c r="AF897" s="94"/>
      <c r="AG897" s="89"/>
      <c r="AH897" s="89"/>
      <c r="AI897" s="89"/>
      <c r="AJ897" s="89"/>
      <c r="AK897" s="89"/>
      <c r="AL897" s="89"/>
      <c r="AM897" s="89"/>
      <c r="AN897" s="89"/>
      <c r="AO897" s="89"/>
      <c r="AP897" s="89"/>
      <c r="AQ897" s="89"/>
      <c r="AR897" s="89"/>
      <c r="AS897" s="89"/>
      <c r="AT897" s="89"/>
      <c r="AU897" s="89"/>
      <c r="AV897" s="89"/>
      <c r="AW897" s="100"/>
      <c r="AX897" s="100"/>
      <c r="AY897" s="89"/>
      <c r="AZ897" s="89"/>
      <c r="BA897" s="89"/>
      <c r="BB897" s="89"/>
      <c r="BC897" s="89"/>
      <c r="BD897" s="89"/>
      <c r="BE897" s="89"/>
      <c r="BF897" s="89"/>
      <c r="BG897" s="89"/>
      <c r="BH897" s="89"/>
      <c r="BI897" s="89"/>
      <c r="BJ897" s="89"/>
      <c r="BK897" s="89"/>
      <c r="BL897" s="89"/>
      <c r="BM897" s="89"/>
      <c r="BN897" s="89"/>
      <c r="BO897" s="89"/>
      <c r="BP897" s="89"/>
      <c r="BQ897" s="89"/>
      <c r="BR897" s="89"/>
      <c r="BS897" s="89"/>
    </row>
    <row r="898" spans="1:71" ht="27" customHeight="1" x14ac:dyDescent="0.2">
      <c r="A898" s="93"/>
      <c r="B898" s="89"/>
      <c r="C898" s="89"/>
      <c r="D898" s="89"/>
      <c r="E898" s="89"/>
      <c r="F898" s="89"/>
      <c r="G898" s="89"/>
      <c r="H898" s="94"/>
      <c r="I898" s="94"/>
      <c r="J898" s="94"/>
      <c r="K898" s="94"/>
      <c r="L898" s="94"/>
      <c r="M898" s="94"/>
      <c r="N898" s="94"/>
      <c r="O898" s="94"/>
      <c r="P898" s="94"/>
      <c r="Q898" s="94"/>
      <c r="R898" s="95"/>
      <c r="S898" s="94"/>
      <c r="T898" s="96"/>
      <c r="U898" s="94"/>
      <c r="V898" s="97"/>
      <c r="W898" s="94"/>
      <c r="X898" s="98"/>
      <c r="Y898" s="98"/>
      <c r="Z898" s="98"/>
      <c r="AA898" s="98"/>
      <c r="AB898" s="98"/>
      <c r="AC898" s="97"/>
      <c r="AD898" s="99"/>
      <c r="AE898" s="95"/>
      <c r="AF898" s="94"/>
      <c r="AG898" s="89"/>
      <c r="AH898" s="89"/>
      <c r="AI898" s="89"/>
      <c r="AJ898" s="89"/>
      <c r="AK898" s="89"/>
      <c r="AL898" s="89"/>
      <c r="AM898" s="89"/>
      <c r="AN898" s="89"/>
      <c r="AO898" s="89"/>
      <c r="AP898" s="89"/>
      <c r="AQ898" s="89"/>
      <c r="AR898" s="89"/>
      <c r="AS898" s="89"/>
      <c r="AT898" s="89"/>
      <c r="AU898" s="89"/>
      <c r="AV898" s="89"/>
      <c r="AW898" s="100"/>
      <c r="AX898" s="100"/>
      <c r="AY898" s="89"/>
      <c r="AZ898" s="89"/>
      <c r="BA898" s="89"/>
      <c r="BB898" s="89"/>
      <c r="BC898" s="89"/>
      <c r="BD898" s="89"/>
      <c r="BE898" s="89"/>
      <c r="BF898" s="89"/>
      <c r="BG898" s="89"/>
      <c r="BH898" s="89"/>
      <c r="BI898" s="89"/>
      <c r="BJ898" s="89"/>
      <c r="BK898" s="89"/>
      <c r="BL898" s="89"/>
      <c r="BM898" s="89"/>
      <c r="BN898" s="89"/>
      <c r="BO898" s="89"/>
      <c r="BP898" s="89"/>
      <c r="BQ898" s="89"/>
      <c r="BR898" s="89"/>
      <c r="BS898" s="89"/>
    </row>
    <row r="899" spans="1:71" ht="27" customHeight="1" x14ac:dyDescent="0.2">
      <c r="A899" s="93"/>
      <c r="B899" s="89"/>
      <c r="C899" s="89"/>
      <c r="D899" s="89"/>
      <c r="E899" s="89"/>
      <c r="F899" s="89"/>
      <c r="G899" s="89"/>
      <c r="H899" s="94"/>
      <c r="I899" s="94"/>
      <c r="J899" s="94"/>
      <c r="K899" s="94"/>
      <c r="L899" s="94"/>
      <c r="M899" s="94"/>
      <c r="N899" s="94"/>
      <c r="O899" s="94"/>
      <c r="P899" s="94"/>
      <c r="Q899" s="94"/>
      <c r="R899" s="95"/>
      <c r="S899" s="94"/>
      <c r="T899" s="96"/>
      <c r="U899" s="94"/>
      <c r="V899" s="97"/>
      <c r="W899" s="94"/>
      <c r="X899" s="98"/>
      <c r="Y899" s="98"/>
      <c r="Z899" s="98"/>
      <c r="AA899" s="98"/>
      <c r="AB899" s="98"/>
      <c r="AC899" s="97"/>
      <c r="AD899" s="99"/>
      <c r="AE899" s="95"/>
      <c r="AF899" s="94"/>
      <c r="AG899" s="89"/>
      <c r="AH899" s="89"/>
      <c r="AI899" s="89"/>
      <c r="AJ899" s="89"/>
      <c r="AK899" s="89"/>
      <c r="AL899" s="89"/>
      <c r="AM899" s="89"/>
      <c r="AN899" s="89"/>
      <c r="AO899" s="89"/>
      <c r="AP899" s="89"/>
      <c r="AQ899" s="89"/>
      <c r="AR899" s="89"/>
      <c r="AS899" s="89"/>
      <c r="AT899" s="89"/>
      <c r="AU899" s="89"/>
      <c r="AV899" s="89"/>
      <c r="AW899" s="100"/>
      <c r="AX899" s="100"/>
      <c r="AY899" s="89"/>
      <c r="AZ899" s="89"/>
      <c r="BA899" s="89"/>
      <c r="BB899" s="89"/>
      <c r="BC899" s="89"/>
      <c r="BD899" s="89"/>
      <c r="BE899" s="89"/>
      <c r="BF899" s="89"/>
      <c r="BG899" s="89"/>
      <c r="BH899" s="89"/>
      <c r="BI899" s="89"/>
      <c r="BJ899" s="89"/>
      <c r="BK899" s="89"/>
      <c r="BL899" s="89"/>
      <c r="BM899" s="89"/>
      <c r="BN899" s="89"/>
      <c r="BO899" s="89"/>
      <c r="BP899" s="89"/>
      <c r="BQ899" s="89"/>
      <c r="BR899" s="89"/>
      <c r="BS899" s="89"/>
    </row>
    <row r="900" spans="1:71" ht="27" customHeight="1" x14ac:dyDescent="0.2">
      <c r="A900" s="93"/>
      <c r="B900" s="89"/>
      <c r="C900" s="89"/>
      <c r="D900" s="89"/>
      <c r="E900" s="89"/>
      <c r="F900" s="89"/>
      <c r="G900" s="89"/>
      <c r="H900" s="94"/>
      <c r="I900" s="94"/>
      <c r="J900" s="94"/>
      <c r="K900" s="94"/>
      <c r="L900" s="94"/>
      <c r="M900" s="94"/>
      <c r="N900" s="94"/>
      <c r="O900" s="94"/>
      <c r="P900" s="94"/>
      <c r="Q900" s="94"/>
      <c r="R900" s="95"/>
      <c r="S900" s="94"/>
      <c r="T900" s="96"/>
      <c r="U900" s="94"/>
      <c r="V900" s="97"/>
      <c r="W900" s="94"/>
      <c r="X900" s="98"/>
      <c r="Y900" s="98"/>
      <c r="Z900" s="98"/>
      <c r="AA900" s="98"/>
      <c r="AB900" s="98"/>
      <c r="AC900" s="97"/>
      <c r="AD900" s="99"/>
      <c r="AE900" s="95"/>
      <c r="AF900" s="94"/>
      <c r="AG900" s="89"/>
      <c r="AH900" s="89"/>
      <c r="AI900" s="89"/>
      <c r="AJ900" s="89"/>
      <c r="AK900" s="89"/>
      <c r="AL900" s="89"/>
      <c r="AM900" s="89"/>
      <c r="AN900" s="89"/>
      <c r="AO900" s="89"/>
      <c r="AP900" s="89"/>
      <c r="AQ900" s="89"/>
      <c r="AR900" s="89"/>
      <c r="AS900" s="89"/>
      <c r="AT900" s="89"/>
      <c r="AU900" s="89"/>
      <c r="AV900" s="89"/>
      <c r="AW900" s="100"/>
      <c r="AX900" s="100"/>
      <c r="AY900" s="89"/>
      <c r="AZ900" s="89"/>
      <c r="BA900" s="89"/>
      <c r="BB900" s="89"/>
      <c r="BC900" s="89"/>
      <c r="BD900" s="89"/>
      <c r="BE900" s="89"/>
      <c r="BF900" s="89"/>
      <c r="BG900" s="89"/>
      <c r="BH900" s="89"/>
      <c r="BI900" s="89"/>
      <c r="BJ900" s="89"/>
      <c r="BK900" s="89"/>
      <c r="BL900" s="89"/>
      <c r="BM900" s="89"/>
      <c r="BN900" s="89"/>
      <c r="BO900" s="89"/>
      <c r="BP900" s="89"/>
      <c r="BQ900" s="89"/>
      <c r="BR900" s="89"/>
      <c r="BS900" s="89"/>
    </row>
    <row r="901" spans="1:71" ht="27" customHeight="1" x14ac:dyDescent="0.2">
      <c r="A901" s="93"/>
      <c r="B901" s="89"/>
      <c r="C901" s="89"/>
      <c r="D901" s="89"/>
      <c r="E901" s="89"/>
      <c r="F901" s="89"/>
      <c r="G901" s="89"/>
      <c r="H901" s="94"/>
      <c r="I901" s="94"/>
      <c r="J901" s="94"/>
      <c r="K901" s="94"/>
      <c r="L901" s="94"/>
      <c r="M901" s="94"/>
      <c r="N901" s="94"/>
      <c r="O901" s="94"/>
      <c r="P901" s="94"/>
      <c r="Q901" s="94"/>
      <c r="R901" s="95"/>
      <c r="S901" s="94"/>
      <c r="T901" s="96"/>
      <c r="U901" s="94"/>
      <c r="V901" s="97"/>
      <c r="W901" s="94"/>
      <c r="X901" s="98"/>
      <c r="Y901" s="98"/>
      <c r="Z901" s="98"/>
      <c r="AA901" s="98"/>
      <c r="AB901" s="98"/>
      <c r="AC901" s="97"/>
      <c r="AD901" s="99"/>
      <c r="AE901" s="95"/>
      <c r="AF901" s="94"/>
      <c r="AG901" s="89"/>
      <c r="AH901" s="89"/>
      <c r="AI901" s="89"/>
      <c r="AJ901" s="89"/>
      <c r="AK901" s="89"/>
      <c r="AL901" s="89"/>
      <c r="AM901" s="89"/>
      <c r="AN901" s="89"/>
      <c r="AO901" s="89"/>
      <c r="AP901" s="89"/>
      <c r="AQ901" s="89"/>
      <c r="AR901" s="89"/>
      <c r="AS901" s="89"/>
      <c r="AT901" s="89"/>
      <c r="AU901" s="89"/>
      <c r="AV901" s="89"/>
      <c r="AW901" s="100"/>
      <c r="AX901" s="100"/>
      <c r="AY901" s="89"/>
      <c r="AZ901" s="89"/>
      <c r="BA901" s="89"/>
      <c r="BB901" s="89"/>
      <c r="BC901" s="89"/>
      <c r="BD901" s="89"/>
      <c r="BE901" s="89"/>
      <c r="BF901" s="89"/>
      <c r="BG901" s="89"/>
      <c r="BH901" s="89"/>
      <c r="BI901" s="89"/>
      <c r="BJ901" s="89"/>
      <c r="BK901" s="89"/>
      <c r="BL901" s="89"/>
      <c r="BM901" s="89"/>
      <c r="BN901" s="89"/>
      <c r="BO901" s="89"/>
      <c r="BP901" s="89"/>
      <c r="BQ901" s="89"/>
      <c r="BR901" s="89"/>
      <c r="BS901" s="89"/>
    </row>
    <row r="902" spans="1:71" ht="27" customHeight="1" x14ac:dyDescent="0.2">
      <c r="A902" s="93"/>
      <c r="B902" s="89"/>
      <c r="C902" s="89"/>
      <c r="D902" s="89"/>
      <c r="E902" s="89"/>
      <c r="F902" s="89"/>
      <c r="G902" s="89"/>
      <c r="H902" s="94"/>
      <c r="I902" s="94"/>
      <c r="J902" s="94"/>
      <c r="K902" s="94"/>
      <c r="L902" s="94"/>
      <c r="M902" s="94"/>
      <c r="N902" s="94"/>
      <c r="O902" s="94"/>
      <c r="P902" s="94"/>
      <c r="Q902" s="94"/>
      <c r="R902" s="95"/>
      <c r="S902" s="94"/>
      <c r="T902" s="96"/>
      <c r="U902" s="94"/>
      <c r="V902" s="97"/>
      <c r="W902" s="94"/>
      <c r="X902" s="98"/>
      <c r="Y902" s="98"/>
      <c r="Z902" s="98"/>
      <c r="AA902" s="98"/>
      <c r="AB902" s="98"/>
      <c r="AC902" s="97"/>
      <c r="AD902" s="99"/>
      <c r="AE902" s="95"/>
      <c r="AF902" s="94"/>
      <c r="AG902" s="89"/>
      <c r="AH902" s="89"/>
      <c r="AI902" s="89"/>
      <c r="AJ902" s="89"/>
      <c r="AK902" s="89"/>
      <c r="AL902" s="89"/>
      <c r="AM902" s="89"/>
      <c r="AN902" s="89"/>
      <c r="AO902" s="89"/>
      <c r="AP902" s="89"/>
      <c r="AQ902" s="89"/>
      <c r="AR902" s="89"/>
      <c r="AS902" s="89"/>
      <c r="AT902" s="89"/>
      <c r="AU902" s="89"/>
      <c r="AV902" s="89"/>
      <c r="AW902" s="100"/>
      <c r="AX902" s="100"/>
      <c r="AY902" s="89"/>
      <c r="AZ902" s="89"/>
      <c r="BA902" s="89"/>
      <c r="BB902" s="89"/>
      <c r="BC902" s="89"/>
      <c r="BD902" s="89"/>
      <c r="BE902" s="89"/>
      <c r="BF902" s="89"/>
      <c r="BG902" s="89"/>
      <c r="BH902" s="89"/>
      <c r="BI902" s="89"/>
      <c r="BJ902" s="89"/>
      <c r="BK902" s="89"/>
      <c r="BL902" s="89"/>
      <c r="BM902" s="89"/>
      <c r="BN902" s="89"/>
      <c r="BO902" s="89"/>
      <c r="BP902" s="89"/>
      <c r="BQ902" s="89"/>
      <c r="BR902" s="89"/>
      <c r="BS902" s="89"/>
    </row>
    <row r="903" spans="1:71" ht="27" customHeight="1" x14ac:dyDescent="0.2">
      <c r="A903" s="93"/>
      <c r="B903" s="89"/>
      <c r="C903" s="89"/>
      <c r="D903" s="89"/>
      <c r="E903" s="89"/>
      <c r="F903" s="89"/>
      <c r="G903" s="89"/>
      <c r="H903" s="94"/>
      <c r="I903" s="94"/>
      <c r="J903" s="94"/>
      <c r="K903" s="94"/>
      <c r="L903" s="94"/>
      <c r="M903" s="94"/>
      <c r="N903" s="94"/>
      <c r="O903" s="94"/>
      <c r="P903" s="94"/>
      <c r="Q903" s="94"/>
      <c r="R903" s="95"/>
      <c r="S903" s="94"/>
      <c r="T903" s="96"/>
      <c r="U903" s="94"/>
      <c r="V903" s="97"/>
      <c r="W903" s="94"/>
      <c r="X903" s="98"/>
      <c r="Y903" s="98"/>
      <c r="Z903" s="98"/>
      <c r="AA903" s="98"/>
      <c r="AB903" s="98"/>
      <c r="AC903" s="97"/>
      <c r="AD903" s="99"/>
      <c r="AE903" s="95"/>
      <c r="AF903" s="94"/>
      <c r="AG903" s="89"/>
      <c r="AH903" s="89"/>
      <c r="AI903" s="89"/>
      <c r="AJ903" s="89"/>
      <c r="AK903" s="89"/>
      <c r="AL903" s="89"/>
      <c r="AM903" s="89"/>
      <c r="AN903" s="89"/>
      <c r="AO903" s="89"/>
      <c r="AP903" s="89"/>
      <c r="AQ903" s="89"/>
      <c r="AR903" s="89"/>
      <c r="AS903" s="89"/>
      <c r="AT903" s="89"/>
      <c r="AU903" s="89"/>
      <c r="AV903" s="89"/>
      <c r="AW903" s="100"/>
      <c r="AX903" s="100"/>
      <c r="AY903" s="89"/>
      <c r="AZ903" s="89"/>
      <c r="BA903" s="89"/>
      <c r="BB903" s="89"/>
      <c r="BC903" s="89"/>
      <c r="BD903" s="89"/>
      <c r="BE903" s="89"/>
      <c r="BF903" s="89"/>
      <c r="BG903" s="89"/>
      <c r="BH903" s="89"/>
      <c r="BI903" s="89"/>
      <c r="BJ903" s="89"/>
      <c r="BK903" s="89"/>
      <c r="BL903" s="89"/>
      <c r="BM903" s="89"/>
      <c r="BN903" s="89"/>
      <c r="BO903" s="89"/>
      <c r="BP903" s="89"/>
      <c r="BQ903" s="89"/>
      <c r="BR903" s="89"/>
      <c r="BS903" s="89"/>
    </row>
    <row r="904" spans="1:71" ht="27" customHeight="1" x14ac:dyDescent="0.2">
      <c r="A904" s="93"/>
      <c r="B904" s="89"/>
      <c r="C904" s="89"/>
      <c r="D904" s="89"/>
      <c r="E904" s="89"/>
      <c r="F904" s="89"/>
      <c r="G904" s="89"/>
      <c r="H904" s="94"/>
      <c r="I904" s="94"/>
      <c r="J904" s="94"/>
      <c r="K904" s="94"/>
      <c r="L904" s="94"/>
      <c r="M904" s="94"/>
      <c r="N904" s="94"/>
      <c r="O904" s="94"/>
      <c r="P904" s="94"/>
      <c r="Q904" s="94"/>
      <c r="R904" s="95"/>
      <c r="S904" s="94"/>
      <c r="T904" s="96"/>
      <c r="U904" s="94"/>
      <c r="V904" s="97"/>
      <c r="W904" s="94"/>
      <c r="X904" s="98"/>
      <c r="Y904" s="98"/>
      <c r="Z904" s="98"/>
      <c r="AA904" s="98"/>
      <c r="AB904" s="98"/>
      <c r="AC904" s="97"/>
      <c r="AD904" s="99"/>
      <c r="AE904" s="95"/>
      <c r="AF904" s="94"/>
      <c r="AG904" s="89"/>
      <c r="AH904" s="89"/>
      <c r="AI904" s="89"/>
      <c r="AJ904" s="89"/>
      <c r="AK904" s="89"/>
      <c r="AL904" s="89"/>
      <c r="AM904" s="89"/>
      <c r="AN904" s="89"/>
      <c r="AO904" s="89"/>
      <c r="AP904" s="89"/>
      <c r="AQ904" s="89"/>
      <c r="AR904" s="89"/>
      <c r="AS904" s="89"/>
      <c r="AT904" s="89"/>
      <c r="AU904" s="89"/>
      <c r="AV904" s="89"/>
      <c r="AW904" s="100"/>
      <c r="AX904" s="100"/>
      <c r="AY904" s="89"/>
      <c r="AZ904" s="89"/>
      <c r="BA904" s="89"/>
      <c r="BB904" s="89"/>
      <c r="BC904" s="89"/>
      <c r="BD904" s="89"/>
      <c r="BE904" s="89"/>
      <c r="BF904" s="89"/>
      <c r="BG904" s="89"/>
      <c r="BH904" s="89"/>
      <c r="BI904" s="89"/>
      <c r="BJ904" s="89"/>
      <c r="BK904" s="89"/>
      <c r="BL904" s="89"/>
      <c r="BM904" s="89"/>
      <c r="BN904" s="89"/>
      <c r="BO904" s="89"/>
      <c r="BP904" s="89"/>
      <c r="BQ904" s="89"/>
      <c r="BR904" s="89"/>
      <c r="BS904" s="89"/>
    </row>
    <row r="905" spans="1:71" ht="27" customHeight="1" x14ac:dyDescent="0.2">
      <c r="A905" s="93"/>
      <c r="B905" s="89"/>
      <c r="C905" s="89"/>
      <c r="D905" s="89"/>
      <c r="E905" s="89"/>
      <c r="F905" s="89"/>
      <c r="G905" s="89"/>
      <c r="H905" s="94"/>
      <c r="I905" s="94"/>
      <c r="J905" s="94"/>
      <c r="K905" s="94"/>
      <c r="L905" s="94"/>
      <c r="M905" s="94"/>
      <c r="N905" s="94"/>
      <c r="O905" s="94"/>
      <c r="P905" s="94"/>
      <c r="Q905" s="94"/>
      <c r="R905" s="95"/>
      <c r="S905" s="94"/>
      <c r="T905" s="96"/>
      <c r="U905" s="94"/>
      <c r="V905" s="97"/>
      <c r="W905" s="94"/>
      <c r="X905" s="98"/>
      <c r="Y905" s="98"/>
      <c r="Z905" s="98"/>
      <c r="AA905" s="98"/>
      <c r="AB905" s="98"/>
      <c r="AC905" s="97"/>
      <c r="AD905" s="99"/>
      <c r="AE905" s="95"/>
      <c r="AF905" s="94"/>
      <c r="AG905" s="89"/>
      <c r="AH905" s="89"/>
      <c r="AI905" s="89"/>
      <c r="AJ905" s="89"/>
      <c r="AK905" s="89"/>
      <c r="AL905" s="89"/>
      <c r="AM905" s="89"/>
      <c r="AN905" s="89"/>
      <c r="AO905" s="89"/>
      <c r="AP905" s="89"/>
      <c r="AQ905" s="89"/>
      <c r="AR905" s="89"/>
      <c r="AS905" s="89"/>
      <c r="AT905" s="89"/>
      <c r="AU905" s="89"/>
      <c r="AV905" s="89"/>
      <c r="AW905" s="100"/>
      <c r="AX905" s="100"/>
      <c r="AY905" s="89"/>
      <c r="AZ905" s="89"/>
      <c r="BA905" s="89"/>
      <c r="BB905" s="89"/>
      <c r="BC905" s="89"/>
      <c r="BD905" s="89"/>
      <c r="BE905" s="89"/>
      <c r="BF905" s="89"/>
      <c r="BG905" s="89"/>
      <c r="BH905" s="89"/>
      <c r="BI905" s="89"/>
      <c r="BJ905" s="89"/>
      <c r="BK905" s="89"/>
      <c r="BL905" s="89"/>
      <c r="BM905" s="89"/>
      <c r="BN905" s="89"/>
      <c r="BO905" s="89"/>
      <c r="BP905" s="89"/>
      <c r="BQ905" s="89"/>
      <c r="BR905" s="89"/>
      <c r="BS905" s="89"/>
    </row>
    <row r="906" spans="1:71" ht="27" customHeight="1" x14ac:dyDescent="0.2">
      <c r="A906" s="93"/>
      <c r="B906" s="89"/>
      <c r="C906" s="89"/>
      <c r="D906" s="89"/>
      <c r="E906" s="89"/>
      <c r="F906" s="89"/>
      <c r="G906" s="89"/>
      <c r="H906" s="94"/>
      <c r="I906" s="94"/>
      <c r="J906" s="94"/>
      <c r="K906" s="94"/>
      <c r="L906" s="94"/>
      <c r="M906" s="94"/>
      <c r="N906" s="94"/>
      <c r="O906" s="94"/>
      <c r="P906" s="94"/>
      <c r="Q906" s="94"/>
      <c r="R906" s="95"/>
      <c r="S906" s="94"/>
      <c r="T906" s="96"/>
      <c r="U906" s="94"/>
      <c r="V906" s="97"/>
      <c r="W906" s="94"/>
      <c r="X906" s="98"/>
      <c r="Y906" s="98"/>
      <c r="Z906" s="98"/>
      <c r="AA906" s="98"/>
      <c r="AB906" s="98"/>
      <c r="AC906" s="97"/>
      <c r="AD906" s="99"/>
      <c r="AE906" s="95"/>
      <c r="AF906" s="94"/>
      <c r="AG906" s="89"/>
      <c r="AH906" s="89"/>
      <c r="AI906" s="89"/>
      <c r="AJ906" s="89"/>
      <c r="AK906" s="89"/>
      <c r="AL906" s="89"/>
      <c r="AM906" s="89"/>
      <c r="AN906" s="89"/>
      <c r="AO906" s="89"/>
      <c r="AP906" s="89"/>
      <c r="AQ906" s="89"/>
      <c r="AR906" s="89"/>
      <c r="AS906" s="89"/>
      <c r="AT906" s="89"/>
      <c r="AU906" s="89"/>
      <c r="AV906" s="89"/>
      <c r="AW906" s="100"/>
      <c r="AX906" s="100"/>
      <c r="AY906" s="89"/>
      <c r="AZ906" s="89"/>
      <c r="BA906" s="89"/>
      <c r="BB906" s="89"/>
      <c r="BC906" s="89"/>
      <c r="BD906" s="89"/>
      <c r="BE906" s="89"/>
      <c r="BF906" s="89"/>
      <c r="BG906" s="89"/>
      <c r="BH906" s="89"/>
      <c r="BI906" s="89"/>
      <c r="BJ906" s="89"/>
      <c r="BK906" s="89"/>
      <c r="BL906" s="89"/>
      <c r="BM906" s="89"/>
      <c r="BN906" s="89"/>
      <c r="BO906" s="89"/>
      <c r="BP906" s="89"/>
      <c r="BQ906" s="89"/>
      <c r="BR906" s="89"/>
      <c r="BS906" s="89"/>
    </row>
    <row r="907" spans="1:71" ht="27" customHeight="1" x14ac:dyDescent="0.2">
      <c r="A907" s="93"/>
      <c r="B907" s="89"/>
      <c r="C907" s="89"/>
      <c r="D907" s="89"/>
      <c r="E907" s="89"/>
      <c r="F907" s="89"/>
      <c r="G907" s="89"/>
      <c r="H907" s="94"/>
      <c r="I907" s="94"/>
      <c r="J907" s="94"/>
      <c r="K907" s="94"/>
      <c r="L907" s="94"/>
      <c r="M907" s="94"/>
      <c r="N907" s="94"/>
      <c r="O907" s="94"/>
      <c r="P907" s="94"/>
      <c r="Q907" s="94"/>
      <c r="R907" s="95"/>
      <c r="S907" s="94"/>
      <c r="T907" s="96"/>
      <c r="U907" s="94"/>
      <c r="V907" s="97"/>
      <c r="W907" s="94"/>
      <c r="X907" s="98"/>
      <c r="Y907" s="98"/>
      <c r="Z907" s="98"/>
      <c r="AA907" s="98"/>
      <c r="AB907" s="98"/>
      <c r="AC907" s="97"/>
      <c r="AD907" s="99"/>
      <c r="AE907" s="95"/>
      <c r="AF907" s="94"/>
      <c r="AG907" s="89"/>
      <c r="AH907" s="89"/>
      <c r="AI907" s="89"/>
      <c r="AJ907" s="89"/>
      <c r="AK907" s="89"/>
      <c r="AL907" s="89"/>
      <c r="AM907" s="89"/>
      <c r="AN907" s="89"/>
      <c r="AO907" s="89"/>
      <c r="AP907" s="89"/>
      <c r="AQ907" s="89"/>
      <c r="AR907" s="89"/>
      <c r="AS907" s="89"/>
      <c r="AT907" s="89"/>
      <c r="AU907" s="89"/>
      <c r="AV907" s="89"/>
      <c r="AW907" s="100"/>
      <c r="AX907" s="100"/>
      <c r="AY907" s="89"/>
      <c r="AZ907" s="89"/>
      <c r="BA907" s="89"/>
      <c r="BB907" s="89"/>
      <c r="BC907" s="89"/>
      <c r="BD907" s="89"/>
      <c r="BE907" s="89"/>
      <c r="BF907" s="89"/>
      <c r="BG907" s="89"/>
      <c r="BH907" s="89"/>
      <c r="BI907" s="89"/>
      <c r="BJ907" s="89"/>
      <c r="BK907" s="89"/>
      <c r="BL907" s="89"/>
      <c r="BM907" s="89"/>
      <c r="BN907" s="89"/>
      <c r="BO907" s="89"/>
      <c r="BP907" s="89"/>
      <c r="BQ907" s="89"/>
      <c r="BR907" s="89"/>
      <c r="BS907" s="89"/>
    </row>
    <row r="908" spans="1:71" ht="27" customHeight="1" x14ac:dyDescent="0.2">
      <c r="A908" s="93"/>
      <c r="B908" s="89"/>
      <c r="C908" s="89"/>
      <c r="D908" s="89"/>
      <c r="E908" s="89"/>
      <c r="F908" s="89"/>
      <c r="G908" s="89"/>
      <c r="H908" s="94"/>
      <c r="I908" s="94"/>
      <c r="J908" s="94"/>
      <c r="K908" s="94"/>
      <c r="L908" s="94"/>
      <c r="M908" s="94"/>
      <c r="N908" s="94"/>
      <c r="O908" s="94"/>
      <c r="P908" s="94"/>
      <c r="Q908" s="94"/>
      <c r="R908" s="95"/>
      <c r="S908" s="94"/>
      <c r="T908" s="96"/>
      <c r="U908" s="94"/>
      <c r="V908" s="97"/>
      <c r="W908" s="94"/>
      <c r="X908" s="98"/>
      <c r="Y908" s="98"/>
      <c r="Z908" s="98"/>
      <c r="AA908" s="98"/>
      <c r="AB908" s="98"/>
      <c r="AC908" s="97"/>
      <c r="AD908" s="99"/>
      <c r="AE908" s="95"/>
      <c r="AF908" s="94"/>
      <c r="AG908" s="89"/>
      <c r="AH908" s="89"/>
      <c r="AI908" s="89"/>
      <c r="AJ908" s="89"/>
      <c r="AK908" s="89"/>
      <c r="AL908" s="89"/>
      <c r="AM908" s="89"/>
      <c r="AN908" s="89"/>
      <c r="AO908" s="89"/>
      <c r="AP908" s="89"/>
      <c r="AQ908" s="89"/>
      <c r="AR908" s="89"/>
      <c r="AS908" s="89"/>
      <c r="AT908" s="89"/>
      <c r="AU908" s="89"/>
      <c r="AV908" s="89"/>
      <c r="AW908" s="100"/>
      <c r="AX908" s="100"/>
      <c r="AY908" s="89"/>
      <c r="AZ908" s="89"/>
      <c r="BA908" s="89"/>
      <c r="BB908" s="89"/>
      <c r="BC908" s="89"/>
      <c r="BD908" s="89"/>
      <c r="BE908" s="89"/>
      <c r="BF908" s="89"/>
      <c r="BG908" s="89"/>
      <c r="BH908" s="89"/>
      <c r="BI908" s="89"/>
      <c r="BJ908" s="89"/>
      <c r="BK908" s="89"/>
      <c r="BL908" s="89"/>
      <c r="BM908" s="89"/>
      <c r="BN908" s="89"/>
      <c r="BO908" s="89"/>
      <c r="BP908" s="89"/>
      <c r="BQ908" s="89"/>
      <c r="BR908" s="89"/>
      <c r="BS908" s="89"/>
    </row>
    <row r="909" spans="1:71" ht="27" customHeight="1" x14ac:dyDescent="0.2">
      <c r="A909" s="93"/>
      <c r="B909" s="89"/>
      <c r="C909" s="89"/>
      <c r="D909" s="89"/>
      <c r="E909" s="89"/>
      <c r="F909" s="89"/>
      <c r="G909" s="89"/>
      <c r="H909" s="94"/>
      <c r="I909" s="94"/>
      <c r="J909" s="94"/>
      <c r="K909" s="94"/>
      <c r="L909" s="94"/>
      <c r="M909" s="94"/>
      <c r="N909" s="94"/>
      <c r="O909" s="94"/>
      <c r="P909" s="94"/>
      <c r="Q909" s="94"/>
      <c r="R909" s="95"/>
      <c r="S909" s="94"/>
      <c r="T909" s="96"/>
      <c r="U909" s="94"/>
      <c r="V909" s="97"/>
      <c r="W909" s="94"/>
      <c r="X909" s="98"/>
      <c r="Y909" s="98"/>
      <c r="Z909" s="98"/>
      <c r="AA909" s="98"/>
      <c r="AB909" s="98"/>
      <c r="AC909" s="97"/>
      <c r="AD909" s="99"/>
      <c r="AE909" s="95"/>
      <c r="AF909" s="94"/>
      <c r="AG909" s="89"/>
      <c r="AH909" s="89"/>
      <c r="AI909" s="89"/>
      <c r="AJ909" s="89"/>
      <c r="AK909" s="89"/>
      <c r="AL909" s="89"/>
      <c r="AM909" s="89"/>
      <c r="AN909" s="89"/>
      <c r="AO909" s="89"/>
      <c r="AP909" s="89"/>
      <c r="AQ909" s="89"/>
      <c r="AR909" s="89"/>
      <c r="AS909" s="89"/>
      <c r="AT909" s="89"/>
      <c r="AU909" s="89"/>
      <c r="AV909" s="89"/>
      <c r="AW909" s="100"/>
      <c r="AX909" s="100"/>
      <c r="AY909" s="89"/>
      <c r="AZ909" s="89"/>
      <c r="BA909" s="89"/>
      <c r="BB909" s="89"/>
      <c r="BC909" s="89"/>
      <c r="BD909" s="89"/>
      <c r="BE909" s="89"/>
      <c r="BF909" s="89"/>
      <c r="BG909" s="89"/>
      <c r="BH909" s="89"/>
      <c r="BI909" s="89"/>
      <c r="BJ909" s="89"/>
      <c r="BK909" s="89"/>
      <c r="BL909" s="89"/>
      <c r="BM909" s="89"/>
      <c r="BN909" s="89"/>
      <c r="BO909" s="89"/>
      <c r="BP909" s="89"/>
      <c r="BQ909" s="89"/>
      <c r="BR909" s="89"/>
      <c r="BS909" s="89"/>
    </row>
    <row r="910" spans="1:71" ht="27" customHeight="1" x14ac:dyDescent="0.2">
      <c r="A910" s="93"/>
      <c r="B910" s="89"/>
      <c r="C910" s="89"/>
      <c r="D910" s="89"/>
      <c r="E910" s="89"/>
      <c r="F910" s="89"/>
      <c r="G910" s="89"/>
      <c r="H910" s="94"/>
      <c r="I910" s="94"/>
      <c r="J910" s="94"/>
      <c r="K910" s="94"/>
      <c r="L910" s="94"/>
      <c r="M910" s="94"/>
      <c r="N910" s="94"/>
      <c r="O910" s="94"/>
      <c r="P910" s="94"/>
      <c r="Q910" s="94"/>
      <c r="R910" s="95"/>
      <c r="S910" s="94"/>
      <c r="T910" s="96"/>
      <c r="U910" s="94"/>
      <c r="V910" s="97"/>
      <c r="W910" s="94"/>
      <c r="X910" s="98"/>
      <c r="Y910" s="98"/>
      <c r="Z910" s="98"/>
      <c r="AA910" s="98"/>
      <c r="AB910" s="98"/>
      <c r="AC910" s="97"/>
      <c r="AD910" s="99"/>
      <c r="AE910" s="95"/>
      <c r="AF910" s="94"/>
      <c r="AG910" s="89"/>
      <c r="AH910" s="89"/>
      <c r="AI910" s="89"/>
      <c r="AJ910" s="89"/>
      <c r="AK910" s="89"/>
      <c r="AL910" s="89"/>
      <c r="AM910" s="89"/>
      <c r="AN910" s="89"/>
      <c r="AO910" s="89"/>
      <c r="AP910" s="89"/>
      <c r="AQ910" s="89"/>
      <c r="AR910" s="89"/>
      <c r="AS910" s="89"/>
      <c r="AT910" s="89"/>
      <c r="AU910" s="89"/>
      <c r="AV910" s="89"/>
      <c r="AW910" s="100"/>
      <c r="AX910" s="100"/>
      <c r="AY910" s="89"/>
      <c r="AZ910" s="89"/>
      <c r="BA910" s="89"/>
      <c r="BB910" s="89"/>
      <c r="BC910" s="89"/>
      <c r="BD910" s="89"/>
      <c r="BE910" s="89"/>
      <c r="BF910" s="89"/>
      <c r="BG910" s="89"/>
      <c r="BH910" s="89"/>
      <c r="BI910" s="89"/>
      <c r="BJ910" s="89"/>
      <c r="BK910" s="89"/>
      <c r="BL910" s="89"/>
      <c r="BM910" s="89"/>
      <c r="BN910" s="89"/>
      <c r="BO910" s="89"/>
      <c r="BP910" s="89"/>
      <c r="BQ910" s="89"/>
      <c r="BR910" s="89"/>
      <c r="BS910" s="89"/>
    </row>
    <row r="911" spans="1:71" ht="27" customHeight="1" x14ac:dyDescent="0.2">
      <c r="A911" s="93"/>
      <c r="B911" s="89"/>
      <c r="C911" s="89"/>
      <c r="D911" s="89"/>
      <c r="E911" s="89"/>
      <c r="F911" s="89"/>
      <c r="G911" s="89"/>
      <c r="H911" s="94"/>
      <c r="I911" s="94"/>
      <c r="J911" s="94"/>
      <c r="K911" s="94"/>
      <c r="L911" s="94"/>
      <c r="M911" s="94"/>
      <c r="N911" s="94"/>
      <c r="O911" s="94"/>
      <c r="P911" s="94"/>
      <c r="Q911" s="94"/>
      <c r="R911" s="95"/>
      <c r="S911" s="94"/>
      <c r="T911" s="96"/>
      <c r="U911" s="94"/>
      <c r="V911" s="97"/>
      <c r="W911" s="94"/>
      <c r="X911" s="98"/>
      <c r="Y911" s="98"/>
      <c r="Z911" s="98"/>
      <c r="AA911" s="98"/>
      <c r="AB911" s="98"/>
      <c r="AC911" s="97"/>
      <c r="AD911" s="99"/>
      <c r="AE911" s="95"/>
      <c r="AF911" s="94"/>
      <c r="AG911" s="89"/>
      <c r="AH911" s="89"/>
      <c r="AI911" s="89"/>
      <c r="AJ911" s="89"/>
      <c r="AK911" s="89"/>
      <c r="AL911" s="89"/>
      <c r="AM911" s="89"/>
      <c r="AN911" s="89"/>
      <c r="AO911" s="89"/>
      <c r="AP911" s="89"/>
      <c r="AQ911" s="89"/>
      <c r="AR911" s="89"/>
      <c r="AS911" s="89"/>
      <c r="AT911" s="89"/>
      <c r="AU911" s="89"/>
      <c r="AV911" s="89"/>
      <c r="AW911" s="100"/>
      <c r="AX911" s="100"/>
      <c r="AY911" s="89"/>
      <c r="AZ911" s="89"/>
      <c r="BA911" s="89"/>
      <c r="BB911" s="89"/>
      <c r="BC911" s="89"/>
      <c r="BD911" s="89"/>
      <c r="BE911" s="89"/>
      <c r="BF911" s="89"/>
      <c r="BG911" s="89"/>
      <c r="BH911" s="89"/>
      <c r="BI911" s="89"/>
      <c r="BJ911" s="89"/>
      <c r="BK911" s="89"/>
      <c r="BL911" s="89"/>
      <c r="BM911" s="89"/>
      <c r="BN911" s="89"/>
      <c r="BO911" s="89"/>
      <c r="BP911" s="89"/>
      <c r="BQ911" s="89"/>
      <c r="BR911" s="89"/>
      <c r="BS911" s="89"/>
    </row>
    <row r="912" spans="1:71" ht="27" customHeight="1" x14ac:dyDescent="0.2">
      <c r="A912" s="93"/>
      <c r="B912" s="89"/>
      <c r="C912" s="89"/>
      <c r="D912" s="89"/>
      <c r="E912" s="89"/>
      <c r="F912" s="89"/>
      <c r="G912" s="89"/>
      <c r="H912" s="94"/>
      <c r="I912" s="94"/>
      <c r="J912" s="94"/>
      <c r="K912" s="94"/>
      <c r="L912" s="94"/>
      <c r="M912" s="94"/>
      <c r="N912" s="94"/>
      <c r="O912" s="94"/>
      <c r="P912" s="94"/>
      <c r="Q912" s="94"/>
      <c r="R912" s="95"/>
      <c r="S912" s="94"/>
      <c r="T912" s="96"/>
      <c r="U912" s="94"/>
      <c r="V912" s="97"/>
      <c r="W912" s="94"/>
      <c r="X912" s="98"/>
      <c r="Y912" s="98"/>
      <c r="Z912" s="98"/>
      <c r="AA912" s="98"/>
      <c r="AB912" s="98"/>
      <c r="AC912" s="97"/>
      <c r="AD912" s="99"/>
      <c r="AE912" s="95"/>
      <c r="AF912" s="94"/>
      <c r="AG912" s="89"/>
      <c r="AH912" s="89"/>
      <c r="AI912" s="89"/>
      <c r="AJ912" s="89"/>
      <c r="AK912" s="89"/>
      <c r="AL912" s="89"/>
      <c r="AM912" s="89"/>
      <c r="AN912" s="89"/>
      <c r="AO912" s="89"/>
      <c r="AP912" s="89"/>
      <c r="AQ912" s="89"/>
      <c r="AR912" s="89"/>
      <c r="AS912" s="89"/>
      <c r="AT912" s="89"/>
      <c r="AU912" s="89"/>
      <c r="AV912" s="89"/>
      <c r="AW912" s="100"/>
      <c r="AX912" s="100"/>
      <c r="AY912" s="89"/>
      <c r="AZ912" s="89"/>
      <c r="BA912" s="89"/>
      <c r="BB912" s="89"/>
      <c r="BC912" s="89"/>
      <c r="BD912" s="89"/>
      <c r="BE912" s="89"/>
      <c r="BF912" s="89"/>
      <c r="BG912" s="89"/>
      <c r="BH912" s="89"/>
      <c r="BI912" s="89"/>
      <c r="BJ912" s="89"/>
      <c r="BK912" s="89"/>
      <c r="BL912" s="89"/>
      <c r="BM912" s="89"/>
      <c r="BN912" s="89"/>
      <c r="BO912" s="89"/>
      <c r="BP912" s="89"/>
      <c r="BQ912" s="89"/>
      <c r="BR912" s="89"/>
      <c r="BS912" s="89"/>
    </row>
    <row r="913" spans="1:71" ht="27" customHeight="1" x14ac:dyDescent="0.2">
      <c r="A913" s="93"/>
      <c r="B913" s="89"/>
      <c r="C913" s="89"/>
      <c r="D913" s="89"/>
      <c r="E913" s="89"/>
      <c r="F913" s="89"/>
      <c r="G913" s="89"/>
      <c r="H913" s="94"/>
      <c r="I913" s="94"/>
      <c r="J913" s="94"/>
      <c r="K913" s="94"/>
      <c r="L913" s="94"/>
      <c r="M913" s="94"/>
      <c r="N913" s="94"/>
      <c r="O913" s="94"/>
      <c r="P913" s="94"/>
      <c r="Q913" s="94"/>
      <c r="R913" s="95"/>
      <c r="S913" s="94"/>
      <c r="T913" s="96"/>
      <c r="U913" s="94"/>
      <c r="V913" s="97"/>
      <c r="W913" s="94"/>
      <c r="X913" s="98"/>
      <c r="Y913" s="98"/>
      <c r="Z913" s="98"/>
      <c r="AA913" s="98"/>
      <c r="AB913" s="98"/>
      <c r="AC913" s="97"/>
      <c r="AD913" s="99"/>
      <c r="AE913" s="95"/>
      <c r="AF913" s="94"/>
      <c r="AG913" s="89"/>
      <c r="AH913" s="89"/>
      <c r="AI913" s="89"/>
      <c r="AJ913" s="89"/>
      <c r="AK913" s="89"/>
      <c r="AL913" s="89"/>
      <c r="AM913" s="89"/>
      <c r="AN913" s="89"/>
      <c r="AO913" s="89"/>
      <c r="AP913" s="89"/>
      <c r="AQ913" s="89"/>
      <c r="AR913" s="89"/>
      <c r="AS913" s="89"/>
      <c r="AT913" s="89"/>
      <c r="AU913" s="89"/>
      <c r="AV913" s="89"/>
      <c r="AW913" s="100"/>
      <c r="AX913" s="100"/>
      <c r="AY913" s="89"/>
      <c r="AZ913" s="89"/>
      <c r="BA913" s="89"/>
      <c r="BB913" s="89"/>
      <c r="BC913" s="89"/>
      <c r="BD913" s="89"/>
      <c r="BE913" s="89"/>
      <c r="BF913" s="89"/>
      <c r="BG913" s="89"/>
      <c r="BH913" s="89"/>
      <c r="BI913" s="89"/>
      <c r="BJ913" s="89"/>
      <c r="BK913" s="89"/>
      <c r="BL913" s="89"/>
      <c r="BM913" s="89"/>
      <c r="BN913" s="89"/>
      <c r="BO913" s="89"/>
      <c r="BP913" s="89"/>
      <c r="BQ913" s="89"/>
      <c r="BR913" s="89"/>
      <c r="BS913" s="89"/>
    </row>
    <row r="914" spans="1:71" ht="27" customHeight="1" x14ac:dyDescent="0.2">
      <c r="A914" s="93"/>
      <c r="B914" s="89"/>
      <c r="C914" s="89"/>
      <c r="D914" s="89"/>
      <c r="E914" s="89"/>
      <c r="F914" s="89"/>
      <c r="G914" s="89"/>
      <c r="H914" s="94"/>
      <c r="I914" s="94"/>
      <c r="J914" s="94"/>
      <c r="K914" s="94"/>
      <c r="L914" s="94"/>
      <c r="M914" s="94"/>
      <c r="N914" s="94"/>
      <c r="O914" s="94"/>
      <c r="P914" s="94"/>
      <c r="Q914" s="94"/>
      <c r="R914" s="95"/>
      <c r="S914" s="94"/>
      <c r="T914" s="96"/>
      <c r="U914" s="94"/>
      <c r="V914" s="97"/>
      <c r="W914" s="94"/>
      <c r="X914" s="98"/>
      <c r="Y914" s="98"/>
      <c r="Z914" s="98"/>
      <c r="AA914" s="98"/>
      <c r="AB914" s="98"/>
      <c r="AC914" s="97"/>
      <c r="AD914" s="99"/>
      <c r="AE914" s="95"/>
      <c r="AF914" s="94"/>
      <c r="AG914" s="89"/>
      <c r="AH914" s="89"/>
      <c r="AI914" s="89"/>
      <c r="AJ914" s="89"/>
      <c r="AK914" s="89"/>
      <c r="AL914" s="89"/>
      <c r="AM914" s="89"/>
      <c r="AN914" s="89"/>
      <c r="AO914" s="89"/>
      <c r="AP914" s="89"/>
      <c r="AQ914" s="89"/>
      <c r="AR914" s="89"/>
      <c r="AS914" s="89"/>
      <c r="AT914" s="89"/>
      <c r="AU914" s="89"/>
      <c r="AV914" s="89"/>
      <c r="AW914" s="100"/>
      <c r="AX914" s="100"/>
      <c r="AY914" s="89"/>
      <c r="AZ914" s="89"/>
      <c r="BA914" s="89"/>
      <c r="BB914" s="89"/>
      <c r="BC914" s="89"/>
      <c r="BD914" s="89"/>
      <c r="BE914" s="89"/>
      <c r="BF914" s="89"/>
      <c r="BG914" s="89"/>
      <c r="BH914" s="89"/>
      <c r="BI914" s="89"/>
      <c r="BJ914" s="89"/>
      <c r="BK914" s="89"/>
      <c r="BL914" s="89"/>
      <c r="BM914" s="89"/>
      <c r="BN914" s="89"/>
      <c r="BO914" s="89"/>
      <c r="BP914" s="89"/>
      <c r="BQ914" s="89"/>
      <c r="BR914" s="89"/>
      <c r="BS914" s="89"/>
    </row>
    <row r="915" spans="1:71" ht="27" customHeight="1" x14ac:dyDescent="0.2">
      <c r="A915" s="93"/>
      <c r="B915" s="89"/>
      <c r="C915" s="89"/>
      <c r="D915" s="89"/>
      <c r="E915" s="89"/>
      <c r="F915" s="89"/>
      <c r="G915" s="89"/>
      <c r="H915" s="94"/>
      <c r="I915" s="94"/>
      <c r="J915" s="94"/>
      <c r="K915" s="94"/>
      <c r="L915" s="94"/>
      <c r="M915" s="94"/>
      <c r="N915" s="94"/>
      <c r="O915" s="94"/>
      <c r="P915" s="94"/>
      <c r="Q915" s="94"/>
      <c r="R915" s="95"/>
      <c r="S915" s="94"/>
      <c r="T915" s="96"/>
      <c r="U915" s="94"/>
      <c r="V915" s="97"/>
      <c r="W915" s="94"/>
      <c r="X915" s="98"/>
      <c r="Y915" s="98"/>
      <c r="Z915" s="98"/>
      <c r="AA915" s="98"/>
      <c r="AB915" s="98"/>
      <c r="AC915" s="97"/>
      <c r="AD915" s="99"/>
      <c r="AE915" s="95"/>
      <c r="AF915" s="94"/>
      <c r="AG915" s="89"/>
      <c r="AH915" s="89"/>
      <c r="AI915" s="89"/>
      <c r="AJ915" s="89"/>
      <c r="AK915" s="89"/>
      <c r="AL915" s="89"/>
      <c r="AM915" s="89"/>
      <c r="AN915" s="89"/>
      <c r="AO915" s="89"/>
      <c r="AP915" s="89"/>
      <c r="AQ915" s="89"/>
      <c r="AR915" s="89"/>
      <c r="AS915" s="89"/>
      <c r="AT915" s="89"/>
      <c r="AU915" s="89"/>
      <c r="AV915" s="89"/>
      <c r="AW915" s="100"/>
      <c r="AX915" s="100"/>
      <c r="AY915" s="89"/>
      <c r="AZ915" s="89"/>
      <c r="BA915" s="89"/>
      <c r="BB915" s="89"/>
      <c r="BC915" s="89"/>
      <c r="BD915" s="89"/>
      <c r="BE915" s="89"/>
      <c r="BF915" s="89"/>
      <c r="BG915" s="89"/>
      <c r="BH915" s="89"/>
      <c r="BI915" s="89"/>
      <c r="BJ915" s="89"/>
      <c r="BK915" s="89"/>
      <c r="BL915" s="89"/>
      <c r="BM915" s="89"/>
      <c r="BN915" s="89"/>
      <c r="BO915" s="89"/>
      <c r="BP915" s="89"/>
      <c r="BQ915" s="89"/>
      <c r="BR915" s="89"/>
      <c r="BS915" s="89"/>
    </row>
    <row r="916" spans="1:71" ht="27" customHeight="1" x14ac:dyDescent="0.2">
      <c r="A916" s="93"/>
      <c r="B916" s="89"/>
      <c r="C916" s="89"/>
      <c r="D916" s="89"/>
      <c r="E916" s="89"/>
      <c r="F916" s="89"/>
      <c r="G916" s="89"/>
      <c r="H916" s="94"/>
      <c r="I916" s="94"/>
      <c r="J916" s="94"/>
      <c r="K916" s="94"/>
      <c r="L916" s="94"/>
      <c r="M916" s="94"/>
      <c r="N916" s="94"/>
      <c r="O916" s="94"/>
      <c r="P916" s="94"/>
      <c r="Q916" s="94"/>
      <c r="R916" s="95"/>
      <c r="S916" s="94"/>
      <c r="T916" s="96"/>
      <c r="U916" s="94"/>
      <c r="V916" s="97"/>
      <c r="W916" s="94"/>
      <c r="X916" s="98"/>
      <c r="Y916" s="98"/>
      <c r="Z916" s="98"/>
      <c r="AA916" s="98"/>
      <c r="AB916" s="98"/>
      <c r="AC916" s="97"/>
      <c r="AD916" s="99"/>
      <c r="AE916" s="95"/>
      <c r="AF916" s="94"/>
      <c r="AG916" s="89"/>
      <c r="AH916" s="89"/>
      <c r="AI916" s="89"/>
      <c r="AJ916" s="89"/>
      <c r="AK916" s="89"/>
      <c r="AL916" s="89"/>
      <c r="AM916" s="89"/>
      <c r="AN916" s="89"/>
      <c r="AO916" s="89"/>
      <c r="AP916" s="89"/>
      <c r="AQ916" s="89"/>
      <c r="AR916" s="89"/>
      <c r="AS916" s="89"/>
      <c r="AT916" s="89"/>
      <c r="AU916" s="89"/>
      <c r="AV916" s="89"/>
      <c r="AW916" s="100"/>
      <c r="AX916" s="100"/>
      <c r="AY916" s="89"/>
      <c r="AZ916" s="89"/>
      <c r="BA916" s="89"/>
      <c r="BB916" s="89"/>
      <c r="BC916" s="89"/>
      <c r="BD916" s="89"/>
      <c r="BE916" s="89"/>
      <c r="BF916" s="89"/>
      <c r="BG916" s="89"/>
      <c r="BH916" s="89"/>
      <c r="BI916" s="89"/>
      <c r="BJ916" s="89"/>
      <c r="BK916" s="89"/>
      <c r="BL916" s="89"/>
      <c r="BM916" s="89"/>
      <c r="BN916" s="89"/>
      <c r="BO916" s="89"/>
      <c r="BP916" s="89"/>
      <c r="BQ916" s="89"/>
      <c r="BR916" s="89"/>
      <c r="BS916" s="89"/>
    </row>
    <row r="917" spans="1:71" ht="27" customHeight="1" x14ac:dyDescent="0.2">
      <c r="A917" s="93"/>
      <c r="B917" s="89"/>
      <c r="C917" s="89"/>
      <c r="D917" s="89"/>
      <c r="E917" s="89"/>
      <c r="F917" s="89"/>
      <c r="G917" s="89"/>
      <c r="H917" s="94"/>
      <c r="I917" s="94"/>
      <c r="J917" s="94"/>
      <c r="K917" s="94"/>
      <c r="L917" s="94"/>
      <c r="M917" s="94"/>
      <c r="N917" s="94"/>
      <c r="O917" s="94"/>
      <c r="P917" s="94"/>
      <c r="Q917" s="94"/>
      <c r="R917" s="95"/>
      <c r="S917" s="94"/>
      <c r="T917" s="96"/>
      <c r="U917" s="94"/>
      <c r="V917" s="97"/>
      <c r="W917" s="94"/>
      <c r="X917" s="98"/>
      <c r="Y917" s="98"/>
      <c r="Z917" s="98"/>
      <c r="AA917" s="98"/>
      <c r="AB917" s="98"/>
      <c r="AC917" s="97"/>
      <c r="AD917" s="99"/>
      <c r="AE917" s="95"/>
      <c r="AF917" s="94"/>
      <c r="AG917" s="89"/>
      <c r="AH917" s="89"/>
      <c r="AI917" s="89"/>
      <c r="AJ917" s="89"/>
      <c r="AK917" s="89"/>
      <c r="AL917" s="89"/>
      <c r="AM917" s="89"/>
      <c r="AN917" s="89"/>
      <c r="AO917" s="89"/>
      <c r="AP917" s="89"/>
      <c r="AQ917" s="89"/>
      <c r="AR917" s="89"/>
      <c r="AS917" s="89"/>
      <c r="AT917" s="89"/>
      <c r="AU917" s="89"/>
      <c r="AV917" s="89"/>
      <c r="AW917" s="100"/>
      <c r="AX917" s="100"/>
      <c r="AY917" s="89"/>
      <c r="AZ917" s="89"/>
      <c r="BA917" s="89"/>
      <c r="BB917" s="89"/>
      <c r="BC917" s="89"/>
      <c r="BD917" s="89"/>
      <c r="BE917" s="89"/>
      <c r="BF917" s="89"/>
      <c r="BG917" s="89"/>
      <c r="BH917" s="89"/>
      <c r="BI917" s="89"/>
      <c r="BJ917" s="89"/>
      <c r="BK917" s="89"/>
      <c r="BL917" s="89"/>
      <c r="BM917" s="89"/>
      <c r="BN917" s="89"/>
      <c r="BO917" s="89"/>
      <c r="BP917" s="89"/>
      <c r="BQ917" s="89"/>
      <c r="BR917" s="89"/>
      <c r="BS917" s="89"/>
    </row>
    <row r="918" spans="1:71" ht="27" customHeight="1" x14ac:dyDescent="0.2">
      <c r="A918" s="93"/>
      <c r="B918" s="89"/>
      <c r="C918" s="89"/>
      <c r="D918" s="89"/>
      <c r="E918" s="89"/>
      <c r="F918" s="89"/>
      <c r="G918" s="89"/>
      <c r="H918" s="94"/>
      <c r="I918" s="94"/>
      <c r="J918" s="94"/>
      <c r="K918" s="94"/>
      <c r="L918" s="94"/>
      <c r="M918" s="94"/>
      <c r="N918" s="94"/>
      <c r="O918" s="94"/>
      <c r="P918" s="94"/>
      <c r="Q918" s="94"/>
      <c r="R918" s="95"/>
      <c r="S918" s="94"/>
      <c r="T918" s="96"/>
      <c r="U918" s="94"/>
      <c r="V918" s="97"/>
      <c r="W918" s="94"/>
      <c r="X918" s="98"/>
      <c r="Y918" s="98"/>
      <c r="Z918" s="98"/>
      <c r="AA918" s="98"/>
      <c r="AB918" s="98"/>
      <c r="AC918" s="97"/>
      <c r="AD918" s="99"/>
      <c r="AE918" s="95"/>
      <c r="AF918" s="94"/>
      <c r="AG918" s="89"/>
      <c r="AH918" s="89"/>
      <c r="AI918" s="89"/>
      <c r="AJ918" s="89"/>
      <c r="AK918" s="89"/>
      <c r="AL918" s="89"/>
      <c r="AM918" s="89"/>
      <c r="AN918" s="89"/>
      <c r="AO918" s="89"/>
      <c r="AP918" s="89"/>
      <c r="AQ918" s="89"/>
      <c r="AR918" s="89"/>
      <c r="AS918" s="89"/>
      <c r="AT918" s="89"/>
      <c r="AU918" s="89"/>
      <c r="AV918" s="89"/>
      <c r="AW918" s="100"/>
      <c r="AX918" s="100"/>
      <c r="AY918" s="89"/>
      <c r="AZ918" s="89"/>
      <c r="BA918" s="89"/>
      <c r="BB918" s="89"/>
      <c r="BC918" s="89"/>
      <c r="BD918" s="89"/>
      <c r="BE918" s="89"/>
      <c r="BF918" s="89"/>
      <c r="BG918" s="89"/>
      <c r="BH918" s="89"/>
      <c r="BI918" s="89"/>
      <c r="BJ918" s="89"/>
      <c r="BK918" s="89"/>
      <c r="BL918" s="89"/>
      <c r="BM918" s="89"/>
      <c r="BN918" s="89"/>
      <c r="BO918" s="89"/>
      <c r="BP918" s="89"/>
      <c r="BQ918" s="89"/>
      <c r="BR918" s="89"/>
      <c r="BS918" s="89"/>
    </row>
    <row r="919" spans="1:71" ht="27" customHeight="1" x14ac:dyDescent="0.2">
      <c r="A919" s="93"/>
      <c r="B919" s="89"/>
      <c r="C919" s="89"/>
      <c r="D919" s="89"/>
      <c r="E919" s="89"/>
      <c r="F919" s="89"/>
      <c r="G919" s="89"/>
      <c r="H919" s="94"/>
      <c r="I919" s="94"/>
      <c r="J919" s="94"/>
      <c r="K919" s="94"/>
      <c r="L919" s="94"/>
      <c r="M919" s="94"/>
      <c r="N919" s="94"/>
      <c r="O919" s="94"/>
      <c r="P919" s="94"/>
      <c r="Q919" s="94"/>
      <c r="R919" s="95"/>
      <c r="S919" s="94"/>
      <c r="T919" s="96"/>
      <c r="U919" s="94"/>
      <c r="V919" s="97"/>
      <c r="W919" s="94"/>
      <c r="X919" s="98"/>
      <c r="Y919" s="98"/>
      <c r="Z919" s="98"/>
      <c r="AA919" s="98"/>
      <c r="AB919" s="98"/>
      <c r="AC919" s="97"/>
      <c r="AD919" s="99"/>
      <c r="AE919" s="95"/>
      <c r="AF919" s="94"/>
      <c r="AG919" s="89"/>
      <c r="AH919" s="89"/>
      <c r="AI919" s="89"/>
      <c r="AJ919" s="89"/>
      <c r="AK919" s="89"/>
      <c r="AL919" s="89"/>
      <c r="AM919" s="89"/>
      <c r="AN919" s="89"/>
      <c r="AO919" s="89"/>
      <c r="AP919" s="89"/>
      <c r="AQ919" s="89"/>
      <c r="AR919" s="89"/>
      <c r="AS919" s="89"/>
      <c r="AT919" s="89"/>
      <c r="AU919" s="89"/>
      <c r="AV919" s="89"/>
      <c r="AW919" s="100"/>
      <c r="AX919" s="100"/>
      <c r="AY919" s="89"/>
      <c r="AZ919" s="89"/>
      <c r="BA919" s="89"/>
      <c r="BB919" s="89"/>
      <c r="BC919" s="89"/>
      <c r="BD919" s="89"/>
      <c r="BE919" s="89"/>
      <c r="BF919" s="89"/>
      <c r="BG919" s="89"/>
      <c r="BH919" s="89"/>
      <c r="BI919" s="89"/>
      <c r="BJ919" s="89"/>
      <c r="BK919" s="89"/>
      <c r="BL919" s="89"/>
      <c r="BM919" s="89"/>
      <c r="BN919" s="89"/>
      <c r="BO919" s="89"/>
      <c r="BP919" s="89"/>
      <c r="BQ919" s="89"/>
      <c r="BR919" s="89"/>
      <c r="BS919" s="89"/>
    </row>
    <row r="920" spans="1:71" ht="27" customHeight="1" x14ac:dyDescent="0.2">
      <c r="A920" s="93"/>
      <c r="B920" s="89"/>
      <c r="C920" s="89"/>
      <c r="D920" s="89"/>
      <c r="E920" s="89"/>
      <c r="F920" s="89"/>
      <c r="G920" s="89"/>
      <c r="H920" s="94"/>
      <c r="I920" s="94"/>
      <c r="J920" s="94"/>
      <c r="K920" s="94"/>
      <c r="L920" s="94"/>
      <c r="M920" s="94"/>
      <c r="N920" s="94"/>
      <c r="O920" s="94"/>
      <c r="P920" s="94"/>
      <c r="Q920" s="94"/>
      <c r="R920" s="95"/>
      <c r="S920" s="94"/>
      <c r="T920" s="96"/>
      <c r="U920" s="94"/>
      <c r="V920" s="97"/>
      <c r="W920" s="94"/>
      <c r="X920" s="98"/>
      <c r="Y920" s="98"/>
      <c r="Z920" s="98"/>
      <c r="AA920" s="98"/>
      <c r="AB920" s="98"/>
      <c r="AC920" s="97"/>
      <c r="AD920" s="99"/>
      <c r="AE920" s="95"/>
      <c r="AF920" s="94"/>
      <c r="AG920" s="89"/>
      <c r="AH920" s="89"/>
      <c r="AI920" s="89"/>
      <c r="AJ920" s="89"/>
      <c r="AK920" s="89"/>
      <c r="AL920" s="89"/>
      <c r="AM920" s="89"/>
      <c r="AN920" s="89"/>
      <c r="AO920" s="89"/>
      <c r="AP920" s="89"/>
      <c r="AQ920" s="89"/>
      <c r="AR920" s="89"/>
      <c r="AS920" s="89"/>
      <c r="AT920" s="89"/>
      <c r="AU920" s="89"/>
      <c r="AV920" s="89"/>
      <c r="AW920" s="100"/>
      <c r="AX920" s="100"/>
      <c r="AY920" s="89"/>
      <c r="AZ920" s="89"/>
      <c r="BA920" s="89"/>
      <c r="BB920" s="89"/>
      <c r="BC920" s="89"/>
      <c r="BD920" s="89"/>
      <c r="BE920" s="89"/>
      <c r="BF920" s="89"/>
      <c r="BG920" s="89"/>
      <c r="BH920" s="89"/>
      <c r="BI920" s="89"/>
      <c r="BJ920" s="89"/>
      <c r="BK920" s="89"/>
      <c r="BL920" s="89"/>
      <c r="BM920" s="89"/>
      <c r="BN920" s="89"/>
      <c r="BO920" s="89"/>
      <c r="BP920" s="89"/>
      <c r="BQ920" s="89"/>
      <c r="BR920" s="89"/>
      <c r="BS920" s="89"/>
    </row>
    <row r="921" spans="1:71" ht="27" customHeight="1" x14ac:dyDescent="0.2">
      <c r="A921" s="93"/>
      <c r="B921" s="89"/>
      <c r="C921" s="89"/>
      <c r="D921" s="89"/>
      <c r="E921" s="89"/>
      <c r="F921" s="89"/>
      <c r="G921" s="89"/>
      <c r="H921" s="94"/>
      <c r="I921" s="94"/>
      <c r="J921" s="94"/>
      <c r="K921" s="94"/>
      <c r="L921" s="94"/>
      <c r="M921" s="94"/>
      <c r="N921" s="94"/>
      <c r="O921" s="94"/>
      <c r="P921" s="94"/>
      <c r="Q921" s="94"/>
      <c r="R921" s="95"/>
      <c r="S921" s="94"/>
      <c r="T921" s="96"/>
      <c r="U921" s="94"/>
      <c r="V921" s="97"/>
      <c r="W921" s="94"/>
      <c r="X921" s="98"/>
      <c r="Y921" s="98"/>
      <c r="Z921" s="98"/>
      <c r="AA921" s="98"/>
      <c r="AB921" s="98"/>
      <c r="AC921" s="97"/>
      <c r="AD921" s="99"/>
      <c r="AE921" s="95"/>
      <c r="AF921" s="94"/>
      <c r="AG921" s="89"/>
      <c r="AH921" s="89"/>
      <c r="AI921" s="89"/>
      <c r="AJ921" s="89"/>
      <c r="AK921" s="89"/>
      <c r="AL921" s="89"/>
      <c r="AM921" s="89"/>
      <c r="AN921" s="89"/>
      <c r="AO921" s="89"/>
      <c r="AP921" s="89"/>
      <c r="AQ921" s="89"/>
      <c r="AR921" s="89"/>
      <c r="AS921" s="89"/>
      <c r="AT921" s="89"/>
      <c r="AU921" s="89"/>
      <c r="AV921" s="89"/>
      <c r="AW921" s="100"/>
      <c r="AX921" s="100"/>
      <c r="AY921" s="89"/>
      <c r="AZ921" s="89"/>
      <c r="BA921" s="89"/>
      <c r="BB921" s="89"/>
      <c r="BC921" s="89"/>
      <c r="BD921" s="89"/>
      <c r="BE921" s="89"/>
      <c r="BF921" s="89"/>
      <c r="BG921" s="89"/>
      <c r="BH921" s="89"/>
      <c r="BI921" s="89"/>
      <c r="BJ921" s="89"/>
      <c r="BK921" s="89"/>
      <c r="BL921" s="89"/>
      <c r="BM921" s="89"/>
      <c r="BN921" s="89"/>
      <c r="BO921" s="89"/>
      <c r="BP921" s="89"/>
      <c r="BQ921" s="89"/>
      <c r="BR921" s="89"/>
      <c r="BS921" s="89"/>
    </row>
    <row r="922" spans="1:71" ht="27" customHeight="1" x14ac:dyDescent="0.2">
      <c r="A922" s="93"/>
      <c r="B922" s="89"/>
      <c r="C922" s="89"/>
      <c r="D922" s="89"/>
      <c r="E922" s="89"/>
      <c r="F922" s="89"/>
      <c r="G922" s="89"/>
      <c r="H922" s="94"/>
      <c r="I922" s="94"/>
      <c r="J922" s="94"/>
      <c r="K922" s="94"/>
      <c r="L922" s="94"/>
      <c r="M922" s="94"/>
      <c r="N922" s="94"/>
      <c r="O922" s="94"/>
      <c r="P922" s="94"/>
      <c r="Q922" s="94"/>
      <c r="R922" s="95"/>
      <c r="S922" s="94"/>
      <c r="T922" s="96"/>
      <c r="U922" s="94"/>
      <c r="V922" s="97"/>
      <c r="W922" s="94"/>
      <c r="X922" s="98"/>
      <c r="Y922" s="98"/>
      <c r="Z922" s="98"/>
      <c r="AA922" s="98"/>
      <c r="AB922" s="98"/>
      <c r="AC922" s="97"/>
      <c r="AD922" s="99"/>
      <c r="AE922" s="95"/>
      <c r="AF922" s="94"/>
      <c r="AG922" s="89"/>
      <c r="AH922" s="89"/>
      <c r="AI922" s="89"/>
      <c r="AJ922" s="89"/>
      <c r="AK922" s="89"/>
      <c r="AL922" s="89"/>
      <c r="AM922" s="89"/>
      <c r="AN922" s="89"/>
      <c r="AO922" s="89"/>
      <c r="AP922" s="89"/>
      <c r="AQ922" s="89"/>
      <c r="AR922" s="89"/>
      <c r="AS922" s="89"/>
      <c r="AT922" s="89"/>
      <c r="AU922" s="89"/>
      <c r="AV922" s="89"/>
      <c r="AW922" s="100"/>
      <c r="AX922" s="100"/>
      <c r="AY922" s="89"/>
      <c r="AZ922" s="89"/>
      <c r="BA922" s="89"/>
      <c r="BB922" s="89"/>
      <c r="BC922" s="89"/>
      <c r="BD922" s="89"/>
      <c r="BE922" s="89"/>
      <c r="BF922" s="89"/>
      <c r="BG922" s="89"/>
      <c r="BH922" s="89"/>
      <c r="BI922" s="89"/>
      <c r="BJ922" s="89"/>
      <c r="BK922" s="89"/>
      <c r="BL922" s="89"/>
      <c r="BM922" s="89"/>
      <c r="BN922" s="89"/>
      <c r="BO922" s="89"/>
      <c r="BP922" s="89"/>
      <c r="BQ922" s="89"/>
      <c r="BR922" s="89"/>
      <c r="BS922" s="89"/>
    </row>
    <row r="923" spans="1:71" ht="27" customHeight="1" x14ac:dyDescent="0.2">
      <c r="A923" s="93"/>
      <c r="B923" s="89"/>
      <c r="C923" s="89"/>
      <c r="D923" s="89"/>
      <c r="E923" s="89"/>
      <c r="F923" s="89"/>
      <c r="G923" s="89"/>
      <c r="H923" s="94"/>
      <c r="I923" s="94"/>
      <c r="J923" s="94"/>
      <c r="K923" s="94"/>
      <c r="L923" s="94"/>
      <c r="M923" s="94"/>
      <c r="N923" s="94"/>
      <c r="O923" s="94"/>
      <c r="P923" s="94"/>
      <c r="Q923" s="94"/>
      <c r="R923" s="95"/>
      <c r="S923" s="94"/>
      <c r="T923" s="96"/>
      <c r="U923" s="94"/>
      <c r="V923" s="97"/>
      <c r="W923" s="94"/>
      <c r="X923" s="98"/>
      <c r="Y923" s="98"/>
      <c r="Z923" s="98"/>
      <c r="AA923" s="98"/>
      <c r="AB923" s="98"/>
      <c r="AC923" s="97"/>
      <c r="AD923" s="99"/>
      <c r="AE923" s="95"/>
      <c r="AF923" s="94"/>
      <c r="AG923" s="89"/>
      <c r="AH923" s="89"/>
      <c r="AI923" s="89"/>
      <c r="AJ923" s="89"/>
      <c r="AK923" s="89"/>
      <c r="AL923" s="89"/>
      <c r="AM923" s="89"/>
      <c r="AN923" s="89"/>
      <c r="AO923" s="89"/>
      <c r="AP923" s="89"/>
      <c r="AQ923" s="89"/>
      <c r="AR923" s="89"/>
      <c r="AS923" s="89"/>
      <c r="AT923" s="89"/>
      <c r="AU923" s="89"/>
      <c r="AV923" s="89"/>
      <c r="AW923" s="100"/>
      <c r="AX923" s="100"/>
      <c r="AY923" s="89"/>
      <c r="AZ923" s="89"/>
      <c r="BA923" s="89"/>
      <c r="BB923" s="89"/>
      <c r="BC923" s="89"/>
      <c r="BD923" s="89"/>
      <c r="BE923" s="89"/>
      <c r="BF923" s="89"/>
      <c r="BG923" s="89"/>
      <c r="BH923" s="89"/>
      <c r="BI923" s="89"/>
      <c r="BJ923" s="89"/>
      <c r="BK923" s="89"/>
      <c r="BL923" s="89"/>
      <c r="BM923" s="89"/>
      <c r="BN923" s="89"/>
      <c r="BO923" s="89"/>
      <c r="BP923" s="89"/>
      <c r="BQ923" s="89"/>
      <c r="BR923" s="89"/>
      <c r="BS923" s="89"/>
    </row>
    <row r="924" spans="1:71" ht="27" customHeight="1" x14ac:dyDescent="0.2">
      <c r="A924" s="93"/>
      <c r="B924" s="89"/>
      <c r="C924" s="89"/>
      <c r="D924" s="89"/>
      <c r="E924" s="89"/>
      <c r="F924" s="89"/>
      <c r="G924" s="89"/>
      <c r="H924" s="94"/>
      <c r="I924" s="94"/>
      <c r="J924" s="94"/>
      <c r="K924" s="94"/>
      <c r="L924" s="94"/>
      <c r="M924" s="94"/>
      <c r="N924" s="94"/>
      <c r="O924" s="94"/>
      <c r="P924" s="94"/>
      <c r="Q924" s="94"/>
      <c r="R924" s="95"/>
      <c r="S924" s="94"/>
      <c r="T924" s="96"/>
      <c r="U924" s="94"/>
      <c r="V924" s="97"/>
      <c r="W924" s="94"/>
      <c r="X924" s="98"/>
      <c r="Y924" s="98"/>
      <c r="Z924" s="98"/>
      <c r="AA924" s="98"/>
      <c r="AB924" s="98"/>
      <c r="AC924" s="97"/>
      <c r="AD924" s="99"/>
      <c r="AE924" s="95"/>
      <c r="AF924" s="94"/>
      <c r="AG924" s="89"/>
      <c r="AH924" s="89"/>
      <c r="AI924" s="89"/>
      <c r="AJ924" s="89"/>
      <c r="AK924" s="89"/>
      <c r="AL924" s="89"/>
      <c r="AM924" s="89"/>
      <c r="AN924" s="89"/>
      <c r="AO924" s="89"/>
      <c r="AP924" s="89"/>
      <c r="AQ924" s="89"/>
      <c r="AR924" s="89"/>
      <c r="AS924" s="89"/>
      <c r="AT924" s="89"/>
      <c r="AU924" s="89"/>
      <c r="AV924" s="89"/>
      <c r="AW924" s="100"/>
      <c r="AX924" s="100"/>
      <c r="AY924" s="89"/>
      <c r="AZ924" s="89"/>
      <c r="BA924" s="89"/>
      <c r="BB924" s="89"/>
      <c r="BC924" s="89"/>
      <c r="BD924" s="89"/>
      <c r="BE924" s="89"/>
      <c r="BF924" s="89"/>
      <c r="BG924" s="89"/>
      <c r="BH924" s="89"/>
      <c r="BI924" s="89"/>
      <c r="BJ924" s="89"/>
      <c r="BK924" s="89"/>
      <c r="BL924" s="89"/>
      <c r="BM924" s="89"/>
      <c r="BN924" s="89"/>
      <c r="BO924" s="89"/>
      <c r="BP924" s="89"/>
      <c r="BQ924" s="89"/>
      <c r="BR924" s="89"/>
      <c r="BS924" s="89"/>
    </row>
    <row r="925" spans="1:71" ht="27" customHeight="1" x14ac:dyDescent="0.2">
      <c r="A925" s="93"/>
      <c r="B925" s="89"/>
      <c r="C925" s="89"/>
      <c r="D925" s="89"/>
      <c r="E925" s="89"/>
      <c r="F925" s="89"/>
      <c r="G925" s="89"/>
      <c r="H925" s="94"/>
      <c r="I925" s="94"/>
      <c r="J925" s="94"/>
      <c r="K925" s="94"/>
      <c r="L925" s="94"/>
      <c r="M925" s="94"/>
      <c r="N925" s="94"/>
      <c r="O925" s="94"/>
      <c r="P925" s="94"/>
      <c r="Q925" s="94"/>
      <c r="R925" s="95"/>
      <c r="S925" s="94"/>
      <c r="T925" s="96"/>
      <c r="U925" s="94"/>
      <c r="V925" s="97"/>
      <c r="W925" s="94"/>
      <c r="X925" s="98"/>
      <c r="Y925" s="98"/>
      <c r="Z925" s="98"/>
      <c r="AA925" s="98"/>
      <c r="AB925" s="98"/>
      <c r="AC925" s="97"/>
      <c r="AD925" s="99"/>
      <c r="AE925" s="95"/>
      <c r="AF925" s="94"/>
      <c r="AG925" s="89"/>
      <c r="AH925" s="89"/>
      <c r="AI925" s="89"/>
      <c r="AJ925" s="89"/>
      <c r="AK925" s="89"/>
      <c r="AL925" s="89"/>
      <c r="AM925" s="89"/>
      <c r="AN925" s="89"/>
      <c r="AO925" s="89"/>
      <c r="AP925" s="89"/>
      <c r="AQ925" s="89"/>
      <c r="AR925" s="89"/>
      <c r="AS925" s="89"/>
      <c r="AT925" s="89"/>
      <c r="AU925" s="89"/>
      <c r="AV925" s="89"/>
      <c r="AW925" s="100"/>
      <c r="AX925" s="100"/>
      <c r="AY925" s="89"/>
      <c r="AZ925" s="89"/>
      <c r="BA925" s="89"/>
      <c r="BB925" s="89"/>
      <c r="BC925" s="89"/>
      <c r="BD925" s="89"/>
      <c r="BE925" s="89"/>
      <c r="BF925" s="89"/>
      <c r="BG925" s="89"/>
      <c r="BH925" s="89"/>
      <c r="BI925" s="89"/>
      <c r="BJ925" s="89"/>
      <c r="BK925" s="89"/>
      <c r="BL925" s="89"/>
      <c r="BM925" s="89"/>
      <c r="BN925" s="89"/>
      <c r="BO925" s="89"/>
      <c r="BP925" s="89"/>
      <c r="BQ925" s="89"/>
      <c r="BR925" s="89"/>
      <c r="BS925" s="89"/>
    </row>
    <row r="926" spans="1:71" ht="27" customHeight="1" x14ac:dyDescent="0.2">
      <c r="A926" s="93"/>
      <c r="B926" s="89"/>
      <c r="C926" s="89"/>
      <c r="D926" s="89"/>
      <c r="E926" s="89"/>
      <c r="F926" s="89"/>
      <c r="G926" s="89"/>
      <c r="H926" s="94"/>
      <c r="I926" s="94"/>
      <c r="J926" s="94"/>
      <c r="K926" s="94"/>
      <c r="L926" s="94"/>
      <c r="M926" s="94"/>
      <c r="N926" s="94"/>
      <c r="O926" s="94"/>
      <c r="P926" s="94"/>
      <c r="Q926" s="94"/>
      <c r="R926" s="95"/>
      <c r="S926" s="94"/>
      <c r="T926" s="96"/>
      <c r="U926" s="94"/>
      <c r="V926" s="97"/>
      <c r="W926" s="94"/>
      <c r="X926" s="98"/>
      <c r="Y926" s="98"/>
      <c r="Z926" s="98"/>
      <c r="AA926" s="98"/>
      <c r="AB926" s="98"/>
      <c r="AC926" s="97"/>
      <c r="AD926" s="99"/>
      <c r="AE926" s="95"/>
      <c r="AF926" s="94"/>
      <c r="AG926" s="89"/>
      <c r="AH926" s="89"/>
      <c r="AI926" s="89"/>
      <c r="AJ926" s="89"/>
      <c r="AK926" s="89"/>
      <c r="AL926" s="89"/>
      <c r="AM926" s="89"/>
      <c r="AN926" s="89"/>
      <c r="AO926" s="89"/>
      <c r="AP926" s="89"/>
      <c r="AQ926" s="89"/>
      <c r="AR926" s="89"/>
      <c r="AS926" s="89"/>
      <c r="AT926" s="89"/>
      <c r="AU926" s="89"/>
      <c r="AV926" s="89"/>
      <c r="AW926" s="100"/>
      <c r="AX926" s="100"/>
      <c r="AY926" s="89"/>
      <c r="AZ926" s="89"/>
      <c r="BA926" s="89"/>
      <c r="BB926" s="89"/>
      <c r="BC926" s="89"/>
      <c r="BD926" s="89"/>
      <c r="BE926" s="89"/>
      <c r="BF926" s="89"/>
      <c r="BG926" s="89"/>
      <c r="BH926" s="89"/>
      <c r="BI926" s="89"/>
      <c r="BJ926" s="89"/>
      <c r="BK926" s="89"/>
      <c r="BL926" s="89"/>
      <c r="BM926" s="89"/>
      <c r="BN926" s="89"/>
      <c r="BO926" s="89"/>
      <c r="BP926" s="89"/>
      <c r="BQ926" s="89"/>
      <c r="BR926" s="89"/>
      <c r="BS926" s="89"/>
    </row>
    <row r="927" spans="1:71" ht="27" customHeight="1" x14ac:dyDescent="0.2">
      <c r="A927" s="93"/>
      <c r="B927" s="89"/>
      <c r="C927" s="89"/>
      <c r="D927" s="89"/>
      <c r="E927" s="89"/>
      <c r="F927" s="89"/>
      <c r="G927" s="89"/>
      <c r="H927" s="94"/>
      <c r="I927" s="94"/>
      <c r="J927" s="94"/>
      <c r="K927" s="94"/>
      <c r="L927" s="94"/>
      <c r="M927" s="94"/>
      <c r="N927" s="94"/>
      <c r="O927" s="94"/>
      <c r="P927" s="94"/>
      <c r="Q927" s="94"/>
      <c r="R927" s="95"/>
      <c r="S927" s="94"/>
      <c r="T927" s="96"/>
      <c r="U927" s="94"/>
      <c r="V927" s="97"/>
      <c r="W927" s="94"/>
      <c r="X927" s="98"/>
      <c r="Y927" s="98"/>
      <c r="Z927" s="98"/>
      <c r="AA927" s="98"/>
      <c r="AB927" s="98"/>
      <c r="AC927" s="97"/>
      <c r="AD927" s="99"/>
      <c r="AE927" s="95"/>
      <c r="AF927" s="94"/>
      <c r="AG927" s="89"/>
      <c r="AH927" s="89"/>
      <c r="AI927" s="89"/>
      <c r="AJ927" s="89"/>
      <c r="AK927" s="89"/>
      <c r="AL927" s="89"/>
      <c r="AM927" s="89"/>
      <c r="AN927" s="89"/>
      <c r="AO927" s="89"/>
      <c r="AP927" s="89"/>
      <c r="AQ927" s="89"/>
      <c r="AR927" s="89"/>
      <c r="AS927" s="89"/>
      <c r="AT927" s="89"/>
      <c r="AU927" s="89"/>
      <c r="AV927" s="89"/>
      <c r="AW927" s="100"/>
      <c r="AX927" s="100"/>
      <c r="AY927" s="89"/>
      <c r="AZ927" s="89"/>
      <c r="BA927" s="89"/>
      <c r="BB927" s="89"/>
      <c r="BC927" s="89"/>
      <c r="BD927" s="89"/>
      <c r="BE927" s="89"/>
      <c r="BF927" s="89"/>
      <c r="BG927" s="89"/>
      <c r="BH927" s="89"/>
      <c r="BI927" s="89"/>
      <c r="BJ927" s="89"/>
      <c r="BK927" s="89"/>
      <c r="BL927" s="89"/>
      <c r="BM927" s="89"/>
      <c r="BN927" s="89"/>
      <c r="BO927" s="89"/>
      <c r="BP927" s="89"/>
      <c r="BQ927" s="89"/>
      <c r="BR927" s="89"/>
      <c r="BS927" s="89"/>
    </row>
    <row r="928" spans="1:71" ht="27" customHeight="1" x14ac:dyDescent="0.2">
      <c r="A928" s="93"/>
      <c r="B928" s="89"/>
      <c r="C928" s="89"/>
      <c r="D928" s="89"/>
      <c r="E928" s="89"/>
      <c r="F928" s="89"/>
      <c r="G928" s="89"/>
      <c r="H928" s="94"/>
      <c r="I928" s="94"/>
      <c r="J928" s="94"/>
      <c r="K928" s="94"/>
      <c r="L928" s="94"/>
      <c r="M928" s="94"/>
      <c r="N928" s="94"/>
      <c r="O928" s="94"/>
      <c r="P928" s="94"/>
      <c r="Q928" s="94"/>
      <c r="R928" s="95"/>
      <c r="S928" s="94"/>
      <c r="T928" s="96"/>
      <c r="U928" s="94"/>
      <c r="V928" s="97"/>
      <c r="W928" s="94"/>
      <c r="X928" s="98"/>
      <c r="Y928" s="98"/>
      <c r="Z928" s="98"/>
      <c r="AA928" s="98"/>
      <c r="AB928" s="98"/>
      <c r="AC928" s="97"/>
      <c r="AD928" s="99"/>
      <c r="AE928" s="95"/>
      <c r="AF928" s="94"/>
      <c r="AG928" s="89"/>
      <c r="AH928" s="89"/>
      <c r="AI928" s="89"/>
      <c r="AJ928" s="89"/>
      <c r="AK928" s="89"/>
      <c r="AL928" s="89"/>
      <c r="AM928" s="89"/>
      <c r="AN928" s="89"/>
      <c r="AO928" s="89"/>
      <c r="AP928" s="89"/>
      <c r="AQ928" s="89"/>
      <c r="AR928" s="89"/>
      <c r="AS928" s="89"/>
      <c r="AT928" s="89"/>
      <c r="AU928" s="89"/>
      <c r="AV928" s="89"/>
      <c r="AW928" s="100"/>
      <c r="AX928" s="100"/>
      <c r="AY928" s="89"/>
      <c r="AZ928" s="89"/>
      <c r="BA928" s="89"/>
      <c r="BB928" s="89"/>
      <c r="BC928" s="89"/>
      <c r="BD928" s="89"/>
      <c r="BE928" s="89"/>
      <c r="BF928" s="89"/>
      <c r="BG928" s="89"/>
      <c r="BH928" s="89"/>
      <c r="BI928" s="89"/>
      <c r="BJ928" s="89"/>
      <c r="BK928" s="89"/>
      <c r="BL928" s="89"/>
      <c r="BM928" s="89"/>
      <c r="BN928" s="89"/>
      <c r="BO928" s="89"/>
      <c r="BP928" s="89"/>
      <c r="BQ928" s="89"/>
      <c r="BR928" s="89"/>
      <c r="BS928" s="89"/>
    </row>
    <row r="929" spans="1:71" ht="27" customHeight="1" x14ac:dyDescent="0.2">
      <c r="A929" s="93"/>
      <c r="B929" s="89"/>
      <c r="C929" s="89"/>
      <c r="D929" s="89"/>
      <c r="E929" s="89"/>
      <c r="F929" s="89"/>
      <c r="G929" s="89"/>
      <c r="H929" s="94"/>
      <c r="I929" s="94"/>
      <c r="J929" s="94"/>
      <c r="K929" s="94"/>
      <c r="L929" s="94"/>
      <c r="M929" s="94"/>
      <c r="N929" s="94"/>
      <c r="O929" s="94"/>
      <c r="P929" s="94"/>
      <c r="Q929" s="94"/>
      <c r="R929" s="95"/>
      <c r="S929" s="94"/>
      <c r="T929" s="96"/>
      <c r="U929" s="94"/>
      <c r="V929" s="97"/>
      <c r="W929" s="94"/>
      <c r="X929" s="98"/>
      <c r="Y929" s="98"/>
      <c r="Z929" s="98"/>
      <c r="AA929" s="98"/>
      <c r="AB929" s="98"/>
      <c r="AC929" s="97"/>
      <c r="AD929" s="99"/>
      <c r="AE929" s="95"/>
      <c r="AF929" s="94"/>
      <c r="AG929" s="89"/>
      <c r="AH929" s="89"/>
      <c r="AI929" s="89"/>
      <c r="AJ929" s="89"/>
      <c r="AK929" s="89"/>
      <c r="AL929" s="89"/>
      <c r="AM929" s="89"/>
      <c r="AN929" s="89"/>
      <c r="AO929" s="89"/>
      <c r="AP929" s="89"/>
      <c r="AQ929" s="89"/>
      <c r="AR929" s="89"/>
      <c r="AS929" s="89"/>
      <c r="AT929" s="89"/>
      <c r="AU929" s="89"/>
      <c r="AV929" s="89"/>
      <c r="AW929" s="100"/>
      <c r="AX929" s="100"/>
      <c r="AY929" s="89"/>
      <c r="AZ929" s="89"/>
      <c r="BA929" s="89"/>
      <c r="BB929" s="89"/>
      <c r="BC929" s="89"/>
      <c r="BD929" s="89"/>
      <c r="BE929" s="89"/>
      <c r="BF929" s="89"/>
      <c r="BG929" s="89"/>
      <c r="BH929" s="89"/>
      <c r="BI929" s="89"/>
      <c r="BJ929" s="89"/>
      <c r="BK929" s="89"/>
      <c r="BL929" s="89"/>
      <c r="BM929" s="89"/>
      <c r="BN929" s="89"/>
      <c r="BO929" s="89"/>
      <c r="BP929" s="89"/>
      <c r="BQ929" s="89"/>
      <c r="BR929" s="89"/>
      <c r="BS929" s="89"/>
    </row>
    <row r="930" spans="1:71" ht="27" customHeight="1" x14ac:dyDescent="0.2">
      <c r="A930" s="93"/>
      <c r="B930" s="89"/>
      <c r="C930" s="89"/>
      <c r="D930" s="89"/>
      <c r="E930" s="89"/>
      <c r="F930" s="89"/>
      <c r="G930" s="89"/>
      <c r="H930" s="94"/>
      <c r="I930" s="94"/>
      <c r="J930" s="94"/>
      <c r="K930" s="94"/>
      <c r="L930" s="94"/>
      <c r="M930" s="94"/>
      <c r="N930" s="94"/>
      <c r="O930" s="94"/>
      <c r="P930" s="94"/>
      <c r="Q930" s="94"/>
      <c r="R930" s="95"/>
      <c r="S930" s="94"/>
      <c r="T930" s="96"/>
      <c r="U930" s="94"/>
      <c r="V930" s="97"/>
      <c r="W930" s="94"/>
      <c r="X930" s="98"/>
      <c r="Y930" s="98"/>
      <c r="Z930" s="98"/>
      <c r="AA930" s="98"/>
      <c r="AB930" s="98"/>
      <c r="AC930" s="97"/>
      <c r="AD930" s="99"/>
      <c r="AE930" s="95"/>
      <c r="AF930" s="94"/>
      <c r="AG930" s="89"/>
      <c r="AH930" s="89"/>
      <c r="AI930" s="89"/>
      <c r="AJ930" s="89"/>
      <c r="AK930" s="89"/>
      <c r="AL930" s="89"/>
      <c r="AM930" s="89"/>
      <c r="AN930" s="89"/>
      <c r="AO930" s="89"/>
      <c r="AP930" s="89"/>
      <c r="AQ930" s="89"/>
      <c r="AR930" s="89"/>
      <c r="AS930" s="89"/>
      <c r="AT930" s="89"/>
      <c r="AU930" s="89"/>
      <c r="AV930" s="89"/>
      <c r="AW930" s="100"/>
      <c r="AX930" s="100"/>
      <c r="AY930" s="89"/>
      <c r="AZ930" s="89"/>
      <c r="BA930" s="89"/>
      <c r="BB930" s="89"/>
      <c r="BC930" s="89"/>
      <c r="BD930" s="89"/>
      <c r="BE930" s="89"/>
      <c r="BF930" s="89"/>
      <c r="BG930" s="89"/>
      <c r="BH930" s="89"/>
      <c r="BI930" s="89"/>
      <c r="BJ930" s="89"/>
      <c r="BK930" s="89"/>
      <c r="BL930" s="89"/>
      <c r="BM930" s="89"/>
      <c r="BN930" s="89"/>
      <c r="BO930" s="89"/>
      <c r="BP930" s="89"/>
      <c r="BQ930" s="89"/>
      <c r="BR930" s="89"/>
      <c r="BS930" s="89"/>
    </row>
    <row r="931" spans="1:71" ht="27" customHeight="1" x14ac:dyDescent="0.2">
      <c r="A931" s="93"/>
      <c r="B931" s="89"/>
      <c r="C931" s="89"/>
      <c r="D931" s="89"/>
      <c r="E931" s="89"/>
      <c r="F931" s="89"/>
      <c r="G931" s="89"/>
      <c r="H931" s="94"/>
      <c r="I931" s="94"/>
      <c r="J931" s="94"/>
      <c r="K931" s="94"/>
      <c r="L931" s="94"/>
      <c r="M931" s="94"/>
      <c r="N931" s="94"/>
      <c r="O931" s="94"/>
      <c r="P931" s="94"/>
      <c r="Q931" s="94"/>
      <c r="R931" s="95"/>
      <c r="S931" s="94"/>
      <c r="T931" s="96"/>
      <c r="U931" s="94"/>
      <c r="V931" s="97"/>
      <c r="W931" s="94"/>
      <c r="X931" s="98"/>
      <c r="Y931" s="98"/>
      <c r="Z931" s="98"/>
      <c r="AA931" s="98"/>
      <c r="AB931" s="98"/>
      <c r="AC931" s="97"/>
      <c r="AD931" s="99"/>
      <c r="AE931" s="95"/>
      <c r="AF931" s="94"/>
      <c r="AG931" s="89"/>
      <c r="AH931" s="89"/>
      <c r="AI931" s="89"/>
      <c r="AJ931" s="89"/>
      <c r="AK931" s="89"/>
      <c r="AL931" s="89"/>
      <c r="AM931" s="89"/>
      <c r="AN931" s="89"/>
      <c r="AO931" s="89"/>
      <c r="AP931" s="89"/>
      <c r="AQ931" s="89"/>
      <c r="AR931" s="89"/>
      <c r="AS931" s="89"/>
      <c r="AT931" s="89"/>
      <c r="AU931" s="89"/>
      <c r="AV931" s="89"/>
      <c r="AW931" s="100"/>
      <c r="AX931" s="100"/>
      <c r="AY931" s="89"/>
      <c r="AZ931" s="89"/>
      <c r="BA931" s="89"/>
      <c r="BB931" s="89"/>
      <c r="BC931" s="89"/>
      <c r="BD931" s="89"/>
      <c r="BE931" s="89"/>
      <c r="BF931" s="89"/>
      <c r="BG931" s="89"/>
      <c r="BH931" s="89"/>
      <c r="BI931" s="89"/>
      <c r="BJ931" s="89"/>
      <c r="BK931" s="89"/>
      <c r="BL931" s="89"/>
      <c r="BM931" s="89"/>
      <c r="BN931" s="89"/>
      <c r="BO931" s="89"/>
      <c r="BP931" s="89"/>
      <c r="BQ931" s="89"/>
      <c r="BR931" s="89"/>
      <c r="BS931" s="89"/>
    </row>
    <row r="932" spans="1:71" ht="27" customHeight="1" x14ac:dyDescent="0.2">
      <c r="A932" s="93"/>
      <c r="B932" s="89"/>
      <c r="C932" s="89"/>
      <c r="D932" s="89"/>
      <c r="E932" s="89"/>
      <c r="F932" s="89"/>
      <c r="G932" s="89"/>
      <c r="H932" s="94"/>
      <c r="I932" s="94"/>
      <c r="J932" s="94"/>
      <c r="K932" s="94"/>
      <c r="L932" s="94"/>
      <c r="M932" s="94"/>
      <c r="N932" s="94"/>
      <c r="O932" s="94"/>
      <c r="P932" s="94"/>
      <c r="Q932" s="94"/>
      <c r="R932" s="95"/>
      <c r="S932" s="94"/>
      <c r="T932" s="96"/>
      <c r="U932" s="94"/>
      <c r="V932" s="97"/>
      <c r="W932" s="94"/>
      <c r="X932" s="98"/>
      <c r="Y932" s="98"/>
      <c r="Z932" s="98"/>
      <c r="AA932" s="98"/>
      <c r="AB932" s="98"/>
      <c r="AC932" s="97"/>
      <c r="AD932" s="99"/>
      <c r="AE932" s="95"/>
      <c r="AF932" s="94"/>
      <c r="AG932" s="89"/>
      <c r="AH932" s="89"/>
      <c r="AI932" s="89"/>
      <c r="AJ932" s="89"/>
      <c r="AK932" s="89"/>
      <c r="AL932" s="89"/>
      <c r="AM932" s="89"/>
      <c r="AN932" s="89"/>
      <c r="AO932" s="89"/>
      <c r="AP932" s="89"/>
      <c r="AQ932" s="89"/>
      <c r="AR932" s="89"/>
      <c r="AS932" s="89"/>
      <c r="AT932" s="89"/>
      <c r="AU932" s="89"/>
      <c r="AV932" s="89"/>
      <c r="AW932" s="100"/>
      <c r="AX932" s="100"/>
      <c r="AY932" s="89"/>
      <c r="AZ932" s="89"/>
      <c r="BA932" s="89"/>
      <c r="BB932" s="89"/>
      <c r="BC932" s="89"/>
      <c r="BD932" s="89"/>
      <c r="BE932" s="89"/>
      <c r="BF932" s="89"/>
      <c r="BG932" s="89"/>
      <c r="BH932" s="89"/>
      <c r="BI932" s="89"/>
      <c r="BJ932" s="89"/>
      <c r="BK932" s="89"/>
      <c r="BL932" s="89"/>
      <c r="BM932" s="89"/>
      <c r="BN932" s="89"/>
      <c r="BO932" s="89"/>
      <c r="BP932" s="89"/>
      <c r="BQ932" s="89"/>
      <c r="BR932" s="89"/>
      <c r="BS932" s="89"/>
    </row>
    <row r="933" spans="1:71" ht="27" customHeight="1" x14ac:dyDescent="0.2">
      <c r="A933" s="93"/>
      <c r="B933" s="89"/>
      <c r="C933" s="89"/>
      <c r="D933" s="89"/>
      <c r="E933" s="89"/>
      <c r="F933" s="89"/>
      <c r="G933" s="89"/>
      <c r="H933" s="94"/>
      <c r="I933" s="94"/>
      <c r="J933" s="94"/>
      <c r="K933" s="94"/>
      <c r="L933" s="94"/>
      <c r="M933" s="94"/>
      <c r="N933" s="94"/>
      <c r="O933" s="94"/>
      <c r="P933" s="94"/>
      <c r="Q933" s="94"/>
      <c r="R933" s="95"/>
      <c r="S933" s="94"/>
      <c r="T933" s="96"/>
      <c r="U933" s="94"/>
      <c r="V933" s="97"/>
      <c r="W933" s="94"/>
      <c r="X933" s="98"/>
      <c r="Y933" s="98"/>
      <c r="Z933" s="98"/>
      <c r="AA933" s="98"/>
      <c r="AB933" s="98"/>
      <c r="AC933" s="97"/>
      <c r="AD933" s="99"/>
      <c r="AE933" s="95"/>
      <c r="AF933" s="94"/>
      <c r="AG933" s="89"/>
      <c r="AH933" s="89"/>
      <c r="AI933" s="89"/>
      <c r="AJ933" s="89"/>
      <c r="AK933" s="89"/>
      <c r="AL933" s="89"/>
      <c r="AM933" s="89"/>
      <c r="AN933" s="89"/>
      <c r="AO933" s="89"/>
      <c r="AP933" s="89"/>
      <c r="AQ933" s="89"/>
      <c r="AR933" s="89"/>
      <c r="AS933" s="89"/>
      <c r="AT933" s="89"/>
      <c r="AU933" s="89"/>
      <c r="AV933" s="89"/>
      <c r="AW933" s="100"/>
      <c r="AX933" s="100"/>
      <c r="AY933" s="89"/>
      <c r="AZ933" s="89"/>
      <c r="BA933" s="89"/>
      <c r="BB933" s="89"/>
      <c r="BC933" s="89"/>
      <c r="BD933" s="89"/>
      <c r="BE933" s="89"/>
      <c r="BF933" s="89"/>
      <c r="BG933" s="89"/>
      <c r="BH933" s="89"/>
      <c r="BI933" s="89"/>
      <c r="BJ933" s="89"/>
      <c r="BK933" s="89"/>
      <c r="BL933" s="89"/>
      <c r="BM933" s="89"/>
      <c r="BN933" s="89"/>
      <c r="BO933" s="89"/>
      <c r="BP933" s="89"/>
      <c r="BQ933" s="89"/>
      <c r="BR933" s="89"/>
      <c r="BS933" s="89"/>
    </row>
    <row r="934" spans="1:71" ht="27" customHeight="1" x14ac:dyDescent="0.2">
      <c r="A934" s="93"/>
      <c r="B934" s="89"/>
      <c r="C934" s="89"/>
      <c r="D934" s="89"/>
      <c r="E934" s="89"/>
      <c r="F934" s="89"/>
      <c r="G934" s="89"/>
      <c r="H934" s="94"/>
      <c r="I934" s="94"/>
      <c r="J934" s="94"/>
      <c r="K934" s="94"/>
      <c r="L934" s="94"/>
      <c r="M934" s="94"/>
      <c r="N934" s="94"/>
      <c r="O934" s="94"/>
      <c r="P934" s="94"/>
      <c r="Q934" s="94"/>
      <c r="R934" s="95"/>
      <c r="S934" s="94"/>
      <c r="T934" s="96"/>
      <c r="U934" s="94"/>
      <c r="V934" s="97"/>
      <c r="W934" s="94"/>
      <c r="X934" s="98"/>
      <c r="Y934" s="98"/>
      <c r="Z934" s="98"/>
      <c r="AA934" s="98"/>
      <c r="AB934" s="98"/>
      <c r="AC934" s="97"/>
      <c r="AD934" s="99"/>
      <c r="AE934" s="95"/>
      <c r="AF934" s="94"/>
      <c r="AG934" s="89"/>
      <c r="AH934" s="89"/>
      <c r="AI934" s="89"/>
      <c r="AJ934" s="89"/>
      <c r="AK934" s="89"/>
      <c r="AL934" s="89"/>
      <c r="AM934" s="89"/>
      <c r="AN934" s="89"/>
      <c r="AO934" s="89"/>
      <c r="AP934" s="89"/>
      <c r="AQ934" s="89"/>
      <c r="AR934" s="89"/>
      <c r="AS934" s="89"/>
      <c r="AT934" s="89"/>
      <c r="AU934" s="89"/>
      <c r="AV934" s="89"/>
      <c r="AW934" s="100"/>
      <c r="AX934" s="100"/>
      <c r="AY934" s="89"/>
      <c r="AZ934" s="89"/>
      <c r="BA934" s="89"/>
      <c r="BB934" s="89"/>
      <c r="BC934" s="89"/>
      <c r="BD934" s="89"/>
      <c r="BE934" s="89"/>
      <c r="BF934" s="89"/>
      <c r="BG934" s="89"/>
      <c r="BH934" s="89"/>
      <c r="BI934" s="89"/>
      <c r="BJ934" s="89"/>
      <c r="BK934" s="89"/>
      <c r="BL934" s="89"/>
      <c r="BM934" s="89"/>
      <c r="BN934" s="89"/>
      <c r="BO934" s="89"/>
      <c r="BP934" s="89"/>
      <c r="BQ934" s="89"/>
      <c r="BR934" s="89"/>
      <c r="BS934" s="89"/>
    </row>
    <row r="935" spans="1:71" ht="27" customHeight="1" x14ac:dyDescent="0.2">
      <c r="A935" s="93"/>
      <c r="B935" s="89"/>
      <c r="C935" s="89"/>
      <c r="D935" s="89"/>
      <c r="E935" s="89"/>
      <c r="F935" s="89"/>
      <c r="G935" s="89"/>
      <c r="H935" s="94"/>
      <c r="I935" s="94"/>
      <c r="J935" s="94"/>
      <c r="K935" s="94"/>
      <c r="L935" s="94"/>
      <c r="M935" s="94"/>
      <c r="N935" s="94"/>
      <c r="O935" s="94"/>
      <c r="P935" s="94"/>
      <c r="Q935" s="94"/>
      <c r="R935" s="95"/>
      <c r="S935" s="94"/>
      <c r="T935" s="96"/>
      <c r="U935" s="94"/>
      <c r="V935" s="97"/>
      <c r="W935" s="94"/>
      <c r="X935" s="98"/>
      <c r="Y935" s="98"/>
      <c r="Z935" s="98"/>
      <c r="AA935" s="98"/>
      <c r="AB935" s="98"/>
      <c r="AC935" s="97"/>
      <c r="AD935" s="99"/>
      <c r="AE935" s="95"/>
      <c r="AF935" s="94"/>
      <c r="AG935" s="89"/>
      <c r="AH935" s="89"/>
      <c r="AI935" s="89"/>
      <c r="AJ935" s="89"/>
      <c r="AK935" s="89"/>
      <c r="AL935" s="89"/>
      <c r="AM935" s="89"/>
      <c r="AN935" s="89"/>
      <c r="AO935" s="89"/>
      <c r="AP935" s="89"/>
      <c r="AQ935" s="89"/>
      <c r="AR935" s="89"/>
      <c r="AS935" s="89"/>
      <c r="AT935" s="89"/>
      <c r="AU935" s="89"/>
      <c r="AV935" s="89"/>
      <c r="AW935" s="100"/>
      <c r="AX935" s="100"/>
      <c r="AY935" s="89"/>
      <c r="AZ935" s="89"/>
      <c r="BA935" s="89"/>
      <c r="BB935" s="89"/>
      <c r="BC935" s="89"/>
      <c r="BD935" s="89"/>
      <c r="BE935" s="89"/>
      <c r="BF935" s="89"/>
      <c r="BG935" s="89"/>
      <c r="BH935" s="89"/>
      <c r="BI935" s="89"/>
      <c r="BJ935" s="89"/>
      <c r="BK935" s="89"/>
      <c r="BL935" s="89"/>
      <c r="BM935" s="89"/>
      <c r="BN935" s="89"/>
      <c r="BO935" s="89"/>
      <c r="BP935" s="89"/>
      <c r="BQ935" s="89"/>
      <c r="BR935" s="89"/>
      <c r="BS935" s="89"/>
    </row>
    <row r="936" spans="1:71" ht="27" customHeight="1" x14ac:dyDescent="0.2">
      <c r="A936" s="93"/>
      <c r="B936" s="89"/>
      <c r="C936" s="89"/>
      <c r="D936" s="89"/>
      <c r="E936" s="89"/>
      <c r="F936" s="89"/>
      <c r="G936" s="89"/>
      <c r="H936" s="94"/>
      <c r="I936" s="94"/>
      <c r="J936" s="94"/>
      <c r="K936" s="94"/>
      <c r="L936" s="94"/>
      <c r="M936" s="94"/>
      <c r="N936" s="94"/>
      <c r="O936" s="94"/>
      <c r="P936" s="94"/>
      <c r="Q936" s="94"/>
      <c r="R936" s="95"/>
      <c r="S936" s="94"/>
      <c r="T936" s="96"/>
      <c r="U936" s="94"/>
      <c r="V936" s="97"/>
      <c r="W936" s="94"/>
      <c r="X936" s="98"/>
      <c r="Y936" s="98"/>
      <c r="Z936" s="98"/>
      <c r="AA936" s="98"/>
      <c r="AB936" s="98"/>
      <c r="AC936" s="97"/>
      <c r="AD936" s="99"/>
      <c r="AE936" s="95"/>
      <c r="AF936" s="94"/>
      <c r="AG936" s="89"/>
      <c r="AH936" s="89"/>
      <c r="AI936" s="89"/>
      <c r="AJ936" s="89"/>
      <c r="AK936" s="89"/>
      <c r="AL936" s="89"/>
      <c r="AM936" s="89"/>
      <c r="AN936" s="89"/>
      <c r="AO936" s="89"/>
      <c r="AP936" s="89"/>
      <c r="AQ936" s="89"/>
      <c r="AR936" s="89"/>
      <c r="AS936" s="89"/>
      <c r="AT936" s="89"/>
      <c r="AU936" s="89"/>
      <c r="AV936" s="89"/>
      <c r="AW936" s="100"/>
      <c r="AX936" s="100"/>
      <c r="AY936" s="89"/>
      <c r="AZ936" s="89"/>
      <c r="BA936" s="89"/>
      <c r="BB936" s="89"/>
      <c r="BC936" s="89"/>
      <c r="BD936" s="89"/>
      <c r="BE936" s="89"/>
      <c r="BF936" s="89"/>
      <c r="BG936" s="89"/>
      <c r="BH936" s="89"/>
      <c r="BI936" s="89"/>
      <c r="BJ936" s="89"/>
      <c r="BK936" s="89"/>
      <c r="BL936" s="89"/>
      <c r="BM936" s="89"/>
      <c r="BN936" s="89"/>
      <c r="BO936" s="89"/>
      <c r="BP936" s="89"/>
      <c r="BQ936" s="89"/>
      <c r="BR936" s="89"/>
      <c r="BS936" s="89"/>
    </row>
    <row r="937" spans="1:71" ht="27" customHeight="1" x14ac:dyDescent="0.2">
      <c r="A937" s="93"/>
      <c r="B937" s="89"/>
      <c r="C937" s="89"/>
      <c r="D937" s="89"/>
      <c r="E937" s="89"/>
      <c r="F937" s="89"/>
      <c r="G937" s="89"/>
      <c r="H937" s="94"/>
      <c r="I937" s="94"/>
      <c r="J937" s="94"/>
      <c r="K937" s="94"/>
      <c r="L937" s="94"/>
      <c r="M937" s="94"/>
      <c r="N937" s="94"/>
      <c r="O937" s="94"/>
      <c r="P937" s="94"/>
      <c r="Q937" s="94"/>
      <c r="R937" s="95"/>
      <c r="S937" s="94"/>
      <c r="T937" s="96"/>
      <c r="U937" s="94"/>
      <c r="V937" s="97"/>
      <c r="W937" s="94"/>
      <c r="X937" s="98"/>
      <c r="Y937" s="98"/>
      <c r="Z937" s="98"/>
      <c r="AA937" s="98"/>
      <c r="AB937" s="98"/>
      <c r="AC937" s="97"/>
      <c r="AD937" s="99"/>
      <c r="AE937" s="95"/>
      <c r="AF937" s="94"/>
      <c r="AG937" s="89"/>
      <c r="AH937" s="89"/>
      <c r="AI937" s="89"/>
      <c r="AJ937" s="89"/>
      <c r="AK937" s="89"/>
      <c r="AL937" s="89"/>
      <c r="AM937" s="89"/>
      <c r="AN937" s="89"/>
      <c r="AO937" s="89"/>
      <c r="AP937" s="89"/>
      <c r="AQ937" s="89"/>
      <c r="AR937" s="89"/>
      <c r="AS937" s="89"/>
      <c r="AT937" s="89"/>
      <c r="AU937" s="89"/>
      <c r="AV937" s="89"/>
      <c r="AW937" s="100"/>
      <c r="AX937" s="100"/>
      <c r="AY937" s="89"/>
      <c r="AZ937" s="89"/>
      <c r="BA937" s="89"/>
      <c r="BB937" s="89"/>
      <c r="BC937" s="89"/>
      <c r="BD937" s="89"/>
      <c r="BE937" s="89"/>
      <c r="BF937" s="89"/>
      <c r="BG937" s="89"/>
      <c r="BH937" s="89"/>
      <c r="BI937" s="89"/>
      <c r="BJ937" s="89"/>
      <c r="BK937" s="89"/>
      <c r="BL937" s="89"/>
      <c r="BM937" s="89"/>
      <c r="BN937" s="89"/>
      <c r="BO937" s="89"/>
      <c r="BP937" s="89"/>
      <c r="BQ937" s="89"/>
      <c r="BR937" s="89"/>
      <c r="BS937" s="89"/>
    </row>
    <row r="938" spans="1:71" ht="27" customHeight="1" x14ac:dyDescent="0.2">
      <c r="A938" s="93"/>
      <c r="B938" s="89"/>
      <c r="C938" s="89"/>
      <c r="D938" s="89"/>
      <c r="E938" s="89"/>
      <c r="F938" s="89"/>
      <c r="G938" s="89"/>
      <c r="H938" s="94"/>
      <c r="I938" s="94"/>
      <c r="J938" s="94"/>
      <c r="K938" s="94"/>
      <c r="L938" s="94"/>
      <c r="M938" s="94"/>
      <c r="N938" s="94"/>
      <c r="O938" s="94"/>
      <c r="P938" s="94"/>
      <c r="Q938" s="94"/>
      <c r="R938" s="95"/>
      <c r="S938" s="94"/>
      <c r="T938" s="96"/>
      <c r="U938" s="94"/>
      <c r="V938" s="97"/>
      <c r="W938" s="94"/>
      <c r="X938" s="98"/>
      <c r="Y938" s="98"/>
      <c r="Z938" s="98"/>
      <c r="AA938" s="98"/>
      <c r="AB938" s="98"/>
      <c r="AC938" s="97"/>
      <c r="AD938" s="99"/>
      <c r="AE938" s="95"/>
      <c r="AF938" s="94"/>
      <c r="AG938" s="89"/>
      <c r="AH938" s="89"/>
      <c r="AI938" s="89"/>
      <c r="AJ938" s="89"/>
      <c r="AK938" s="89"/>
      <c r="AL938" s="89"/>
      <c r="AM938" s="89"/>
      <c r="AN938" s="89"/>
      <c r="AO938" s="89"/>
      <c r="AP938" s="89"/>
      <c r="AQ938" s="89"/>
      <c r="AR938" s="89"/>
      <c r="AS938" s="89"/>
      <c r="AT938" s="89"/>
      <c r="AU938" s="89"/>
      <c r="AV938" s="89"/>
      <c r="AW938" s="100"/>
      <c r="AX938" s="100"/>
      <c r="AY938" s="89"/>
      <c r="AZ938" s="89"/>
      <c r="BA938" s="89"/>
      <c r="BB938" s="89"/>
      <c r="BC938" s="89"/>
      <c r="BD938" s="89"/>
      <c r="BE938" s="89"/>
      <c r="BF938" s="89"/>
      <c r="BG938" s="89"/>
      <c r="BH938" s="89"/>
      <c r="BI938" s="89"/>
      <c r="BJ938" s="89"/>
      <c r="BK938" s="89"/>
      <c r="BL938" s="89"/>
      <c r="BM938" s="89"/>
      <c r="BN938" s="89"/>
      <c r="BO938" s="89"/>
      <c r="BP938" s="89"/>
      <c r="BQ938" s="89"/>
      <c r="BR938" s="89"/>
      <c r="BS938" s="89"/>
    </row>
    <row r="939" spans="1:71" ht="27" customHeight="1" x14ac:dyDescent="0.2">
      <c r="A939" s="93"/>
      <c r="B939" s="89"/>
      <c r="C939" s="89"/>
      <c r="D939" s="89"/>
      <c r="E939" s="89"/>
      <c r="F939" s="89"/>
      <c r="G939" s="89"/>
      <c r="H939" s="94"/>
      <c r="I939" s="94"/>
      <c r="J939" s="94"/>
      <c r="K939" s="94"/>
      <c r="L939" s="94"/>
      <c r="M939" s="94"/>
      <c r="N939" s="94"/>
      <c r="O939" s="94"/>
      <c r="P939" s="94"/>
      <c r="Q939" s="94"/>
      <c r="R939" s="95"/>
      <c r="S939" s="94"/>
      <c r="T939" s="96"/>
      <c r="U939" s="94"/>
      <c r="V939" s="97"/>
      <c r="W939" s="94"/>
      <c r="X939" s="98"/>
      <c r="Y939" s="98"/>
      <c r="Z939" s="98"/>
      <c r="AA939" s="98"/>
      <c r="AB939" s="98"/>
      <c r="AC939" s="97"/>
      <c r="AD939" s="99"/>
      <c r="AE939" s="95"/>
      <c r="AF939" s="94"/>
      <c r="AG939" s="89"/>
      <c r="AH939" s="89"/>
      <c r="AI939" s="89"/>
      <c r="AJ939" s="89"/>
      <c r="AK939" s="89"/>
      <c r="AL939" s="89"/>
      <c r="AM939" s="89"/>
      <c r="AN939" s="89"/>
      <c r="AO939" s="89"/>
      <c r="AP939" s="89"/>
      <c r="AQ939" s="89"/>
      <c r="AR939" s="89"/>
      <c r="AS939" s="89"/>
      <c r="AT939" s="89"/>
      <c r="AU939" s="89"/>
      <c r="AV939" s="89"/>
      <c r="AW939" s="100"/>
      <c r="AX939" s="100"/>
      <c r="AY939" s="89"/>
      <c r="AZ939" s="89"/>
      <c r="BA939" s="89"/>
      <c r="BB939" s="89"/>
      <c r="BC939" s="89"/>
      <c r="BD939" s="89"/>
      <c r="BE939" s="89"/>
      <c r="BF939" s="89"/>
      <c r="BG939" s="89"/>
      <c r="BH939" s="89"/>
      <c r="BI939" s="89"/>
      <c r="BJ939" s="89"/>
      <c r="BK939" s="89"/>
      <c r="BL939" s="89"/>
      <c r="BM939" s="89"/>
      <c r="BN939" s="89"/>
      <c r="BO939" s="89"/>
      <c r="BP939" s="89"/>
      <c r="BQ939" s="89"/>
      <c r="BR939" s="89"/>
      <c r="BS939" s="89"/>
    </row>
    <row r="940" spans="1:71" ht="27" customHeight="1" x14ac:dyDescent="0.2">
      <c r="A940" s="93"/>
      <c r="B940" s="89"/>
      <c r="C940" s="89"/>
      <c r="D940" s="89"/>
      <c r="E940" s="89"/>
      <c r="F940" s="89"/>
      <c r="G940" s="89"/>
      <c r="H940" s="94"/>
      <c r="I940" s="94"/>
      <c r="J940" s="94"/>
      <c r="K940" s="94"/>
      <c r="L940" s="94"/>
      <c r="M940" s="94"/>
      <c r="N940" s="94"/>
      <c r="O940" s="94"/>
      <c r="P940" s="94"/>
      <c r="Q940" s="94"/>
      <c r="R940" s="95"/>
      <c r="S940" s="94"/>
      <c r="T940" s="96"/>
      <c r="U940" s="94"/>
      <c r="V940" s="97"/>
      <c r="W940" s="94"/>
      <c r="X940" s="98"/>
      <c r="Y940" s="98"/>
      <c r="Z940" s="98"/>
      <c r="AA940" s="98"/>
      <c r="AB940" s="98"/>
      <c r="AC940" s="97"/>
      <c r="AD940" s="99"/>
      <c r="AE940" s="95"/>
      <c r="AF940" s="94"/>
      <c r="AG940" s="89"/>
      <c r="AH940" s="89"/>
      <c r="AI940" s="89"/>
      <c r="AJ940" s="89"/>
      <c r="AK940" s="89"/>
      <c r="AL940" s="89"/>
      <c r="AM940" s="89"/>
      <c r="AN940" s="89"/>
      <c r="AO940" s="89"/>
      <c r="AP940" s="89"/>
      <c r="AQ940" s="89"/>
      <c r="AR940" s="89"/>
      <c r="AS940" s="89"/>
      <c r="AT940" s="89"/>
      <c r="AU940" s="89"/>
      <c r="AV940" s="89"/>
      <c r="AW940" s="100"/>
      <c r="AX940" s="100"/>
      <c r="AY940" s="89"/>
      <c r="AZ940" s="89"/>
      <c r="BA940" s="89"/>
      <c r="BB940" s="89"/>
      <c r="BC940" s="89"/>
      <c r="BD940" s="89"/>
      <c r="BE940" s="89"/>
      <c r="BF940" s="89"/>
      <c r="BG940" s="89"/>
      <c r="BH940" s="89"/>
      <c r="BI940" s="89"/>
      <c r="BJ940" s="89"/>
      <c r="BK940" s="89"/>
      <c r="BL940" s="89"/>
      <c r="BM940" s="89"/>
      <c r="BN940" s="89"/>
      <c r="BO940" s="89"/>
      <c r="BP940" s="89"/>
      <c r="BQ940" s="89"/>
      <c r="BR940" s="89"/>
      <c r="BS940" s="89"/>
    </row>
    <row r="941" spans="1:71" ht="27" customHeight="1" x14ac:dyDescent="0.2">
      <c r="A941" s="93"/>
      <c r="B941" s="89"/>
      <c r="C941" s="89"/>
      <c r="D941" s="89"/>
      <c r="E941" s="89"/>
      <c r="F941" s="89"/>
      <c r="G941" s="89"/>
      <c r="H941" s="94"/>
      <c r="I941" s="94"/>
      <c r="J941" s="94"/>
      <c r="K941" s="94"/>
      <c r="L941" s="94"/>
      <c r="M941" s="94"/>
      <c r="N941" s="94"/>
      <c r="O941" s="94"/>
      <c r="P941" s="94"/>
      <c r="Q941" s="94"/>
      <c r="R941" s="95"/>
      <c r="S941" s="94"/>
      <c r="T941" s="96"/>
      <c r="U941" s="94"/>
      <c r="V941" s="97"/>
      <c r="W941" s="94"/>
      <c r="X941" s="98"/>
      <c r="Y941" s="98"/>
      <c r="Z941" s="98"/>
      <c r="AA941" s="98"/>
      <c r="AB941" s="98"/>
      <c r="AC941" s="97"/>
      <c r="AD941" s="99"/>
      <c r="AE941" s="95"/>
      <c r="AF941" s="94"/>
      <c r="AG941" s="89"/>
      <c r="AH941" s="89"/>
      <c r="AI941" s="89"/>
      <c r="AJ941" s="89"/>
      <c r="AK941" s="89"/>
      <c r="AL941" s="89"/>
      <c r="AM941" s="89"/>
      <c r="AN941" s="89"/>
      <c r="AO941" s="89"/>
      <c r="AP941" s="89"/>
      <c r="AQ941" s="89"/>
      <c r="AR941" s="89"/>
      <c r="AS941" s="89"/>
      <c r="AT941" s="89"/>
      <c r="AU941" s="89"/>
      <c r="AV941" s="89"/>
      <c r="AW941" s="100"/>
      <c r="AX941" s="100"/>
      <c r="AY941" s="89"/>
      <c r="AZ941" s="89"/>
      <c r="BA941" s="89"/>
      <c r="BB941" s="89"/>
      <c r="BC941" s="89"/>
      <c r="BD941" s="89"/>
      <c r="BE941" s="89"/>
      <c r="BF941" s="89"/>
      <c r="BG941" s="89"/>
      <c r="BH941" s="89"/>
      <c r="BI941" s="89"/>
      <c r="BJ941" s="89"/>
      <c r="BK941" s="89"/>
      <c r="BL941" s="89"/>
      <c r="BM941" s="89"/>
      <c r="BN941" s="89"/>
      <c r="BO941" s="89"/>
      <c r="BP941" s="89"/>
      <c r="BQ941" s="89"/>
      <c r="BR941" s="89"/>
      <c r="BS941" s="89"/>
    </row>
    <row r="942" spans="1:71" ht="27" customHeight="1" x14ac:dyDescent="0.2">
      <c r="A942" s="93"/>
      <c r="B942" s="89"/>
      <c r="C942" s="89"/>
      <c r="D942" s="89"/>
      <c r="E942" s="89"/>
      <c r="F942" s="89"/>
      <c r="G942" s="89"/>
      <c r="H942" s="94"/>
      <c r="I942" s="94"/>
      <c r="J942" s="94"/>
      <c r="K942" s="94"/>
      <c r="L942" s="94"/>
      <c r="M942" s="94"/>
      <c r="N942" s="94"/>
      <c r="O942" s="94"/>
      <c r="P942" s="94"/>
      <c r="Q942" s="94"/>
      <c r="R942" s="95"/>
      <c r="S942" s="94"/>
      <c r="T942" s="96"/>
      <c r="U942" s="94"/>
      <c r="V942" s="97"/>
      <c r="W942" s="94"/>
      <c r="X942" s="98"/>
      <c r="Y942" s="98"/>
      <c r="Z942" s="98"/>
      <c r="AA942" s="98"/>
      <c r="AB942" s="98"/>
      <c r="AC942" s="97"/>
      <c r="AD942" s="99"/>
      <c r="AE942" s="95"/>
      <c r="AF942" s="94"/>
      <c r="AG942" s="89"/>
      <c r="AH942" s="89"/>
      <c r="AI942" s="89"/>
      <c r="AJ942" s="89"/>
      <c r="AK942" s="89"/>
      <c r="AL942" s="89"/>
      <c r="AM942" s="89"/>
      <c r="AN942" s="89"/>
      <c r="AO942" s="89"/>
      <c r="AP942" s="89"/>
      <c r="AQ942" s="89"/>
      <c r="AR942" s="89"/>
      <c r="AS942" s="89"/>
      <c r="AT942" s="89"/>
      <c r="AU942" s="89"/>
      <c r="AV942" s="89"/>
      <c r="AW942" s="100"/>
      <c r="AX942" s="100"/>
      <c r="AY942" s="89"/>
      <c r="AZ942" s="89"/>
      <c r="BA942" s="89"/>
      <c r="BB942" s="89"/>
      <c r="BC942" s="89"/>
      <c r="BD942" s="89"/>
      <c r="BE942" s="89"/>
      <c r="BF942" s="89"/>
      <c r="BG942" s="89"/>
      <c r="BH942" s="89"/>
      <c r="BI942" s="89"/>
      <c r="BJ942" s="89"/>
      <c r="BK942" s="89"/>
      <c r="BL942" s="89"/>
      <c r="BM942" s="89"/>
      <c r="BN942" s="89"/>
      <c r="BO942" s="89"/>
      <c r="BP942" s="89"/>
      <c r="BQ942" s="89"/>
      <c r="BR942" s="89"/>
      <c r="BS942" s="89"/>
    </row>
    <row r="943" spans="1:71" ht="27" customHeight="1" x14ac:dyDescent="0.2">
      <c r="A943" s="93"/>
      <c r="B943" s="89"/>
      <c r="C943" s="89"/>
      <c r="D943" s="89"/>
      <c r="E943" s="89"/>
      <c r="F943" s="89"/>
      <c r="G943" s="89"/>
      <c r="H943" s="94"/>
      <c r="I943" s="94"/>
      <c r="J943" s="94"/>
      <c r="K943" s="94"/>
      <c r="L943" s="94"/>
      <c r="M943" s="94"/>
      <c r="N943" s="94"/>
      <c r="O943" s="94"/>
      <c r="P943" s="94"/>
      <c r="Q943" s="94"/>
      <c r="R943" s="95"/>
      <c r="S943" s="94"/>
      <c r="T943" s="96"/>
      <c r="U943" s="94"/>
      <c r="V943" s="97"/>
      <c r="W943" s="94"/>
      <c r="X943" s="98"/>
      <c r="Y943" s="98"/>
      <c r="Z943" s="98"/>
      <c r="AA943" s="98"/>
      <c r="AB943" s="98"/>
      <c r="AC943" s="97"/>
      <c r="AD943" s="99"/>
      <c r="AE943" s="95"/>
      <c r="AF943" s="94"/>
      <c r="AG943" s="89"/>
      <c r="AH943" s="89"/>
      <c r="AI943" s="89"/>
      <c r="AJ943" s="89"/>
      <c r="AK943" s="89"/>
      <c r="AL943" s="89"/>
      <c r="AM943" s="89"/>
      <c r="AN943" s="89"/>
      <c r="AO943" s="89"/>
      <c r="AP943" s="89"/>
      <c r="AQ943" s="89"/>
      <c r="AR943" s="89"/>
      <c r="AS943" s="89"/>
      <c r="AT943" s="89"/>
      <c r="AU943" s="89"/>
      <c r="AV943" s="89"/>
      <c r="AW943" s="100"/>
      <c r="AX943" s="100"/>
      <c r="AY943" s="89"/>
      <c r="AZ943" s="89"/>
      <c r="BA943" s="89"/>
      <c r="BB943" s="89"/>
      <c r="BC943" s="89"/>
      <c r="BD943" s="89"/>
      <c r="BE943" s="89"/>
      <c r="BF943" s="89"/>
      <c r="BG943" s="89"/>
      <c r="BH943" s="89"/>
      <c r="BI943" s="89"/>
      <c r="BJ943" s="89"/>
      <c r="BK943" s="89"/>
      <c r="BL943" s="89"/>
      <c r="BM943" s="89"/>
      <c r="BN943" s="89"/>
      <c r="BO943" s="89"/>
      <c r="BP943" s="89"/>
      <c r="BQ943" s="89"/>
      <c r="BR943" s="89"/>
      <c r="BS943" s="89"/>
    </row>
    <row r="944" spans="1:71" ht="27" customHeight="1" x14ac:dyDescent="0.2">
      <c r="A944" s="93"/>
      <c r="B944" s="89"/>
      <c r="C944" s="89"/>
      <c r="D944" s="89"/>
      <c r="E944" s="89"/>
      <c r="F944" s="89"/>
      <c r="G944" s="89"/>
      <c r="H944" s="94"/>
      <c r="I944" s="94"/>
      <c r="J944" s="94"/>
      <c r="K944" s="94"/>
      <c r="L944" s="94"/>
      <c r="M944" s="94"/>
      <c r="N944" s="94"/>
      <c r="O944" s="94"/>
      <c r="P944" s="94"/>
      <c r="Q944" s="94"/>
      <c r="R944" s="95"/>
      <c r="S944" s="94"/>
      <c r="T944" s="96"/>
      <c r="U944" s="94"/>
      <c r="V944" s="97"/>
      <c r="W944" s="94"/>
      <c r="X944" s="98"/>
      <c r="Y944" s="98"/>
      <c r="Z944" s="98"/>
      <c r="AA944" s="98"/>
      <c r="AB944" s="98"/>
      <c r="AC944" s="97"/>
      <c r="AD944" s="99"/>
      <c r="AE944" s="95"/>
      <c r="AF944" s="94"/>
      <c r="AG944" s="89"/>
      <c r="AH944" s="89"/>
      <c r="AI944" s="89"/>
      <c r="AJ944" s="89"/>
      <c r="AK944" s="89"/>
      <c r="AL944" s="89"/>
      <c r="AM944" s="89"/>
      <c r="AN944" s="89"/>
      <c r="AO944" s="89"/>
      <c r="AP944" s="89"/>
      <c r="AQ944" s="89"/>
      <c r="AR944" s="89"/>
      <c r="AS944" s="89"/>
      <c r="AT944" s="89"/>
      <c r="AU944" s="89"/>
      <c r="AV944" s="89"/>
      <c r="AW944" s="100"/>
      <c r="AX944" s="100"/>
      <c r="AY944" s="89"/>
      <c r="AZ944" s="89"/>
      <c r="BA944" s="89"/>
      <c r="BB944" s="89"/>
      <c r="BC944" s="89"/>
      <c r="BD944" s="89"/>
      <c r="BE944" s="89"/>
      <c r="BF944" s="89"/>
      <c r="BG944" s="89"/>
      <c r="BH944" s="89"/>
      <c r="BI944" s="89"/>
      <c r="BJ944" s="89"/>
      <c r="BK944" s="89"/>
      <c r="BL944" s="89"/>
      <c r="BM944" s="89"/>
      <c r="BN944" s="89"/>
      <c r="BO944" s="89"/>
      <c r="BP944" s="89"/>
      <c r="BQ944" s="89"/>
      <c r="BR944" s="89"/>
      <c r="BS944" s="89"/>
    </row>
    <row r="945" spans="1:71" ht="27" customHeight="1" x14ac:dyDescent="0.2">
      <c r="A945" s="93"/>
      <c r="B945" s="89"/>
      <c r="C945" s="89"/>
      <c r="D945" s="89"/>
      <c r="E945" s="89"/>
      <c r="F945" s="89"/>
      <c r="G945" s="89"/>
      <c r="H945" s="94"/>
      <c r="I945" s="94"/>
      <c r="J945" s="94"/>
      <c r="K945" s="94"/>
      <c r="L945" s="94"/>
      <c r="M945" s="94"/>
      <c r="N945" s="94"/>
      <c r="O945" s="94"/>
      <c r="P945" s="94"/>
      <c r="Q945" s="94"/>
      <c r="R945" s="95"/>
      <c r="S945" s="94"/>
      <c r="T945" s="96"/>
      <c r="U945" s="94"/>
      <c r="V945" s="97"/>
      <c r="W945" s="94"/>
      <c r="X945" s="98"/>
      <c r="Y945" s="98"/>
      <c r="Z945" s="98"/>
      <c r="AA945" s="98"/>
      <c r="AB945" s="98"/>
      <c r="AC945" s="97"/>
      <c r="AD945" s="99"/>
      <c r="AE945" s="95"/>
      <c r="AF945" s="94"/>
      <c r="AG945" s="89"/>
      <c r="AH945" s="89"/>
      <c r="AI945" s="89"/>
      <c r="AJ945" s="89"/>
      <c r="AK945" s="89"/>
      <c r="AL945" s="89"/>
      <c r="AM945" s="89"/>
      <c r="AN945" s="89"/>
      <c r="AO945" s="89"/>
      <c r="AP945" s="89"/>
      <c r="AQ945" s="89"/>
      <c r="AR945" s="89"/>
      <c r="AS945" s="89"/>
      <c r="AT945" s="89"/>
      <c r="AU945" s="89"/>
      <c r="AV945" s="89"/>
      <c r="AW945" s="100"/>
      <c r="AX945" s="100"/>
      <c r="AY945" s="89"/>
      <c r="AZ945" s="89"/>
      <c r="BA945" s="89"/>
      <c r="BB945" s="89"/>
      <c r="BC945" s="89"/>
      <c r="BD945" s="89"/>
      <c r="BE945" s="89"/>
      <c r="BF945" s="89"/>
      <c r="BG945" s="89"/>
      <c r="BH945" s="89"/>
      <c r="BI945" s="89"/>
      <c r="BJ945" s="89"/>
      <c r="BK945" s="89"/>
      <c r="BL945" s="89"/>
      <c r="BM945" s="89"/>
      <c r="BN945" s="89"/>
      <c r="BO945" s="89"/>
      <c r="BP945" s="89"/>
      <c r="BQ945" s="89"/>
      <c r="BR945" s="89"/>
      <c r="BS945" s="89"/>
    </row>
    <row r="946" spans="1:71" ht="27" customHeight="1" x14ac:dyDescent="0.2">
      <c r="A946" s="93"/>
      <c r="B946" s="89"/>
      <c r="C946" s="89"/>
      <c r="D946" s="89"/>
      <c r="E946" s="89"/>
      <c r="F946" s="89"/>
      <c r="G946" s="89"/>
      <c r="H946" s="94"/>
      <c r="I946" s="94"/>
      <c r="J946" s="94"/>
      <c r="K946" s="94"/>
      <c r="L946" s="94"/>
      <c r="M946" s="94"/>
      <c r="N946" s="94"/>
      <c r="O946" s="94"/>
      <c r="P946" s="94"/>
      <c r="Q946" s="94"/>
      <c r="R946" s="95"/>
      <c r="S946" s="94"/>
      <c r="T946" s="96"/>
      <c r="U946" s="94"/>
      <c r="V946" s="97"/>
      <c r="W946" s="94"/>
      <c r="X946" s="98"/>
      <c r="Y946" s="98"/>
      <c r="Z946" s="98"/>
      <c r="AA946" s="98"/>
      <c r="AB946" s="98"/>
      <c r="AC946" s="97"/>
      <c r="AD946" s="99"/>
      <c r="AE946" s="95"/>
      <c r="AF946" s="94"/>
      <c r="AG946" s="89"/>
      <c r="AH946" s="89"/>
      <c r="AI946" s="89"/>
      <c r="AJ946" s="89"/>
      <c r="AK946" s="89"/>
      <c r="AL946" s="89"/>
      <c r="AM946" s="89"/>
      <c r="AN946" s="89"/>
      <c r="AO946" s="89"/>
      <c r="AP946" s="89"/>
      <c r="AQ946" s="89"/>
      <c r="AR946" s="89"/>
      <c r="AS946" s="89"/>
      <c r="AT946" s="89"/>
      <c r="AU946" s="89"/>
      <c r="AV946" s="89"/>
      <c r="AW946" s="100"/>
      <c r="AX946" s="100"/>
      <c r="AY946" s="89"/>
      <c r="AZ946" s="89"/>
      <c r="BA946" s="89"/>
      <c r="BB946" s="89"/>
      <c r="BC946" s="89"/>
      <c r="BD946" s="89"/>
      <c r="BE946" s="89"/>
      <c r="BF946" s="89"/>
      <c r="BG946" s="89"/>
      <c r="BH946" s="89"/>
      <c r="BI946" s="89"/>
      <c r="BJ946" s="89"/>
      <c r="BK946" s="89"/>
      <c r="BL946" s="89"/>
      <c r="BM946" s="89"/>
      <c r="BN946" s="89"/>
      <c r="BO946" s="89"/>
      <c r="BP946" s="89"/>
      <c r="BQ946" s="89"/>
      <c r="BR946" s="89"/>
      <c r="BS946" s="89"/>
    </row>
    <row r="947" spans="1:71" ht="27" customHeight="1" x14ac:dyDescent="0.2">
      <c r="A947" s="93"/>
      <c r="B947" s="89"/>
      <c r="C947" s="89"/>
      <c r="D947" s="89"/>
      <c r="E947" s="89"/>
      <c r="F947" s="89"/>
      <c r="G947" s="89"/>
      <c r="H947" s="94"/>
      <c r="I947" s="94"/>
      <c r="J947" s="94"/>
      <c r="K947" s="94"/>
      <c r="L947" s="94"/>
      <c r="M947" s="94"/>
      <c r="N947" s="94"/>
      <c r="O947" s="94"/>
      <c r="P947" s="94"/>
      <c r="Q947" s="94"/>
      <c r="R947" s="95"/>
      <c r="S947" s="94"/>
      <c r="T947" s="96"/>
      <c r="U947" s="94"/>
      <c r="V947" s="97"/>
      <c r="W947" s="94"/>
      <c r="X947" s="98"/>
      <c r="Y947" s="98"/>
      <c r="Z947" s="98"/>
      <c r="AA947" s="98"/>
      <c r="AB947" s="98"/>
      <c r="AC947" s="97"/>
      <c r="AD947" s="99"/>
      <c r="AE947" s="95"/>
      <c r="AF947" s="94"/>
      <c r="AG947" s="89"/>
      <c r="AH947" s="89"/>
      <c r="AI947" s="89"/>
      <c r="AJ947" s="89"/>
      <c r="AK947" s="89"/>
      <c r="AL947" s="89"/>
      <c r="AM947" s="89"/>
      <c r="AN947" s="89"/>
      <c r="AO947" s="89"/>
      <c r="AP947" s="89"/>
      <c r="AQ947" s="89"/>
      <c r="AR947" s="89"/>
      <c r="AS947" s="89"/>
      <c r="AT947" s="89"/>
      <c r="AU947" s="89"/>
      <c r="AV947" s="89"/>
      <c r="AW947" s="100"/>
      <c r="AX947" s="100"/>
      <c r="AY947" s="89"/>
      <c r="AZ947" s="89"/>
      <c r="BA947" s="89"/>
      <c r="BB947" s="89"/>
      <c r="BC947" s="89"/>
      <c r="BD947" s="89"/>
      <c r="BE947" s="89"/>
      <c r="BF947" s="89"/>
      <c r="BG947" s="89"/>
      <c r="BH947" s="89"/>
      <c r="BI947" s="89"/>
      <c r="BJ947" s="89"/>
      <c r="BK947" s="89"/>
      <c r="BL947" s="89"/>
      <c r="BM947" s="89"/>
      <c r="BN947" s="89"/>
      <c r="BO947" s="89"/>
      <c r="BP947" s="89"/>
      <c r="BQ947" s="89"/>
      <c r="BR947" s="89"/>
      <c r="BS947" s="89"/>
    </row>
    <row r="948" spans="1:71" ht="27" customHeight="1" x14ac:dyDescent="0.2">
      <c r="A948" s="93"/>
      <c r="B948" s="89"/>
      <c r="C948" s="89"/>
      <c r="D948" s="89"/>
      <c r="E948" s="89"/>
      <c r="F948" s="89"/>
      <c r="G948" s="89"/>
      <c r="H948" s="94"/>
      <c r="I948" s="94"/>
      <c r="J948" s="94"/>
      <c r="K948" s="94"/>
      <c r="L948" s="94"/>
      <c r="M948" s="94"/>
      <c r="N948" s="94"/>
      <c r="O948" s="94"/>
      <c r="P948" s="94"/>
      <c r="Q948" s="94"/>
      <c r="R948" s="95"/>
      <c r="S948" s="94"/>
      <c r="T948" s="96"/>
      <c r="U948" s="94"/>
      <c r="V948" s="97"/>
      <c r="W948" s="94"/>
      <c r="X948" s="98"/>
      <c r="Y948" s="98"/>
      <c r="Z948" s="98"/>
      <c r="AA948" s="98"/>
      <c r="AB948" s="98"/>
      <c r="AC948" s="97"/>
      <c r="AD948" s="99"/>
      <c r="AE948" s="95"/>
      <c r="AF948" s="94"/>
      <c r="AG948" s="89"/>
      <c r="AH948" s="89"/>
      <c r="AI948" s="89"/>
      <c r="AJ948" s="89"/>
      <c r="AK948" s="89"/>
      <c r="AL948" s="89"/>
      <c r="AM948" s="89"/>
      <c r="AN948" s="89"/>
      <c r="AO948" s="89"/>
      <c r="AP948" s="89"/>
      <c r="AQ948" s="89"/>
      <c r="AR948" s="89"/>
      <c r="AS948" s="89"/>
      <c r="AT948" s="89"/>
      <c r="AU948" s="89"/>
      <c r="AV948" s="89"/>
      <c r="AW948" s="100"/>
      <c r="AX948" s="100"/>
      <c r="AY948" s="89"/>
      <c r="AZ948" s="89"/>
      <c r="BA948" s="89"/>
      <c r="BB948" s="89"/>
      <c r="BC948" s="89"/>
      <c r="BD948" s="89"/>
      <c r="BE948" s="89"/>
      <c r="BF948" s="89"/>
      <c r="BG948" s="89"/>
      <c r="BH948" s="89"/>
      <c r="BI948" s="89"/>
      <c r="BJ948" s="89"/>
      <c r="BK948" s="89"/>
      <c r="BL948" s="89"/>
      <c r="BM948" s="89"/>
      <c r="BN948" s="89"/>
      <c r="BO948" s="89"/>
      <c r="BP948" s="89"/>
      <c r="BQ948" s="89"/>
      <c r="BR948" s="89"/>
      <c r="BS948" s="89"/>
    </row>
    <row r="949" spans="1:71" ht="27" customHeight="1" x14ac:dyDescent="0.2">
      <c r="A949" s="93"/>
      <c r="B949" s="89"/>
      <c r="C949" s="89"/>
      <c r="D949" s="89"/>
      <c r="E949" s="89"/>
      <c r="F949" s="89"/>
      <c r="G949" s="89"/>
      <c r="H949" s="94"/>
      <c r="I949" s="94"/>
      <c r="J949" s="94"/>
      <c r="K949" s="94"/>
      <c r="L949" s="94"/>
      <c r="M949" s="94"/>
      <c r="N949" s="94"/>
      <c r="O949" s="94"/>
      <c r="P949" s="94"/>
      <c r="Q949" s="94"/>
      <c r="R949" s="95"/>
      <c r="S949" s="94"/>
      <c r="T949" s="96"/>
      <c r="U949" s="94"/>
      <c r="V949" s="97"/>
      <c r="W949" s="94"/>
      <c r="X949" s="98"/>
      <c r="Y949" s="98"/>
      <c r="Z949" s="98"/>
      <c r="AA949" s="98"/>
      <c r="AB949" s="98"/>
      <c r="AC949" s="97"/>
      <c r="AD949" s="99"/>
      <c r="AE949" s="95"/>
      <c r="AF949" s="94"/>
      <c r="AG949" s="89"/>
      <c r="AH949" s="89"/>
      <c r="AI949" s="89"/>
      <c r="AJ949" s="89"/>
      <c r="AK949" s="89"/>
      <c r="AL949" s="89"/>
      <c r="AM949" s="89"/>
      <c r="AN949" s="89"/>
      <c r="AO949" s="89"/>
      <c r="AP949" s="89"/>
      <c r="AQ949" s="89"/>
      <c r="AR949" s="89"/>
      <c r="AS949" s="89"/>
      <c r="AT949" s="89"/>
      <c r="AU949" s="89"/>
      <c r="AV949" s="89"/>
      <c r="AW949" s="100"/>
      <c r="AX949" s="100"/>
      <c r="AY949" s="89"/>
      <c r="AZ949" s="89"/>
      <c r="BA949" s="89"/>
      <c r="BB949" s="89"/>
      <c r="BC949" s="89"/>
      <c r="BD949" s="89"/>
      <c r="BE949" s="89"/>
      <c r="BF949" s="89"/>
      <c r="BG949" s="89"/>
      <c r="BH949" s="89"/>
      <c r="BI949" s="89"/>
      <c r="BJ949" s="89"/>
      <c r="BK949" s="89"/>
      <c r="BL949" s="89"/>
      <c r="BM949" s="89"/>
      <c r="BN949" s="89"/>
      <c r="BO949" s="89"/>
      <c r="BP949" s="89"/>
      <c r="BQ949" s="89"/>
      <c r="BR949" s="89"/>
      <c r="BS949" s="89"/>
    </row>
    <row r="950" spans="1:71" ht="27" customHeight="1" x14ac:dyDescent="0.2">
      <c r="A950" s="93"/>
      <c r="B950" s="89"/>
      <c r="C950" s="89"/>
      <c r="D950" s="89"/>
      <c r="E950" s="89"/>
      <c r="F950" s="89"/>
      <c r="G950" s="89"/>
      <c r="H950" s="94"/>
      <c r="I950" s="94"/>
      <c r="J950" s="94"/>
      <c r="K950" s="94"/>
      <c r="L950" s="94"/>
      <c r="M950" s="94"/>
      <c r="N950" s="94"/>
      <c r="O950" s="94"/>
      <c r="P950" s="94"/>
      <c r="Q950" s="94"/>
      <c r="R950" s="95"/>
      <c r="S950" s="94"/>
      <c r="T950" s="96"/>
      <c r="U950" s="94"/>
      <c r="V950" s="97"/>
      <c r="W950" s="94"/>
      <c r="X950" s="98"/>
      <c r="Y950" s="98"/>
      <c r="Z950" s="98"/>
      <c r="AA950" s="98"/>
      <c r="AB950" s="98"/>
      <c r="AC950" s="97"/>
      <c r="AD950" s="99"/>
      <c r="AE950" s="95"/>
      <c r="AF950" s="94"/>
      <c r="AG950" s="89"/>
      <c r="AH950" s="89"/>
      <c r="AI950" s="89"/>
      <c r="AJ950" s="89"/>
      <c r="AK950" s="89"/>
      <c r="AL950" s="89"/>
      <c r="AM950" s="89"/>
      <c r="AN950" s="89"/>
      <c r="AO950" s="89"/>
      <c r="AP950" s="89"/>
      <c r="AQ950" s="89"/>
      <c r="AR950" s="89"/>
      <c r="AS950" s="89"/>
      <c r="AT950" s="89"/>
      <c r="AU950" s="89"/>
      <c r="AV950" s="89"/>
      <c r="AW950" s="100"/>
      <c r="AX950" s="100"/>
      <c r="AY950" s="89"/>
      <c r="AZ950" s="89"/>
      <c r="BA950" s="89"/>
      <c r="BB950" s="89"/>
      <c r="BC950" s="89"/>
      <c r="BD950" s="89"/>
      <c r="BE950" s="89"/>
      <c r="BF950" s="89"/>
      <c r="BG950" s="89"/>
      <c r="BH950" s="89"/>
      <c r="BI950" s="89"/>
      <c r="BJ950" s="89"/>
      <c r="BK950" s="89"/>
      <c r="BL950" s="89"/>
      <c r="BM950" s="89"/>
      <c r="BN950" s="89"/>
      <c r="BO950" s="89"/>
      <c r="BP950" s="89"/>
      <c r="BQ950" s="89"/>
      <c r="BR950" s="89"/>
      <c r="BS950" s="89"/>
    </row>
    <row r="951" spans="1:71" ht="27" customHeight="1" x14ac:dyDescent="0.2">
      <c r="A951" s="93"/>
      <c r="B951" s="89"/>
      <c r="C951" s="89"/>
      <c r="D951" s="89"/>
      <c r="E951" s="89"/>
      <c r="F951" s="89"/>
      <c r="G951" s="89"/>
      <c r="H951" s="94"/>
      <c r="I951" s="94"/>
      <c r="J951" s="94"/>
      <c r="K951" s="94"/>
      <c r="L951" s="94"/>
      <c r="M951" s="94"/>
      <c r="N951" s="94"/>
      <c r="O951" s="94"/>
      <c r="P951" s="94"/>
      <c r="Q951" s="94"/>
      <c r="R951" s="95"/>
      <c r="S951" s="94"/>
      <c r="T951" s="96"/>
      <c r="U951" s="94"/>
      <c r="V951" s="97"/>
      <c r="W951" s="94"/>
      <c r="X951" s="98"/>
      <c r="Y951" s="98"/>
      <c r="Z951" s="98"/>
      <c r="AA951" s="98"/>
      <c r="AB951" s="98"/>
      <c r="AC951" s="97"/>
      <c r="AD951" s="99"/>
      <c r="AE951" s="95"/>
      <c r="AF951" s="94"/>
      <c r="AG951" s="89"/>
      <c r="AH951" s="89"/>
      <c r="AI951" s="89"/>
      <c r="AJ951" s="89"/>
      <c r="AK951" s="89"/>
      <c r="AL951" s="89"/>
      <c r="AM951" s="89"/>
      <c r="AN951" s="89"/>
      <c r="AO951" s="89"/>
      <c r="AP951" s="89"/>
      <c r="AQ951" s="89"/>
      <c r="AR951" s="89"/>
      <c r="AS951" s="89"/>
      <c r="AT951" s="89"/>
      <c r="AU951" s="89"/>
      <c r="AV951" s="89"/>
      <c r="AW951" s="100"/>
      <c r="AX951" s="100"/>
      <c r="AY951" s="89"/>
      <c r="AZ951" s="89"/>
      <c r="BA951" s="89"/>
      <c r="BB951" s="89"/>
      <c r="BC951" s="89"/>
      <c r="BD951" s="89"/>
      <c r="BE951" s="89"/>
      <c r="BF951" s="89"/>
      <c r="BG951" s="89"/>
      <c r="BH951" s="89"/>
      <c r="BI951" s="89"/>
      <c r="BJ951" s="89"/>
      <c r="BK951" s="89"/>
      <c r="BL951" s="89"/>
      <c r="BM951" s="89"/>
      <c r="BN951" s="89"/>
      <c r="BO951" s="89"/>
      <c r="BP951" s="89"/>
      <c r="BQ951" s="89"/>
      <c r="BR951" s="89"/>
      <c r="BS951" s="89"/>
    </row>
    <row r="952" spans="1:71" ht="27" customHeight="1" x14ac:dyDescent="0.2">
      <c r="A952" s="93"/>
      <c r="B952" s="89"/>
      <c r="C952" s="89"/>
      <c r="D952" s="89"/>
      <c r="E952" s="89"/>
      <c r="F952" s="89"/>
      <c r="G952" s="89"/>
      <c r="H952" s="94"/>
      <c r="I952" s="94"/>
      <c r="J952" s="94"/>
      <c r="K952" s="94"/>
      <c r="L952" s="94"/>
      <c r="M952" s="94"/>
      <c r="N952" s="94"/>
      <c r="O952" s="94"/>
      <c r="P952" s="94"/>
      <c r="Q952" s="94"/>
      <c r="R952" s="95"/>
      <c r="S952" s="94"/>
      <c r="T952" s="96"/>
      <c r="U952" s="94"/>
      <c r="V952" s="97"/>
      <c r="W952" s="94"/>
      <c r="X952" s="98"/>
      <c r="Y952" s="98"/>
      <c r="Z952" s="98"/>
      <c r="AA952" s="98"/>
      <c r="AB952" s="98"/>
      <c r="AC952" s="97"/>
      <c r="AD952" s="99"/>
      <c r="AE952" s="95"/>
      <c r="AF952" s="94"/>
      <c r="AG952" s="89"/>
      <c r="AH952" s="89"/>
      <c r="AI952" s="89"/>
      <c r="AJ952" s="89"/>
      <c r="AK952" s="89"/>
      <c r="AL952" s="89"/>
      <c r="AM952" s="89"/>
      <c r="AN952" s="89"/>
      <c r="AO952" s="89"/>
      <c r="AP952" s="89"/>
      <c r="AQ952" s="89"/>
      <c r="AR952" s="89"/>
      <c r="AS952" s="89"/>
      <c r="AT952" s="89"/>
      <c r="AU952" s="89"/>
      <c r="AV952" s="89"/>
      <c r="AW952" s="100"/>
      <c r="AX952" s="100"/>
      <c r="AY952" s="89"/>
      <c r="AZ952" s="89"/>
      <c r="BA952" s="89"/>
      <c r="BB952" s="89"/>
      <c r="BC952" s="89"/>
      <c r="BD952" s="89"/>
      <c r="BE952" s="89"/>
      <c r="BF952" s="89"/>
      <c r="BG952" s="89"/>
      <c r="BH952" s="89"/>
      <c r="BI952" s="89"/>
      <c r="BJ952" s="89"/>
      <c r="BK952" s="89"/>
      <c r="BL952" s="89"/>
      <c r="BM952" s="89"/>
      <c r="BN952" s="89"/>
      <c r="BO952" s="89"/>
      <c r="BP952" s="89"/>
      <c r="BQ952" s="89"/>
      <c r="BR952" s="89"/>
      <c r="BS952" s="89"/>
    </row>
    <row r="953" spans="1:71" ht="27" customHeight="1" x14ac:dyDescent="0.2">
      <c r="A953" s="93"/>
      <c r="B953" s="89"/>
      <c r="C953" s="89"/>
      <c r="D953" s="89"/>
      <c r="E953" s="89"/>
      <c r="F953" s="89"/>
      <c r="G953" s="89"/>
      <c r="H953" s="94"/>
      <c r="I953" s="94"/>
      <c r="J953" s="94"/>
      <c r="K953" s="94"/>
      <c r="L953" s="94"/>
      <c r="M953" s="94"/>
      <c r="N953" s="94"/>
      <c r="O953" s="94"/>
      <c r="P953" s="94"/>
      <c r="Q953" s="94"/>
      <c r="R953" s="95"/>
      <c r="S953" s="94"/>
      <c r="T953" s="96"/>
      <c r="U953" s="94"/>
      <c r="V953" s="97"/>
      <c r="W953" s="94"/>
      <c r="X953" s="98"/>
      <c r="Y953" s="98"/>
      <c r="Z953" s="98"/>
      <c r="AA953" s="98"/>
      <c r="AB953" s="98"/>
      <c r="AC953" s="97"/>
      <c r="AD953" s="99"/>
      <c r="AE953" s="95"/>
      <c r="AF953" s="94"/>
      <c r="AG953" s="89"/>
      <c r="AH953" s="89"/>
      <c r="AI953" s="89"/>
      <c r="AJ953" s="89"/>
      <c r="AK953" s="89"/>
      <c r="AL953" s="89"/>
      <c r="AM953" s="89"/>
      <c r="AN953" s="89"/>
      <c r="AO953" s="89"/>
      <c r="AP953" s="89"/>
      <c r="AQ953" s="89"/>
      <c r="AR953" s="89"/>
      <c r="AS953" s="89"/>
      <c r="AT953" s="89"/>
      <c r="AU953" s="89"/>
      <c r="AV953" s="89"/>
      <c r="AW953" s="100"/>
      <c r="AX953" s="100"/>
      <c r="AY953" s="89"/>
      <c r="AZ953" s="89"/>
      <c r="BA953" s="89"/>
      <c r="BB953" s="89"/>
      <c r="BC953" s="89"/>
      <c r="BD953" s="89"/>
      <c r="BE953" s="89"/>
      <c r="BF953" s="89"/>
      <c r="BG953" s="89"/>
      <c r="BH953" s="89"/>
      <c r="BI953" s="89"/>
      <c r="BJ953" s="89"/>
      <c r="BK953" s="89"/>
      <c r="BL953" s="89"/>
      <c r="BM953" s="89"/>
      <c r="BN953" s="89"/>
      <c r="BO953" s="89"/>
      <c r="BP953" s="89"/>
      <c r="BQ953" s="89"/>
      <c r="BR953" s="89"/>
      <c r="BS953" s="89"/>
    </row>
    <row r="954" spans="1:71" ht="27" customHeight="1" x14ac:dyDescent="0.2">
      <c r="A954" s="93"/>
      <c r="B954" s="89"/>
      <c r="C954" s="89"/>
      <c r="D954" s="89"/>
      <c r="E954" s="89"/>
      <c r="F954" s="89"/>
      <c r="G954" s="89"/>
      <c r="H954" s="94"/>
      <c r="I954" s="94"/>
      <c r="J954" s="94"/>
      <c r="K954" s="94"/>
      <c r="L954" s="94"/>
      <c r="M954" s="94"/>
      <c r="N954" s="94"/>
      <c r="O954" s="94"/>
      <c r="P954" s="94"/>
      <c r="Q954" s="94"/>
      <c r="R954" s="95"/>
      <c r="S954" s="94"/>
      <c r="T954" s="96"/>
      <c r="U954" s="94"/>
      <c r="V954" s="97"/>
      <c r="W954" s="94"/>
      <c r="X954" s="98"/>
      <c r="Y954" s="98"/>
      <c r="Z954" s="98"/>
      <c r="AA954" s="98"/>
      <c r="AB954" s="98"/>
      <c r="AC954" s="97"/>
      <c r="AD954" s="99"/>
      <c r="AE954" s="95"/>
      <c r="AF954" s="94"/>
      <c r="AG954" s="89"/>
      <c r="AH954" s="89"/>
      <c r="AI954" s="89"/>
      <c r="AJ954" s="89"/>
      <c r="AK954" s="89"/>
      <c r="AL954" s="89"/>
      <c r="AM954" s="89"/>
      <c r="AN954" s="89"/>
      <c r="AO954" s="89"/>
      <c r="AP954" s="89"/>
      <c r="AQ954" s="89"/>
      <c r="AR954" s="89"/>
      <c r="AS954" s="89"/>
      <c r="AT954" s="89"/>
      <c r="AU954" s="89"/>
      <c r="AV954" s="89"/>
      <c r="AW954" s="100"/>
      <c r="AX954" s="100"/>
      <c r="AY954" s="89"/>
      <c r="AZ954" s="89"/>
      <c r="BA954" s="89"/>
      <c r="BB954" s="89"/>
      <c r="BC954" s="89"/>
      <c r="BD954" s="89"/>
      <c r="BE954" s="89"/>
      <c r="BF954" s="89"/>
      <c r="BG954" s="89"/>
      <c r="BH954" s="89"/>
      <c r="BI954" s="89"/>
      <c r="BJ954" s="89"/>
      <c r="BK954" s="89"/>
      <c r="BL954" s="89"/>
      <c r="BM954" s="89"/>
      <c r="BN954" s="89"/>
      <c r="BO954" s="89"/>
      <c r="BP954" s="89"/>
      <c r="BQ954" s="89"/>
      <c r="BR954" s="89"/>
      <c r="BS954" s="89"/>
    </row>
    <row r="955" spans="1:71" ht="27" customHeight="1" x14ac:dyDescent="0.2">
      <c r="A955" s="93"/>
      <c r="B955" s="89"/>
      <c r="C955" s="89"/>
      <c r="D955" s="89"/>
      <c r="E955" s="89"/>
      <c r="F955" s="89"/>
      <c r="G955" s="89"/>
      <c r="H955" s="94"/>
      <c r="I955" s="94"/>
      <c r="J955" s="94"/>
      <c r="K955" s="94"/>
      <c r="L955" s="94"/>
      <c r="M955" s="94"/>
      <c r="N955" s="94"/>
      <c r="O955" s="94"/>
      <c r="P955" s="94"/>
      <c r="Q955" s="94"/>
      <c r="R955" s="95"/>
      <c r="S955" s="94"/>
      <c r="T955" s="96"/>
      <c r="U955" s="94"/>
      <c r="V955" s="97"/>
      <c r="W955" s="94"/>
      <c r="X955" s="98"/>
      <c r="Y955" s="98"/>
      <c r="Z955" s="98"/>
      <c r="AA955" s="98"/>
      <c r="AB955" s="98"/>
      <c r="AC955" s="97"/>
      <c r="AD955" s="99"/>
      <c r="AE955" s="95"/>
      <c r="AF955" s="94"/>
      <c r="AG955" s="89"/>
      <c r="AH955" s="89"/>
      <c r="AI955" s="89"/>
      <c r="AJ955" s="89"/>
      <c r="AK955" s="89"/>
      <c r="AL955" s="89"/>
      <c r="AM955" s="89"/>
      <c r="AN955" s="89"/>
      <c r="AO955" s="89"/>
      <c r="AP955" s="89"/>
      <c r="AQ955" s="89"/>
      <c r="AR955" s="89"/>
      <c r="AS955" s="89"/>
      <c r="AT955" s="89"/>
      <c r="AU955" s="89"/>
      <c r="AV955" s="89"/>
      <c r="AW955" s="100"/>
      <c r="AX955" s="100"/>
      <c r="AY955" s="89"/>
      <c r="AZ955" s="89"/>
      <c r="BA955" s="89"/>
      <c r="BB955" s="89"/>
      <c r="BC955" s="89"/>
      <c r="BD955" s="89"/>
      <c r="BE955" s="89"/>
      <c r="BF955" s="89"/>
      <c r="BG955" s="89"/>
      <c r="BH955" s="89"/>
      <c r="BI955" s="89"/>
      <c r="BJ955" s="89"/>
      <c r="BK955" s="89"/>
      <c r="BL955" s="89"/>
      <c r="BM955" s="89"/>
      <c r="BN955" s="89"/>
      <c r="BO955" s="89"/>
      <c r="BP955" s="89"/>
      <c r="BQ955" s="89"/>
      <c r="BR955" s="89"/>
      <c r="BS955" s="89"/>
    </row>
    <row r="956" spans="1:71" ht="27" customHeight="1" x14ac:dyDescent="0.2">
      <c r="A956" s="93"/>
      <c r="B956" s="89"/>
      <c r="C956" s="89"/>
      <c r="D956" s="89"/>
      <c r="E956" s="89"/>
      <c r="F956" s="89"/>
      <c r="G956" s="89"/>
      <c r="H956" s="94"/>
      <c r="I956" s="94"/>
      <c r="J956" s="94"/>
      <c r="K956" s="94"/>
      <c r="L956" s="94"/>
      <c r="M956" s="94"/>
      <c r="N956" s="94"/>
      <c r="O956" s="94"/>
      <c r="P956" s="94"/>
      <c r="Q956" s="94"/>
      <c r="R956" s="95"/>
      <c r="S956" s="94"/>
      <c r="T956" s="96"/>
      <c r="U956" s="94"/>
      <c r="V956" s="97"/>
      <c r="W956" s="94"/>
      <c r="X956" s="98"/>
      <c r="Y956" s="98"/>
      <c r="Z956" s="98"/>
      <c r="AA956" s="98"/>
      <c r="AB956" s="98"/>
      <c r="AC956" s="97"/>
      <c r="AD956" s="99"/>
      <c r="AE956" s="95"/>
      <c r="AF956" s="94"/>
      <c r="AG956" s="89"/>
      <c r="AH956" s="89"/>
      <c r="AI956" s="89"/>
      <c r="AJ956" s="89"/>
      <c r="AK956" s="89"/>
      <c r="AL956" s="89"/>
      <c r="AM956" s="89"/>
      <c r="AN956" s="89"/>
      <c r="AO956" s="89"/>
      <c r="AP956" s="89"/>
      <c r="AQ956" s="89"/>
      <c r="AR956" s="89"/>
      <c r="AS956" s="89"/>
      <c r="AT956" s="89"/>
      <c r="AU956" s="89"/>
      <c r="AV956" s="89"/>
      <c r="AW956" s="100"/>
      <c r="AX956" s="100"/>
      <c r="AY956" s="89"/>
      <c r="AZ956" s="89"/>
      <c r="BA956" s="89"/>
      <c r="BB956" s="89"/>
      <c r="BC956" s="89"/>
      <c r="BD956" s="89"/>
      <c r="BE956" s="89"/>
      <c r="BF956" s="89"/>
      <c r="BG956" s="89"/>
      <c r="BH956" s="89"/>
      <c r="BI956" s="89"/>
      <c r="BJ956" s="89"/>
      <c r="BK956" s="89"/>
      <c r="BL956" s="89"/>
      <c r="BM956" s="89"/>
      <c r="BN956" s="89"/>
      <c r="BO956" s="89"/>
      <c r="BP956" s="89"/>
      <c r="BQ956" s="89"/>
      <c r="BR956" s="89"/>
      <c r="BS956" s="89"/>
    </row>
    <row r="957" spans="1:71" ht="27" customHeight="1" x14ac:dyDescent="0.2">
      <c r="A957" s="93"/>
      <c r="B957" s="89"/>
      <c r="C957" s="89"/>
      <c r="D957" s="89"/>
      <c r="E957" s="89"/>
      <c r="F957" s="89"/>
      <c r="G957" s="89"/>
      <c r="H957" s="94"/>
      <c r="I957" s="94"/>
      <c r="J957" s="94"/>
      <c r="K957" s="94"/>
      <c r="L957" s="94"/>
      <c r="M957" s="94"/>
      <c r="N957" s="94"/>
      <c r="O957" s="94"/>
      <c r="P957" s="94"/>
      <c r="Q957" s="94"/>
      <c r="R957" s="95"/>
      <c r="S957" s="94"/>
      <c r="T957" s="96"/>
      <c r="U957" s="94"/>
      <c r="V957" s="97"/>
      <c r="W957" s="94"/>
      <c r="X957" s="98"/>
      <c r="Y957" s="98"/>
      <c r="Z957" s="98"/>
      <c r="AA957" s="98"/>
      <c r="AB957" s="98"/>
      <c r="AC957" s="97"/>
      <c r="AD957" s="99"/>
      <c r="AE957" s="95"/>
      <c r="AF957" s="94"/>
      <c r="AG957" s="89"/>
      <c r="AH957" s="89"/>
      <c r="AI957" s="89"/>
      <c r="AJ957" s="89"/>
      <c r="AK957" s="89"/>
      <c r="AL957" s="89"/>
      <c r="AM957" s="89"/>
      <c r="AN957" s="89"/>
      <c r="AO957" s="89"/>
      <c r="AP957" s="89"/>
      <c r="AQ957" s="89"/>
      <c r="AR957" s="89"/>
      <c r="AS957" s="89"/>
      <c r="AT957" s="89"/>
      <c r="AU957" s="89"/>
      <c r="AV957" s="89"/>
      <c r="AW957" s="100"/>
      <c r="AX957" s="100"/>
      <c r="AY957" s="89"/>
      <c r="AZ957" s="89"/>
      <c r="BA957" s="89"/>
      <c r="BB957" s="89"/>
      <c r="BC957" s="89"/>
      <c r="BD957" s="89"/>
      <c r="BE957" s="89"/>
      <c r="BF957" s="89"/>
      <c r="BG957" s="89"/>
      <c r="BH957" s="89"/>
      <c r="BI957" s="89"/>
      <c r="BJ957" s="89"/>
      <c r="BK957" s="89"/>
      <c r="BL957" s="89"/>
      <c r="BM957" s="89"/>
      <c r="BN957" s="89"/>
      <c r="BO957" s="89"/>
      <c r="BP957" s="89"/>
      <c r="BQ957" s="89"/>
      <c r="BR957" s="89"/>
      <c r="BS957" s="89"/>
    </row>
    <row r="958" spans="1:71" ht="27" customHeight="1" x14ac:dyDescent="0.2">
      <c r="A958" s="93"/>
      <c r="B958" s="89"/>
      <c r="C958" s="89"/>
      <c r="D958" s="89"/>
      <c r="E958" s="89"/>
      <c r="F958" s="89"/>
      <c r="G958" s="89"/>
      <c r="H958" s="94"/>
      <c r="I958" s="94"/>
      <c r="J958" s="94"/>
      <c r="K958" s="94"/>
      <c r="L958" s="94"/>
      <c r="M958" s="94"/>
      <c r="N958" s="94"/>
      <c r="O958" s="94"/>
      <c r="P958" s="94"/>
      <c r="Q958" s="94"/>
      <c r="R958" s="95"/>
      <c r="S958" s="94"/>
      <c r="T958" s="96"/>
      <c r="U958" s="94"/>
      <c r="V958" s="97"/>
      <c r="W958" s="94"/>
      <c r="X958" s="98"/>
      <c r="Y958" s="98"/>
      <c r="Z958" s="98"/>
      <c r="AA958" s="98"/>
      <c r="AB958" s="98"/>
      <c r="AC958" s="97"/>
      <c r="AD958" s="99"/>
      <c r="AE958" s="95"/>
      <c r="AF958" s="94"/>
      <c r="AG958" s="89"/>
      <c r="AH958" s="89"/>
      <c r="AI958" s="89"/>
      <c r="AJ958" s="89"/>
      <c r="AK958" s="89"/>
      <c r="AL958" s="89"/>
      <c r="AM958" s="89"/>
      <c r="AN958" s="89"/>
      <c r="AO958" s="89"/>
      <c r="AP958" s="89"/>
      <c r="AQ958" s="89"/>
      <c r="AR958" s="89"/>
      <c r="AS958" s="89"/>
      <c r="AT958" s="89"/>
      <c r="AU958" s="89"/>
      <c r="AV958" s="89"/>
      <c r="AW958" s="100"/>
      <c r="AX958" s="100"/>
      <c r="AY958" s="89"/>
      <c r="AZ958" s="89"/>
      <c r="BA958" s="89"/>
      <c r="BB958" s="89"/>
      <c r="BC958" s="89"/>
      <c r="BD958" s="89"/>
      <c r="BE958" s="89"/>
      <c r="BF958" s="89"/>
      <c r="BG958" s="89"/>
      <c r="BH958" s="89"/>
      <c r="BI958" s="89"/>
      <c r="BJ958" s="89"/>
      <c r="BK958" s="89"/>
      <c r="BL958" s="89"/>
      <c r="BM958" s="89"/>
      <c r="BN958" s="89"/>
      <c r="BO958" s="89"/>
      <c r="BP958" s="89"/>
      <c r="BQ958" s="89"/>
      <c r="BR958" s="89"/>
      <c r="BS958" s="89"/>
    </row>
    <row r="959" spans="1:71" ht="27" customHeight="1" x14ac:dyDescent="0.2">
      <c r="A959" s="93"/>
      <c r="B959" s="89"/>
      <c r="C959" s="89"/>
      <c r="D959" s="89"/>
      <c r="E959" s="89"/>
      <c r="F959" s="89"/>
      <c r="G959" s="89"/>
      <c r="H959" s="94"/>
      <c r="I959" s="94"/>
      <c r="J959" s="94"/>
      <c r="K959" s="94"/>
      <c r="L959" s="94"/>
      <c r="M959" s="94"/>
      <c r="N959" s="94"/>
      <c r="O959" s="94"/>
      <c r="P959" s="94"/>
      <c r="Q959" s="94"/>
      <c r="R959" s="95"/>
      <c r="S959" s="94"/>
      <c r="T959" s="96"/>
      <c r="U959" s="94"/>
      <c r="V959" s="97"/>
      <c r="W959" s="94"/>
      <c r="X959" s="98"/>
      <c r="Y959" s="98"/>
      <c r="Z959" s="98"/>
      <c r="AA959" s="98"/>
      <c r="AB959" s="98"/>
      <c r="AC959" s="97"/>
      <c r="AD959" s="99"/>
      <c r="AE959" s="95"/>
      <c r="AF959" s="94"/>
      <c r="AG959" s="89"/>
      <c r="AH959" s="89"/>
      <c r="AI959" s="89"/>
      <c r="AJ959" s="89"/>
      <c r="AK959" s="89"/>
      <c r="AL959" s="89"/>
      <c r="AM959" s="89"/>
      <c r="AN959" s="89"/>
      <c r="AO959" s="89"/>
      <c r="AP959" s="89"/>
      <c r="AQ959" s="89"/>
      <c r="AR959" s="89"/>
      <c r="AS959" s="89"/>
      <c r="AT959" s="89"/>
      <c r="AU959" s="89"/>
      <c r="AV959" s="89"/>
      <c r="AW959" s="100"/>
      <c r="AX959" s="100"/>
      <c r="AY959" s="89"/>
      <c r="AZ959" s="89"/>
      <c r="BA959" s="89"/>
      <c r="BB959" s="89"/>
      <c r="BC959" s="89"/>
      <c r="BD959" s="89"/>
      <c r="BE959" s="89"/>
      <c r="BF959" s="89"/>
      <c r="BG959" s="89"/>
      <c r="BH959" s="89"/>
      <c r="BI959" s="89"/>
      <c r="BJ959" s="89"/>
      <c r="BK959" s="89"/>
      <c r="BL959" s="89"/>
      <c r="BM959" s="89"/>
      <c r="BN959" s="89"/>
      <c r="BO959" s="89"/>
      <c r="BP959" s="89"/>
      <c r="BQ959" s="89"/>
      <c r="BR959" s="89"/>
      <c r="BS959" s="89"/>
    </row>
    <row r="960" spans="1:71" ht="27" customHeight="1" x14ac:dyDescent="0.2">
      <c r="A960" s="93"/>
      <c r="B960" s="89"/>
      <c r="C960" s="89"/>
      <c r="D960" s="89"/>
      <c r="E960" s="89"/>
      <c r="F960" s="89"/>
      <c r="G960" s="89"/>
      <c r="H960" s="94"/>
      <c r="I960" s="94"/>
      <c r="J960" s="94"/>
      <c r="K960" s="94"/>
      <c r="L960" s="94"/>
      <c r="M960" s="94"/>
      <c r="N960" s="94"/>
      <c r="O960" s="94"/>
      <c r="P960" s="94"/>
      <c r="Q960" s="94"/>
      <c r="R960" s="95"/>
      <c r="S960" s="94"/>
      <c r="T960" s="96"/>
      <c r="U960" s="94"/>
      <c r="V960" s="97"/>
      <c r="W960" s="94"/>
      <c r="X960" s="98"/>
      <c r="Y960" s="98"/>
      <c r="Z960" s="98"/>
      <c r="AA960" s="98"/>
      <c r="AB960" s="98"/>
      <c r="AC960" s="97"/>
      <c r="AD960" s="99"/>
      <c r="AE960" s="95"/>
      <c r="AF960" s="94"/>
      <c r="AG960" s="89"/>
      <c r="AH960" s="89"/>
      <c r="AI960" s="89"/>
      <c r="AJ960" s="89"/>
      <c r="AK960" s="89"/>
      <c r="AL960" s="89"/>
      <c r="AM960" s="89"/>
      <c r="AN960" s="89"/>
      <c r="AO960" s="89"/>
      <c r="AP960" s="89"/>
      <c r="AQ960" s="89"/>
      <c r="AR960" s="89"/>
      <c r="AS960" s="89"/>
      <c r="AT960" s="89"/>
      <c r="AU960" s="89"/>
      <c r="AV960" s="89"/>
      <c r="AW960" s="100"/>
      <c r="AX960" s="100"/>
      <c r="AY960" s="89"/>
      <c r="AZ960" s="89"/>
      <c r="BA960" s="89"/>
      <c r="BB960" s="89"/>
      <c r="BC960" s="89"/>
      <c r="BD960" s="89"/>
      <c r="BE960" s="89"/>
      <c r="BF960" s="89"/>
      <c r="BG960" s="89"/>
      <c r="BH960" s="89"/>
      <c r="BI960" s="89"/>
      <c r="BJ960" s="89"/>
      <c r="BK960" s="89"/>
      <c r="BL960" s="89"/>
      <c r="BM960" s="89"/>
      <c r="BN960" s="89"/>
      <c r="BO960" s="89"/>
      <c r="BP960" s="89"/>
      <c r="BQ960" s="89"/>
      <c r="BR960" s="89"/>
      <c r="BS960" s="89"/>
    </row>
    <row r="961" spans="1:71" ht="27" customHeight="1" x14ac:dyDescent="0.2">
      <c r="A961" s="93"/>
      <c r="B961" s="89"/>
      <c r="C961" s="89"/>
      <c r="D961" s="89"/>
      <c r="E961" s="89"/>
      <c r="F961" s="89"/>
      <c r="G961" s="89"/>
      <c r="H961" s="94"/>
      <c r="I961" s="94"/>
      <c r="J961" s="94"/>
      <c r="K961" s="94"/>
      <c r="L961" s="94"/>
      <c r="M961" s="94"/>
      <c r="N961" s="94"/>
      <c r="O961" s="94"/>
      <c r="P961" s="94"/>
      <c r="Q961" s="94"/>
      <c r="R961" s="95"/>
      <c r="S961" s="94"/>
      <c r="T961" s="96"/>
      <c r="U961" s="94"/>
      <c r="V961" s="97"/>
      <c r="W961" s="94"/>
      <c r="X961" s="98"/>
      <c r="Y961" s="98"/>
      <c r="Z961" s="98"/>
      <c r="AA961" s="98"/>
      <c r="AB961" s="98"/>
      <c r="AC961" s="97"/>
      <c r="AD961" s="99"/>
      <c r="AE961" s="95"/>
      <c r="AF961" s="94"/>
      <c r="AG961" s="89"/>
      <c r="AH961" s="89"/>
      <c r="AI961" s="89"/>
      <c r="AJ961" s="89"/>
      <c r="AK961" s="89"/>
      <c r="AL961" s="89"/>
      <c r="AM961" s="89"/>
      <c r="AN961" s="89"/>
      <c r="AO961" s="89"/>
      <c r="AP961" s="89"/>
      <c r="AQ961" s="89"/>
      <c r="AR961" s="89"/>
      <c r="AS961" s="89"/>
      <c r="AT961" s="89"/>
      <c r="AU961" s="89"/>
      <c r="AV961" s="89"/>
      <c r="AW961" s="100"/>
      <c r="AX961" s="100"/>
      <c r="AY961" s="89"/>
      <c r="AZ961" s="89"/>
      <c r="BA961" s="89"/>
      <c r="BB961" s="89"/>
      <c r="BC961" s="89"/>
      <c r="BD961" s="89"/>
      <c r="BE961" s="89"/>
      <c r="BF961" s="89"/>
      <c r="BG961" s="89"/>
      <c r="BH961" s="89"/>
      <c r="BI961" s="89"/>
      <c r="BJ961" s="89"/>
      <c r="BK961" s="89"/>
      <c r="BL961" s="89"/>
      <c r="BM961" s="89"/>
      <c r="BN961" s="89"/>
      <c r="BO961" s="89"/>
      <c r="BP961" s="89"/>
      <c r="BQ961" s="89"/>
      <c r="BR961" s="89"/>
      <c r="BS961" s="89"/>
    </row>
    <row r="962" spans="1:71" ht="27" customHeight="1" x14ac:dyDescent="0.2">
      <c r="A962" s="93"/>
      <c r="B962" s="89"/>
      <c r="C962" s="89"/>
      <c r="D962" s="89"/>
      <c r="E962" s="89"/>
      <c r="F962" s="89"/>
      <c r="G962" s="89"/>
      <c r="H962" s="94"/>
      <c r="I962" s="94"/>
      <c r="J962" s="94"/>
      <c r="K962" s="94"/>
      <c r="L962" s="94"/>
      <c r="M962" s="94"/>
      <c r="N962" s="94"/>
      <c r="O962" s="94"/>
      <c r="P962" s="94"/>
      <c r="Q962" s="94"/>
      <c r="R962" s="95"/>
      <c r="S962" s="94"/>
      <c r="T962" s="96"/>
      <c r="U962" s="94"/>
      <c r="V962" s="97"/>
      <c r="W962" s="94"/>
      <c r="X962" s="98"/>
      <c r="Y962" s="98"/>
      <c r="Z962" s="98"/>
      <c r="AA962" s="98"/>
      <c r="AB962" s="98"/>
      <c r="AC962" s="97"/>
      <c r="AD962" s="99"/>
      <c r="AE962" s="95"/>
      <c r="AF962" s="94"/>
      <c r="AG962" s="89"/>
      <c r="AH962" s="89"/>
      <c r="AI962" s="89"/>
      <c r="AJ962" s="89"/>
      <c r="AK962" s="89"/>
      <c r="AL962" s="89"/>
      <c r="AM962" s="89"/>
      <c r="AN962" s="89"/>
      <c r="AO962" s="89"/>
      <c r="AP962" s="89"/>
      <c r="AQ962" s="89"/>
      <c r="AR962" s="89"/>
      <c r="AS962" s="89"/>
      <c r="AT962" s="89"/>
      <c r="AU962" s="89"/>
      <c r="AV962" s="89"/>
      <c r="AW962" s="100"/>
      <c r="AX962" s="100"/>
      <c r="AY962" s="89"/>
      <c r="AZ962" s="89"/>
      <c r="BA962" s="89"/>
      <c r="BB962" s="89"/>
      <c r="BC962" s="89"/>
      <c r="BD962" s="89"/>
      <c r="BE962" s="89"/>
      <c r="BF962" s="89"/>
      <c r="BG962" s="89"/>
      <c r="BH962" s="89"/>
      <c r="BI962" s="89"/>
      <c r="BJ962" s="89"/>
      <c r="BK962" s="89"/>
      <c r="BL962" s="89"/>
      <c r="BM962" s="89"/>
      <c r="BN962" s="89"/>
      <c r="BO962" s="89"/>
      <c r="BP962" s="89"/>
      <c r="BQ962" s="89"/>
      <c r="BR962" s="89"/>
      <c r="BS962" s="89"/>
    </row>
    <row r="963" spans="1:71" ht="27" customHeight="1" x14ac:dyDescent="0.2">
      <c r="A963" s="93"/>
      <c r="B963" s="89"/>
      <c r="C963" s="89"/>
      <c r="D963" s="89"/>
      <c r="E963" s="89"/>
      <c r="F963" s="89"/>
      <c r="G963" s="89"/>
      <c r="H963" s="94"/>
      <c r="I963" s="94"/>
      <c r="J963" s="94"/>
      <c r="K963" s="94"/>
      <c r="L963" s="94"/>
      <c r="M963" s="94"/>
      <c r="N963" s="94"/>
      <c r="O963" s="94"/>
      <c r="P963" s="94"/>
      <c r="Q963" s="94"/>
      <c r="R963" s="95"/>
      <c r="S963" s="94"/>
      <c r="T963" s="96"/>
      <c r="U963" s="94"/>
      <c r="V963" s="97"/>
      <c r="W963" s="94"/>
      <c r="X963" s="98"/>
      <c r="Y963" s="98"/>
      <c r="Z963" s="98"/>
      <c r="AA963" s="98"/>
      <c r="AB963" s="98"/>
      <c r="AC963" s="97"/>
      <c r="AD963" s="99"/>
      <c r="AE963" s="95"/>
      <c r="AF963" s="94"/>
      <c r="AG963" s="89"/>
      <c r="AH963" s="89"/>
      <c r="AI963" s="89"/>
      <c r="AJ963" s="89"/>
      <c r="AK963" s="89"/>
      <c r="AL963" s="89"/>
      <c r="AM963" s="89"/>
      <c r="AN963" s="89"/>
      <c r="AO963" s="89"/>
      <c r="AP963" s="89"/>
      <c r="AQ963" s="89"/>
      <c r="AR963" s="89"/>
      <c r="AS963" s="89"/>
      <c r="AT963" s="89"/>
      <c r="AU963" s="89"/>
      <c r="AV963" s="89"/>
      <c r="AW963" s="100"/>
      <c r="AX963" s="100"/>
      <c r="AY963" s="89"/>
      <c r="AZ963" s="89"/>
      <c r="BA963" s="89"/>
      <c r="BB963" s="89"/>
      <c r="BC963" s="89"/>
      <c r="BD963" s="89"/>
      <c r="BE963" s="89"/>
      <c r="BF963" s="89"/>
      <c r="BG963" s="89"/>
      <c r="BH963" s="89"/>
      <c r="BI963" s="89"/>
      <c r="BJ963" s="89"/>
      <c r="BK963" s="89"/>
      <c r="BL963" s="89"/>
      <c r="BM963" s="89"/>
      <c r="BN963" s="89"/>
      <c r="BO963" s="89"/>
      <c r="BP963" s="89"/>
      <c r="BQ963" s="89"/>
      <c r="BR963" s="89"/>
      <c r="BS963" s="89"/>
    </row>
    <row r="964" spans="1:71" ht="27" customHeight="1" x14ac:dyDescent="0.2">
      <c r="A964" s="93"/>
      <c r="B964" s="89"/>
      <c r="C964" s="89"/>
      <c r="D964" s="89"/>
      <c r="E964" s="89"/>
      <c r="F964" s="89"/>
      <c r="G964" s="89"/>
      <c r="H964" s="94"/>
      <c r="I964" s="94"/>
      <c r="J964" s="94"/>
      <c r="K964" s="94"/>
      <c r="L964" s="94"/>
      <c r="M964" s="94"/>
      <c r="N964" s="94"/>
      <c r="O964" s="94"/>
      <c r="P964" s="94"/>
      <c r="Q964" s="94"/>
      <c r="R964" s="95"/>
      <c r="S964" s="94"/>
      <c r="T964" s="96"/>
      <c r="U964" s="94"/>
      <c r="V964" s="97"/>
      <c r="W964" s="94"/>
      <c r="X964" s="98"/>
      <c r="Y964" s="98"/>
      <c r="Z964" s="98"/>
      <c r="AA964" s="98"/>
      <c r="AB964" s="98"/>
      <c r="AC964" s="97"/>
      <c r="AD964" s="99"/>
      <c r="AE964" s="95"/>
      <c r="AF964" s="94"/>
      <c r="AG964" s="89"/>
      <c r="AH964" s="89"/>
      <c r="AI964" s="89"/>
      <c r="AJ964" s="89"/>
      <c r="AK964" s="89"/>
      <c r="AL964" s="89"/>
      <c r="AM964" s="89"/>
      <c r="AN964" s="89"/>
      <c r="AO964" s="89"/>
      <c r="AP964" s="89"/>
      <c r="AQ964" s="89"/>
      <c r="AR964" s="89"/>
      <c r="AS964" s="89"/>
      <c r="AT964" s="89"/>
      <c r="AU964" s="89"/>
      <c r="AV964" s="89"/>
      <c r="AW964" s="100"/>
      <c r="AX964" s="100"/>
      <c r="AY964" s="89"/>
      <c r="AZ964" s="89"/>
      <c r="BA964" s="89"/>
      <c r="BB964" s="89"/>
      <c r="BC964" s="89"/>
      <c r="BD964" s="89"/>
      <c r="BE964" s="89"/>
      <c r="BF964" s="89"/>
      <c r="BG964" s="89"/>
      <c r="BH964" s="89"/>
      <c r="BI964" s="89"/>
      <c r="BJ964" s="89"/>
      <c r="BK964" s="89"/>
      <c r="BL964" s="89"/>
      <c r="BM964" s="89"/>
      <c r="BN964" s="89"/>
      <c r="BO964" s="89"/>
      <c r="BP964" s="89"/>
      <c r="BQ964" s="89"/>
      <c r="BR964" s="89"/>
      <c r="BS964" s="89"/>
    </row>
    <row r="965" spans="1:71" ht="27" customHeight="1" x14ac:dyDescent="0.2">
      <c r="A965" s="93"/>
      <c r="B965" s="89"/>
      <c r="C965" s="89"/>
      <c r="D965" s="89"/>
      <c r="E965" s="89"/>
      <c r="F965" s="89"/>
      <c r="G965" s="89"/>
      <c r="H965" s="94"/>
      <c r="I965" s="94"/>
      <c r="J965" s="94"/>
      <c r="K965" s="94"/>
      <c r="L965" s="94"/>
      <c r="M965" s="94"/>
      <c r="N965" s="94"/>
      <c r="O965" s="94"/>
      <c r="P965" s="94"/>
      <c r="Q965" s="94"/>
      <c r="R965" s="95"/>
      <c r="S965" s="94"/>
      <c r="T965" s="96"/>
      <c r="U965" s="94"/>
      <c r="V965" s="97"/>
      <c r="W965" s="94"/>
      <c r="X965" s="98"/>
      <c r="Y965" s="98"/>
      <c r="Z965" s="98"/>
      <c r="AA965" s="98"/>
      <c r="AB965" s="98"/>
      <c r="AC965" s="97"/>
      <c r="AD965" s="99"/>
      <c r="AE965" s="95"/>
      <c r="AF965" s="94"/>
      <c r="AG965" s="89"/>
      <c r="AH965" s="89"/>
      <c r="AI965" s="89"/>
      <c r="AJ965" s="89"/>
      <c r="AK965" s="89"/>
      <c r="AL965" s="89"/>
      <c r="AM965" s="89"/>
      <c r="AN965" s="89"/>
      <c r="AO965" s="89"/>
      <c r="AP965" s="89"/>
      <c r="AQ965" s="89"/>
      <c r="AR965" s="89"/>
      <c r="AS965" s="89"/>
      <c r="AT965" s="89"/>
      <c r="AU965" s="89"/>
      <c r="AV965" s="89"/>
      <c r="AW965" s="100"/>
      <c r="AX965" s="100"/>
      <c r="AY965" s="89"/>
      <c r="AZ965" s="89"/>
      <c r="BA965" s="89"/>
      <c r="BB965" s="89"/>
      <c r="BC965" s="89"/>
      <c r="BD965" s="89"/>
      <c r="BE965" s="89"/>
      <c r="BF965" s="89"/>
      <c r="BG965" s="89"/>
      <c r="BH965" s="89"/>
      <c r="BI965" s="89"/>
      <c r="BJ965" s="89"/>
      <c r="BK965" s="89"/>
      <c r="BL965" s="89"/>
      <c r="BM965" s="89"/>
      <c r="BN965" s="89"/>
      <c r="BO965" s="89"/>
      <c r="BP965" s="89"/>
      <c r="BQ965" s="89"/>
      <c r="BR965" s="89"/>
      <c r="BS965" s="89"/>
    </row>
    <row r="966" spans="1:71" ht="27" customHeight="1" x14ac:dyDescent="0.2">
      <c r="A966" s="93"/>
      <c r="B966" s="89"/>
      <c r="C966" s="89"/>
      <c r="D966" s="89"/>
      <c r="E966" s="89"/>
      <c r="F966" s="89"/>
      <c r="G966" s="89"/>
      <c r="H966" s="94"/>
      <c r="I966" s="94"/>
      <c r="J966" s="94"/>
      <c r="K966" s="94"/>
      <c r="L966" s="94"/>
      <c r="M966" s="94"/>
      <c r="N966" s="94"/>
      <c r="O966" s="94"/>
      <c r="P966" s="94"/>
      <c r="Q966" s="94"/>
      <c r="R966" s="95"/>
      <c r="S966" s="94"/>
      <c r="T966" s="96"/>
      <c r="U966" s="94"/>
      <c r="V966" s="97"/>
      <c r="W966" s="94"/>
      <c r="X966" s="98"/>
      <c r="Y966" s="98"/>
      <c r="Z966" s="98"/>
      <c r="AA966" s="98"/>
      <c r="AB966" s="98"/>
      <c r="AC966" s="97"/>
      <c r="AD966" s="99"/>
      <c r="AE966" s="95"/>
      <c r="AF966" s="94"/>
      <c r="AG966" s="89"/>
      <c r="AH966" s="89"/>
      <c r="AI966" s="89"/>
      <c r="AJ966" s="89"/>
      <c r="AK966" s="89"/>
      <c r="AL966" s="89"/>
      <c r="AM966" s="89"/>
      <c r="AN966" s="89"/>
      <c r="AO966" s="89"/>
      <c r="AP966" s="89"/>
      <c r="AQ966" s="89"/>
      <c r="AR966" s="89"/>
      <c r="AS966" s="89"/>
      <c r="AT966" s="89"/>
      <c r="AU966" s="89"/>
      <c r="AV966" s="89"/>
      <c r="AW966" s="100"/>
      <c r="AX966" s="100"/>
      <c r="AY966" s="89"/>
      <c r="AZ966" s="89"/>
      <c r="BA966" s="89"/>
      <c r="BB966" s="89"/>
      <c r="BC966" s="89"/>
      <c r="BD966" s="89"/>
      <c r="BE966" s="89"/>
      <c r="BF966" s="89"/>
      <c r="BG966" s="89"/>
      <c r="BH966" s="89"/>
      <c r="BI966" s="89"/>
      <c r="BJ966" s="89"/>
      <c r="BK966" s="89"/>
      <c r="BL966" s="89"/>
      <c r="BM966" s="89"/>
      <c r="BN966" s="89"/>
      <c r="BO966" s="89"/>
      <c r="BP966" s="89"/>
      <c r="BQ966" s="89"/>
      <c r="BR966" s="89"/>
      <c r="BS966" s="89"/>
    </row>
    <row r="967" spans="1:71" ht="27" customHeight="1" x14ac:dyDescent="0.2">
      <c r="A967" s="93"/>
      <c r="B967" s="89"/>
      <c r="C967" s="89"/>
      <c r="D967" s="89"/>
      <c r="E967" s="89"/>
      <c r="F967" s="89"/>
      <c r="G967" s="89"/>
      <c r="H967" s="94"/>
      <c r="I967" s="94"/>
      <c r="J967" s="94"/>
      <c r="K967" s="94"/>
      <c r="L967" s="94"/>
      <c r="M967" s="94"/>
      <c r="N967" s="94"/>
      <c r="O967" s="94"/>
      <c r="P967" s="94"/>
      <c r="Q967" s="94"/>
      <c r="R967" s="95"/>
      <c r="S967" s="94"/>
      <c r="T967" s="96"/>
      <c r="U967" s="94"/>
      <c r="V967" s="97"/>
      <c r="W967" s="94"/>
      <c r="X967" s="98"/>
      <c r="Y967" s="98"/>
      <c r="Z967" s="98"/>
      <c r="AA967" s="98"/>
      <c r="AB967" s="98"/>
      <c r="AC967" s="97"/>
      <c r="AD967" s="99"/>
      <c r="AE967" s="95"/>
      <c r="AF967" s="94"/>
      <c r="AG967" s="89"/>
      <c r="AH967" s="89"/>
      <c r="AI967" s="89"/>
      <c r="AJ967" s="89"/>
      <c r="AK967" s="89"/>
      <c r="AL967" s="89"/>
      <c r="AM967" s="89"/>
      <c r="AN967" s="89"/>
      <c r="AO967" s="89"/>
      <c r="AP967" s="89"/>
      <c r="AQ967" s="89"/>
      <c r="AR967" s="89"/>
      <c r="AS967" s="89"/>
      <c r="AT967" s="89"/>
      <c r="AU967" s="89"/>
      <c r="AV967" s="89"/>
      <c r="AW967" s="100"/>
      <c r="AX967" s="100"/>
      <c r="AY967" s="89"/>
      <c r="AZ967" s="89"/>
      <c r="BA967" s="89"/>
      <c r="BB967" s="89"/>
      <c r="BC967" s="89"/>
      <c r="BD967" s="89"/>
      <c r="BE967" s="89"/>
      <c r="BF967" s="89"/>
      <c r="BG967" s="89"/>
      <c r="BH967" s="89"/>
      <c r="BI967" s="89"/>
      <c r="BJ967" s="89"/>
      <c r="BK967" s="89"/>
      <c r="BL967" s="89"/>
      <c r="BM967" s="89"/>
      <c r="BN967" s="89"/>
      <c r="BO967" s="89"/>
      <c r="BP967" s="89"/>
      <c r="BQ967" s="89"/>
      <c r="BR967" s="89"/>
      <c r="BS967" s="89"/>
    </row>
    <row r="968" spans="1:71" ht="27" customHeight="1" x14ac:dyDescent="0.2">
      <c r="A968" s="93"/>
      <c r="B968" s="89"/>
      <c r="C968" s="89"/>
      <c r="D968" s="89"/>
      <c r="E968" s="89"/>
      <c r="F968" s="89"/>
      <c r="G968" s="89"/>
      <c r="H968" s="94"/>
      <c r="I968" s="94"/>
      <c r="J968" s="94"/>
      <c r="K968" s="94"/>
      <c r="L968" s="94"/>
      <c r="M968" s="94"/>
      <c r="N968" s="94"/>
      <c r="O968" s="94"/>
      <c r="P968" s="94"/>
      <c r="Q968" s="94"/>
      <c r="R968" s="95"/>
      <c r="S968" s="94"/>
      <c r="T968" s="96"/>
      <c r="U968" s="94"/>
      <c r="V968" s="97"/>
      <c r="W968" s="94"/>
      <c r="X968" s="98"/>
      <c r="Y968" s="98"/>
      <c r="Z968" s="98"/>
      <c r="AA968" s="98"/>
      <c r="AB968" s="98"/>
      <c r="AC968" s="97"/>
      <c r="AD968" s="99"/>
      <c r="AE968" s="95"/>
      <c r="AF968" s="94"/>
      <c r="AG968" s="89"/>
      <c r="AH968" s="89"/>
      <c r="AI968" s="89"/>
      <c r="AJ968" s="89"/>
      <c r="AK968" s="89"/>
      <c r="AL968" s="89"/>
      <c r="AM968" s="89"/>
      <c r="AN968" s="89"/>
      <c r="AO968" s="89"/>
      <c r="AP968" s="89"/>
      <c r="AQ968" s="89"/>
      <c r="AR968" s="89"/>
      <c r="AS968" s="89"/>
      <c r="AT968" s="89"/>
      <c r="AU968" s="89"/>
      <c r="AV968" s="89"/>
      <c r="AW968" s="100"/>
      <c r="AX968" s="100"/>
      <c r="AY968" s="89"/>
      <c r="AZ968" s="89"/>
      <c r="BA968" s="89"/>
      <c r="BB968" s="89"/>
      <c r="BC968" s="89"/>
      <c r="BD968" s="89"/>
      <c r="BE968" s="89"/>
      <c r="BF968" s="89"/>
      <c r="BG968" s="89"/>
      <c r="BH968" s="89"/>
      <c r="BI968" s="89"/>
      <c r="BJ968" s="89"/>
      <c r="BK968" s="89"/>
      <c r="BL968" s="89"/>
      <c r="BM968" s="89"/>
      <c r="BN968" s="89"/>
      <c r="BO968" s="89"/>
      <c r="BP968" s="89"/>
      <c r="BQ968" s="89"/>
      <c r="BR968" s="89"/>
      <c r="BS968" s="89"/>
    </row>
    <row r="969" spans="1:71" ht="27" customHeight="1" x14ac:dyDescent="0.2">
      <c r="A969" s="93"/>
      <c r="B969" s="89"/>
      <c r="C969" s="89"/>
      <c r="D969" s="89"/>
      <c r="E969" s="89"/>
      <c r="F969" s="89"/>
      <c r="G969" s="89"/>
      <c r="H969" s="94"/>
      <c r="I969" s="94"/>
      <c r="J969" s="94"/>
      <c r="K969" s="94"/>
      <c r="L969" s="94"/>
      <c r="M969" s="94"/>
      <c r="N969" s="94"/>
      <c r="O969" s="94"/>
      <c r="P969" s="94"/>
      <c r="Q969" s="94"/>
      <c r="R969" s="95"/>
      <c r="S969" s="94"/>
      <c r="T969" s="96"/>
      <c r="U969" s="94"/>
      <c r="V969" s="97"/>
      <c r="W969" s="94"/>
      <c r="X969" s="98"/>
      <c r="Y969" s="98"/>
      <c r="Z969" s="98"/>
      <c r="AA969" s="98"/>
      <c r="AB969" s="98"/>
      <c r="AC969" s="97"/>
      <c r="AD969" s="99"/>
      <c r="AE969" s="95"/>
      <c r="AF969" s="94"/>
      <c r="AG969" s="89"/>
      <c r="AH969" s="89"/>
      <c r="AI969" s="89"/>
      <c r="AJ969" s="89"/>
      <c r="AK969" s="89"/>
      <c r="AL969" s="89"/>
      <c r="AM969" s="89"/>
      <c r="AN969" s="89"/>
      <c r="AO969" s="89"/>
      <c r="AP969" s="89"/>
      <c r="AQ969" s="89"/>
      <c r="AR969" s="89"/>
      <c r="AS969" s="89"/>
      <c r="AT969" s="89"/>
      <c r="AU969" s="89"/>
      <c r="AV969" s="89"/>
      <c r="AW969" s="100"/>
      <c r="AX969" s="100"/>
      <c r="AY969" s="89"/>
      <c r="AZ969" s="89"/>
      <c r="BA969" s="89"/>
      <c r="BB969" s="89"/>
      <c r="BC969" s="89"/>
      <c r="BD969" s="89"/>
      <c r="BE969" s="89"/>
      <c r="BF969" s="89"/>
      <c r="BG969" s="89"/>
      <c r="BH969" s="89"/>
      <c r="BI969" s="89"/>
      <c r="BJ969" s="89"/>
      <c r="BK969" s="89"/>
      <c r="BL969" s="89"/>
      <c r="BM969" s="89"/>
      <c r="BN969" s="89"/>
      <c r="BO969" s="89"/>
      <c r="BP969" s="89"/>
      <c r="BQ969" s="89"/>
      <c r="BR969" s="89"/>
      <c r="BS969" s="89"/>
    </row>
    <row r="970" spans="1:71" ht="27" customHeight="1" x14ac:dyDescent="0.2">
      <c r="A970" s="93"/>
      <c r="B970" s="89"/>
      <c r="C970" s="89"/>
      <c r="D970" s="89"/>
      <c r="E970" s="89"/>
      <c r="F970" s="89"/>
      <c r="G970" s="89"/>
      <c r="H970" s="94"/>
      <c r="I970" s="94"/>
      <c r="J970" s="94"/>
      <c r="K970" s="94"/>
      <c r="L970" s="94"/>
      <c r="M970" s="94"/>
      <c r="N970" s="94"/>
      <c r="O970" s="94"/>
      <c r="P970" s="94"/>
      <c r="Q970" s="94"/>
      <c r="R970" s="95"/>
      <c r="S970" s="94"/>
      <c r="T970" s="96"/>
      <c r="U970" s="94"/>
      <c r="V970" s="97"/>
      <c r="W970" s="94"/>
      <c r="X970" s="98"/>
      <c r="Y970" s="98"/>
      <c r="Z970" s="98"/>
      <c r="AA970" s="98"/>
      <c r="AB970" s="98"/>
      <c r="AC970" s="97"/>
      <c r="AD970" s="99"/>
      <c r="AE970" s="95"/>
      <c r="AF970" s="94"/>
      <c r="AG970" s="89"/>
      <c r="AH970" s="89"/>
      <c r="AI970" s="89"/>
      <c r="AJ970" s="89"/>
      <c r="AK970" s="89"/>
      <c r="AL970" s="89"/>
      <c r="AM970" s="89"/>
      <c r="AN970" s="89"/>
      <c r="AO970" s="89"/>
      <c r="AP970" s="89"/>
      <c r="AQ970" s="89"/>
      <c r="AR970" s="89"/>
      <c r="AS970" s="89"/>
      <c r="AT970" s="89"/>
      <c r="AU970" s="89"/>
      <c r="AV970" s="89"/>
      <c r="AW970" s="100"/>
      <c r="AX970" s="100"/>
      <c r="AY970" s="89"/>
      <c r="AZ970" s="89"/>
      <c r="BA970" s="89"/>
      <c r="BB970" s="89"/>
      <c r="BC970" s="89"/>
      <c r="BD970" s="89"/>
      <c r="BE970" s="89"/>
      <c r="BF970" s="89"/>
      <c r="BG970" s="89"/>
      <c r="BH970" s="89"/>
      <c r="BI970" s="89"/>
      <c r="BJ970" s="89"/>
      <c r="BK970" s="89"/>
      <c r="BL970" s="89"/>
      <c r="BM970" s="89"/>
      <c r="BN970" s="89"/>
      <c r="BO970" s="89"/>
      <c r="BP970" s="89"/>
      <c r="BQ970" s="89"/>
      <c r="BR970" s="89"/>
      <c r="BS970" s="89"/>
    </row>
    <row r="971" spans="1:71" ht="27" customHeight="1" x14ac:dyDescent="0.2">
      <c r="A971" s="93"/>
      <c r="B971" s="89"/>
      <c r="C971" s="89"/>
      <c r="D971" s="89"/>
      <c r="E971" s="89"/>
      <c r="F971" s="89"/>
      <c r="G971" s="89"/>
      <c r="H971" s="94"/>
      <c r="I971" s="94"/>
      <c r="J971" s="94"/>
      <c r="K971" s="94"/>
      <c r="L971" s="94"/>
      <c r="M971" s="94"/>
      <c r="N971" s="94"/>
      <c r="O971" s="94"/>
      <c r="P971" s="94"/>
      <c r="Q971" s="94"/>
      <c r="R971" s="95"/>
      <c r="S971" s="94"/>
      <c r="T971" s="96"/>
      <c r="U971" s="94"/>
      <c r="V971" s="97"/>
      <c r="W971" s="94"/>
      <c r="X971" s="98"/>
      <c r="Y971" s="98"/>
      <c r="Z971" s="98"/>
      <c r="AA971" s="98"/>
      <c r="AB971" s="98"/>
      <c r="AC971" s="97"/>
      <c r="AD971" s="99"/>
      <c r="AE971" s="95"/>
      <c r="AF971" s="94"/>
      <c r="AG971" s="89"/>
      <c r="AH971" s="89"/>
      <c r="AI971" s="89"/>
      <c r="AJ971" s="89"/>
      <c r="AK971" s="89"/>
      <c r="AL971" s="89"/>
      <c r="AM971" s="89"/>
      <c r="AN971" s="89"/>
      <c r="AO971" s="89"/>
      <c r="AP971" s="89"/>
      <c r="AQ971" s="89"/>
      <c r="AR971" s="89"/>
      <c r="AS971" s="89"/>
      <c r="AT971" s="89"/>
      <c r="AU971" s="89"/>
      <c r="AV971" s="89"/>
      <c r="AW971" s="100"/>
      <c r="AX971" s="100"/>
      <c r="AY971" s="89"/>
      <c r="AZ971" s="89"/>
      <c r="BA971" s="89"/>
      <c r="BB971" s="89"/>
      <c r="BC971" s="89"/>
      <c r="BD971" s="89"/>
      <c r="BE971" s="89"/>
      <c r="BF971" s="89"/>
      <c r="BG971" s="89"/>
      <c r="BH971" s="89"/>
      <c r="BI971" s="89"/>
      <c r="BJ971" s="89"/>
      <c r="BK971" s="89"/>
      <c r="BL971" s="89"/>
      <c r="BM971" s="89"/>
      <c r="BN971" s="89"/>
      <c r="BO971" s="89"/>
      <c r="BP971" s="89"/>
      <c r="BQ971" s="89"/>
      <c r="BR971" s="89"/>
      <c r="BS971" s="89"/>
    </row>
    <row r="972" spans="1:71" ht="27" customHeight="1" x14ac:dyDescent="0.2">
      <c r="A972" s="93"/>
      <c r="B972" s="89"/>
      <c r="C972" s="89"/>
      <c r="D972" s="89"/>
      <c r="E972" s="89"/>
      <c r="F972" s="89"/>
      <c r="G972" s="89"/>
      <c r="H972" s="94"/>
      <c r="I972" s="94"/>
      <c r="J972" s="94"/>
      <c r="K972" s="94"/>
      <c r="L972" s="94"/>
      <c r="M972" s="94"/>
      <c r="N972" s="94"/>
      <c r="O972" s="94"/>
      <c r="P972" s="94"/>
      <c r="Q972" s="94"/>
      <c r="R972" s="95"/>
      <c r="S972" s="94"/>
      <c r="T972" s="96"/>
      <c r="U972" s="94"/>
      <c r="V972" s="97"/>
      <c r="W972" s="94"/>
      <c r="X972" s="98"/>
      <c r="Y972" s="98"/>
      <c r="Z972" s="98"/>
      <c r="AA972" s="98"/>
      <c r="AB972" s="98"/>
      <c r="AC972" s="97"/>
      <c r="AD972" s="99"/>
      <c r="AE972" s="95"/>
      <c r="AF972" s="94"/>
      <c r="AG972" s="89"/>
      <c r="AH972" s="89"/>
      <c r="AI972" s="89"/>
      <c r="AJ972" s="89"/>
      <c r="AK972" s="89"/>
      <c r="AL972" s="89"/>
      <c r="AM972" s="89"/>
      <c r="AN972" s="89"/>
      <c r="AO972" s="89"/>
      <c r="AP972" s="89"/>
      <c r="AQ972" s="89"/>
      <c r="AR972" s="89"/>
      <c r="AS972" s="89"/>
      <c r="AT972" s="89"/>
      <c r="AU972" s="89"/>
      <c r="AV972" s="89"/>
      <c r="AW972" s="100"/>
      <c r="AX972" s="100"/>
      <c r="AY972" s="89"/>
      <c r="AZ972" s="89"/>
      <c r="BA972" s="89"/>
      <c r="BB972" s="89"/>
      <c r="BC972" s="89"/>
      <c r="BD972" s="89"/>
      <c r="BE972" s="89"/>
      <c r="BF972" s="89"/>
      <c r="BG972" s="89"/>
      <c r="BH972" s="89"/>
      <c r="BI972" s="89"/>
      <c r="BJ972" s="89"/>
      <c r="BK972" s="89"/>
      <c r="BL972" s="89"/>
      <c r="BM972" s="89"/>
      <c r="BN972" s="89"/>
      <c r="BO972" s="89"/>
      <c r="BP972" s="89"/>
      <c r="BQ972" s="89"/>
      <c r="BR972" s="89"/>
      <c r="BS972" s="89"/>
    </row>
    <row r="973" spans="1:71" ht="27" customHeight="1" x14ac:dyDescent="0.2">
      <c r="A973" s="93"/>
      <c r="B973" s="89"/>
      <c r="C973" s="89"/>
      <c r="D973" s="89"/>
      <c r="E973" s="89"/>
      <c r="F973" s="89"/>
      <c r="G973" s="89"/>
      <c r="H973" s="94"/>
      <c r="I973" s="94"/>
      <c r="J973" s="94"/>
      <c r="K973" s="94"/>
      <c r="L973" s="94"/>
      <c r="M973" s="94"/>
      <c r="N973" s="94"/>
      <c r="O973" s="94"/>
      <c r="P973" s="94"/>
      <c r="Q973" s="94"/>
      <c r="R973" s="95"/>
      <c r="S973" s="94"/>
      <c r="T973" s="96"/>
      <c r="U973" s="94"/>
      <c r="V973" s="97"/>
      <c r="W973" s="94"/>
      <c r="X973" s="98"/>
      <c r="Y973" s="98"/>
      <c r="Z973" s="98"/>
      <c r="AA973" s="98"/>
      <c r="AB973" s="98"/>
      <c r="AC973" s="97"/>
      <c r="AD973" s="99"/>
      <c r="AE973" s="95"/>
      <c r="AF973" s="94"/>
      <c r="AG973" s="89"/>
      <c r="AH973" s="89"/>
      <c r="AI973" s="89"/>
      <c r="AJ973" s="89"/>
      <c r="AK973" s="89"/>
      <c r="AL973" s="89"/>
      <c r="AM973" s="89"/>
      <c r="AN973" s="89"/>
      <c r="AO973" s="89"/>
      <c r="AP973" s="89"/>
      <c r="AQ973" s="89"/>
      <c r="AR973" s="89"/>
      <c r="AS973" s="89"/>
      <c r="AT973" s="89"/>
      <c r="AU973" s="89"/>
      <c r="AV973" s="89"/>
      <c r="AW973" s="100"/>
      <c r="AX973" s="100"/>
      <c r="AY973" s="89"/>
      <c r="AZ973" s="89"/>
      <c r="BA973" s="89"/>
      <c r="BB973" s="89"/>
      <c r="BC973" s="89"/>
      <c r="BD973" s="89"/>
      <c r="BE973" s="89"/>
      <c r="BF973" s="89"/>
      <c r="BG973" s="89"/>
      <c r="BH973" s="89"/>
      <c r="BI973" s="89"/>
      <c r="BJ973" s="89"/>
      <c r="BK973" s="89"/>
      <c r="BL973" s="89"/>
      <c r="BM973" s="89"/>
      <c r="BN973" s="89"/>
      <c r="BO973" s="89"/>
      <c r="BP973" s="89"/>
      <c r="BQ973" s="89"/>
      <c r="BR973" s="89"/>
      <c r="BS973" s="89"/>
    </row>
    <row r="974" spans="1:71" ht="27" customHeight="1" x14ac:dyDescent="0.2">
      <c r="A974" s="93"/>
      <c r="B974" s="89"/>
      <c r="C974" s="89"/>
      <c r="D974" s="89"/>
      <c r="E974" s="89"/>
      <c r="F974" s="89"/>
      <c r="G974" s="89"/>
      <c r="H974" s="94"/>
      <c r="I974" s="94"/>
      <c r="J974" s="94"/>
      <c r="K974" s="94"/>
      <c r="L974" s="94"/>
      <c r="M974" s="94"/>
      <c r="N974" s="94"/>
      <c r="O974" s="94"/>
      <c r="P974" s="94"/>
      <c r="Q974" s="94"/>
      <c r="R974" s="95"/>
      <c r="S974" s="94"/>
      <c r="T974" s="96"/>
      <c r="U974" s="94"/>
      <c r="V974" s="97"/>
      <c r="W974" s="94"/>
      <c r="X974" s="98"/>
      <c r="Y974" s="98"/>
      <c r="Z974" s="98"/>
      <c r="AA974" s="98"/>
      <c r="AB974" s="98"/>
      <c r="AC974" s="97"/>
      <c r="AD974" s="99"/>
      <c r="AE974" s="95"/>
      <c r="AF974" s="94"/>
      <c r="AG974" s="89"/>
      <c r="AH974" s="89"/>
      <c r="AI974" s="89"/>
      <c r="AJ974" s="89"/>
      <c r="AK974" s="89"/>
      <c r="AL974" s="89"/>
      <c r="AM974" s="89"/>
      <c r="AN974" s="89"/>
      <c r="AO974" s="89"/>
      <c r="AP974" s="89"/>
      <c r="AQ974" s="89"/>
      <c r="AR974" s="89"/>
      <c r="AS974" s="89"/>
      <c r="AT974" s="89"/>
      <c r="AU974" s="89"/>
      <c r="AV974" s="89"/>
      <c r="AW974" s="100"/>
      <c r="AX974" s="100"/>
      <c r="AY974" s="89"/>
      <c r="AZ974" s="89"/>
      <c r="BA974" s="89"/>
      <c r="BB974" s="89"/>
      <c r="BC974" s="89"/>
      <c r="BD974" s="89"/>
      <c r="BE974" s="89"/>
      <c r="BF974" s="89"/>
      <c r="BG974" s="89"/>
      <c r="BH974" s="89"/>
      <c r="BI974" s="89"/>
      <c r="BJ974" s="89"/>
      <c r="BK974" s="89"/>
      <c r="BL974" s="89"/>
      <c r="BM974" s="89"/>
      <c r="BN974" s="89"/>
      <c r="BO974" s="89"/>
      <c r="BP974" s="89"/>
      <c r="BQ974" s="89"/>
      <c r="BR974" s="89"/>
      <c r="BS974" s="89"/>
    </row>
    <row r="975" spans="1:71" ht="27" customHeight="1" x14ac:dyDescent="0.2">
      <c r="A975" s="93"/>
      <c r="B975" s="89"/>
      <c r="C975" s="89"/>
      <c r="D975" s="89"/>
      <c r="E975" s="89"/>
      <c r="F975" s="89"/>
      <c r="G975" s="89"/>
      <c r="H975" s="94"/>
      <c r="I975" s="94"/>
      <c r="J975" s="94"/>
      <c r="K975" s="94"/>
      <c r="L975" s="94"/>
      <c r="M975" s="94"/>
      <c r="N975" s="94"/>
      <c r="O975" s="94"/>
      <c r="P975" s="94"/>
      <c r="Q975" s="94"/>
      <c r="R975" s="95"/>
      <c r="S975" s="94"/>
      <c r="T975" s="96"/>
      <c r="U975" s="94"/>
      <c r="V975" s="97"/>
      <c r="W975" s="94"/>
      <c r="X975" s="98"/>
      <c r="Y975" s="98"/>
      <c r="Z975" s="98"/>
      <c r="AA975" s="98"/>
      <c r="AB975" s="98"/>
      <c r="AC975" s="97"/>
      <c r="AD975" s="99"/>
      <c r="AE975" s="95"/>
      <c r="AF975" s="94"/>
      <c r="AG975" s="89"/>
      <c r="AH975" s="89"/>
      <c r="AI975" s="89"/>
      <c r="AJ975" s="89"/>
      <c r="AK975" s="89"/>
      <c r="AL975" s="89"/>
      <c r="AM975" s="89"/>
      <c r="AN975" s="89"/>
      <c r="AO975" s="89"/>
      <c r="AP975" s="89"/>
      <c r="AQ975" s="89"/>
      <c r="AR975" s="89"/>
      <c r="AS975" s="89"/>
      <c r="AT975" s="89"/>
      <c r="AU975" s="89"/>
      <c r="AV975" s="89"/>
      <c r="AW975" s="100"/>
      <c r="AX975" s="100"/>
      <c r="AY975" s="89"/>
      <c r="AZ975" s="89"/>
      <c r="BA975" s="89"/>
      <c r="BB975" s="89"/>
      <c r="BC975" s="89"/>
      <c r="BD975" s="89"/>
      <c r="BE975" s="89"/>
      <c r="BF975" s="89"/>
      <c r="BG975" s="89"/>
      <c r="BH975" s="89"/>
      <c r="BI975" s="89"/>
      <c r="BJ975" s="89"/>
      <c r="BK975" s="89"/>
      <c r="BL975" s="89"/>
      <c r="BM975" s="89"/>
      <c r="BN975" s="89"/>
      <c r="BO975" s="89"/>
      <c r="BP975" s="89"/>
      <c r="BQ975" s="89"/>
      <c r="BR975" s="89"/>
      <c r="BS975" s="89"/>
    </row>
    <row r="976" spans="1:71" ht="27" customHeight="1" x14ac:dyDescent="0.2">
      <c r="A976" s="93"/>
      <c r="B976" s="89"/>
      <c r="C976" s="89"/>
      <c r="D976" s="89"/>
      <c r="E976" s="89"/>
      <c r="F976" s="89"/>
      <c r="G976" s="89"/>
      <c r="H976" s="94"/>
      <c r="I976" s="94"/>
      <c r="J976" s="94"/>
      <c r="K976" s="94"/>
      <c r="L976" s="94"/>
      <c r="M976" s="94"/>
      <c r="N976" s="94"/>
      <c r="O976" s="94"/>
      <c r="P976" s="94"/>
      <c r="Q976" s="94"/>
      <c r="R976" s="95"/>
      <c r="S976" s="94"/>
      <c r="T976" s="96"/>
      <c r="U976" s="94"/>
      <c r="V976" s="97"/>
      <c r="W976" s="94"/>
      <c r="X976" s="98"/>
      <c r="Y976" s="98"/>
      <c r="Z976" s="98"/>
      <c r="AA976" s="98"/>
      <c r="AB976" s="98"/>
      <c r="AC976" s="97"/>
      <c r="AD976" s="99"/>
      <c r="AE976" s="95"/>
      <c r="AF976" s="94"/>
      <c r="AG976" s="89"/>
      <c r="AH976" s="89"/>
      <c r="AI976" s="89"/>
      <c r="AJ976" s="89"/>
      <c r="AK976" s="89"/>
      <c r="AL976" s="89"/>
      <c r="AM976" s="89"/>
      <c r="AN976" s="89"/>
      <c r="AO976" s="89"/>
      <c r="AP976" s="89"/>
      <c r="AQ976" s="89"/>
      <c r="AR976" s="89"/>
      <c r="AS976" s="89"/>
      <c r="AT976" s="89"/>
      <c r="AU976" s="89"/>
      <c r="AV976" s="89"/>
      <c r="AW976" s="100"/>
      <c r="AX976" s="100"/>
      <c r="AY976" s="89"/>
      <c r="AZ976" s="89"/>
      <c r="BA976" s="89"/>
      <c r="BB976" s="89"/>
      <c r="BC976" s="89"/>
      <c r="BD976" s="89"/>
      <c r="BE976" s="89"/>
      <c r="BF976" s="89"/>
      <c r="BG976" s="89"/>
      <c r="BH976" s="89"/>
      <c r="BI976" s="89"/>
      <c r="BJ976" s="89"/>
      <c r="BK976" s="89"/>
      <c r="BL976" s="89"/>
      <c r="BM976" s="89"/>
      <c r="BN976" s="89"/>
      <c r="BO976" s="89"/>
      <c r="BP976" s="89"/>
      <c r="BQ976" s="89"/>
      <c r="BR976" s="89"/>
      <c r="BS976" s="89"/>
    </row>
    <row r="977" spans="1:71" ht="27" customHeight="1" x14ac:dyDescent="0.2">
      <c r="A977" s="93"/>
      <c r="B977" s="89"/>
      <c r="C977" s="89"/>
      <c r="D977" s="89"/>
      <c r="E977" s="89"/>
      <c r="F977" s="89"/>
      <c r="G977" s="89"/>
      <c r="H977" s="94"/>
      <c r="I977" s="94"/>
      <c r="J977" s="94"/>
      <c r="K977" s="94"/>
      <c r="L977" s="94"/>
      <c r="M977" s="94"/>
      <c r="N977" s="94"/>
      <c r="O977" s="94"/>
      <c r="P977" s="94"/>
      <c r="Q977" s="94"/>
      <c r="R977" s="95"/>
      <c r="S977" s="94"/>
      <c r="T977" s="96"/>
      <c r="U977" s="94"/>
      <c r="V977" s="97"/>
      <c r="W977" s="94"/>
      <c r="X977" s="98"/>
      <c r="Y977" s="98"/>
      <c r="Z977" s="98"/>
      <c r="AA977" s="98"/>
      <c r="AB977" s="98"/>
      <c r="AC977" s="97"/>
      <c r="AD977" s="99"/>
      <c r="AE977" s="95"/>
      <c r="AF977" s="94"/>
      <c r="AG977" s="89"/>
      <c r="AH977" s="89"/>
      <c r="AI977" s="89"/>
      <c r="AJ977" s="89"/>
      <c r="AK977" s="89"/>
      <c r="AL977" s="89"/>
      <c r="AM977" s="89"/>
      <c r="AN977" s="89"/>
      <c r="AO977" s="89"/>
      <c r="AP977" s="89"/>
      <c r="AQ977" s="89"/>
      <c r="AR977" s="89"/>
      <c r="AS977" s="89"/>
      <c r="AT977" s="89"/>
      <c r="AU977" s="89"/>
      <c r="AV977" s="89"/>
      <c r="AW977" s="100"/>
      <c r="AX977" s="100"/>
      <c r="AY977" s="89"/>
      <c r="AZ977" s="89"/>
      <c r="BA977" s="89"/>
      <c r="BB977" s="89"/>
      <c r="BC977" s="89"/>
      <c r="BD977" s="89"/>
      <c r="BE977" s="89"/>
      <c r="BF977" s="89"/>
      <c r="BG977" s="89"/>
      <c r="BH977" s="89"/>
      <c r="BI977" s="89"/>
      <c r="BJ977" s="89"/>
      <c r="BK977" s="89"/>
      <c r="BL977" s="89"/>
      <c r="BM977" s="89"/>
      <c r="BN977" s="89"/>
      <c r="BO977" s="89"/>
      <c r="BP977" s="89"/>
      <c r="BQ977" s="89"/>
      <c r="BR977" s="89"/>
      <c r="BS977" s="89"/>
    </row>
    <row r="978" spans="1:71" ht="27" customHeight="1" x14ac:dyDescent="0.2">
      <c r="A978" s="93"/>
      <c r="B978" s="89"/>
      <c r="C978" s="89"/>
      <c r="D978" s="89"/>
      <c r="E978" s="89"/>
      <c r="F978" s="89"/>
      <c r="G978" s="89"/>
      <c r="H978" s="94"/>
      <c r="I978" s="94"/>
      <c r="J978" s="94"/>
      <c r="K978" s="94"/>
      <c r="L978" s="94"/>
      <c r="M978" s="94"/>
      <c r="N978" s="94"/>
      <c r="O978" s="94"/>
      <c r="P978" s="94"/>
      <c r="Q978" s="94"/>
      <c r="R978" s="95"/>
      <c r="S978" s="94"/>
      <c r="T978" s="96"/>
      <c r="U978" s="94"/>
      <c r="V978" s="97"/>
      <c r="W978" s="94"/>
      <c r="X978" s="98"/>
      <c r="Y978" s="98"/>
      <c r="Z978" s="98"/>
      <c r="AA978" s="98"/>
      <c r="AB978" s="98"/>
      <c r="AC978" s="97"/>
      <c r="AD978" s="99"/>
      <c r="AE978" s="95"/>
      <c r="AF978" s="94"/>
      <c r="AG978" s="89"/>
      <c r="AH978" s="89"/>
      <c r="AI978" s="89"/>
      <c r="AJ978" s="89"/>
      <c r="AK978" s="89"/>
      <c r="AL978" s="89"/>
      <c r="AM978" s="89"/>
      <c r="AN978" s="89"/>
      <c r="AO978" s="89"/>
      <c r="AP978" s="89"/>
      <c r="AQ978" s="89"/>
      <c r="AR978" s="89"/>
      <c r="AS978" s="89"/>
      <c r="AT978" s="89"/>
      <c r="AU978" s="89"/>
      <c r="AV978" s="89"/>
      <c r="AW978" s="100"/>
      <c r="AX978" s="100"/>
      <c r="AY978" s="89"/>
      <c r="AZ978" s="89"/>
      <c r="BA978" s="89"/>
      <c r="BB978" s="89"/>
      <c r="BC978" s="89"/>
      <c r="BD978" s="89"/>
      <c r="BE978" s="89"/>
      <c r="BF978" s="89"/>
      <c r="BG978" s="89"/>
      <c r="BH978" s="89"/>
      <c r="BI978" s="89"/>
      <c r="BJ978" s="89"/>
      <c r="BK978" s="89"/>
      <c r="BL978" s="89"/>
      <c r="BM978" s="89"/>
      <c r="BN978" s="89"/>
      <c r="BO978" s="89"/>
      <c r="BP978" s="89"/>
      <c r="BQ978" s="89"/>
      <c r="BR978" s="89"/>
      <c r="BS978" s="89"/>
    </row>
    <row r="979" spans="1:71" ht="27" customHeight="1" x14ac:dyDescent="0.2">
      <c r="A979" s="93"/>
      <c r="B979" s="89"/>
      <c r="C979" s="89"/>
      <c r="D979" s="89"/>
      <c r="E979" s="89"/>
      <c r="F979" s="89"/>
      <c r="G979" s="89"/>
      <c r="H979" s="94"/>
      <c r="I979" s="94"/>
      <c r="J979" s="94"/>
      <c r="K979" s="94"/>
      <c r="L979" s="94"/>
      <c r="M979" s="94"/>
      <c r="N979" s="94"/>
      <c r="O979" s="94"/>
      <c r="P979" s="94"/>
      <c r="Q979" s="94"/>
      <c r="R979" s="95"/>
      <c r="S979" s="94"/>
      <c r="T979" s="96"/>
      <c r="U979" s="94"/>
      <c r="V979" s="97"/>
      <c r="W979" s="94"/>
      <c r="X979" s="98"/>
      <c r="Y979" s="98"/>
      <c r="Z979" s="98"/>
      <c r="AA979" s="98"/>
      <c r="AB979" s="98"/>
      <c r="AC979" s="97"/>
      <c r="AD979" s="99"/>
      <c r="AE979" s="95"/>
      <c r="AF979" s="94"/>
      <c r="AG979" s="89"/>
      <c r="AH979" s="89"/>
      <c r="AI979" s="89"/>
      <c r="AJ979" s="89"/>
      <c r="AK979" s="89"/>
      <c r="AL979" s="89"/>
      <c r="AM979" s="89"/>
      <c r="AN979" s="89"/>
      <c r="AO979" s="89"/>
      <c r="AP979" s="89"/>
      <c r="AQ979" s="89"/>
      <c r="AR979" s="89"/>
      <c r="AS979" s="89"/>
      <c r="AT979" s="89"/>
      <c r="AU979" s="89"/>
      <c r="AV979" s="89"/>
      <c r="AW979" s="100"/>
      <c r="AX979" s="100"/>
      <c r="AY979" s="89"/>
      <c r="AZ979" s="89"/>
      <c r="BA979" s="89"/>
      <c r="BB979" s="89"/>
      <c r="BC979" s="89"/>
      <c r="BD979" s="89"/>
      <c r="BE979" s="89"/>
      <c r="BF979" s="89"/>
      <c r="BG979" s="89"/>
      <c r="BH979" s="89"/>
      <c r="BI979" s="89"/>
      <c r="BJ979" s="89"/>
      <c r="BK979" s="89"/>
      <c r="BL979" s="89"/>
      <c r="BM979" s="89"/>
      <c r="BN979" s="89"/>
      <c r="BO979" s="89"/>
      <c r="BP979" s="89"/>
      <c r="BQ979" s="89"/>
      <c r="BR979" s="89"/>
      <c r="BS979" s="89"/>
    </row>
    <row r="980" spans="1:71" ht="27" customHeight="1" x14ac:dyDescent="0.2">
      <c r="A980" s="93"/>
      <c r="B980" s="89"/>
      <c r="C980" s="89"/>
      <c r="D980" s="89"/>
      <c r="E980" s="89"/>
      <c r="F980" s="89"/>
      <c r="G980" s="89"/>
      <c r="H980" s="94"/>
      <c r="I980" s="94"/>
      <c r="J980" s="94"/>
      <c r="K980" s="94"/>
      <c r="L980" s="94"/>
      <c r="M980" s="94"/>
      <c r="N980" s="94"/>
      <c r="O980" s="94"/>
      <c r="P980" s="94"/>
      <c r="Q980" s="94"/>
      <c r="R980" s="95"/>
      <c r="S980" s="94"/>
      <c r="T980" s="96"/>
      <c r="U980" s="94"/>
      <c r="V980" s="97"/>
      <c r="W980" s="94"/>
      <c r="X980" s="98"/>
      <c r="Y980" s="98"/>
      <c r="Z980" s="98"/>
      <c r="AA980" s="98"/>
      <c r="AB980" s="98"/>
      <c r="AC980" s="97"/>
      <c r="AD980" s="99"/>
      <c r="AE980" s="95"/>
      <c r="AF980" s="94"/>
      <c r="AG980" s="89"/>
      <c r="AH980" s="89"/>
      <c r="AI980" s="89"/>
      <c r="AJ980" s="89"/>
      <c r="AK980" s="89"/>
      <c r="AL980" s="89"/>
      <c r="AM980" s="89"/>
      <c r="AN980" s="89"/>
      <c r="AO980" s="89"/>
      <c r="AP980" s="89"/>
      <c r="AQ980" s="89"/>
      <c r="AR980" s="89"/>
      <c r="AS980" s="89"/>
      <c r="AT980" s="89"/>
      <c r="AU980" s="89"/>
      <c r="AV980" s="89"/>
      <c r="AW980" s="100"/>
      <c r="AX980" s="100"/>
      <c r="AY980" s="89"/>
      <c r="AZ980" s="89"/>
      <c r="BA980" s="89"/>
      <c r="BB980" s="89"/>
      <c r="BC980" s="89"/>
      <c r="BD980" s="89"/>
      <c r="BE980" s="89"/>
      <c r="BF980" s="89"/>
      <c r="BG980" s="89"/>
      <c r="BH980" s="89"/>
      <c r="BI980" s="89"/>
      <c r="BJ980" s="89"/>
      <c r="BK980" s="89"/>
      <c r="BL980" s="89"/>
      <c r="BM980" s="89"/>
      <c r="BN980" s="89"/>
      <c r="BO980" s="89"/>
      <c r="BP980" s="89"/>
      <c r="BQ980" s="89"/>
      <c r="BR980" s="89"/>
      <c r="BS980" s="89"/>
    </row>
    <row r="981" spans="1:71" ht="27" customHeight="1" x14ac:dyDescent="0.2">
      <c r="A981" s="93"/>
      <c r="B981" s="89"/>
      <c r="C981" s="89"/>
      <c r="D981" s="89"/>
      <c r="E981" s="89"/>
      <c r="F981" s="89"/>
      <c r="G981" s="89"/>
      <c r="H981" s="94"/>
      <c r="I981" s="94"/>
      <c r="J981" s="94"/>
      <c r="K981" s="94"/>
      <c r="L981" s="94"/>
      <c r="M981" s="94"/>
      <c r="N981" s="94"/>
      <c r="O981" s="94"/>
      <c r="P981" s="94"/>
      <c r="Q981" s="94"/>
      <c r="R981" s="95"/>
      <c r="S981" s="94"/>
      <c r="T981" s="96"/>
      <c r="U981" s="94"/>
      <c r="V981" s="97"/>
      <c r="W981" s="94"/>
      <c r="X981" s="98"/>
      <c r="Y981" s="98"/>
      <c r="Z981" s="98"/>
      <c r="AA981" s="98"/>
      <c r="AB981" s="98"/>
      <c r="AE981" s="95"/>
      <c r="AF981" s="94"/>
      <c r="AG981" s="89"/>
      <c r="AH981" s="89"/>
      <c r="AI981" s="89"/>
      <c r="AJ981" s="89"/>
      <c r="AK981" s="89"/>
      <c r="AL981" s="89"/>
      <c r="AM981" s="89"/>
      <c r="AN981" s="89"/>
      <c r="AO981" s="89"/>
      <c r="AP981" s="89"/>
      <c r="AQ981" s="89"/>
      <c r="AR981" s="89"/>
      <c r="AS981" s="89"/>
      <c r="AT981" s="89"/>
      <c r="AU981" s="89"/>
      <c r="AV981" s="89"/>
      <c r="AW981" s="100"/>
      <c r="AX981" s="100"/>
      <c r="AY981" s="89"/>
      <c r="AZ981" s="89"/>
      <c r="BA981" s="89"/>
      <c r="BB981" s="89"/>
      <c r="BC981" s="89"/>
      <c r="BD981" s="89"/>
      <c r="BE981" s="89"/>
      <c r="BF981" s="89"/>
      <c r="BG981" s="89"/>
      <c r="BH981" s="89"/>
      <c r="BI981" s="89"/>
      <c r="BJ981" s="89"/>
      <c r="BK981" s="89"/>
      <c r="BL981" s="89"/>
      <c r="BM981" s="89"/>
      <c r="BN981" s="89"/>
      <c r="BO981" s="89"/>
      <c r="BP981" s="89"/>
      <c r="BQ981" s="89"/>
      <c r="BR981" s="89"/>
      <c r="BS981" s="89"/>
    </row>
    <row r="982" spans="1:71" ht="27" customHeight="1" x14ac:dyDescent="0.2">
      <c r="A982" s="93"/>
      <c r="B982" s="89"/>
      <c r="C982" s="89"/>
      <c r="D982" s="89"/>
      <c r="E982" s="89"/>
      <c r="F982" s="89"/>
      <c r="G982" s="89"/>
      <c r="H982" s="94"/>
      <c r="I982" s="94"/>
      <c r="J982" s="94"/>
      <c r="K982" s="94"/>
      <c r="L982" s="94"/>
      <c r="M982" s="94"/>
      <c r="N982" s="94"/>
      <c r="O982" s="94"/>
      <c r="P982" s="94"/>
      <c r="Q982" s="94"/>
      <c r="R982" s="95"/>
      <c r="S982" s="94"/>
      <c r="T982" s="96"/>
      <c r="U982" s="94"/>
      <c r="V982" s="97"/>
      <c r="W982" s="94"/>
      <c r="X982" s="98"/>
      <c r="Y982" s="98"/>
      <c r="Z982" s="98"/>
      <c r="AA982" s="98"/>
      <c r="AB982" s="98"/>
      <c r="AE982" s="95"/>
      <c r="AF982" s="94"/>
      <c r="AG982" s="89"/>
      <c r="AH982" s="89"/>
      <c r="AI982" s="89"/>
      <c r="AJ982" s="89"/>
      <c r="AK982" s="89"/>
      <c r="AL982" s="89"/>
      <c r="AM982" s="89"/>
      <c r="AN982" s="89"/>
      <c r="AO982" s="89"/>
      <c r="AP982" s="89"/>
      <c r="AQ982" s="89"/>
      <c r="AR982" s="89"/>
      <c r="AS982" s="89"/>
      <c r="AT982" s="89"/>
      <c r="AU982" s="89"/>
      <c r="AV982" s="89"/>
      <c r="AW982" s="100"/>
      <c r="AX982" s="100"/>
      <c r="AY982" s="89"/>
      <c r="AZ982" s="89"/>
      <c r="BA982" s="89"/>
      <c r="BB982" s="89"/>
      <c r="BC982" s="89"/>
      <c r="BD982" s="89"/>
      <c r="BE982" s="89"/>
      <c r="BF982" s="89"/>
      <c r="BG982" s="89"/>
      <c r="BH982" s="89"/>
      <c r="BI982" s="89"/>
      <c r="BJ982" s="89"/>
      <c r="BK982" s="89"/>
      <c r="BL982" s="89"/>
      <c r="BM982" s="89"/>
      <c r="BN982" s="89"/>
      <c r="BO982" s="89"/>
      <c r="BP982" s="89"/>
      <c r="BQ982" s="89"/>
      <c r="BR982" s="89"/>
      <c r="BS982" s="89"/>
    </row>
  </sheetData>
  <autoFilter ref="A8:BS33" xr:uid="{2C17167C-9B4F-4C02-BC72-AC739D278420}">
    <filterColumn colId="14" showButton="0"/>
    <filterColumn colId="15" showButton="0"/>
    <filterColumn colId="16" showButton="0"/>
  </autoFilter>
  <mergeCells count="31">
    <mergeCell ref="F43:G43"/>
    <mergeCell ref="H43:I43"/>
    <mergeCell ref="J43:K43"/>
    <mergeCell ref="F41:G41"/>
    <mergeCell ref="H41:I41"/>
    <mergeCell ref="J41:K41"/>
    <mergeCell ref="F42:G42"/>
    <mergeCell ref="H42:I42"/>
    <mergeCell ref="J42:K42"/>
    <mergeCell ref="AW7:AW8"/>
    <mergeCell ref="AX7:AX8"/>
    <mergeCell ref="AY7:AY8"/>
    <mergeCell ref="AC7:AF7"/>
    <mergeCell ref="AG7:AH7"/>
    <mergeCell ref="AI7:AL7"/>
    <mergeCell ref="AM7:AR7"/>
    <mergeCell ref="AS7:AU7"/>
    <mergeCell ref="AV7:AV8"/>
    <mergeCell ref="R7:U7"/>
    <mergeCell ref="O7:Q7"/>
    <mergeCell ref="A7:B7"/>
    <mergeCell ref="C7:D7"/>
    <mergeCell ref="E7:F7"/>
    <mergeCell ref="G7:J7"/>
    <mergeCell ref="K7:N7"/>
    <mergeCell ref="A1:A4"/>
    <mergeCell ref="B1:AW4"/>
    <mergeCell ref="A5:Q6"/>
    <mergeCell ref="R5:AY5"/>
    <mergeCell ref="R6:AF6"/>
    <mergeCell ref="AW6:AY6"/>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A1:BQ90"/>
  <sheetViews>
    <sheetView showGridLines="0" zoomScale="50" zoomScaleNormal="50" workbookViewId="0">
      <pane ySplit="10" topLeftCell="A75" activePane="bottomLeft" state="frozen"/>
      <selection pane="bottomLeft" activeCell="X85" sqref="X85"/>
    </sheetView>
  </sheetViews>
  <sheetFormatPr baseColWidth="10" defaultColWidth="11.42578125" defaultRowHeight="15" customHeight="1" x14ac:dyDescent="0.2"/>
  <cols>
    <col min="1" max="1" width="10.28515625" style="959" customWidth="1"/>
    <col min="2" max="2" width="13.42578125" style="890" customWidth="1"/>
    <col min="3" max="3" width="11.42578125" style="895"/>
    <col min="4" max="4" width="14" style="890" customWidth="1"/>
    <col min="5" max="5" width="11.42578125" style="895"/>
    <col min="6" max="6" width="26.5703125" style="890" customWidth="1"/>
    <col min="7" max="7" width="11.42578125" style="947"/>
    <col min="8" max="8" width="19.85546875" style="952" customWidth="1"/>
    <col min="9" max="9" width="19.140625" style="947" customWidth="1"/>
    <col min="10" max="10" width="20.140625" style="952" customWidth="1"/>
    <col min="11" max="11" width="16.140625" style="895" customWidth="1"/>
    <col min="12" max="12" width="21.85546875" style="890" customWidth="1"/>
    <col min="13" max="13" width="16.28515625" style="895" customWidth="1"/>
    <col min="14" max="14" width="21.140625" style="890" customWidth="1"/>
    <col min="15" max="17" width="11.42578125" style="895" customWidth="1"/>
    <col min="18" max="18" width="27" style="895" customWidth="1"/>
    <col min="19" max="19" width="33.42578125" style="890" customWidth="1"/>
    <col min="20" max="20" width="11.42578125" style="895" customWidth="1"/>
    <col min="21" max="21" width="36.85546875" style="890" customWidth="1"/>
    <col min="22" max="22" width="27.7109375" style="890" customWidth="1"/>
    <col min="23" max="23" width="24.7109375" style="956" customWidth="1"/>
    <col min="24" max="24" width="24.42578125" style="81" customWidth="1"/>
    <col min="25" max="28" width="19.140625" style="81" customWidth="1"/>
    <col min="29" max="29" width="47.42578125" style="240" customWidth="1"/>
    <col min="30" max="30" width="18.28515625" style="81" customWidth="1"/>
    <col min="31" max="31" width="11.42578125" style="81"/>
    <col min="32" max="32" width="15.42578125" style="81" customWidth="1"/>
    <col min="33" max="34" width="6.42578125" style="81" customWidth="1"/>
    <col min="35" max="35" width="9.28515625" style="81" customWidth="1"/>
    <col min="36" max="36" width="7.42578125" style="81" customWidth="1"/>
    <col min="37" max="37" width="9.42578125" style="81" customWidth="1"/>
    <col min="38" max="38" width="8.5703125" style="81" customWidth="1"/>
    <col min="39" max="39" width="5.28515625" style="81" customWidth="1"/>
    <col min="40" max="40" width="5.42578125" style="81" customWidth="1"/>
    <col min="41" max="41" width="6.7109375" style="81" customWidth="1"/>
    <col min="42" max="42" width="6.42578125" style="81" customWidth="1"/>
    <col min="43" max="43" width="6.28515625" style="81" customWidth="1"/>
    <col min="44" max="44" width="6.5703125" style="81" customWidth="1"/>
    <col min="45" max="45" width="6.7109375" style="81" customWidth="1"/>
    <col min="46" max="46" width="5.7109375" style="81" customWidth="1"/>
    <col min="47" max="47" width="7.5703125" style="81" customWidth="1"/>
    <col min="48" max="48" width="8" style="81" customWidth="1"/>
    <col min="49" max="49" width="14.28515625" style="81" customWidth="1"/>
    <col min="50" max="50" width="14.42578125" style="81" customWidth="1"/>
    <col min="51" max="51" width="15.140625" style="81" customWidth="1"/>
    <col min="52" max="16384" width="11.42578125" style="81"/>
  </cols>
  <sheetData>
    <row r="1" spans="1:69" ht="15.75" customHeight="1" x14ac:dyDescent="0.2">
      <c r="A1" s="1073"/>
      <c r="B1" s="1073"/>
      <c r="C1" s="1104" t="s">
        <v>0</v>
      </c>
      <c r="D1" s="1104"/>
      <c r="E1" s="1104"/>
      <c r="F1" s="1104"/>
      <c r="G1" s="1104"/>
      <c r="H1" s="1104"/>
      <c r="I1" s="1104"/>
      <c r="J1" s="1104"/>
      <c r="K1" s="1104"/>
      <c r="L1" s="1104"/>
      <c r="M1" s="1104"/>
      <c r="N1" s="1104"/>
      <c r="O1" s="1104"/>
      <c r="P1" s="1104"/>
      <c r="Q1" s="1104"/>
      <c r="R1" s="1104"/>
      <c r="S1" s="1104"/>
      <c r="T1" s="1104"/>
      <c r="U1" s="1104"/>
      <c r="V1" s="1104"/>
      <c r="W1" s="1104"/>
      <c r="X1" s="1104"/>
      <c r="Y1" s="1104"/>
      <c r="Z1" s="1104"/>
      <c r="AA1" s="1104"/>
      <c r="AB1" s="1104"/>
      <c r="AC1" s="1104"/>
      <c r="AD1" s="1104"/>
      <c r="AE1" s="1104"/>
      <c r="AF1" s="1104"/>
      <c r="AG1" s="1104"/>
      <c r="AH1" s="1104"/>
      <c r="AI1" s="1104"/>
      <c r="AJ1" s="1104"/>
      <c r="AK1" s="1104"/>
      <c r="AL1" s="1104"/>
      <c r="AM1" s="1104"/>
      <c r="AN1" s="1104"/>
      <c r="AO1" s="1104"/>
      <c r="AP1" s="1104"/>
      <c r="AQ1" s="1104"/>
      <c r="AR1" s="1104"/>
      <c r="AS1" s="1104"/>
      <c r="AT1" s="1104"/>
      <c r="AU1" s="1104"/>
      <c r="AV1" s="1104"/>
      <c r="AW1" s="1104"/>
    </row>
    <row r="2" spans="1:69" s="45" customFormat="1" ht="15.75" customHeight="1" x14ac:dyDescent="0.2">
      <c r="A2" s="1073"/>
      <c r="B2" s="1073"/>
      <c r="C2" s="980" t="s">
        <v>2561</v>
      </c>
      <c r="D2" s="981"/>
      <c r="E2" s="981"/>
      <c r="F2" s="981"/>
      <c r="G2" s="981"/>
      <c r="H2" s="981"/>
      <c r="I2" s="981"/>
      <c r="J2" s="1106"/>
      <c r="K2" s="981"/>
      <c r="L2" s="1106"/>
      <c r="M2" s="981"/>
      <c r="N2" s="1106"/>
      <c r="O2" s="981"/>
      <c r="P2" s="981"/>
      <c r="Q2" s="981"/>
      <c r="R2" s="981"/>
      <c r="S2" s="1106"/>
      <c r="T2" s="981"/>
      <c r="U2" s="1106"/>
      <c r="V2" s="1106"/>
      <c r="W2" s="1106"/>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2"/>
      <c r="AX2" s="2" t="s">
        <v>2</v>
      </c>
      <c r="AY2" s="2" t="s">
        <v>3</v>
      </c>
      <c r="AZ2" s="3"/>
      <c r="BA2" s="3"/>
      <c r="BB2" s="3"/>
      <c r="BC2" s="3"/>
      <c r="BD2" s="3"/>
      <c r="BE2" s="3"/>
      <c r="BF2" s="3"/>
      <c r="BG2" s="3"/>
      <c r="BH2" s="3"/>
      <c r="BI2" s="3"/>
      <c r="BJ2" s="3"/>
      <c r="BK2" s="3"/>
      <c r="BL2" s="3"/>
      <c r="BM2" s="3"/>
      <c r="BN2" s="3"/>
      <c r="BO2" s="3"/>
      <c r="BP2" s="3"/>
      <c r="BQ2" s="3"/>
    </row>
    <row r="3" spans="1:69" s="45" customFormat="1" ht="15.75" customHeight="1" x14ac:dyDescent="0.2">
      <c r="A3" s="1073"/>
      <c r="B3" s="1073"/>
      <c r="C3" s="983"/>
      <c r="D3" s="984"/>
      <c r="E3" s="984"/>
      <c r="F3" s="984"/>
      <c r="G3" s="984"/>
      <c r="H3" s="984"/>
      <c r="I3" s="984"/>
      <c r="J3" s="1109"/>
      <c r="K3" s="984"/>
      <c r="L3" s="1109"/>
      <c r="M3" s="984"/>
      <c r="N3" s="1109"/>
      <c r="O3" s="984"/>
      <c r="P3" s="984"/>
      <c r="Q3" s="984"/>
      <c r="R3" s="984"/>
      <c r="S3" s="1109"/>
      <c r="T3" s="984"/>
      <c r="U3" s="1109"/>
      <c r="V3" s="1109"/>
      <c r="W3" s="1109"/>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5"/>
      <c r="AX3" s="2" t="s">
        <v>4</v>
      </c>
      <c r="AY3" s="49">
        <v>11</v>
      </c>
      <c r="AZ3" s="3"/>
      <c r="BA3" s="3"/>
      <c r="BB3" s="3"/>
      <c r="BC3" s="3"/>
      <c r="BD3" s="3"/>
      <c r="BE3" s="3"/>
      <c r="BF3" s="3"/>
      <c r="BG3" s="3"/>
      <c r="BH3" s="3"/>
      <c r="BI3" s="3"/>
      <c r="BJ3" s="3"/>
      <c r="BK3" s="3"/>
      <c r="BL3" s="3"/>
      <c r="BM3" s="3"/>
      <c r="BN3" s="3"/>
      <c r="BO3" s="3"/>
      <c r="BP3" s="3"/>
      <c r="BQ3" s="3"/>
    </row>
    <row r="4" spans="1:69" s="45" customFormat="1" ht="12.75" customHeight="1" x14ac:dyDescent="0.2">
      <c r="A4" s="1073"/>
      <c r="B4" s="1073"/>
      <c r="C4" s="986"/>
      <c r="D4" s="987"/>
      <c r="E4" s="987"/>
      <c r="F4" s="987"/>
      <c r="G4" s="987"/>
      <c r="H4" s="987"/>
      <c r="I4" s="987"/>
      <c r="J4" s="1112"/>
      <c r="K4" s="987"/>
      <c r="L4" s="1112"/>
      <c r="M4" s="987"/>
      <c r="N4" s="1112"/>
      <c r="O4" s="987"/>
      <c r="P4" s="987"/>
      <c r="Q4" s="987"/>
      <c r="R4" s="987"/>
      <c r="S4" s="1112"/>
      <c r="T4" s="987"/>
      <c r="U4" s="1112"/>
      <c r="V4" s="1112"/>
      <c r="W4" s="1112"/>
      <c r="X4" s="987"/>
      <c r="Y4" s="987"/>
      <c r="Z4" s="987"/>
      <c r="AA4" s="987"/>
      <c r="AB4" s="987"/>
      <c r="AC4" s="987"/>
      <c r="AD4" s="987"/>
      <c r="AE4" s="987"/>
      <c r="AF4" s="987"/>
      <c r="AG4" s="987"/>
      <c r="AH4" s="987"/>
      <c r="AI4" s="987"/>
      <c r="AJ4" s="987"/>
      <c r="AK4" s="987"/>
      <c r="AL4" s="987"/>
      <c r="AM4" s="987"/>
      <c r="AN4" s="987"/>
      <c r="AO4" s="987"/>
      <c r="AP4" s="987"/>
      <c r="AQ4" s="987"/>
      <c r="AR4" s="987"/>
      <c r="AS4" s="987"/>
      <c r="AT4" s="987"/>
      <c r="AU4" s="987"/>
      <c r="AV4" s="987"/>
      <c r="AW4" s="988"/>
      <c r="AX4" s="2" t="s">
        <v>5</v>
      </c>
      <c r="AY4" s="50">
        <v>44714</v>
      </c>
      <c r="AZ4" s="3"/>
      <c r="BA4" s="3"/>
      <c r="BB4" s="3"/>
      <c r="BC4" s="3"/>
      <c r="BD4" s="3"/>
      <c r="BE4" s="3"/>
      <c r="BF4" s="3"/>
      <c r="BG4" s="3"/>
      <c r="BH4" s="3"/>
      <c r="BI4" s="3"/>
      <c r="BJ4" s="3"/>
      <c r="BK4" s="3"/>
      <c r="BL4" s="3"/>
      <c r="BM4" s="3"/>
      <c r="BN4" s="3"/>
      <c r="BO4" s="3"/>
      <c r="BP4" s="3"/>
      <c r="BQ4" s="3"/>
    </row>
    <row r="5" spans="1:69" s="45" customFormat="1" ht="14.25" customHeight="1" x14ac:dyDescent="0.2">
      <c r="A5" s="1073"/>
      <c r="B5" s="1073"/>
      <c r="C5" s="989"/>
      <c r="D5" s="990"/>
      <c r="E5" s="990"/>
      <c r="F5" s="990"/>
      <c r="G5" s="990"/>
      <c r="H5" s="990"/>
      <c r="I5" s="990"/>
      <c r="J5" s="1114"/>
      <c r="K5" s="990"/>
      <c r="L5" s="1114"/>
      <c r="M5" s="990"/>
      <c r="N5" s="1114"/>
      <c r="O5" s="990"/>
      <c r="P5" s="990"/>
      <c r="Q5" s="990"/>
      <c r="R5" s="990"/>
      <c r="S5" s="1114"/>
      <c r="T5" s="990"/>
      <c r="U5" s="1114"/>
      <c r="V5" s="1114"/>
      <c r="W5" s="1114"/>
      <c r="X5" s="990"/>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1"/>
      <c r="AX5" s="2" t="s">
        <v>6</v>
      </c>
      <c r="AY5" s="7" t="s">
        <v>7</v>
      </c>
      <c r="AZ5" s="3"/>
      <c r="BA5" s="3"/>
      <c r="BB5" s="3"/>
      <c r="BC5" s="3"/>
      <c r="BD5" s="3"/>
      <c r="BE5" s="3"/>
      <c r="BF5" s="3"/>
      <c r="BG5" s="3"/>
      <c r="BH5" s="3"/>
      <c r="BI5" s="3"/>
      <c r="BJ5" s="3"/>
      <c r="BK5" s="3"/>
      <c r="BL5" s="3"/>
      <c r="BM5" s="3"/>
      <c r="BN5" s="3"/>
      <c r="BO5" s="3"/>
      <c r="BP5" s="3"/>
      <c r="BQ5" s="3"/>
    </row>
    <row r="6" spans="1:69" s="45" customFormat="1" ht="18" customHeight="1" x14ac:dyDescent="0.2">
      <c r="A6" s="1073"/>
      <c r="B6" s="1073"/>
      <c r="C6" s="992" t="s">
        <v>275</v>
      </c>
      <c r="D6" s="993"/>
      <c r="E6" s="993"/>
      <c r="F6" s="993"/>
      <c r="G6" s="993"/>
      <c r="H6" s="993"/>
      <c r="I6" s="993"/>
      <c r="J6" s="1115"/>
      <c r="K6" s="993"/>
      <c r="L6" s="1115"/>
      <c r="M6" s="993"/>
      <c r="N6" s="1115"/>
      <c r="O6" s="993"/>
      <c r="P6" s="993"/>
      <c r="Q6" s="993"/>
      <c r="R6" s="993"/>
      <c r="S6" s="1115"/>
      <c r="T6" s="993"/>
      <c r="U6" s="1115"/>
      <c r="V6" s="1115"/>
      <c r="W6" s="1115"/>
      <c r="X6" s="993"/>
      <c r="Y6" s="993"/>
      <c r="Z6" s="993"/>
      <c r="AA6" s="993"/>
      <c r="AB6" s="993"/>
      <c r="AC6" s="993"/>
      <c r="AD6" s="993"/>
      <c r="AE6" s="993"/>
      <c r="AF6" s="993"/>
      <c r="AG6" s="993"/>
      <c r="AH6" s="993"/>
      <c r="AI6" s="993"/>
      <c r="AJ6" s="993"/>
      <c r="AK6" s="993"/>
      <c r="AL6" s="993"/>
      <c r="AM6" s="993"/>
      <c r="AN6" s="993"/>
      <c r="AO6" s="993"/>
      <c r="AP6" s="993"/>
      <c r="AQ6" s="993"/>
      <c r="AR6" s="993"/>
      <c r="AS6" s="993"/>
      <c r="AT6" s="993"/>
      <c r="AU6" s="993"/>
      <c r="AV6" s="993"/>
      <c r="AW6" s="993"/>
      <c r="AX6" s="52"/>
      <c r="AY6" s="53"/>
      <c r="AZ6" s="3"/>
      <c r="BA6" s="3"/>
      <c r="BB6" s="3"/>
      <c r="BC6" s="3"/>
      <c r="BD6" s="3"/>
      <c r="BE6" s="3"/>
      <c r="BF6" s="3"/>
      <c r="BG6" s="3"/>
      <c r="BH6" s="3"/>
      <c r="BI6" s="3"/>
      <c r="BJ6" s="3"/>
      <c r="BK6" s="3"/>
      <c r="BL6" s="3"/>
      <c r="BM6" s="3"/>
      <c r="BN6" s="3"/>
      <c r="BO6" s="3"/>
      <c r="BP6" s="3"/>
      <c r="BQ6" s="3"/>
    </row>
    <row r="7" spans="1:69" s="45" customFormat="1" ht="12.75" customHeight="1" x14ac:dyDescent="0.2">
      <c r="A7" s="1074"/>
      <c r="B7" s="1074"/>
      <c r="C7" s="10"/>
      <c r="D7" s="891"/>
      <c r="E7" s="10"/>
      <c r="F7" s="891"/>
      <c r="G7" s="944"/>
      <c r="H7" s="949"/>
      <c r="I7" s="944"/>
      <c r="J7" s="949"/>
      <c r="K7" s="10"/>
      <c r="L7" s="891"/>
      <c r="M7" s="10"/>
      <c r="N7" s="891"/>
      <c r="O7" s="10"/>
      <c r="P7" s="10"/>
      <c r="Q7" s="10"/>
      <c r="R7" s="10"/>
      <c r="S7" s="891"/>
      <c r="T7" s="10"/>
      <c r="U7" s="891"/>
      <c r="V7" s="891"/>
      <c r="W7" s="953"/>
      <c r="X7" s="54"/>
      <c r="Y7" s="54"/>
      <c r="Z7" s="54"/>
      <c r="AA7" s="54"/>
      <c r="AB7" s="54"/>
      <c r="AC7" s="59"/>
      <c r="AD7" s="54"/>
      <c r="AE7" s="54"/>
      <c r="AF7" s="54"/>
      <c r="AG7" s="54"/>
      <c r="AH7" s="54"/>
      <c r="AI7" s="54"/>
      <c r="AJ7" s="54"/>
      <c r="AK7" s="54"/>
      <c r="AL7" s="54"/>
      <c r="AM7" s="54"/>
      <c r="AN7" s="54"/>
      <c r="AO7" s="54"/>
      <c r="AP7" s="54"/>
      <c r="AQ7" s="54"/>
      <c r="AR7" s="54"/>
      <c r="AS7" s="54"/>
      <c r="AT7" s="54"/>
      <c r="AU7" s="54"/>
      <c r="AV7" s="54"/>
      <c r="AW7" s="54"/>
      <c r="AX7" s="54"/>
      <c r="AY7" s="55"/>
      <c r="AZ7" s="3"/>
      <c r="BA7" s="3"/>
      <c r="BB7" s="3"/>
      <c r="BC7" s="3"/>
      <c r="BD7" s="3"/>
      <c r="BE7" s="3"/>
      <c r="BF7" s="3"/>
      <c r="BG7" s="3"/>
      <c r="BH7" s="3"/>
      <c r="BI7" s="3"/>
      <c r="BJ7" s="3"/>
      <c r="BK7" s="3"/>
      <c r="BL7" s="3"/>
      <c r="BM7" s="3"/>
      <c r="BN7" s="3"/>
      <c r="BO7" s="3"/>
      <c r="BP7" s="3"/>
      <c r="BQ7" s="3"/>
    </row>
    <row r="8" spans="1:69" ht="12.75" x14ac:dyDescent="0.2">
      <c r="A8" s="966" t="s">
        <v>9</v>
      </c>
      <c r="B8" s="967"/>
      <c r="C8" s="966" t="s">
        <v>10</v>
      </c>
      <c r="D8" s="967"/>
      <c r="E8" s="966" t="s">
        <v>11</v>
      </c>
      <c r="F8" s="967"/>
      <c r="G8" s="1258" t="s">
        <v>12</v>
      </c>
      <c r="H8" s="1259"/>
      <c r="I8" s="1259"/>
      <c r="J8" s="1260"/>
      <c r="K8" s="1067" t="s">
        <v>13</v>
      </c>
      <c r="L8" s="1100"/>
      <c r="M8" s="1068"/>
      <c r="N8" s="1101"/>
      <c r="O8" s="1067" t="s">
        <v>14</v>
      </c>
      <c r="P8" s="1068"/>
      <c r="Q8" s="1069"/>
      <c r="R8" s="1008" t="s">
        <v>15</v>
      </c>
      <c r="S8" s="1119"/>
      <c r="T8" s="1008"/>
      <c r="U8" s="1119"/>
      <c r="V8" s="1119"/>
      <c r="W8" s="1119"/>
      <c r="X8" s="1008"/>
      <c r="Y8" s="281"/>
      <c r="Z8" s="281"/>
      <c r="AA8" s="281"/>
      <c r="AB8" s="281"/>
      <c r="AC8" s="630"/>
      <c r="AD8" s="82"/>
      <c r="AE8" s="82"/>
      <c r="AF8" s="83"/>
      <c r="AG8" s="1002" t="s">
        <v>16</v>
      </c>
      <c r="AH8" s="1003"/>
      <c r="AI8" s="1003"/>
      <c r="AJ8" s="1003"/>
      <c r="AK8" s="1003"/>
      <c r="AL8" s="1003"/>
      <c r="AM8" s="1003"/>
      <c r="AN8" s="1003"/>
      <c r="AO8" s="1003"/>
      <c r="AP8" s="1003"/>
      <c r="AQ8" s="1003"/>
      <c r="AR8" s="1003"/>
      <c r="AS8" s="1003"/>
      <c r="AT8" s="1003"/>
      <c r="AU8" s="1003"/>
      <c r="AV8" s="1004"/>
      <c r="AW8" s="994" t="s">
        <v>17</v>
      </c>
      <c r="AX8" s="994" t="s">
        <v>18</v>
      </c>
      <c r="AY8" s="994" t="s">
        <v>19</v>
      </c>
    </row>
    <row r="9" spans="1:69" s="46" customFormat="1" ht="12.75" x14ac:dyDescent="0.2">
      <c r="A9" s="968"/>
      <c r="B9" s="969"/>
      <c r="C9" s="968"/>
      <c r="D9" s="969"/>
      <c r="E9" s="968"/>
      <c r="F9" s="969"/>
      <c r="G9" s="1261"/>
      <c r="H9" s="1262"/>
      <c r="I9" s="1262"/>
      <c r="J9" s="1263"/>
      <c r="K9" s="1070"/>
      <c r="L9" s="1102"/>
      <c r="M9" s="1071"/>
      <c r="N9" s="1103"/>
      <c r="O9" s="1070"/>
      <c r="P9" s="1071"/>
      <c r="Q9" s="1072"/>
      <c r="R9" s="1009"/>
      <c r="S9" s="1120"/>
      <c r="T9" s="1009"/>
      <c r="U9" s="1120"/>
      <c r="V9" s="1120"/>
      <c r="W9" s="1120"/>
      <c r="X9" s="1009"/>
      <c r="Y9" s="282"/>
      <c r="Z9" s="282"/>
      <c r="AA9" s="282"/>
      <c r="AB9" s="282"/>
      <c r="AC9" s="997" t="s">
        <v>20</v>
      </c>
      <c r="AD9" s="997"/>
      <c r="AE9" s="997"/>
      <c r="AF9" s="997"/>
      <c r="AG9" s="997" t="s">
        <v>21</v>
      </c>
      <c r="AH9" s="1075"/>
      <c r="AI9" s="999" t="s">
        <v>22</v>
      </c>
      <c r="AJ9" s="1075"/>
      <c r="AK9" s="1075"/>
      <c r="AL9" s="1075"/>
      <c r="AM9" s="1000" t="s">
        <v>23</v>
      </c>
      <c r="AN9" s="1075"/>
      <c r="AO9" s="1075"/>
      <c r="AP9" s="1075"/>
      <c r="AQ9" s="1075"/>
      <c r="AR9" s="1075"/>
      <c r="AS9" s="999" t="s">
        <v>24</v>
      </c>
      <c r="AT9" s="1075"/>
      <c r="AU9" s="1075"/>
      <c r="AV9" s="1001" t="s">
        <v>25</v>
      </c>
      <c r="AW9" s="995"/>
      <c r="AX9" s="995"/>
      <c r="AY9" s="995"/>
      <c r="AZ9" s="14"/>
      <c r="BA9" s="14"/>
      <c r="BB9" s="14"/>
      <c r="BC9" s="14"/>
      <c r="BD9" s="14"/>
      <c r="BE9" s="14"/>
      <c r="BF9" s="14"/>
      <c r="BG9" s="14"/>
      <c r="BH9" s="14"/>
      <c r="BI9" s="14"/>
      <c r="BJ9" s="14"/>
      <c r="BK9" s="14"/>
      <c r="BL9" s="14"/>
      <c r="BM9" s="14"/>
      <c r="BN9" s="14"/>
    </row>
    <row r="10" spans="1:69" s="47" customFormat="1" ht="87.75" customHeight="1" x14ac:dyDescent="0.2">
      <c r="A10" s="957" t="s">
        <v>26</v>
      </c>
      <c r="B10" s="877" t="s">
        <v>27</v>
      </c>
      <c r="C10" s="16" t="s">
        <v>26</v>
      </c>
      <c r="D10" s="877" t="s">
        <v>27</v>
      </c>
      <c r="E10" s="17" t="s">
        <v>26</v>
      </c>
      <c r="F10" s="877" t="s">
        <v>27</v>
      </c>
      <c r="G10" s="631" t="s">
        <v>28</v>
      </c>
      <c r="H10" s="950" t="s">
        <v>29</v>
      </c>
      <c r="I10" s="631" t="s">
        <v>30</v>
      </c>
      <c r="J10" s="950" t="s">
        <v>31</v>
      </c>
      <c r="K10" s="18" t="s">
        <v>28</v>
      </c>
      <c r="L10" s="878" t="s">
        <v>32</v>
      </c>
      <c r="M10" s="18" t="s">
        <v>33</v>
      </c>
      <c r="N10" s="878" t="s">
        <v>34</v>
      </c>
      <c r="O10" s="18" t="s">
        <v>35</v>
      </c>
      <c r="P10" s="18" t="s">
        <v>36</v>
      </c>
      <c r="Q10" s="18" t="s">
        <v>37</v>
      </c>
      <c r="R10" s="17" t="s">
        <v>38</v>
      </c>
      <c r="S10" s="877" t="s">
        <v>39</v>
      </c>
      <c r="T10" s="17" t="s">
        <v>40</v>
      </c>
      <c r="U10" s="877" t="s">
        <v>41</v>
      </c>
      <c r="V10" s="877" t="s">
        <v>42</v>
      </c>
      <c r="W10" s="954" t="s">
        <v>43</v>
      </c>
      <c r="X10" s="20" t="s">
        <v>44</v>
      </c>
      <c r="Y10" s="660" t="s">
        <v>45</v>
      </c>
      <c r="Z10" s="659" t="s">
        <v>46</v>
      </c>
      <c r="AA10" s="659" t="s">
        <v>47</v>
      </c>
      <c r="AB10" s="660" t="s">
        <v>48</v>
      </c>
      <c r="AC10" s="632" t="s">
        <v>49</v>
      </c>
      <c r="AD10" s="17" t="s">
        <v>50</v>
      </c>
      <c r="AE10" s="17" t="s">
        <v>51</v>
      </c>
      <c r="AF10" s="17" t="s">
        <v>52</v>
      </c>
      <c r="AG10" s="21" t="s">
        <v>53</v>
      </c>
      <c r="AH10" s="22" t="s">
        <v>54</v>
      </c>
      <c r="AI10" s="21" t="s">
        <v>55</v>
      </c>
      <c r="AJ10" s="21" t="s">
        <v>56</v>
      </c>
      <c r="AK10" s="21" t="s">
        <v>57</v>
      </c>
      <c r="AL10" s="21" t="s">
        <v>58</v>
      </c>
      <c r="AM10" s="21" t="s">
        <v>59</v>
      </c>
      <c r="AN10" s="21" t="s">
        <v>60</v>
      </c>
      <c r="AO10" s="21" t="s">
        <v>61</v>
      </c>
      <c r="AP10" s="21" t="s">
        <v>62</v>
      </c>
      <c r="AQ10" s="21" t="s">
        <v>63</v>
      </c>
      <c r="AR10" s="21" t="s">
        <v>64</v>
      </c>
      <c r="AS10" s="21" t="s">
        <v>65</v>
      </c>
      <c r="AT10" s="21" t="s">
        <v>66</v>
      </c>
      <c r="AU10" s="21" t="s">
        <v>67</v>
      </c>
      <c r="AV10" s="1001"/>
      <c r="AW10" s="996"/>
      <c r="AX10" s="996"/>
      <c r="AY10" s="996"/>
      <c r="AZ10" s="14"/>
      <c r="BA10" s="14"/>
      <c r="BB10" s="14"/>
      <c r="BC10" s="14"/>
      <c r="BD10" s="14"/>
      <c r="BE10" s="14"/>
      <c r="BF10" s="14"/>
      <c r="BG10" s="14"/>
      <c r="BH10" s="14"/>
      <c r="BI10" s="14"/>
      <c r="BJ10" s="14"/>
      <c r="BK10" s="14"/>
      <c r="BL10" s="14"/>
      <c r="BM10" s="14"/>
      <c r="BN10" s="14"/>
    </row>
    <row r="11" spans="1:69" s="876" customFormat="1" ht="84.95" customHeight="1" x14ac:dyDescent="0.2">
      <c r="A11" s="24">
        <v>1</v>
      </c>
      <c r="B11" s="195" t="s">
        <v>315</v>
      </c>
      <c r="C11" s="24">
        <v>43</v>
      </c>
      <c r="D11" s="227" t="s">
        <v>2562</v>
      </c>
      <c r="E11" s="24" t="s">
        <v>2563</v>
      </c>
      <c r="F11" s="227" t="s">
        <v>2564</v>
      </c>
      <c r="G11" s="24">
        <v>4301007</v>
      </c>
      <c r="H11" s="227" t="s">
        <v>2565</v>
      </c>
      <c r="I11" s="945">
        <v>4301007</v>
      </c>
      <c r="J11" s="227" t="s">
        <v>2565</v>
      </c>
      <c r="K11" s="842">
        <v>430100701</v>
      </c>
      <c r="L11" s="227" t="s">
        <v>2566</v>
      </c>
      <c r="M11" s="24">
        <v>430100701</v>
      </c>
      <c r="N11" s="227" t="s">
        <v>2566</v>
      </c>
      <c r="O11" s="842">
        <v>12</v>
      </c>
      <c r="P11" s="842"/>
      <c r="Q11" s="842">
        <v>12</v>
      </c>
      <c r="R11" s="842" t="s">
        <v>2567</v>
      </c>
      <c r="S11" s="227" t="s">
        <v>2568</v>
      </c>
      <c r="T11" s="948">
        <f>SUM($X$11:$X$21)/SUM($X$11:$X$56)</f>
        <v>0.49860500891732196</v>
      </c>
      <c r="U11" s="227" t="s">
        <v>2569</v>
      </c>
      <c r="V11" s="227" t="s">
        <v>2570</v>
      </c>
      <c r="W11" s="227" t="s">
        <v>2571</v>
      </c>
      <c r="X11" s="874">
        <v>809887047</v>
      </c>
      <c r="Y11" s="874"/>
      <c r="Z11" s="874"/>
      <c r="AA11" s="874"/>
      <c r="AB11" s="874">
        <f>X11+Y11-Z11-AA11</f>
        <v>809887047</v>
      </c>
      <c r="AC11" s="873" t="s">
        <v>2572</v>
      </c>
      <c r="AD11" s="227" t="s">
        <v>2573</v>
      </c>
      <c r="AE11" s="872" t="s">
        <v>2574</v>
      </c>
      <c r="AF11" s="227" t="s">
        <v>2575</v>
      </c>
      <c r="AG11" s="280">
        <v>6991</v>
      </c>
      <c r="AH11" s="280">
        <v>6453</v>
      </c>
      <c r="AI11" s="280">
        <v>352</v>
      </c>
      <c r="AJ11" s="280">
        <v>4378</v>
      </c>
      <c r="AK11" s="280">
        <v>4202</v>
      </c>
      <c r="AL11" s="280">
        <v>1344</v>
      </c>
      <c r="AM11" s="872"/>
      <c r="AN11" s="872"/>
      <c r="AO11" s="872"/>
      <c r="AP11" s="872"/>
      <c r="AQ11" s="872"/>
      <c r="AR11" s="872"/>
      <c r="AS11" s="872"/>
      <c r="AT11" s="872"/>
      <c r="AU11" s="872"/>
      <c r="AV11" s="872">
        <v>13444</v>
      </c>
      <c r="AW11" s="875">
        <v>45293</v>
      </c>
      <c r="AX11" s="875">
        <v>45657</v>
      </c>
      <c r="AY11" s="872" t="s">
        <v>2576</v>
      </c>
    </row>
    <row r="12" spans="1:69" s="876" customFormat="1" ht="84.95" customHeight="1" x14ac:dyDescent="0.2">
      <c r="A12" s="24">
        <v>1</v>
      </c>
      <c r="B12" s="195" t="s">
        <v>315</v>
      </c>
      <c r="C12" s="24">
        <v>43</v>
      </c>
      <c r="D12" s="227" t="s">
        <v>2562</v>
      </c>
      <c r="E12" s="24" t="s">
        <v>2563</v>
      </c>
      <c r="F12" s="227" t="s">
        <v>2564</v>
      </c>
      <c r="G12" s="24">
        <v>4301007</v>
      </c>
      <c r="H12" s="227" t="s">
        <v>2565</v>
      </c>
      <c r="I12" s="945">
        <v>4301007</v>
      </c>
      <c r="J12" s="227" t="s">
        <v>2565</v>
      </c>
      <c r="K12" s="842">
        <v>430100701</v>
      </c>
      <c r="L12" s="227" t="s">
        <v>2566</v>
      </c>
      <c r="M12" s="24">
        <v>430100701</v>
      </c>
      <c r="N12" s="227" t="s">
        <v>2566</v>
      </c>
      <c r="O12" s="842">
        <v>12</v>
      </c>
      <c r="P12" s="842"/>
      <c r="Q12" s="842">
        <v>12</v>
      </c>
      <c r="R12" s="842" t="s">
        <v>2567</v>
      </c>
      <c r="S12" s="227" t="s">
        <v>2568</v>
      </c>
      <c r="T12" s="948">
        <f t="shared" ref="T12:T21" si="0">SUM($X$11:$X$21)/SUM($X$11:$X$56)</f>
        <v>0.49860500891732196</v>
      </c>
      <c r="U12" s="227" t="s">
        <v>2569</v>
      </c>
      <c r="V12" s="227" t="s">
        <v>2570</v>
      </c>
      <c r="W12" s="227" t="s">
        <v>2577</v>
      </c>
      <c r="X12" s="874">
        <v>50000000</v>
      </c>
      <c r="Y12" s="874"/>
      <c r="Z12" s="874"/>
      <c r="AA12" s="874"/>
      <c r="AB12" s="874"/>
      <c r="AC12" s="873" t="s">
        <v>2578</v>
      </c>
      <c r="AD12" s="227" t="s">
        <v>2573</v>
      </c>
      <c r="AE12" s="872" t="s">
        <v>2579</v>
      </c>
      <c r="AF12" s="227" t="s">
        <v>2580</v>
      </c>
      <c r="AG12" s="280">
        <v>6991</v>
      </c>
      <c r="AH12" s="280">
        <v>6453</v>
      </c>
      <c r="AI12" s="280">
        <v>352</v>
      </c>
      <c r="AJ12" s="280">
        <v>4378</v>
      </c>
      <c r="AK12" s="280">
        <v>4202</v>
      </c>
      <c r="AL12" s="280">
        <v>1344</v>
      </c>
      <c r="AM12" s="872"/>
      <c r="AN12" s="872"/>
      <c r="AO12" s="872"/>
      <c r="AP12" s="872"/>
      <c r="AQ12" s="872"/>
      <c r="AR12" s="872"/>
      <c r="AS12" s="872"/>
      <c r="AT12" s="872"/>
      <c r="AU12" s="872"/>
      <c r="AV12" s="872">
        <v>13444</v>
      </c>
      <c r="AW12" s="875">
        <v>45293</v>
      </c>
      <c r="AX12" s="875">
        <v>45657</v>
      </c>
      <c r="AY12" s="872" t="s">
        <v>2576</v>
      </c>
    </row>
    <row r="13" spans="1:69" s="876" customFormat="1" ht="84.95" customHeight="1" x14ac:dyDescent="0.2">
      <c r="A13" s="24">
        <v>1</v>
      </c>
      <c r="B13" s="195" t="s">
        <v>315</v>
      </c>
      <c r="C13" s="24">
        <v>43</v>
      </c>
      <c r="D13" s="227" t="s">
        <v>2562</v>
      </c>
      <c r="E13" s="24" t="s">
        <v>2563</v>
      </c>
      <c r="F13" s="227" t="s">
        <v>2564</v>
      </c>
      <c r="G13" s="24">
        <v>4301007</v>
      </c>
      <c r="H13" s="227" t="s">
        <v>2565</v>
      </c>
      <c r="I13" s="945">
        <v>4301007</v>
      </c>
      <c r="J13" s="227" t="s">
        <v>2565</v>
      </c>
      <c r="K13" s="842">
        <v>430100701</v>
      </c>
      <c r="L13" s="227" t="s">
        <v>2566</v>
      </c>
      <c r="M13" s="24">
        <v>430100701</v>
      </c>
      <c r="N13" s="227" t="s">
        <v>2566</v>
      </c>
      <c r="O13" s="842">
        <v>12</v>
      </c>
      <c r="P13" s="842"/>
      <c r="Q13" s="842">
        <v>12</v>
      </c>
      <c r="R13" s="842" t="s">
        <v>2567</v>
      </c>
      <c r="S13" s="227" t="s">
        <v>2568</v>
      </c>
      <c r="T13" s="948">
        <f t="shared" si="0"/>
        <v>0.49860500891732196</v>
      </c>
      <c r="U13" s="227" t="s">
        <v>2569</v>
      </c>
      <c r="V13" s="227" t="s">
        <v>2570</v>
      </c>
      <c r="W13" s="227" t="s">
        <v>2577</v>
      </c>
      <c r="X13" s="874">
        <v>80000000</v>
      </c>
      <c r="Y13" s="874"/>
      <c r="Z13" s="874"/>
      <c r="AA13" s="874"/>
      <c r="AB13" s="874"/>
      <c r="AC13" s="873" t="s">
        <v>2581</v>
      </c>
      <c r="AD13" s="227" t="s">
        <v>2573</v>
      </c>
      <c r="AE13" s="872" t="s">
        <v>2582</v>
      </c>
      <c r="AF13" s="227" t="s">
        <v>2583</v>
      </c>
      <c r="AG13" s="280">
        <v>6991</v>
      </c>
      <c r="AH13" s="280">
        <v>6453</v>
      </c>
      <c r="AI13" s="280">
        <v>352</v>
      </c>
      <c r="AJ13" s="280">
        <v>4378</v>
      </c>
      <c r="AK13" s="280">
        <v>4202</v>
      </c>
      <c r="AL13" s="280">
        <v>1344</v>
      </c>
      <c r="AM13" s="872"/>
      <c r="AN13" s="872"/>
      <c r="AO13" s="872"/>
      <c r="AP13" s="872"/>
      <c r="AQ13" s="872"/>
      <c r="AR13" s="872"/>
      <c r="AS13" s="872"/>
      <c r="AT13" s="872"/>
      <c r="AU13" s="872"/>
      <c r="AV13" s="872">
        <v>13444</v>
      </c>
      <c r="AW13" s="875">
        <v>45293</v>
      </c>
      <c r="AX13" s="875">
        <v>45657</v>
      </c>
      <c r="AY13" s="872" t="s">
        <v>2576</v>
      </c>
    </row>
    <row r="14" spans="1:69" s="876" customFormat="1" ht="84.95" customHeight="1" x14ac:dyDescent="0.2">
      <c r="A14" s="24">
        <v>1</v>
      </c>
      <c r="B14" s="195" t="s">
        <v>315</v>
      </c>
      <c r="C14" s="24">
        <v>43</v>
      </c>
      <c r="D14" s="227" t="s">
        <v>2562</v>
      </c>
      <c r="E14" s="24" t="s">
        <v>2563</v>
      </c>
      <c r="F14" s="227" t="s">
        <v>2564</v>
      </c>
      <c r="G14" s="24">
        <v>4301007</v>
      </c>
      <c r="H14" s="227" t="s">
        <v>2565</v>
      </c>
      <c r="I14" s="945">
        <v>4301007</v>
      </c>
      <c r="J14" s="227" t="s">
        <v>2565</v>
      </c>
      <c r="K14" s="842">
        <v>430100701</v>
      </c>
      <c r="L14" s="227" t="s">
        <v>2566</v>
      </c>
      <c r="M14" s="24">
        <v>430100701</v>
      </c>
      <c r="N14" s="227" t="s">
        <v>2566</v>
      </c>
      <c r="O14" s="842">
        <v>12</v>
      </c>
      <c r="P14" s="842"/>
      <c r="Q14" s="842">
        <v>12</v>
      </c>
      <c r="R14" s="842" t="s">
        <v>2567</v>
      </c>
      <c r="S14" s="227" t="s">
        <v>2568</v>
      </c>
      <c r="T14" s="948">
        <f t="shared" si="0"/>
        <v>0.49860500891732196</v>
      </c>
      <c r="U14" s="227" t="s">
        <v>2569</v>
      </c>
      <c r="V14" s="227" t="s">
        <v>2570</v>
      </c>
      <c r="W14" s="227" t="s">
        <v>2577</v>
      </c>
      <c r="X14" s="874">
        <v>50000000</v>
      </c>
      <c r="Y14" s="874"/>
      <c r="Z14" s="874"/>
      <c r="AA14" s="874"/>
      <c r="AB14" s="874"/>
      <c r="AC14" s="873" t="s">
        <v>2584</v>
      </c>
      <c r="AD14" s="227" t="s">
        <v>2573</v>
      </c>
      <c r="AE14" s="872" t="s">
        <v>2585</v>
      </c>
      <c r="AF14" s="227" t="s">
        <v>2586</v>
      </c>
      <c r="AG14" s="280">
        <v>6991</v>
      </c>
      <c r="AH14" s="280">
        <v>6453</v>
      </c>
      <c r="AI14" s="280">
        <v>352</v>
      </c>
      <c r="AJ14" s="280">
        <v>4378</v>
      </c>
      <c r="AK14" s="280">
        <v>4202</v>
      </c>
      <c r="AL14" s="280">
        <v>1344</v>
      </c>
      <c r="AM14" s="872"/>
      <c r="AN14" s="872"/>
      <c r="AO14" s="872"/>
      <c r="AP14" s="872"/>
      <c r="AQ14" s="872"/>
      <c r="AR14" s="872"/>
      <c r="AS14" s="872"/>
      <c r="AT14" s="872"/>
      <c r="AU14" s="872"/>
      <c r="AV14" s="872">
        <v>13444</v>
      </c>
      <c r="AW14" s="875">
        <v>45293</v>
      </c>
      <c r="AX14" s="875">
        <v>45657</v>
      </c>
      <c r="AY14" s="872" t="s">
        <v>2576</v>
      </c>
    </row>
    <row r="15" spans="1:69" s="876" customFormat="1" ht="84.95" customHeight="1" x14ac:dyDescent="0.2">
      <c r="A15" s="24">
        <v>1</v>
      </c>
      <c r="B15" s="195" t="s">
        <v>315</v>
      </c>
      <c r="C15" s="24">
        <v>43</v>
      </c>
      <c r="D15" s="227" t="s">
        <v>2562</v>
      </c>
      <c r="E15" s="24" t="s">
        <v>2563</v>
      </c>
      <c r="F15" s="227" t="s">
        <v>2564</v>
      </c>
      <c r="G15" s="24">
        <v>4301007</v>
      </c>
      <c r="H15" s="227" t="s">
        <v>2565</v>
      </c>
      <c r="I15" s="945">
        <v>4301007</v>
      </c>
      <c r="J15" s="227" t="s">
        <v>2565</v>
      </c>
      <c r="K15" s="842">
        <v>430100701</v>
      </c>
      <c r="L15" s="227" t="s">
        <v>2566</v>
      </c>
      <c r="M15" s="24">
        <v>430100701</v>
      </c>
      <c r="N15" s="227" t="s">
        <v>2566</v>
      </c>
      <c r="O15" s="842">
        <v>12</v>
      </c>
      <c r="P15" s="842"/>
      <c r="Q15" s="842">
        <v>12</v>
      </c>
      <c r="R15" s="842" t="s">
        <v>2567</v>
      </c>
      <c r="S15" s="227" t="s">
        <v>2568</v>
      </c>
      <c r="T15" s="948">
        <f t="shared" si="0"/>
        <v>0.49860500891732196</v>
      </c>
      <c r="U15" s="227" t="s">
        <v>2569</v>
      </c>
      <c r="V15" s="227" t="s">
        <v>2570</v>
      </c>
      <c r="W15" s="227" t="s">
        <v>2577</v>
      </c>
      <c r="X15" s="874">
        <v>80000000</v>
      </c>
      <c r="Y15" s="874"/>
      <c r="Z15" s="874"/>
      <c r="AA15" s="874"/>
      <c r="AB15" s="874"/>
      <c r="AC15" s="873" t="s">
        <v>2587</v>
      </c>
      <c r="AD15" s="227" t="s">
        <v>2573</v>
      </c>
      <c r="AE15" s="872" t="s">
        <v>2588</v>
      </c>
      <c r="AF15" s="227" t="s">
        <v>2589</v>
      </c>
      <c r="AG15" s="280">
        <v>6991</v>
      </c>
      <c r="AH15" s="280">
        <v>6453</v>
      </c>
      <c r="AI15" s="280">
        <v>352</v>
      </c>
      <c r="AJ15" s="280">
        <v>4378</v>
      </c>
      <c r="AK15" s="280">
        <v>4202</v>
      </c>
      <c r="AL15" s="280">
        <v>1344</v>
      </c>
      <c r="AM15" s="872"/>
      <c r="AN15" s="872"/>
      <c r="AO15" s="872"/>
      <c r="AP15" s="872"/>
      <c r="AQ15" s="872"/>
      <c r="AR15" s="872"/>
      <c r="AS15" s="872"/>
      <c r="AT15" s="872"/>
      <c r="AU15" s="872"/>
      <c r="AV15" s="872">
        <v>13444</v>
      </c>
      <c r="AW15" s="875">
        <v>45293</v>
      </c>
      <c r="AX15" s="875">
        <v>45657</v>
      </c>
      <c r="AY15" s="872" t="s">
        <v>2576</v>
      </c>
    </row>
    <row r="16" spans="1:69" s="876" customFormat="1" ht="84.95" customHeight="1" x14ac:dyDescent="0.2">
      <c r="A16" s="24">
        <v>1</v>
      </c>
      <c r="B16" s="195" t="s">
        <v>315</v>
      </c>
      <c r="C16" s="24">
        <v>43</v>
      </c>
      <c r="D16" s="227" t="s">
        <v>2562</v>
      </c>
      <c r="E16" s="24" t="s">
        <v>2563</v>
      </c>
      <c r="F16" s="227" t="s">
        <v>2564</v>
      </c>
      <c r="G16" s="24">
        <v>4301007</v>
      </c>
      <c r="H16" s="227" t="s">
        <v>2565</v>
      </c>
      <c r="I16" s="945">
        <v>4301007</v>
      </c>
      <c r="J16" s="227" t="s">
        <v>2565</v>
      </c>
      <c r="K16" s="842">
        <v>430100701</v>
      </c>
      <c r="L16" s="227" t="s">
        <v>2566</v>
      </c>
      <c r="M16" s="24">
        <v>430100701</v>
      </c>
      <c r="N16" s="227" t="s">
        <v>2566</v>
      </c>
      <c r="O16" s="842">
        <v>12</v>
      </c>
      <c r="P16" s="842"/>
      <c r="Q16" s="842">
        <v>12</v>
      </c>
      <c r="R16" s="842" t="s">
        <v>2567</v>
      </c>
      <c r="S16" s="227" t="s">
        <v>2568</v>
      </c>
      <c r="T16" s="948">
        <f t="shared" si="0"/>
        <v>0.49860500891732196</v>
      </c>
      <c r="U16" s="227" t="s">
        <v>2569</v>
      </c>
      <c r="V16" s="227" t="s">
        <v>2570</v>
      </c>
      <c r="W16" s="227" t="s">
        <v>2577</v>
      </c>
      <c r="X16" s="874">
        <v>250000000</v>
      </c>
      <c r="Y16" s="874"/>
      <c r="Z16" s="874"/>
      <c r="AA16" s="874"/>
      <c r="AB16" s="874"/>
      <c r="AC16" s="873" t="s">
        <v>2590</v>
      </c>
      <c r="AD16" s="227" t="s">
        <v>2573</v>
      </c>
      <c r="AE16" s="872" t="s">
        <v>2591</v>
      </c>
      <c r="AF16" s="227" t="s">
        <v>2592</v>
      </c>
      <c r="AG16" s="280">
        <v>6991</v>
      </c>
      <c r="AH16" s="280">
        <v>6453</v>
      </c>
      <c r="AI16" s="280">
        <v>352</v>
      </c>
      <c r="AJ16" s="280">
        <v>4378</v>
      </c>
      <c r="AK16" s="280">
        <v>4202</v>
      </c>
      <c r="AL16" s="280">
        <v>1344</v>
      </c>
      <c r="AM16" s="872"/>
      <c r="AN16" s="872"/>
      <c r="AO16" s="872"/>
      <c r="AP16" s="872"/>
      <c r="AQ16" s="872"/>
      <c r="AR16" s="872"/>
      <c r="AS16" s="872"/>
      <c r="AT16" s="872"/>
      <c r="AU16" s="872"/>
      <c r="AV16" s="872">
        <v>13444</v>
      </c>
      <c r="AW16" s="875">
        <v>45293</v>
      </c>
      <c r="AX16" s="875">
        <v>45657</v>
      </c>
      <c r="AY16" s="872" t="s">
        <v>2576</v>
      </c>
    </row>
    <row r="17" spans="1:51" s="876" customFormat="1" ht="84.95" customHeight="1" x14ac:dyDescent="0.2">
      <c r="A17" s="24">
        <v>1</v>
      </c>
      <c r="B17" s="195" t="s">
        <v>315</v>
      </c>
      <c r="C17" s="24">
        <v>43</v>
      </c>
      <c r="D17" s="227" t="s">
        <v>2562</v>
      </c>
      <c r="E17" s="24" t="s">
        <v>2563</v>
      </c>
      <c r="F17" s="227" t="s">
        <v>2564</v>
      </c>
      <c r="G17" s="24">
        <v>4301007</v>
      </c>
      <c r="H17" s="227" t="s">
        <v>2565</v>
      </c>
      <c r="I17" s="945">
        <v>4301007</v>
      </c>
      <c r="J17" s="227" t="s">
        <v>2565</v>
      </c>
      <c r="K17" s="842">
        <v>430100701</v>
      </c>
      <c r="L17" s="227" t="s">
        <v>2566</v>
      </c>
      <c r="M17" s="24">
        <v>430100701</v>
      </c>
      <c r="N17" s="227" t="s">
        <v>2566</v>
      </c>
      <c r="O17" s="842">
        <v>12</v>
      </c>
      <c r="P17" s="842"/>
      <c r="Q17" s="842">
        <v>12</v>
      </c>
      <c r="R17" s="842" t="s">
        <v>2567</v>
      </c>
      <c r="S17" s="227" t="s">
        <v>2568</v>
      </c>
      <c r="T17" s="948">
        <f t="shared" si="0"/>
        <v>0.49860500891732196</v>
      </c>
      <c r="U17" s="227" t="s">
        <v>2569</v>
      </c>
      <c r="V17" s="227" t="s">
        <v>2570</v>
      </c>
      <c r="W17" s="227" t="s">
        <v>2577</v>
      </c>
      <c r="X17" s="874">
        <v>20000000</v>
      </c>
      <c r="Y17" s="874"/>
      <c r="Z17" s="874"/>
      <c r="AA17" s="874"/>
      <c r="AB17" s="874"/>
      <c r="AC17" s="873" t="s">
        <v>2593</v>
      </c>
      <c r="AD17" s="227" t="s">
        <v>2594</v>
      </c>
      <c r="AE17" s="872" t="s">
        <v>2585</v>
      </c>
      <c r="AF17" s="227" t="s">
        <v>2586</v>
      </c>
      <c r="AG17" s="280">
        <v>6991</v>
      </c>
      <c r="AH17" s="280">
        <v>6453</v>
      </c>
      <c r="AI17" s="280">
        <v>352</v>
      </c>
      <c r="AJ17" s="280">
        <v>4378</v>
      </c>
      <c r="AK17" s="280">
        <v>4202</v>
      </c>
      <c r="AL17" s="280">
        <v>1344</v>
      </c>
      <c r="AM17" s="872"/>
      <c r="AN17" s="872"/>
      <c r="AO17" s="872"/>
      <c r="AP17" s="872"/>
      <c r="AQ17" s="872"/>
      <c r="AR17" s="872"/>
      <c r="AS17" s="872"/>
      <c r="AT17" s="872"/>
      <c r="AU17" s="872"/>
      <c r="AV17" s="872">
        <v>13444</v>
      </c>
      <c r="AW17" s="875">
        <v>45293</v>
      </c>
      <c r="AX17" s="875">
        <v>45657</v>
      </c>
      <c r="AY17" s="872" t="s">
        <v>2576</v>
      </c>
    </row>
    <row r="18" spans="1:51" s="876" customFormat="1" ht="84.95" customHeight="1" x14ac:dyDescent="0.2">
      <c r="A18" s="24">
        <v>1</v>
      </c>
      <c r="B18" s="195" t="s">
        <v>315</v>
      </c>
      <c r="C18" s="24">
        <v>43</v>
      </c>
      <c r="D18" s="227" t="s">
        <v>2562</v>
      </c>
      <c r="E18" s="24" t="s">
        <v>2563</v>
      </c>
      <c r="F18" s="227" t="s">
        <v>2564</v>
      </c>
      <c r="G18" s="24">
        <v>4301007</v>
      </c>
      <c r="H18" s="227" t="s">
        <v>2565</v>
      </c>
      <c r="I18" s="945">
        <v>4301007</v>
      </c>
      <c r="J18" s="227" t="s">
        <v>2565</v>
      </c>
      <c r="K18" s="842">
        <v>430100701</v>
      </c>
      <c r="L18" s="227" t="s">
        <v>2566</v>
      </c>
      <c r="M18" s="24">
        <v>430100701</v>
      </c>
      <c r="N18" s="227" t="s">
        <v>2566</v>
      </c>
      <c r="O18" s="842">
        <v>12</v>
      </c>
      <c r="P18" s="842"/>
      <c r="Q18" s="842">
        <v>12</v>
      </c>
      <c r="R18" s="842" t="s">
        <v>2567</v>
      </c>
      <c r="S18" s="227" t="s">
        <v>2568</v>
      </c>
      <c r="T18" s="948">
        <f t="shared" si="0"/>
        <v>0.49860500891732196</v>
      </c>
      <c r="U18" s="227" t="s">
        <v>2569</v>
      </c>
      <c r="V18" s="227" t="s">
        <v>2570</v>
      </c>
      <c r="W18" s="227" t="s">
        <v>2577</v>
      </c>
      <c r="X18" s="874">
        <v>20000000</v>
      </c>
      <c r="Y18" s="874"/>
      <c r="Z18" s="874"/>
      <c r="AA18" s="874"/>
      <c r="AB18" s="874"/>
      <c r="AC18" s="873" t="s">
        <v>2595</v>
      </c>
      <c r="AD18" s="227" t="s">
        <v>2594</v>
      </c>
      <c r="AE18" s="872" t="s">
        <v>2588</v>
      </c>
      <c r="AF18" s="227" t="s">
        <v>2589</v>
      </c>
      <c r="AG18" s="280">
        <v>6991</v>
      </c>
      <c r="AH18" s="280">
        <v>6453</v>
      </c>
      <c r="AI18" s="280">
        <v>352</v>
      </c>
      <c r="AJ18" s="280">
        <v>4378</v>
      </c>
      <c r="AK18" s="280">
        <v>4202</v>
      </c>
      <c r="AL18" s="280">
        <v>1344</v>
      </c>
      <c r="AM18" s="872"/>
      <c r="AN18" s="872"/>
      <c r="AO18" s="872"/>
      <c r="AP18" s="872"/>
      <c r="AQ18" s="872"/>
      <c r="AR18" s="872"/>
      <c r="AS18" s="872"/>
      <c r="AT18" s="872"/>
      <c r="AU18" s="872"/>
      <c r="AV18" s="872">
        <v>13444</v>
      </c>
      <c r="AW18" s="875">
        <v>45293</v>
      </c>
      <c r="AX18" s="875">
        <v>45657</v>
      </c>
      <c r="AY18" s="872" t="s">
        <v>2576</v>
      </c>
    </row>
    <row r="19" spans="1:51" s="876" customFormat="1" ht="84.95" customHeight="1" x14ac:dyDescent="0.2">
      <c r="A19" s="24">
        <v>1</v>
      </c>
      <c r="B19" s="195" t="s">
        <v>315</v>
      </c>
      <c r="C19" s="24">
        <v>43</v>
      </c>
      <c r="D19" s="227" t="s">
        <v>2562</v>
      </c>
      <c r="E19" s="24" t="s">
        <v>2563</v>
      </c>
      <c r="F19" s="227" t="s">
        <v>2564</v>
      </c>
      <c r="G19" s="24">
        <v>4301007</v>
      </c>
      <c r="H19" s="227" t="s">
        <v>2565</v>
      </c>
      <c r="I19" s="945">
        <v>4301007</v>
      </c>
      <c r="J19" s="227" t="s">
        <v>2565</v>
      </c>
      <c r="K19" s="842">
        <v>430100701</v>
      </c>
      <c r="L19" s="227" t="s">
        <v>2566</v>
      </c>
      <c r="M19" s="24">
        <v>430100701</v>
      </c>
      <c r="N19" s="227" t="s">
        <v>2566</v>
      </c>
      <c r="O19" s="842">
        <v>12</v>
      </c>
      <c r="P19" s="842"/>
      <c r="Q19" s="842">
        <v>12</v>
      </c>
      <c r="R19" s="842" t="s">
        <v>2567</v>
      </c>
      <c r="S19" s="227" t="s">
        <v>2568</v>
      </c>
      <c r="T19" s="948">
        <f t="shared" si="0"/>
        <v>0.49860500891732196</v>
      </c>
      <c r="U19" s="227" t="s">
        <v>2569</v>
      </c>
      <c r="V19" s="227" t="s">
        <v>2570</v>
      </c>
      <c r="W19" s="227" t="s">
        <v>2596</v>
      </c>
      <c r="X19" s="874">
        <v>50000000</v>
      </c>
      <c r="Y19" s="874"/>
      <c r="Z19" s="874"/>
      <c r="AA19" s="874"/>
      <c r="AB19" s="874"/>
      <c r="AC19" s="873" t="s">
        <v>2597</v>
      </c>
      <c r="AD19" s="227" t="s">
        <v>2598</v>
      </c>
      <c r="AE19" s="872" t="s">
        <v>2591</v>
      </c>
      <c r="AF19" s="227" t="s">
        <v>2592</v>
      </c>
      <c r="AG19" s="280">
        <v>6991</v>
      </c>
      <c r="AH19" s="280">
        <v>6453</v>
      </c>
      <c r="AI19" s="280">
        <v>352</v>
      </c>
      <c r="AJ19" s="280">
        <v>4378</v>
      </c>
      <c r="AK19" s="280">
        <v>4202</v>
      </c>
      <c r="AL19" s="280">
        <v>1344</v>
      </c>
      <c r="AM19" s="872"/>
      <c r="AN19" s="872"/>
      <c r="AO19" s="872"/>
      <c r="AP19" s="872"/>
      <c r="AQ19" s="872"/>
      <c r="AR19" s="872"/>
      <c r="AS19" s="872"/>
      <c r="AT19" s="872"/>
      <c r="AU19" s="872"/>
      <c r="AV19" s="872">
        <v>13444</v>
      </c>
      <c r="AW19" s="875">
        <v>45293</v>
      </c>
      <c r="AX19" s="875">
        <v>45657</v>
      </c>
      <c r="AY19" s="872" t="s">
        <v>2576</v>
      </c>
    </row>
    <row r="20" spans="1:51" s="876" customFormat="1" ht="84.95" customHeight="1" x14ac:dyDescent="0.2">
      <c r="A20" s="24">
        <v>1</v>
      </c>
      <c r="B20" s="195" t="s">
        <v>315</v>
      </c>
      <c r="C20" s="24">
        <v>43</v>
      </c>
      <c r="D20" s="227" t="s">
        <v>2562</v>
      </c>
      <c r="E20" s="24" t="s">
        <v>2563</v>
      </c>
      <c r="F20" s="227" t="s">
        <v>2564</v>
      </c>
      <c r="G20" s="24">
        <v>4301007</v>
      </c>
      <c r="H20" s="227" t="s">
        <v>2565</v>
      </c>
      <c r="I20" s="945">
        <v>4301007</v>
      </c>
      <c r="J20" s="227" t="s">
        <v>2565</v>
      </c>
      <c r="K20" s="842">
        <v>430100701</v>
      </c>
      <c r="L20" s="227" t="s">
        <v>2566</v>
      </c>
      <c r="M20" s="24">
        <v>430100701</v>
      </c>
      <c r="N20" s="227" t="s">
        <v>2566</v>
      </c>
      <c r="O20" s="842">
        <v>12</v>
      </c>
      <c r="P20" s="842"/>
      <c r="Q20" s="842">
        <v>12</v>
      </c>
      <c r="R20" s="842" t="s">
        <v>2567</v>
      </c>
      <c r="S20" s="227" t="s">
        <v>2568</v>
      </c>
      <c r="T20" s="948">
        <f t="shared" si="0"/>
        <v>0.49860500891732196</v>
      </c>
      <c r="U20" s="227" t="s">
        <v>2569</v>
      </c>
      <c r="V20" s="227" t="s">
        <v>2570</v>
      </c>
      <c r="W20" s="227" t="s">
        <v>2596</v>
      </c>
      <c r="X20" s="874">
        <v>30000000</v>
      </c>
      <c r="Y20" s="874"/>
      <c r="Z20" s="874"/>
      <c r="AA20" s="874"/>
      <c r="AB20" s="874"/>
      <c r="AC20" s="873" t="s">
        <v>2599</v>
      </c>
      <c r="AD20" s="227" t="s">
        <v>2600</v>
      </c>
      <c r="AE20" s="872" t="s">
        <v>2582</v>
      </c>
      <c r="AF20" s="227" t="s">
        <v>2583</v>
      </c>
      <c r="AG20" s="280">
        <v>6991</v>
      </c>
      <c r="AH20" s="280">
        <v>6453</v>
      </c>
      <c r="AI20" s="280">
        <v>352</v>
      </c>
      <c r="AJ20" s="280">
        <v>4378</v>
      </c>
      <c r="AK20" s="280">
        <v>4202</v>
      </c>
      <c r="AL20" s="280">
        <v>1344</v>
      </c>
      <c r="AM20" s="872"/>
      <c r="AN20" s="872"/>
      <c r="AO20" s="872"/>
      <c r="AP20" s="872"/>
      <c r="AQ20" s="872"/>
      <c r="AR20" s="872"/>
      <c r="AS20" s="872"/>
      <c r="AT20" s="872"/>
      <c r="AU20" s="872"/>
      <c r="AV20" s="872">
        <v>13444</v>
      </c>
      <c r="AW20" s="875">
        <v>45293</v>
      </c>
      <c r="AX20" s="875">
        <v>45657</v>
      </c>
      <c r="AY20" s="872" t="s">
        <v>2576</v>
      </c>
    </row>
    <row r="21" spans="1:51" s="876" customFormat="1" ht="84.95" customHeight="1" x14ac:dyDescent="0.2">
      <c r="A21" s="24">
        <v>1</v>
      </c>
      <c r="B21" s="195" t="s">
        <v>315</v>
      </c>
      <c r="C21" s="24">
        <v>43</v>
      </c>
      <c r="D21" s="227" t="s">
        <v>2562</v>
      </c>
      <c r="E21" s="24" t="s">
        <v>2563</v>
      </c>
      <c r="F21" s="227" t="s">
        <v>2564</v>
      </c>
      <c r="G21" s="24">
        <v>4301007</v>
      </c>
      <c r="H21" s="227" t="s">
        <v>2565</v>
      </c>
      <c r="I21" s="945">
        <v>4301007</v>
      </c>
      <c r="J21" s="227" t="s">
        <v>2565</v>
      </c>
      <c r="K21" s="842">
        <v>430100701</v>
      </c>
      <c r="L21" s="227" t="s">
        <v>2566</v>
      </c>
      <c r="M21" s="24">
        <v>430100701</v>
      </c>
      <c r="N21" s="227" t="s">
        <v>2566</v>
      </c>
      <c r="O21" s="842">
        <v>12</v>
      </c>
      <c r="P21" s="842"/>
      <c r="Q21" s="842">
        <v>12</v>
      </c>
      <c r="R21" s="842" t="s">
        <v>2567</v>
      </c>
      <c r="S21" s="227" t="s">
        <v>2568</v>
      </c>
      <c r="T21" s="948">
        <f t="shared" si="0"/>
        <v>0.49860500891732196</v>
      </c>
      <c r="U21" s="227" t="s">
        <v>2569</v>
      </c>
      <c r="V21" s="227" t="s">
        <v>2570</v>
      </c>
      <c r="W21" s="227" t="s">
        <v>2596</v>
      </c>
      <c r="X21" s="874">
        <v>10000000</v>
      </c>
      <c r="Y21" s="874"/>
      <c r="Z21" s="874"/>
      <c r="AA21" s="874"/>
      <c r="AB21" s="874"/>
      <c r="AC21" s="873" t="s">
        <v>2601</v>
      </c>
      <c r="AD21" s="227" t="s">
        <v>2602</v>
      </c>
      <c r="AE21" s="872" t="s">
        <v>2582</v>
      </c>
      <c r="AF21" s="227" t="s">
        <v>2583</v>
      </c>
      <c r="AG21" s="280">
        <v>6991</v>
      </c>
      <c r="AH21" s="280">
        <v>6453</v>
      </c>
      <c r="AI21" s="280">
        <v>352</v>
      </c>
      <c r="AJ21" s="280">
        <v>4378</v>
      </c>
      <c r="AK21" s="280">
        <v>4202</v>
      </c>
      <c r="AL21" s="280">
        <v>1344</v>
      </c>
      <c r="AM21" s="872"/>
      <c r="AN21" s="872"/>
      <c r="AO21" s="872"/>
      <c r="AP21" s="872"/>
      <c r="AQ21" s="872"/>
      <c r="AR21" s="872"/>
      <c r="AS21" s="872"/>
      <c r="AT21" s="872"/>
      <c r="AU21" s="872"/>
      <c r="AV21" s="872">
        <v>13444</v>
      </c>
      <c r="AW21" s="875">
        <v>45293</v>
      </c>
      <c r="AX21" s="875">
        <v>45657</v>
      </c>
      <c r="AY21" s="872" t="s">
        <v>2576</v>
      </c>
    </row>
    <row r="22" spans="1:51" s="876" customFormat="1" ht="84.95" customHeight="1" x14ac:dyDescent="0.2">
      <c r="A22" s="24">
        <v>1</v>
      </c>
      <c r="B22" s="195" t="s">
        <v>315</v>
      </c>
      <c r="C22" s="24">
        <v>43</v>
      </c>
      <c r="D22" s="227" t="s">
        <v>2562</v>
      </c>
      <c r="E22" s="24">
        <v>4301</v>
      </c>
      <c r="F22" s="227" t="s">
        <v>2564</v>
      </c>
      <c r="G22" s="24">
        <v>4301037</v>
      </c>
      <c r="H22" s="227" t="s">
        <v>2603</v>
      </c>
      <c r="I22" s="945">
        <v>4301037</v>
      </c>
      <c r="J22" s="227" t="s">
        <v>2603</v>
      </c>
      <c r="K22" s="842">
        <v>430103701</v>
      </c>
      <c r="L22" s="227" t="s">
        <v>2604</v>
      </c>
      <c r="M22" s="24">
        <v>430103701</v>
      </c>
      <c r="N22" s="227" t="s">
        <v>2604</v>
      </c>
      <c r="O22" s="842">
        <v>12</v>
      </c>
      <c r="P22" s="842"/>
      <c r="Q22" s="842">
        <v>12</v>
      </c>
      <c r="R22" s="842" t="s">
        <v>2567</v>
      </c>
      <c r="S22" s="227" t="s">
        <v>2568</v>
      </c>
      <c r="T22" s="948">
        <f>SUM($X$22:$X$54)/SUM($X$11:$X$56)</f>
        <v>0.48213702160350796</v>
      </c>
      <c r="U22" s="227" t="s">
        <v>2569</v>
      </c>
      <c r="V22" s="227" t="s">
        <v>2570</v>
      </c>
      <c r="W22" s="227" t="s">
        <v>2605</v>
      </c>
      <c r="X22" s="874">
        <v>30000000</v>
      </c>
      <c r="Y22" s="874"/>
      <c r="Z22" s="874"/>
      <c r="AA22" s="874"/>
      <c r="AB22" s="874"/>
      <c r="AC22" s="873" t="s">
        <v>2606</v>
      </c>
      <c r="AD22" s="227" t="s">
        <v>2573</v>
      </c>
      <c r="AE22" s="872" t="s">
        <v>2579</v>
      </c>
      <c r="AF22" s="227" t="s">
        <v>2580</v>
      </c>
      <c r="AG22" s="280">
        <v>6991</v>
      </c>
      <c r="AH22" s="280">
        <v>6453</v>
      </c>
      <c r="AI22" s="280">
        <v>352</v>
      </c>
      <c r="AJ22" s="280">
        <v>4378</v>
      </c>
      <c r="AK22" s="280">
        <v>4202</v>
      </c>
      <c r="AL22" s="280">
        <v>1344</v>
      </c>
      <c r="AM22" s="872"/>
      <c r="AN22" s="872"/>
      <c r="AO22" s="872"/>
      <c r="AP22" s="872"/>
      <c r="AQ22" s="872"/>
      <c r="AR22" s="872"/>
      <c r="AS22" s="872"/>
      <c r="AT22" s="872"/>
      <c r="AU22" s="872"/>
      <c r="AV22" s="872">
        <v>13444</v>
      </c>
      <c r="AW22" s="875">
        <v>45293</v>
      </c>
      <c r="AX22" s="875">
        <v>45657</v>
      </c>
      <c r="AY22" s="872" t="s">
        <v>2576</v>
      </c>
    </row>
    <row r="23" spans="1:51" s="876" customFormat="1" ht="84.95" customHeight="1" x14ac:dyDescent="0.2">
      <c r="A23" s="24">
        <v>1</v>
      </c>
      <c r="B23" s="195" t="s">
        <v>315</v>
      </c>
      <c r="C23" s="24">
        <v>43</v>
      </c>
      <c r="D23" s="227" t="s">
        <v>2562</v>
      </c>
      <c r="E23" s="24">
        <v>4301</v>
      </c>
      <c r="F23" s="227" t="s">
        <v>2564</v>
      </c>
      <c r="G23" s="24">
        <v>4301037</v>
      </c>
      <c r="H23" s="227" t="s">
        <v>2603</v>
      </c>
      <c r="I23" s="945">
        <v>4301037</v>
      </c>
      <c r="J23" s="227" t="s">
        <v>2603</v>
      </c>
      <c r="K23" s="842">
        <v>430103701</v>
      </c>
      <c r="L23" s="227" t="s">
        <v>2604</v>
      </c>
      <c r="M23" s="24">
        <v>430103701</v>
      </c>
      <c r="N23" s="227" t="s">
        <v>2604</v>
      </c>
      <c r="O23" s="842">
        <v>12</v>
      </c>
      <c r="P23" s="842"/>
      <c r="Q23" s="842">
        <v>12</v>
      </c>
      <c r="R23" s="842" t="s">
        <v>2567</v>
      </c>
      <c r="S23" s="227" t="s">
        <v>2568</v>
      </c>
      <c r="T23" s="948">
        <f t="shared" ref="T23:T54" si="1">SUM($X$22:$X$54)/SUM($X$11:$X$56)</f>
        <v>0.48213702160350796</v>
      </c>
      <c r="U23" s="227" t="s">
        <v>2569</v>
      </c>
      <c r="V23" s="227" t="s">
        <v>2570</v>
      </c>
      <c r="W23" s="227" t="s">
        <v>2605</v>
      </c>
      <c r="X23" s="874">
        <v>15000000</v>
      </c>
      <c r="Y23" s="874"/>
      <c r="Z23" s="874"/>
      <c r="AA23" s="874"/>
      <c r="AB23" s="874"/>
      <c r="AC23" s="873" t="s">
        <v>2607</v>
      </c>
      <c r="AD23" s="227" t="s">
        <v>2573</v>
      </c>
      <c r="AE23" s="872" t="s">
        <v>2582</v>
      </c>
      <c r="AF23" s="227" t="s">
        <v>2583</v>
      </c>
      <c r="AG23" s="280">
        <v>6991</v>
      </c>
      <c r="AH23" s="280">
        <v>6453</v>
      </c>
      <c r="AI23" s="280">
        <v>352</v>
      </c>
      <c r="AJ23" s="280">
        <v>4378</v>
      </c>
      <c r="AK23" s="280">
        <v>4202</v>
      </c>
      <c r="AL23" s="280">
        <v>1344</v>
      </c>
      <c r="AM23" s="872"/>
      <c r="AN23" s="872"/>
      <c r="AO23" s="872"/>
      <c r="AP23" s="872"/>
      <c r="AQ23" s="872"/>
      <c r="AR23" s="872"/>
      <c r="AS23" s="872"/>
      <c r="AT23" s="872"/>
      <c r="AU23" s="872"/>
      <c r="AV23" s="872">
        <v>13444</v>
      </c>
      <c r="AW23" s="875">
        <v>45293</v>
      </c>
      <c r="AX23" s="875">
        <v>45657</v>
      </c>
      <c r="AY23" s="872" t="s">
        <v>2576</v>
      </c>
    </row>
    <row r="24" spans="1:51" s="876" customFormat="1" ht="84.95" customHeight="1" x14ac:dyDescent="0.2">
      <c r="A24" s="24">
        <v>1</v>
      </c>
      <c r="B24" s="195" t="s">
        <v>315</v>
      </c>
      <c r="C24" s="24">
        <v>43</v>
      </c>
      <c r="D24" s="227" t="s">
        <v>2562</v>
      </c>
      <c r="E24" s="24">
        <v>4301</v>
      </c>
      <c r="F24" s="227" t="s">
        <v>2564</v>
      </c>
      <c r="G24" s="24">
        <v>4301037</v>
      </c>
      <c r="H24" s="227" t="s">
        <v>2603</v>
      </c>
      <c r="I24" s="945">
        <v>4301037</v>
      </c>
      <c r="J24" s="227" t="s">
        <v>2603</v>
      </c>
      <c r="K24" s="842">
        <v>430103701</v>
      </c>
      <c r="L24" s="227" t="s">
        <v>2604</v>
      </c>
      <c r="M24" s="24">
        <v>430103701</v>
      </c>
      <c r="N24" s="227" t="s">
        <v>2604</v>
      </c>
      <c r="O24" s="842">
        <v>12</v>
      </c>
      <c r="P24" s="842"/>
      <c r="Q24" s="842">
        <v>12</v>
      </c>
      <c r="R24" s="842" t="s">
        <v>2567</v>
      </c>
      <c r="S24" s="227" t="s">
        <v>2568</v>
      </c>
      <c r="T24" s="948">
        <f t="shared" si="1"/>
        <v>0.48213702160350796</v>
      </c>
      <c r="U24" s="227" t="s">
        <v>2569</v>
      </c>
      <c r="V24" s="227" t="s">
        <v>2570</v>
      </c>
      <c r="W24" s="227" t="s">
        <v>2605</v>
      </c>
      <c r="X24" s="874">
        <v>50000000</v>
      </c>
      <c r="Y24" s="874"/>
      <c r="Z24" s="874"/>
      <c r="AA24" s="874"/>
      <c r="AB24" s="874"/>
      <c r="AC24" s="873" t="s">
        <v>2608</v>
      </c>
      <c r="AD24" s="227" t="s">
        <v>2573</v>
      </c>
      <c r="AE24" s="872" t="s">
        <v>2588</v>
      </c>
      <c r="AF24" s="227" t="s">
        <v>2589</v>
      </c>
      <c r="AG24" s="280">
        <v>6991</v>
      </c>
      <c r="AH24" s="280">
        <v>6453</v>
      </c>
      <c r="AI24" s="280">
        <v>352</v>
      </c>
      <c r="AJ24" s="280">
        <v>4378</v>
      </c>
      <c r="AK24" s="280">
        <v>4202</v>
      </c>
      <c r="AL24" s="280">
        <v>1344</v>
      </c>
      <c r="AM24" s="872"/>
      <c r="AN24" s="872"/>
      <c r="AO24" s="872"/>
      <c r="AP24" s="872"/>
      <c r="AQ24" s="872"/>
      <c r="AR24" s="872"/>
      <c r="AS24" s="872"/>
      <c r="AT24" s="872"/>
      <c r="AU24" s="872"/>
      <c r="AV24" s="872">
        <v>13444</v>
      </c>
      <c r="AW24" s="875">
        <v>45293</v>
      </c>
      <c r="AX24" s="875">
        <v>45657</v>
      </c>
      <c r="AY24" s="872" t="s">
        <v>2576</v>
      </c>
    </row>
    <row r="25" spans="1:51" s="876" customFormat="1" ht="84.95" customHeight="1" x14ac:dyDescent="0.2">
      <c r="A25" s="24">
        <v>1</v>
      </c>
      <c r="B25" s="195" t="s">
        <v>315</v>
      </c>
      <c r="C25" s="24">
        <v>43</v>
      </c>
      <c r="D25" s="227" t="s">
        <v>2562</v>
      </c>
      <c r="E25" s="24">
        <v>4301</v>
      </c>
      <c r="F25" s="227" t="s">
        <v>2564</v>
      </c>
      <c r="G25" s="24">
        <v>4301037</v>
      </c>
      <c r="H25" s="227" t="s">
        <v>2603</v>
      </c>
      <c r="I25" s="945">
        <v>4301037</v>
      </c>
      <c r="J25" s="227" t="s">
        <v>2603</v>
      </c>
      <c r="K25" s="842">
        <v>430103701</v>
      </c>
      <c r="L25" s="227" t="s">
        <v>2604</v>
      </c>
      <c r="M25" s="24">
        <v>430103701</v>
      </c>
      <c r="N25" s="227" t="s">
        <v>2604</v>
      </c>
      <c r="O25" s="842">
        <v>12</v>
      </c>
      <c r="P25" s="842"/>
      <c r="Q25" s="842">
        <v>12</v>
      </c>
      <c r="R25" s="842" t="s">
        <v>2567</v>
      </c>
      <c r="S25" s="227" t="s">
        <v>2568</v>
      </c>
      <c r="T25" s="948">
        <f t="shared" si="1"/>
        <v>0.48213702160350796</v>
      </c>
      <c r="U25" s="227" t="s">
        <v>2569</v>
      </c>
      <c r="V25" s="227" t="s">
        <v>2570</v>
      </c>
      <c r="W25" s="227" t="s">
        <v>2605</v>
      </c>
      <c r="X25" s="874">
        <v>180000000</v>
      </c>
      <c r="Y25" s="874"/>
      <c r="Z25" s="874"/>
      <c r="AA25" s="874"/>
      <c r="AB25" s="874"/>
      <c r="AC25" s="873" t="s">
        <v>2609</v>
      </c>
      <c r="AD25" s="227" t="s">
        <v>2573</v>
      </c>
      <c r="AE25" s="872" t="s">
        <v>2591</v>
      </c>
      <c r="AF25" s="227" t="s">
        <v>2592</v>
      </c>
      <c r="AG25" s="280">
        <v>6991</v>
      </c>
      <c r="AH25" s="280">
        <v>6453</v>
      </c>
      <c r="AI25" s="280">
        <v>352</v>
      </c>
      <c r="AJ25" s="280">
        <v>4378</v>
      </c>
      <c r="AK25" s="280">
        <v>4202</v>
      </c>
      <c r="AL25" s="280">
        <v>1344</v>
      </c>
      <c r="AM25" s="872"/>
      <c r="AN25" s="872"/>
      <c r="AO25" s="872"/>
      <c r="AP25" s="872"/>
      <c r="AQ25" s="872"/>
      <c r="AR25" s="872"/>
      <c r="AS25" s="872"/>
      <c r="AT25" s="872"/>
      <c r="AU25" s="872"/>
      <c r="AV25" s="872">
        <v>13444</v>
      </c>
      <c r="AW25" s="875">
        <v>45293</v>
      </c>
      <c r="AX25" s="875">
        <v>45657</v>
      </c>
      <c r="AY25" s="872" t="s">
        <v>2576</v>
      </c>
    </row>
    <row r="26" spans="1:51" s="876" customFormat="1" ht="84.95" customHeight="1" x14ac:dyDescent="0.2">
      <c r="A26" s="24">
        <v>1</v>
      </c>
      <c r="B26" s="195" t="s">
        <v>315</v>
      </c>
      <c r="C26" s="24">
        <v>43</v>
      </c>
      <c r="D26" s="227" t="s">
        <v>2562</v>
      </c>
      <c r="E26" s="24">
        <v>4301</v>
      </c>
      <c r="F26" s="227" t="s">
        <v>2564</v>
      </c>
      <c r="G26" s="24">
        <v>4301037</v>
      </c>
      <c r="H26" s="227" t="s">
        <v>2603</v>
      </c>
      <c r="I26" s="945">
        <v>4301037</v>
      </c>
      <c r="J26" s="227" t="s">
        <v>2603</v>
      </c>
      <c r="K26" s="842">
        <v>430103701</v>
      </c>
      <c r="L26" s="227" t="s">
        <v>2604</v>
      </c>
      <c r="M26" s="24">
        <v>430103701</v>
      </c>
      <c r="N26" s="227" t="s">
        <v>2604</v>
      </c>
      <c r="O26" s="842">
        <v>12</v>
      </c>
      <c r="P26" s="842"/>
      <c r="Q26" s="842">
        <v>12</v>
      </c>
      <c r="R26" s="842" t="s">
        <v>2567</v>
      </c>
      <c r="S26" s="227" t="s">
        <v>2568</v>
      </c>
      <c r="T26" s="948">
        <f t="shared" si="1"/>
        <v>0.48213702160350796</v>
      </c>
      <c r="U26" s="227" t="s">
        <v>2569</v>
      </c>
      <c r="V26" s="227" t="s">
        <v>2570</v>
      </c>
      <c r="W26" s="227" t="s">
        <v>2610</v>
      </c>
      <c r="X26" s="874">
        <v>7000000</v>
      </c>
      <c r="Y26" s="874"/>
      <c r="Z26" s="874"/>
      <c r="AA26" s="874"/>
      <c r="AB26" s="874"/>
      <c r="AC26" s="873" t="s">
        <v>2611</v>
      </c>
      <c r="AD26" s="227" t="s">
        <v>2612</v>
      </c>
      <c r="AE26" s="872" t="s">
        <v>2582</v>
      </c>
      <c r="AF26" s="227" t="s">
        <v>2583</v>
      </c>
      <c r="AG26" s="280">
        <v>6991</v>
      </c>
      <c r="AH26" s="280">
        <v>6453</v>
      </c>
      <c r="AI26" s="280">
        <v>352</v>
      </c>
      <c r="AJ26" s="280">
        <v>4378</v>
      </c>
      <c r="AK26" s="280">
        <v>4202</v>
      </c>
      <c r="AL26" s="280">
        <v>1344</v>
      </c>
      <c r="AM26" s="872"/>
      <c r="AN26" s="872"/>
      <c r="AO26" s="872"/>
      <c r="AP26" s="872"/>
      <c r="AQ26" s="872"/>
      <c r="AR26" s="872"/>
      <c r="AS26" s="872"/>
      <c r="AT26" s="872"/>
      <c r="AU26" s="872"/>
      <c r="AV26" s="872">
        <v>13444</v>
      </c>
      <c r="AW26" s="875">
        <v>45293</v>
      </c>
      <c r="AX26" s="875">
        <v>45657</v>
      </c>
      <c r="AY26" s="872" t="s">
        <v>2576</v>
      </c>
    </row>
    <row r="27" spans="1:51" s="876" customFormat="1" ht="84.95" customHeight="1" x14ac:dyDescent="0.2">
      <c r="A27" s="24">
        <v>1</v>
      </c>
      <c r="B27" s="195" t="s">
        <v>315</v>
      </c>
      <c r="C27" s="24">
        <v>43</v>
      </c>
      <c r="D27" s="227" t="s">
        <v>2562</v>
      </c>
      <c r="E27" s="24">
        <v>4301</v>
      </c>
      <c r="F27" s="227" t="s">
        <v>2564</v>
      </c>
      <c r="G27" s="24">
        <v>4301037</v>
      </c>
      <c r="H27" s="227" t="s">
        <v>2603</v>
      </c>
      <c r="I27" s="945">
        <v>4301037</v>
      </c>
      <c r="J27" s="227" t="s">
        <v>2603</v>
      </c>
      <c r="K27" s="842">
        <v>430103701</v>
      </c>
      <c r="L27" s="227" t="s">
        <v>2604</v>
      </c>
      <c r="M27" s="24">
        <v>430103701</v>
      </c>
      <c r="N27" s="227" t="s">
        <v>2604</v>
      </c>
      <c r="O27" s="842">
        <v>12</v>
      </c>
      <c r="P27" s="842"/>
      <c r="Q27" s="842">
        <v>12</v>
      </c>
      <c r="R27" s="842" t="s">
        <v>2567</v>
      </c>
      <c r="S27" s="227" t="s">
        <v>2568</v>
      </c>
      <c r="T27" s="948">
        <f t="shared" si="1"/>
        <v>0.48213702160350796</v>
      </c>
      <c r="U27" s="227" t="s">
        <v>2569</v>
      </c>
      <c r="V27" s="227" t="s">
        <v>2570</v>
      </c>
      <c r="W27" s="227" t="s">
        <v>2610</v>
      </c>
      <c r="X27" s="874">
        <v>50000000</v>
      </c>
      <c r="Y27" s="874"/>
      <c r="Z27" s="874"/>
      <c r="AA27" s="874"/>
      <c r="AB27" s="874"/>
      <c r="AC27" s="873" t="s">
        <v>2613</v>
      </c>
      <c r="AD27" s="227" t="s">
        <v>2614</v>
      </c>
      <c r="AE27" s="872" t="s">
        <v>2582</v>
      </c>
      <c r="AF27" s="227" t="s">
        <v>2583</v>
      </c>
      <c r="AG27" s="280">
        <v>6991</v>
      </c>
      <c r="AH27" s="280">
        <v>6453</v>
      </c>
      <c r="AI27" s="280">
        <v>352</v>
      </c>
      <c r="AJ27" s="280">
        <v>4378</v>
      </c>
      <c r="AK27" s="280">
        <v>4202</v>
      </c>
      <c r="AL27" s="280">
        <v>1344</v>
      </c>
      <c r="AM27" s="872"/>
      <c r="AN27" s="872"/>
      <c r="AO27" s="872"/>
      <c r="AP27" s="872"/>
      <c r="AQ27" s="872"/>
      <c r="AR27" s="872"/>
      <c r="AS27" s="872"/>
      <c r="AT27" s="872"/>
      <c r="AU27" s="872"/>
      <c r="AV27" s="872">
        <v>13444</v>
      </c>
      <c r="AW27" s="875">
        <v>45293</v>
      </c>
      <c r="AX27" s="875">
        <v>45657</v>
      </c>
      <c r="AY27" s="872" t="s">
        <v>2576</v>
      </c>
    </row>
    <row r="28" spans="1:51" s="876" customFormat="1" ht="84.95" customHeight="1" x14ac:dyDescent="0.2">
      <c r="A28" s="24">
        <v>1</v>
      </c>
      <c r="B28" s="195" t="s">
        <v>315</v>
      </c>
      <c r="C28" s="24">
        <v>43</v>
      </c>
      <c r="D28" s="227" t="s">
        <v>2562</v>
      </c>
      <c r="E28" s="24">
        <v>4301</v>
      </c>
      <c r="F28" s="227" t="s">
        <v>2564</v>
      </c>
      <c r="G28" s="24">
        <v>4301037</v>
      </c>
      <c r="H28" s="227" t="s">
        <v>2603</v>
      </c>
      <c r="I28" s="945">
        <v>4301037</v>
      </c>
      <c r="J28" s="227" t="s">
        <v>2603</v>
      </c>
      <c r="K28" s="842">
        <v>430103701</v>
      </c>
      <c r="L28" s="227" t="s">
        <v>2604</v>
      </c>
      <c r="M28" s="24">
        <v>430103701</v>
      </c>
      <c r="N28" s="227" t="s">
        <v>2604</v>
      </c>
      <c r="O28" s="842">
        <v>12</v>
      </c>
      <c r="P28" s="842"/>
      <c r="Q28" s="842">
        <v>12</v>
      </c>
      <c r="R28" s="842" t="s">
        <v>2567</v>
      </c>
      <c r="S28" s="227" t="s">
        <v>2568</v>
      </c>
      <c r="T28" s="948">
        <f t="shared" si="1"/>
        <v>0.48213702160350796</v>
      </c>
      <c r="U28" s="227" t="s">
        <v>2569</v>
      </c>
      <c r="V28" s="227" t="s">
        <v>2570</v>
      </c>
      <c r="W28" s="227" t="s">
        <v>2610</v>
      </c>
      <c r="X28" s="874">
        <v>20000000</v>
      </c>
      <c r="Y28" s="874"/>
      <c r="Z28" s="874"/>
      <c r="AA28" s="874"/>
      <c r="AB28" s="874"/>
      <c r="AC28" s="873" t="s">
        <v>2607</v>
      </c>
      <c r="AD28" s="227" t="s">
        <v>2573</v>
      </c>
      <c r="AE28" s="872" t="s">
        <v>2582</v>
      </c>
      <c r="AF28" s="227" t="s">
        <v>2583</v>
      </c>
      <c r="AG28" s="280">
        <v>6991</v>
      </c>
      <c r="AH28" s="280">
        <v>6453</v>
      </c>
      <c r="AI28" s="280">
        <v>352</v>
      </c>
      <c r="AJ28" s="280">
        <v>4378</v>
      </c>
      <c r="AK28" s="280">
        <v>4202</v>
      </c>
      <c r="AL28" s="280">
        <v>1344</v>
      </c>
      <c r="AM28" s="872"/>
      <c r="AN28" s="872"/>
      <c r="AO28" s="872"/>
      <c r="AP28" s="872"/>
      <c r="AQ28" s="872"/>
      <c r="AR28" s="872"/>
      <c r="AS28" s="872"/>
      <c r="AT28" s="872"/>
      <c r="AU28" s="872"/>
      <c r="AV28" s="872">
        <v>13444</v>
      </c>
      <c r="AW28" s="875">
        <v>45293</v>
      </c>
      <c r="AX28" s="875">
        <v>45657</v>
      </c>
      <c r="AY28" s="872" t="s">
        <v>2576</v>
      </c>
    </row>
    <row r="29" spans="1:51" s="876" customFormat="1" ht="84.95" customHeight="1" x14ac:dyDescent="0.2">
      <c r="A29" s="24">
        <v>1</v>
      </c>
      <c r="B29" s="195" t="s">
        <v>315</v>
      </c>
      <c r="C29" s="24">
        <v>43</v>
      </c>
      <c r="D29" s="227" t="s">
        <v>2562</v>
      </c>
      <c r="E29" s="24">
        <v>4301</v>
      </c>
      <c r="F29" s="227" t="s">
        <v>2564</v>
      </c>
      <c r="G29" s="24">
        <v>4301037</v>
      </c>
      <c r="H29" s="227" t="s">
        <v>2603</v>
      </c>
      <c r="I29" s="945">
        <v>4301037</v>
      </c>
      <c r="J29" s="227" t="s">
        <v>2603</v>
      </c>
      <c r="K29" s="842">
        <v>430103701</v>
      </c>
      <c r="L29" s="227" t="s">
        <v>2604</v>
      </c>
      <c r="M29" s="24">
        <v>430103701</v>
      </c>
      <c r="N29" s="227" t="s">
        <v>2604</v>
      </c>
      <c r="O29" s="842">
        <v>12</v>
      </c>
      <c r="P29" s="842"/>
      <c r="Q29" s="842">
        <v>12</v>
      </c>
      <c r="R29" s="842" t="s">
        <v>2567</v>
      </c>
      <c r="S29" s="227" t="s">
        <v>2568</v>
      </c>
      <c r="T29" s="948">
        <f t="shared" si="1"/>
        <v>0.48213702160350796</v>
      </c>
      <c r="U29" s="227" t="s">
        <v>2569</v>
      </c>
      <c r="V29" s="227" t="s">
        <v>2570</v>
      </c>
      <c r="W29" s="227" t="s">
        <v>2610</v>
      </c>
      <c r="X29" s="874">
        <v>20000000</v>
      </c>
      <c r="Y29" s="874"/>
      <c r="Z29" s="874"/>
      <c r="AA29" s="874"/>
      <c r="AB29" s="874"/>
      <c r="AC29" s="873" t="s">
        <v>2615</v>
      </c>
      <c r="AD29" s="227" t="s">
        <v>2616</v>
      </c>
      <c r="AE29" s="872" t="s">
        <v>2591</v>
      </c>
      <c r="AF29" s="227" t="s">
        <v>2592</v>
      </c>
      <c r="AG29" s="280">
        <v>6991</v>
      </c>
      <c r="AH29" s="280">
        <v>6453</v>
      </c>
      <c r="AI29" s="280">
        <v>352</v>
      </c>
      <c r="AJ29" s="280">
        <v>4378</v>
      </c>
      <c r="AK29" s="280">
        <v>4202</v>
      </c>
      <c r="AL29" s="280">
        <v>1344</v>
      </c>
      <c r="AM29" s="872"/>
      <c r="AN29" s="872"/>
      <c r="AO29" s="872"/>
      <c r="AP29" s="872"/>
      <c r="AQ29" s="872"/>
      <c r="AR29" s="872"/>
      <c r="AS29" s="872"/>
      <c r="AT29" s="872"/>
      <c r="AU29" s="872"/>
      <c r="AV29" s="872">
        <v>13444</v>
      </c>
      <c r="AW29" s="875">
        <v>45293</v>
      </c>
      <c r="AX29" s="875">
        <v>45657</v>
      </c>
      <c r="AY29" s="872" t="s">
        <v>2576</v>
      </c>
    </row>
    <row r="30" spans="1:51" s="876" customFormat="1" ht="84.95" customHeight="1" x14ac:dyDescent="0.2">
      <c r="A30" s="24">
        <v>1</v>
      </c>
      <c r="B30" s="195" t="s">
        <v>315</v>
      </c>
      <c r="C30" s="24">
        <v>43</v>
      </c>
      <c r="D30" s="227" t="s">
        <v>2562</v>
      </c>
      <c r="E30" s="24">
        <v>4301</v>
      </c>
      <c r="F30" s="227" t="s">
        <v>2564</v>
      </c>
      <c r="G30" s="24">
        <v>4301037</v>
      </c>
      <c r="H30" s="227" t="s">
        <v>2603</v>
      </c>
      <c r="I30" s="945">
        <v>4301037</v>
      </c>
      <c r="J30" s="227" t="s">
        <v>2603</v>
      </c>
      <c r="K30" s="842">
        <v>430103701</v>
      </c>
      <c r="L30" s="227" t="s">
        <v>2604</v>
      </c>
      <c r="M30" s="24">
        <v>430103701</v>
      </c>
      <c r="N30" s="227" t="s">
        <v>2604</v>
      </c>
      <c r="O30" s="842">
        <v>12</v>
      </c>
      <c r="P30" s="842"/>
      <c r="Q30" s="842">
        <v>12</v>
      </c>
      <c r="R30" s="842" t="s">
        <v>2567</v>
      </c>
      <c r="S30" s="227" t="s">
        <v>2568</v>
      </c>
      <c r="T30" s="948">
        <f t="shared" si="1"/>
        <v>0.48213702160350796</v>
      </c>
      <c r="U30" s="227" t="s">
        <v>2569</v>
      </c>
      <c r="V30" s="227" t="s">
        <v>2570</v>
      </c>
      <c r="W30" s="227" t="s">
        <v>2610</v>
      </c>
      <c r="X30" s="874">
        <v>33000000</v>
      </c>
      <c r="Y30" s="874"/>
      <c r="Z30" s="874"/>
      <c r="AA30" s="874"/>
      <c r="AB30" s="874"/>
      <c r="AC30" s="873" t="s">
        <v>2617</v>
      </c>
      <c r="AD30" s="227" t="s">
        <v>2618</v>
      </c>
      <c r="AE30" s="872" t="s">
        <v>2582</v>
      </c>
      <c r="AF30" s="227" t="s">
        <v>2583</v>
      </c>
      <c r="AG30" s="280">
        <v>6991</v>
      </c>
      <c r="AH30" s="280">
        <v>6453</v>
      </c>
      <c r="AI30" s="280">
        <v>352</v>
      </c>
      <c r="AJ30" s="280">
        <v>4378</v>
      </c>
      <c r="AK30" s="280">
        <v>4202</v>
      </c>
      <c r="AL30" s="280">
        <v>1344</v>
      </c>
      <c r="AM30" s="872"/>
      <c r="AN30" s="872"/>
      <c r="AO30" s="872"/>
      <c r="AP30" s="872"/>
      <c r="AQ30" s="872"/>
      <c r="AR30" s="872"/>
      <c r="AS30" s="872"/>
      <c r="AT30" s="872"/>
      <c r="AU30" s="872"/>
      <c r="AV30" s="872">
        <v>13444</v>
      </c>
      <c r="AW30" s="875">
        <v>45293</v>
      </c>
      <c r="AX30" s="875">
        <v>45657</v>
      </c>
      <c r="AY30" s="872" t="s">
        <v>2576</v>
      </c>
    </row>
    <row r="31" spans="1:51" s="876" customFormat="1" ht="84.95" customHeight="1" x14ac:dyDescent="0.2">
      <c r="A31" s="24">
        <v>1</v>
      </c>
      <c r="B31" s="195" t="s">
        <v>315</v>
      </c>
      <c r="C31" s="24">
        <v>43</v>
      </c>
      <c r="D31" s="227" t="s">
        <v>2562</v>
      </c>
      <c r="E31" s="24">
        <v>4301</v>
      </c>
      <c r="F31" s="227" t="s">
        <v>2564</v>
      </c>
      <c r="G31" s="24">
        <v>4301037</v>
      </c>
      <c r="H31" s="227" t="s">
        <v>2603</v>
      </c>
      <c r="I31" s="945">
        <v>4301037</v>
      </c>
      <c r="J31" s="227" t="s">
        <v>2603</v>
      </c>
      <c r="K31" s="842">
        <v>430103701</v>
      </c>
      <c r="L31" s="227" t="s">
        <v>2604</v>
      </c>
      <c r="M31" s="24">
        <v>430103701</v>
      </c>
      <c r="N31" s="227" t="s">
        <v>2604</v>
      </c>
      <c r="O31" s="842">
        <v>12</v>
      </c>
      <c r="P31" s="842"/>
      <c r="Q31" s="842">
        <v>12</v>
      </c>
      <c r="R31" s="842" t="s">
        <v>2567</v>
      </c>
      <c r="S31" s="227" t="s">
        <v>2568</v>
      </c>
      <c r="T31" s="948">
        <f t="shared" si="1"/>
        <v>0.48213702160350796</v>
      </c>
      <c r="U31" s="227" t="s">
        <v>2569</v>
      </c>
      <c r="V31" s="227" t="s">
        <v>2570</v>
      </c>
      <c r="W31" s="227" t="s">
        <v>2619</v>
      </c>
      <c r="X31" s="874">
        <v>5000000</v>
      </c>
      <c r="Y31" s="874"/>
      <c r="Z31" s="874"/>
      <c r="AA31" s="874"/>
      <c r="AB31" s="874"/>
      <c r="AC31" s="873" t="s">
        <v>2620</v>
      </c>
      <c r="AD31" s="227" t="s">
        <v>2598</v>
      </c>
      <c r="AE31" s="872" t="s">
        <v>2582</v>
      </c>
      <c r="AF31" s="227" t="s">
        <v>2583</v>
      </c>
      <c r="AG31" s="280">
        <v>6991</v>
      </c>
      <c r="AH31" s="280">
        <v>6453</v>
      </c>
      <c r="AI31" s="280">
        <v>352</v>
      </c>
      <c r="AJ31" s="280">
        <v>4378</v>
      </c>
      <c r="AK31" s="280">
        <v>4202</v>
      </c>
      <c r="AL31" s="280">
        <v>1344</v>
      </c>
      <c r="AM31" s="872"/>
      <c r="AN31" s="872"/>
      <c r="AO31" s="872"/>
      <c r="AP31" s="872"/>
      <c r="AQ31" s="872"/>
      <c r="AR31" s="872"/>
      <c r="AS31" s="872"/>
      <c r="AT31" s="872"/>
      <c r="AU31" s="872"/>
      <c r="AV31" s="872">
        <v>13444</v>
      </c>
      <c r="AW31" s="875">
        <v>45293</v>
      </c>
      <c r="AX31" s="875">
        <v>45657</v>
      </c>
      <c r="AY31" s="872" t="s">
        <v>2576</v>
      </c>
    </row>
    <row r="32" spans="1:51" s="876" customFormat="1" ht="84.95" customHeight="1" x14ac:dyDescent="0.2">
      <c r="A32" s="24">
        <v>1</v>
      </c>
      <c r="B32" s="195" t="s">
        <v>315</v>
      </c>
      <c r="C32" s="24">
        <v>43</v>
      </c>
      <c r="D32" s="227" t="s">
        <v>2562</v>
      </c>
      <c r="E32" s="24">
        <v>4301</v>
      </c>
      <c r="F32" s="227" t="s">
        <v>2564</v>
      </c>
      <c r="G32" s="24">
        <v>4301037</v>
      </c>
      <c r="H32" s="227" t="s">
        <v>2603</v>
      </c>
      <c r="I32" s="945">
        <v>4301037</v>
      </c>
      <c r="J32" s="227" t="s">
        <v>2603</v>
      </c>
      <c r="K32" s="842">
        <v>430103701</v>
      </c>
      <c r="L32" s="227" t="s">
        <v>2604</v>
      </c>
      <c r="M32" s="24">
        <v>430103701</v>
      </c>
      <c r="N32" s="227" t="s">
        <v>2604</v>
      </c>
      <c r="O32" s="842">
        <v>12</v>
      </c>
      <c r="P32" s="842"/>
      <c r="Q32" s="842">
        <v>12</v>
      </c>
      <c r="R32" s="842" t="s">
        <v>2567</v>
      </c>
      <c r="S32" s="227" t="s">
        <v>2568</v>
      </c>
      <c r="T32" s="948">
        <f t="shared" si="1"/>
        <v>0.48213702160350796</v>
      </c>
      <c r="U32" s="227" t="s">
        <v>2569</v>
      </c>
      <c r="V32" s="227" t="s">
        <v>2570</v>
      </c>
      <c r="W32" s="227" t="s">
        <v>2619</v>
      </c>
      <c r="X32" s="874">
        <v>12000000</v>
      </c>
      <c r="Y32" s="874"/>
      <c r="Z32" s="874"/>
      <c r="AA32" s="874"/>
      <c r="AB32" s="874"/>
      <c r="AC32" s="873" t="s">
        <v>2621</v>
      </c>
      <c r="AD32" s="227" t="s">
        <v>2600</v>
      </c>
      <c r="AE32" s="872" t="s">
        <v>2582</v>
      </c>
      <c r="AF32" s="227" t="s">
        <v>2583</v>
      </c>
      <c r="AG32" s="280">
        <v>6991</v>
      </c>
      <c r="AH32" s="280">
        <v>6453</v>
      </c>
      <c r="AI32" s="280">
        <v>352</v>
      </c>
      <c r="AJ32" s="280">
        <v>4378</v>
      </c>
      <c r="AK32" s="280">
        <v>4202</v>
      </c>
      <c r="AL32" s="280">
        <v>1344</v>
      </c>
      <c r="AM32" s="872"/>
      <c r="AN32" s="872"/>
      <c r="AO32" s="872"/>
      <c r="AP32" s="872"/>
      <c r="AQ32" s="872"/>
      <c r="AR32" s="872"/>
      <c r="AS32" s="872"/>
      <c r="AT32" s="872"/>
      <c r="AU32" s="872"/>
      <c r="AV32" s="872">
        <v>13444</v>
      </c>
      <c r="AW32" s="875">
        <v>45293</v>
      </c>
      <c r="AX32" s="875">
        <v>45657</v>
      </c>
      <c r="AY32" s="872" t="s">
        <v>2576</v>
      </c>
    </row>
    <row r="33" spans="1:51" s="876" customFormat="1" ht="84.95" customHeight="1" x14ac:dyDescent="0.2">
      <c r="A33" s="24">
        <v>1</v>
      </c>
      <c r="B33" s="195" t="s">
        <v>315</v>
      </c>
      <c r="C33" s="24">
        <v>43</v>
      </c>
      <c r="D33" s="227" t="s">
        <v>2562</v>
      </c>
      <c r="E33" s="24">
        <v>4301</v>
      </c>
      <c r="F33" s="227" t="s">
        <v>2564</v>
      </c>
      <c r="G33" s="24">
        <v>4301037</v>
      </c>
      <c r="H33" s="227" t="s">
        <v>2603</v>
      </c>
      <c r="I33" s="945">
        <v>4301037</v>
      </c>
      <c r="J33" s="227" t="s">
        <v>2603</v>
      </c>
      <c r="K33" s="842">
        <v>430103704</v>
      </c>
      <c r="L33" s="227" t="s">
        <v>2622</v>
      </c>
      <c r="M33" s="24">
        <v>430103704</v>
      </c>
      <c r="N33" s="227" t="s">
        <v>2622</v>
      </c>
      <c r="O33" s="842">
        <v>12</v>
      </c>
      <c r="P33" s="842"/>
      <c r="Q33" s="842">
        <v>12</v>
      </c>
      <c r="R33" s="842" t="s">
        <v>2567</v>
      </c>
      <c r="S33" s="227" t="s">
        <v>2568</v>
      </c>
      <c r="T33" s="948">
        <f t="shared" si="1"/>
        <v>0.48213702160350796</v>
      </c>
      <c r="U33" s="227" t="s">
        <v>2569</v>
      </c>
      <c r="V33" s="227" t="s">
        <v>2570</v>
      </c>
      <c r="W33" s="227" t="s">
        <v>2623</v>
      </c>
      <c r="X33" s="874">
        <v>80000000</v>
      </c>
      <c r="Y33" s="874"/>
      <c r="Z33" s="874"/>
      <c r="AA33" s="874"/>
      <c r="AB33" s="874"/>
      <c r="AC33" s="873" t="s">
        <v>2624</v>
      </c>
      <c r="AD33" s="227" t="s">
        <v>2573</v>
      </c>
      <c r="AE33" s="872" t="s">
        <v>2579</v>
      </c>
      <c r="AF33" s="227" t="s">
        <v>2580</v>
      </c>
      <c r="AG33" s="280">
        <v>6991</v>
      </c>
      <c r="AH33" s="280">
        <v>6453</v>
      </c>
      <c r="AI33" s="280">
        <v>352</v>
      </c>
      <c r="AJ33" s="280">
        <v>4378</v>
      </c>
      <c r="AK33" s="280">
        <v>4202</v>
      </c>
      <c r="AL33" s="280">
        <v>1344</v>
      </c>
      <c r="AM33" s="872"/>
      <c r="AN33" s="872"/>
      <c r="AO33" s="872"/>
      <c r="AP33" s="872"/>
      <c r="AQ33" s="872"/>
      <c r="AR33" s="872"/>
      <c r="AS33" s="872"/>
      <c r="AT33" s="872"/>
      <c r="AU33" s="872"/>
      <c r="AV33" s="872">
        <v>13444</v>
      </c>
      <c r="AW33" s="875">
        <v>45293</v>
      </c>
      <c r="AX33" s="875">
        <v>45657</v>
      </c>
      <c r="AY33" s="872" t="s">
        <v>2576</v>
      </c>
    </row>
    <row r="34" spans="1:51" s="876" customFormat="1" ht="84.95" customHeight="1" x14ac:dyDescent="0.2">
      <c r="A34" s="24">
        <v>1</v>
      </c>
      <c r="B34" s="195" t="s">
        <v>315</v>
      </c>
      <c r="C34" s="24">
        <v>43</v>
      </c>
      <c r="D34" s="227" t="s">
        <v>2562</v>
      </c>
      <c r="E34" s="24">
        <v>4301</v>
      </c>
      <c r="F34" s="227" t="s">
        <v>2564</v>
      </c>
      <c r="G34" s="24">
        <v>4301037</v>
      </c>
      <c r="H34" s="227" t="s">
        <v>2603</v>
      </c>
      <c r="I34" s="945">
        <v>4301037</v>
      </c>
      <c r="J34" s="227" t="s">
        <v>2603</v>
      </c>
      <c r="K34" s="842">
        <v>430103704</v>
      </c>
      <c r="L34" s="227" t="s">
        <v>2622</v>
      </c>
      <c r="M34" s="24">
        <v>430103704</v>
      </c>
      <c r="N34" s="227" t="s">
        <v>2622</v>
      </c>
      <c r="O34" s="842">
        <v>12</v>
      </c>
      <c r="P34" s="842"/>
      <c r="Q34" s="842">
        <v>12</v>
      </c>
      <c r="R34" s="842" t="s">
        <v>2567</v>
      </c>
      <c r="S34" s="227" t="s">
        <v>2568</v>
      </c>
      <c r="T34" s="948">
        <f t="shared" si="1"/>
        <v>0.48213702160350796</v>
      </c>
      <c r="U34" s="227" t="s">
        <v>2569</v>
      </c>
      <c r="V34" s="227" t="s">
        <v>2570</v>
      </c>
      <c r="W34" s="227" t="s">
        <v>2623</v>
      </c>
      <c r="X34" s="874">
        <v>50000000</v>
      </c>
      <c r="Y34" s="874"/>
      <c r="Z34" s="874"/>
      <c r="AA34" s="874"/>
      <c r="AB34" s="874"/>
      <c r="AC34" s="873" t="s">
        <v>2625</v>
      </c>
      <c r="AD34" s="227" t="s">
        <v>2573</v>
      </c>
      <c r="AE34" s="872" t="s">
        <v>2582</v>
      </c>
      <c r="AF34" s="227" t="s">
        <v>2583</v>
      </c>
      <c r="AG34" s="280">
        <v>6991</v>
      </c>
      <c r="AH34" s="280">
        <v>6453</v>
      </c>
      <c r="AI34" s="280">
        <v>352</v>
      </c>
      <c r="AJ34" s="280">
        <v>4378</v>
      </c>
      <c r="AK34" s="280">
        <v>4202</v>
      </c>
      <c r="AL34" s="280">
        <v>1344</v>
      </c>
      <c r="AM34" s="872"/>
      <c r="AN34" s="872"/>
      <c r="AO34" s="872"/>
      <c r="AP34" s="872"/>
      <c r="AQ34" s="872"/>
      <c r="AR34" s="872"/>
      <c r="AS34" s="872"/>
      <c r="AT34" s="872"/>
      <c r="AU34" s="872"/>
      <c r="AV34" s="872">
        <v>13444</v>
      </c>
      <c r="AW34" s="875">
        <v>45293</v>
      </c>
      <c r="AX34" s="875">
        <v>45657</v>
      </c>
      <c r="AY34" s="872" t="s">
        <v>2576</v>
      </c>
    </row>
    <row r="35" spans="1:51" s="876" customFormat="1" ht="84.95" customHeight="1" x14ac:dyDescent="0.2">
      <c r="A35" s="24">
        <v>1</v>
      </c>
      <c r="B35" s="195" t="s">
        <v>315</v>
      </c>
      <c r="C35" s="24">
        <v>43</v>
      </c>
      <c r="D35" s="227" t="s">
        <v>2562</v>
      </c>
      <c r="E35" s="24">
        <v>4301</v>
      </c>
      <c r="F35" s="227" t="s">
        <v>2564</v>
      </c>
      <c r="G35" s="24">
        <v>4301037</v>
      </c>
      <c r="H35" s="227" t="s">
        <v>2603</v>
      </c>
      <c r="I35" s="945">
        <v>4301037</v>
      </c>
      <c r="J35" s="227" t="s">
        <v>2603</v>
      </c>
      <c r="K35" s="842">
        <v>430103704</v>
      </c>
      <c r="L35" s="227" t="s">
        <v>2622</v>
      </c>
      <c r="M35" s="24">
        <v>430103704</v>
      </c>
      <c r="N35" s="227" t="s">
        <v>2622</v>
      </c>
      <c r="O35" s="842">
        <v>12</v>
      </c>
      <c r="P35" s="842"/>
      <c r="Q35" s="842">
        <v>12</v>
      </c>
      <c r="R35" s="842" t="s">
        <v>2567</v>
      </c>
      <c r="S35" s="227" t="s">
        <v>2568</v>
      </c>
      <c r="T35" s="948">
        <f t="shared" si="1"/>
        <v>0.48213702160350796</v>
      </c>
      <c r="U35" s="227" t="s">
        <v>2569</v>
      </c>
      <c r="V35" s="227" t="s">
        <v>2570</v>
      </c>
      <c r="W35" s="227" t="s">
        <v>2623</v>
      </c>
      <c r="X35" s="874">
        <v>60000000</v>
      </c>
      <c r="Y35" s="874"/>
      <c r="Z35" s="874"/>
      <c r="AA35" s="874"/>
      <c r="AB35" s="874"/>
      <c r="AC35" s="873" t="s">
        <v>2626</v>
      </c>
      <c r="AD35" s="227" t="s">
        <v>2573</v>
      </c>
      <c r="AE35" s="872" t="s">
        <v>2585</v>
      </c>
      <c r="AF35" s="227" t="s">
        <v>2586</v>
      </c>
      <c r="AG35" s="280">
        <v>6991</v>
      </c>
      <c r="AH35" s="280">
        <v>6453</v>
      </c>
      <c r="AI35" s="280">
        <v>352</v>
      </c>
      <c r="AJ35" s="280">
        <v>4378</v>
      </c>
      <c r="AK35" s="280">
        <v>4202</v>
      </c>
      <c r="AL35" s="280">
        <v>1344</v>
      </c>
      <c r="AM35" s="872"/>
      <c r="AN35" s="872"/>
      <c r="AO35" s="872"/>
      <c r="AP35" s="872"/>
      <c r="AQ35" s="872"/>
      <c r="AR35" s="872"/>
      <c r="AS35" s="872"/>
      <c r="AT35" s="872"/>
      <c r="AU35" s="872"/>
      <c r="AV35" s="872">
        <v>13444</v>
      </c>
      <c r="AW35" s="875">
        <v>45293</v>
      </c>
      <c r="AX35" s="875">
        <v>45657</v>
      </c>
      <c r="AY35" s="872" t="s">
        <v>2576</v>
      </c>
    </row>
    <row r="36" spans="1:51" s="876" customFormat="1" ht="84.95" customHeight="1" x14ac:dyDescent="0.2">
      <c r="A36" s="24">
        <v>1</v>
      </c>
      <c r="B36" s="195" t="s">
        <v>315</v>
      </c>
      <c r="C36" s="24">
        <v>43</v>
      </c>
      <c r="D36" s="227" t="s">
        <v>2562</v>
      </c>
      <c r="E36" s="24">
        <v>4301</v>
      </c>
      <c r="F36" s="227" t="s">
        <v>2564</v>
      </c>
      <c r="G36" s="24">
        <v>4301037</v>
      </c>
      <c r="H36" s="227" t="s">
        <v>2603</v>
      </c>
      <c r="I36" s="945">
        <v>4301037</v>
      </c>
      <c r="J36" s="227" t="s">
        <v>2603</v>
      </c>
      <c r="K36" s="842">
        <v>430103704</v>
      </c>
      <c r="L36" s="227" t="s">
        <v>2622</v>
      </c>
      <c r="M36" s="24">
        <v>430103704</v>
      </c>
      <c r="N36" s="227" t="s">
        <v>2622</v>
      </c>
      <c r="O36" s="842">
        <v>12</v>
      </c>
      <c r="P36" s="842"/>
      <c r="Q36" s="842">
        <v>12</v>
      </c>
      <c r="R36" s="842" t="s">
        <v>2567</v>
      </c>
      <c r="S36" s="227" t="s">
        <v>2568</v>
      </c>
      <c r="T36" s="948">
        <f t="shared" si="1"/>
        <v>0.48213702160350796</v>
      </c>
      <c r="U36" s="227" t="s">
        <v>2569</v>
      </c>
      <c r="V36" s="227" t="s">
        <v>2570</v>
      </c>
      <c r="W36" s="227" t="s">
        <v>2623</v>
      </c>
      <c r="X36" s="874">
        <v>30000000</v>
      </c>
      <c r="Y36" s="874"/>
      <c r="Z36" s="874"/>
      <c r="AA36" s="874"/>
      <c r="AB36" s="874"/>
      <c r="AC36" s="873" t="s">
        <v>2627</v>
      </c>
      <c r="AD36" s="227" t="s">
        <v>2573</v>
      </c>
      <c r="AE36" s="872" t="s">
        <v>2588</v>
      </c>
      <c r="AF36" s="227" t="s">
        <v>2589</v>
      </c>
      <c r="AG36" s="280">
        <v>6991</v>
      </c>
      <c r="AH36" s="280">
        <v>6453</v>
      </c>
      <c r="AI36" s="280">
        <v>352</v>
      </c>
      <c r="AJ36" s="280">
        <v>4378</v>
      </c>
      <c r="AK36" s="280">
        <v>4202</v>
      </c>
      <c r="AL36" s="280">
        <v>1344</v>
      </c>
      <c r="AM36" s="872"/>
      <c r="AN36" s="872"/>
      <c r="AO36" s="872"/>
      <c r="AP36" s="872"/>
      <c r="AQ36" s="872"/>
      <c r="AR36" s="872"/>
      <c r="AS36" s="872"/>
      <c r="AT36" s="872"/>
      <c r="AU36" s="872"/>
      <c r="AV36" s="872">
        <v>13444</v>
      </c>
      <c r="AW36" s="875">
        <v>45293</v>
      </c>
      <c r="AX36" s="875">
        <v>45657</v>
      </c>
      <c r="AY36" s="872" t="s">
        <v>2576</v>
      </c>
    </row>
    <row r="37" spans="1:51" s="876" customFormat="1" ht="84.95" customHeight="1" x14ac:dyDescent="0.2">
      <c r="A37" s="24">
        <v>1</v>
      </c>
      <c r="B37" s="195" t="s">
        <v>315</v>
      </c>
      <c r="C37" s="24">
        <v>43</v>
      </c>
      <c r="D37" s="227" t="s">
        <v>2562</v>
      </c>
      <c r="E37" s="24">
        <v>4301</v>
      </c>
      <c r="F37" s="227" t="s">
        <v>2564</v>
      </c>
      <c r="G37" s="24">
        <v>4301037</v>
      </c>
      <c r="H37" s="227" t="s">
        <v>2603</v>
      </c>
      <c r="I37" s="945">
        <v>4301037</v>
      </c>
      <c r="J37" s="227" t="s">
        <v>2603</v>
      </c>
      <c r="K37" s="842">
        <v>430103704</v>
      </c>
      <c r="L37" s="227" t="s">
        <v>2622</v>
      </c>
      <c r="M37" s="24">
        <v>430103704</v>
      </c>
      <c r="N37" s="227" t="s">
        <v>2622</v>
      </c>
      <c r="O37" s="842">
        <v>12</v>
      </c>
      <c r="P37" s="842"/>
      <c r="Q37" s="842">
        <v>12</v>
      </c>
      <c r="R37" s="842" t="s">
        <v>2567</v>
      </c>
      <c r="S37" s="227" t="s">
        <v>2568</v>
      </c>
      <c r="T37" s="948">
        <f t="shared" si="1"/>
        <v>0.48213702160350796</v>
      </c>
      <c r="U37" s="227" t="s">
        <v>2569</v>
      </c>
      <c r="V37" s="227" t="s">
        <v>2570</v>
      </c>
      <c r="W37" s="227" t="s">
        <v>2623</v>
      </c>
      <c r="X37" s="874">
        <v>495000000</v>
      </c>
      <c r="Y37" s="874"/>
      <c r="Z37" s="874"/>
      <c r="AA37" s="874"/>
      <c r="AB37" s="874"/>
      <c r="AC37" s="873" t="s">
        <v>2628</v>
      </c>
      <c r="AD37" s="227" t="s">
        <v>2573</v>
      </c>
      <c r="AE37" s="872" t="s">
        <v>2591</v>
      </c>
      <c r="AF37" s="227" t="s">
        <v>2592</v>
      </c>
      <c r="AG37" s="280">
        <v>6991</v>
      </c>
      <c r="AH37" s="280">
        <v>6453</v>
      </c>
      <c r="AI37" s="280">
        <v>352</v>
      </c>
      <c r="AJ37" s="280">
        <v>4378</v>
      </c>
      <c r="AK37" s="280">
        <v>4202</v>
      </c>
      <c r="AL37" s="280">
        <v>1344</v>
      </c>
      <c r="AM37" s="872"/>
      <c r="AN37" s="872"/>
      <c r="AO37" s="872"/>
      <c r="AP37" s="872"/>
      <c r="AQ37" s="872"/>
      <c r="AR37" s="872"/>
      <c r="AS37" s="872"/>
      <c r="AT37" s="872"/>
      <c r="AU37" s="872"/>
      <c r="AV37" s="872">
        <v>13444</v>
      </c>
      <c r="AW37" s="875">
        <v>45293</v>
      </c>
      <c r="AX37" s="875">
        <v>45657</v>
      </c>
      <c r="AY37" s="872" t="s">
        <v>2576</v>
      </c>
    </row>
    <row r="38" spans="1:51" s="876" customFormat="1" ht="84.95" customHeight="1" x14ac:dyDescent="0.2">
      <c r="A38" s="24">
        <v>1</v>
      </c>
      <c r="B38" s="195" t="s">
        <v>315</v>
      </c>
      <c r="C38" s="24">
        <v>43</v>
      </c>
      <c r="D38" s="227" t="s">
        <v>2562</v>
      </c>
      <c r="E38" s="24">
        <v>4301</v>
      </c>
      <c r="F38" s="227" t="s">
        <v>2564</v>
      </c>
      <c r="G38" s="24">
        <v>4301037</v>
      </c>
      <c r="H38" s="227" t="s">
        <v>2603</v>
      </c>
      <c r="I38" s="945">
        <v>4301037</v>
      </c>
      <c r="J38" s="227" t="s">
        <v>2603</v>
      </c>
      <c r="K38" s="842">
        <v>430103704</v>
      </c>
      <c r="L38" s="227" t="s">
        <v>2622</v>
      </c>
      <c r="M38" s="24">
        <v>430103704</v>
      </c>
      <c r="N38" s="227" t="s">
        <v>2622</v>
      </c>
      <c r="O38" s="842">
        <v>12</v>
      </c>
      <c r="P38" s="842"/>
      <c r="Q38" s="842">
        <v>12</v>
      </c>
      <c r="R38" s="842" t="s">
        <v>2567</v>
      </c>
      <c r="S38" s="227" t="s">
        <v>2568</v>
      </c>
      <c r="T38" s="948">
        <f t="shared" si="1"/>
        <v>0.48213702160350796</v>
      </c>
      <c r="U38" s="227" t="s">
        <v>2569</v>
      </c>
      <c r="V38" s="227" t="s">
        <v>2570</v>
      </c>
      <c r="W38" s="227" t="s">
        <v>2623</v>
      </c>
      <c r="X38" s="874">
        <v>30000000</v>
      </c>
      <c r="Y38" s="874"/>
      <c r="Z38" s="874"/>
      <c r="AA38" s="874"/>
      <c r="AB38" s="874"/>
      <c r="AC38" s="873" t="s">
        <v>2629</v>
      </c>
      <c r="AD38" s="227" t="s">
        <v>2594</v>
      </c>
      <c r="AE38" s="872" t="s">
        <v>2579</v>
      </c>
      <c r="AF38" s="227" t="s">
        <v>2580</v>
      </c>
      <c r="AG38" s="280">
        <v>6991</v>
      </c>
      <c r="AH38" s="280">
        <v>6453</v>
      </c>
      <c r="AI38" s="280">
        <v>352</v>
      </c>
      <c r="AJ38" s="280">
        <v>4378</v>
      </c>
      <c r="AK38" s="280">
        <v>4202</v>
      </c>
      <c r="AL38" s="280">
        <v>1344</v>
      </c>
      <c r="AM38" s="872"/>
      <c r="AN38" s="872"/>
      <c r="AO38" s="872"/>
      <c r="AP38" s="872"/>
      <c r="AQ38" s="872"/>
      <c r="AR38" s="872"/>
      <c r="AS38" s="872"/>
      <c r="AT38" s="872"/>
      <c r="AU38" s="872"/>
      <c r="AV38" s="872">
        <v>13444</v>
      </c>
      <c r="AW38" s="875">
        <v>45293</v>
      </c>
      <c r="AX38" s="875">
        <v>45657</v>
      </c>
      <c r="AY38" s="872" t="s">
        <v>2576</v>
      </c>
    </row>
    <row r="39" spans="1:51" s="876" customFormat="1" ht="84.95" customHeight="1" x14ac:dyDescent="0.2">
      <c r="A39" s="24">
        <v>1</v>
      </c>
      <c r="B39" s="195" t="s">
        <v>315</v>
      </c>
      <c r="C39" s="24">
        <v>43</v>
      </c>
      <c r="D39" s="227" t="s">
        <v>2562</v>
      </c>
      <c r="E39" s="24">
        <v>4301</v>
      </c>
      <c r="F39" s="227" t="s">
        <v>2564</v>
      </c>
      <c r="G39" s="24">
        <v>4301037</v>
      </c>
      <c r="H39" s="227" t="s">
        <v>2603</v>
      </c>
      <c r="I39" s="945">
        <v>4301037</v>
      </c>
      <c r="J39" s="227" t="s">
        <v>2603</v>
      </c>
      <c r="K39" s="842">
        <v>430103704</v>
      </c>
      <c r="L39" s="227" t="s">
        <v>2622</v>
      </c>
      <c r="M39" s="24">
        <v>430103704</v>
      </c>
      <c r="N39" s="227" t="s">
        <v>2622</v>
      </c>
      <c r="O39" s="842">
        <v>12</v>
      </c>
      <c r="P39" s="842"/>
      <c r="Q39" s="842">
        <v>12</v>
      </c>
      <c r="R39" s="842" t="s">
        <v>2567</v>
      </c>
      <c r="S39" s="227" t="s">
        <v>2568</v>
      </c>
      <c r="T39" s="948">
        <f t="shared" si="1"/>
        <v>0.48213702160350796</v>
      </c>
      <c r="U39" s="227" t="s">
        <v>2569</v>
      </c>
      <c r="V39" s="227" t="s">
        <v>2570</v>
      </c>
      <c r="W39" s="227" t="s">
        <v>2623</v>
      </c>
      <c r="X39" s="874">
        <v>15000000</v>
      </c>
      <c r="Y39" s="874"/>
      <c r="Z39" s="874"/>
      <c r="AA39" s="874"/>
      <c r="AB39" s="874"/>
      <c r="AC39" s="873" t="s">
        <v>2630</v>
      </c>
      <c r="AD39" s="227" t="s">
        <v>2594</v>
      </c>
      <c r="AE39" s="872" t="s">
        <v>2588</v>
      </c>
      <c r="AF39" s="227" t="s">
        <v>2589</v>
      </c>
      <c r="AG39" s="280">
        <v>6991</v>
      </c>
      <c r="AH39" s="280">
        <v>6453</v>
      </c>
      <c r="AI39" s="280">
        <v>352</v>
      </c>
      <c r="AJ39" s="280">
        <v>4378</v>
      </c>
      <c r="AK39" s="280">
        <v>4202</v>
      </c>
      <c r="AL39" s="280">
        <v>1344</v>
      </c>
      <c r="AM39" s="872"/>
      <c r="AN39" s="872"/>
      <c r="AO39" s="872"/>
      <c r="AP39" s="872"/>
      <c r="AQ39" s="872"/>
      <c r="AR39" s="872"/>
      <c r="AS39" s="872"/>
      <c r="AT39" s="872"/>
      <c r="AU39" s="872"/>
      <c r="AV39" s="872">
        <v>13444</v>
      </c>
      <c r="AW39" s="875">
        <v>45293</v>
      </c>
      <c r="AX39" s="875">
        <v>45657</v>
      </c>
      <c r="AY39" s="872" t="s">
        <v>2576</v>
      </c>
    </row>
    <row r="40" spans="1:51" s="876" customFormat="1" ht="84.95" customHeight="1" x14ac:dyDescent="0.2">
      <c r="A40" s="24">
        <v>1</v>
      </c>
      <c r="B40" s="195" t="s">
        <v>315</v>
      </c>
      <c r="C40" s="24">
        <v>43</v>
      </c>
      <c r="D40" s="227" t="s">
        <v>2562</v>
      </c>
      <c r="E40" s="24">
        <v>4301</v>
      </c>
      <c r="F40" s="227" t="s">
        <v>2564</v>
      </c>
      <c r="G40" s="24">
        <v>4301037</v>
      </c>
      <c r="H40" s="227" t="s">
        <v>2603</v>
      </c>
      <c r="I40" s="945">
        <v>4301037</v>
      </c>
      <c r="J40" s="227" t="s">
        <v>2603</v>
      </c>
      <c r="K40" s="842">
        <v>430103704</v>
      </c>
      <c r="L40" s="227" t="s">
        <v>2622</v>
      </c>
      <c r="M40" s="24">
        <v>430103704</v>
      </c>
      <c r="N40" s="227" t="s">
        <v>2622</v>
      </c>
      <c r="O40" s="842">
        <v>12</v>
      </c>
      <c r="P40" s="842"/>
      <c r="Q40" s="842">
        <v>12</v>
      </c>
      <c r="R40" s="842" t="s">
        <v>2567</v>
      </c>
      <c r="S40" s="227" t="s">
        <v>2568</v>
      </c>
      <c r="T40" s="948">
        <f t="shared" si="1"/>
        <v>0.48213702160350796</v>
      </c>
      <c r="U40" s="227" t="s">
        <v>2569</v>
      </c>
      <c r="V40" s="227" t="s">
        <v>2570</v>
      </c>
      <c r="W40" s="227" t="s">
        <v>2623</v>
      </c>
      <c r="X40" s="874">
        <v>10000000</v>
      </c>
      <c r="Y40" s="874"/>
      <c r="Z40" s="874"/>
      <c r="AA40" s="874"/>
      <c r="AB40" s="874"/>
      <c r="AC40" s="873" t="s">
        <v>2631</v>
      </c>
      <c r="AD40" s="227" t="s">
        <v>2632</v>
      </c>
      <c r="AE40" s="872" t="s">
        <v>2579</v>
      </c>
      <c r="AF40" s="227" t="s">
        <v>2580</v>
      </c>
      <c r="AG40" s="280">
        <v>6991</v>
      </c>
      <c r="AH40" s="280">
        <v>6453</v>
      </c>
      <c r="AI40" s="280">
        <v>352</v>
      </c>
      <c r="AJ40" s="280">
        <v>4378</v>
      </c>
      <c r="AK40" s="280">
        <v>4202</v>
      </c>
      <c r="AL40" s="280">
        <v>1344</v>
      </c>
      <c r="AM40" s="872"/>
      <c r="AN40" s="872"/>
      <c r="AO40" s="872"/>
      <c r="AP40" s="872"/>
      <c r="AQ40" s="872"/>
      <c r="AR40" s="872"/>
      <c r="AS40" s="872"/>
      <c r="AT40" s="872"/>
      <c r="AU40" s="872"/>
      <c r="AV40" s="872">
        <v>13444</v>
      </c>
      <c r="AW40" s="875">
        <v>45293</v>
      </c>
      <c r="AX40" s="875">
        <v>45657</v>
      </c>
      <c r="AY40" s="872" t="s">
        <v>2576</v>
      </c>
    </row>
    <row r="41" spans="1:51" s="876" customFormat="1" ht="84.95" customHeight="1" x14ac:dyDescent="0.2">
      <c r="A41" s="24">
        <v>1</v>
      </c>
      <c r="B41" s="195" t="s">
        <v>315</v>
      </c>
      <c r="C41" s="24">
        <v>43</v>
      </c>
      <c r="D41" s="227" t="s">
        <v>2562</v>
      </c>
      <c r="E41" s="24">
        <v>4301</v>
      </c>
      <c r="F41" s="227" t="s">
        <v>2564</v>
      </c>
      <c r="G41" s="24">
        <v>4301037</v>
      </c>
      <c r="H41" s="227" t="s">
        <v>2603</v>
      </c>
      <c r="I41" s="945">
        <v>4301037</v>
      </c>
      <c r="J41" s="227" t="s">
        <v>2603</v>
      </c>
      <c r="K41" s="842">
        <v>430103704</v>
      </c>
      <c r="L41" s="227" t="s">
        <v>2622</v>
      </c>
      <c r="M41" s="24">
        <v>430103704</v>
      </c>
      <c r="N41" s="227" t="s">
        <v>2622</v>
      </c>
      <c r="O41" s="842">
        <v>12</v>
      </c>
      <c r="P41" s="842"/>
      <c r="Q41" s="842">
        <v>12</v>
      </c>
      <c r="R41" s="842" t="s">
        <v>2567</v>
      </c>
      <c r="S41" s="227" t="s">
        <v>2568</v>
      </c>
      <c r="T41" s="948">
        <f t="shared" si="1"/>
        <v>0.48213702160350796</v>
      </c>
      <c r="U41" s="227" t="s">
        <v>2569</v>
      </c>
      <c r="V41" s="227" t="s">
        <v>2570</v>
      </c>
      <c r="W41" s="227" t="s">
        <v>2623</v>
      </c>
      <c r="X41" s="874">
        <v>10000000</v>
      </c>
      <c r="Y41" s="874"/>
      <c r="Z41" s="874"/>
      <c r="AA41" s="874"/>
      <c r="AB41" s="874"/>
      <c r="AC41" s="873" t="s">
        <v>2633</v>
      </c>
      <c r="AD41" s="227" t="s">
        <v>2632</v>
      </c>
      <c r="AE41" s="872" t="s">
        <v>2585</v>
      </c>
      <c r="AF41" s="227" t="s">
        <v>2586</v>
      </c>
      <c r="AG41" s="280">
        <v>6991</v>
      </c>
      <c r="AH41" s="280">
        <v>6453</v>
      </c>
      <c r="AI41" s="280">
        <v>352</v>
      </c>
      <c r="AJ41" s="280">
        <v>4378</v>
      </c>
      <c r="AK41" s="280">
        <v>4202</v>
      </c>
      <c r="AL41" s="280">
        <v>1344</v>
      </c>
      <c r="AM41" s="872"/>
      <c r="AN41" s="872"/>
      <c r="AO41" s="872"/>
      <c r="AP41" s="872"/>
      <c r="AQ41" s="872"/>
      <c r="AR41" s="872"/>
      <c r="AS41" s="872"/>
      <c r="AT41" s="872"/>
      <c r="AU41" s="872"/>
      <c r="AV41" s="872">
        <v>13444</v>
      </c>
      <c r="AW41" s="875">
        <v>45293</v>
      </c>
      <c r="AX41" s="875">
        <v>45657</v>
      </c>
      <c r="AY41" s="872" t="s">
        <v>2576</v>
      </c>
    </row>
    <row r="42" spans="1:51" s="876" customFormat="1" ht="84.95" customHeight="1" x14ac:dyDescent="0.2">
      <c r="A42" s="24">
        <v>1</v>
      </c>
      <c r="B42" s="195" t="s">
        <v>315</v>
      </c>
      <c r="C42" s="24">
        <v>43</v>
      </c>
      <c r="D42" s="227" t="s">
        <v>2562</v>
      </c>
      <c r="E42" s="24">
        <v>4301</v>
      </c>
      <c r="F42" s="227" t="s">
        <v>2564</v>
      </c>
      <c r="G42" s="24">
        <v>4301037</v>
      </c>
      <c r="H42" s="227" t="s">
        <v>2603</v>
      </c>
      <c r="I42" s="945">
        <v>4301037</v>
      </c>
      <c r="J42" s="227" t="s">
        <v>2603</v>
      </c>
      <c r="K42" s="842">
        <v>430103704</v>
      </c>
      <c r="L42" s="227" t="s">
        <v>2622</v>
      </c>
      <c r="M42" s="24">
        <v>430103704</v>
      </c>
      <c r="N42" s="227" t="s">
        <v>2622</v>
      </c>
      <c r="O42" s="842">
        <v>12</v>
      </c>
      <c r="P42" s="842"/>
      <c r="Q42" s="842">
        <v>12</v>
      </c>
      <c r="R42" s="842" t="s">
        <v>2567</v>
      </c>
      <c r="S42" s="227" t="s">
        <v>2568</v>
      </c>
      <c r="T42" s="948">
        <f t="shared" si="1"/>
        <v>0.48213702160350796</v>
      </c>
      <c r="U42" s="227" t="s">
        <v>2569</v>
      </c>
      <c r="V42" s="227" t="s">
        <v>2570</v>
      </c>
      <c r="W42" s="227" t="s">
        <v>2634</v>
      </c>
      <c r="X42" s="874">
        <v>5000000</v>
      </c>
      <c r="Y42" s="874"/>
      <c r="Z42" s="874"/>
      <c r="AA42" s="874"/>
      <c r="AB42" s="874"/>
      <c r="AC42" s="873" t="s">
        <v>2635</v>
      </c>
      <c r="AD42" s="227" t="s">
        <v>2612</v>
      </c>
      <c r="AE42" s="872" t="s">
        <v>2588</v>
      </c>
      <c r="AF42" s="227" t="s">
        <v>2589</v>
      </c>
      <c r="AG42" s="280">
        <v>6991</v>
      </c>
      <c r="AH42" s="280">
        <v>6453</v>
      </c>
      <c r="AI42" s="280">
        <v>352</v>
      </c>
      <c r="AJ42" s="280">
        <v>4378</v>
      </c>
      <c r="AK42" s="280">
        <v>4202</v>
      </c>
      <c r="AL42" s="280">
        <v>1344</v>
      </c>
      <c r="AM42" s="872"/>
      <c r="AN42" s="872"/>
      <c r="AO42" s="872"/>
      <c r="AP42" s="872"/>
      <c r="AQ42" s="872"/>
      <c r="AR42" s="872"/>
      <c r="AS42" s="872"/>
      <c r="AT42" s="872"/>
      <c r="AU42" s="872"/>
      <c r="AV42" s="872">
        <v>13444</v>
      </c>
      <c r="AW42" s="875">
        <v>45293</v>
      </c>
      <c r="AX42" s="875">
        <v>45657</v>
      </c>
      <c r="AY42" s="872" t="s">
        <v>2576</v>
      </c>
    </row>
    <row r="43" spans="1:51" s="876" customFormat="1" ht="84.95" customHeight="1" x14ac:dyDescent="0.2">
      <c r="A43" s="24">
        <v>1</v>
      </c>
      <c r="B43" s="195" t="s">
        <v>315</v>
      </c>
      <c r="C43" s="24">
        <v>43</v>
      </c>
      <c r="D43" s="227" t="s">
        <v>2562</v>
      </c>
      <c r="E43" s="24">
        <v>4301</v>
      </c>
      <c r="F43" s="227" t="s">
        <v>2564</v>
      </c>
      <c r="G43" s="24">
        <v>4301037</v>
      </c>
      <c r="H43" s="227" t="s">
        <v>2603</v>
      </c>
      <c r="I43" s="945">
        <v>4301037</v>
      </c>
      <c r="J43" s="227" t="s">
        <v>2603</v>
      </c>
      <c r="K43" s="842">
        <v>430103704</v>
      </c>
      <c r="L43" s="227" t="s">
        <v>2622</v>
      </c>
      <c r="M43" s="24">
        <v>430103704</v>
      </c>
      <c r="N43" s="227" t="s">
        <v>2622</v>
      </c>
      <c r="O43" s="842">
        <v>12</v>
      </c>
      <c r="P43" s="842"/>
      <c r="Q43" s="842">
        <v>12</v>
      </c>
      <c r="R43" s="842" t="s">
        <v>2567</v>
      </c>
      <c r="S43" s="227" t="s">
        <v>2568</v>
      </c>
      <c r="T43" s="948">
        <f t="shared" si="1"/>
        <v>0.48213702160350796</v>
      </c>
      <c r="U43" s="227" t="s">
        <v>2569</v>
      </c>
      <c r="V43" s="227" t="s">
        <v>2570</v>
      </c>
      <c r="W43" s="227" t="s">
        <v>2634</v>
      </c>
      <c r="X43" s="874">
        <v>10000000</v>
      </c>
      <c r="Y43" s="874"/>
      <c r="Z43" s="874"/>
      <c r="AA43" s="874"/>
      <c r="AB43" s="874"/>
      <c r="AC43" s="873" t="s">
        <v>2636</v>
      </c>
      <c r="AD43" s="227" t="s">
        <v>2614</v>
      </c>
      <c r="AE43" s="872" t="s">
        <v>2588</v>
      </c>
      <c r="AF43" s="227" t="s">
        <v>2589</v>
      </c>
      <c r="AG43" s="280">
        <v>6991</v>
      </c>
      <c r="AH43" s="280">
        <v>6453</v>
      </c>
      <c r="AI43" s="280">
        <v>352</v>
      </c>
      <c r="AJ43" s="280">
        <v>4378</v>
      </c>
      <c r="AK43" s="280">
        <v>4202</v>
      </c>
      <c r="AL43" s="280">
        <v>1344</v>
      </c>
      <c r="AM43" s="872"/>
      <c r="AN43" s="872"/>
      <c r="AO43" s="872"/>
      <c r="AP43" s="872"/>
      <c r="AQ43" s="872"/>
      <c r="AR43" s="872"/>
      <c r="AS43" s="872"/>
      <c r="AT43" s="872"/>
      <c r="AU43" s="872"/>
      <c r="AV43" s="872">
        <v>13444</v>
      </c>
      <c r="AW43" s="875">
        <v>45293</v>
      </c>
      <c r="AX43" s="875">
        <v>45657</v>
      </c>
      <c r="AY43" s="872" t="s">
        <v>2576</v>
      </c>
    </row>
    <row r="44" spans="1:51" s="876" customFormat="1" ht="84.95" customHeight="1" x14ac:dyDescent="0.2">
      <c r="A44" s="24">
        <v>1</v>
      </c>
      <c r="B44" s="195" t="s">
        <v>315</v>
      </c>
      <c r="C44" s="24">
        <v>43</v>
      </c>
      <c r="D44" s="227" t="s">
        <v>2562</v>
      </c>
      <c r="E44" s="24">
        <v>4301</v>
      </c>
      <c r="F44" s="227" t="s">
        <v>2564</v>
      </c>
      <c r="G44" s="24">
        <v>4301037</v>
      </c>
      <c r="H44" s="227" t="s">
        <v>2603</v>
      </c>
      <c r="I44" s="945">
        <v>4301037</v>
      </c>
      <c r="J44" s="227" t="s">
        <v>2603</v>
      </c>
      <c r="K44" s="842">
        <v>430103704</v>
      </c>
      <c r="L44" s="227" t="s">
        <v>2622</v>
      </c>
      <c r="M44" s="24">
        <v>430103704</v>
      </c>
      <c r="N44" s="227" t="s">
        <v>2622</v>
      </c>
      <c r="O44" s="842">
        <v>12</v>
      </c>
      <c r="P44" s="842"/>
      <c r="Q44" s="842">
        <v>12</v>
      </c>
      <c r="R44" s="842" t="s">
        <v>2567</v>
      </c>
      <c r="S44" s="227" t="s">
        <v>2568</v>
      </c>
      <c r="T44" s="948">
        <f t="shared" si="1"/>
        <v>0.48213702160350796</v>
      </c>
      <c r="U44" s="227" t="s">
        <v>2569</v>
      </c>
      <c r="V44" s="227" t="s">
        <v>2570</v>
      </c>
      <c r="W44" s="227" t="s">
        <v>2634</v>
      </c>
      <c r="X44" s="874">
        <v>10000000</v>
      </c>
      <c r="Y44" s="874"/>
      <c r="Z44" s="874"/>
      <c r="AA44" s="874"/>
      <c r="AB44" s="874"/>
      <c r="AC44" s="873" t="s">
        <v>2637</v>
      </c>
      <c r="AD44" s="227" t="s">
        <v>2616</v>
      </c>
      <c r="AE44" s="872" t="s">
        <v>2588</v>
      </c>
      <c r="AF44" s="227" t="s">
        <v>2589</v>
      </c>
      <c r="AG44" s="280">
        <v>6991</v>
      </c>
      <c r="AH44" s="280">
        <v>6453</v>
      </c>
      <c r="AI44" s="280">
        <v>352</v>
      </c>
      <c r="AJ44" s="280">
        <v>4378</v>
      </c>
      <c r="AK44" s="280">
        <v>4202</v>
      </c>
      <c r="AL44" s="280">
        <v>1344</v>
      </c>
      <c r="AM44" s="872"/>
      <c r="AN44" s="872"/>
      <c r="AO44" s="872"/>
      <c r="AP44" s="872"/>
      <c r="AQ44" s="872"/>
      <c r="AR44" s="872"/>
      <c r="AS44" s="872"/>
      <c r="AT44" s="872"/>
      <c r="AU44" s="872"/>
      <c r="AV44" s="872">
        <v>13444</v>
      </c>
      <c r="AW44" s="875">
        <v>45293</v>
      </c>
      <c r="AX44" s="875">
        <v>45657</v>
      </c>
      <c r="AY44" s="872" t="s">
        <v>2576</v>
      </c>
    </row>
    <row r="45" spans="1:51" s="876" customFormat="1" ht="84.95" customHeight="1" x14ac:dyDescent="0.2">
      <c r="A45" s="24">
        <v>1</v>
      </c>
      <c r="B45" s="195" t="s">
        <v>315</v>
      </c>
      <c r="C45" s="24">
        <v>43</v>
      </c>
      <c r="D45" s="227" t="s">
        <v>2562</v>
      </c>
      <c r="E45" s="24">
        <v>4301</v>
      </c>
      <c r="F45" s="227" t="s">
        <v>2564</v>
      </c>
      <c r="G45" s="24">
        <v>4301037</v>
      </c>
      <c r="H45" s="227" t="s">
        <v>2603</v>
      </c>
      <c r="I45" s="945">
        <v>4301037</v>
      </c>
      <c r="J45" s="227" t="s">
        <v>2603</v>
      </c>
      <c r="K45" s="842">
        <v>430103704</v>
      </c>
      <c r="L45" s="227" t="s">
        <v>2622</v>
      </c>
      <c r="M45" s="24">
        <v>430103704</v>
      </c>
      <c r="N45" s="227" t="s">
        <v>2622</v>
      </c>
      <c r="O45" s="842">
        <v>12</v>
      </c>
      <c r="P45" s="842"/>
      <c r="Q45" s="842">
        <v>12</v>
      </c>
      <c r="R45" s="842" t="s">
        <v>2567</v>
      </c>
      <c r="S45" s="227" t="s">
        <v>2568</v>
      </c>
      <c r="T45" s="948">
        <f t="shared" si="1"/>
        <v>0.48213702160350796</v>
      </c>
      <c r="U45" s="227" t="s">
        <v>2569</v>
      </c>
      <c r="V45" s="227" t="s">
        <v>2570</v>
      </c>
      <c r="W45" s="227" t="s">
        <v>2634</v>
      </c>
      <c r="X45" s="874">
        <v>10000000</v>
      </c>
      <c r="Y45" s="874"/>
      <c r="Z45" s="874"/>
      <c r="AA45" s="874"/>
      <c r="AB45" s="874"/>
      <c r="AC45" s="873" t="s">
        <v>2638</v>
      </c>
      <c r="AD45" s="227" t="s">
        <v>2618</v>
      </c>
      <c r="AE45" s="872" t="s">
        <v>2588</v>
      </c>
      <c r="AF45" s="227" t="s">
        <v>2589</v>
      </c>
      <c r="AG45" s="280">
        <v>6991</v>
      </c>
      <c r="AH45" s="280">
        <v>6453</v>
      </c>
      <c r="AI45" s="280">
        <v>352</v>
      </c>
      <c r="AJ45" s="280">
        <v>4378</v>
      </c>
      <c r="AK45" s="280">
        <v>4202</v>
      </c>
      <c r="AL45" s="280">
        <v>1344</v>
      </c>
      <c r="AM45" s="872"/>
      <c r="AN45" s="872"/>
      <c r="AO45" s="872"/>
      <c r="AP45" s="872"/>
      <c r="AQ45" s="872"/>
      <c r="AR45" s="872"/>
      <c r="AS45" s="872"/>
      <c r="AT45" s="872"/>
      <c r="AU45" s="872"/>
      <c r="AV45" s="872">
        <v>13444</v>
      </c>
      <c r="AW45" s="875">
        <v>45293</v>
      </c>
      <c r="AX45" s="875">
        <v>45657</v>
      </c>
      <c r="AY45" s="872" t="s">
        <v>2576</v>
      </c>
    </row>
    <row r="46" spans="1:51" s="876" customFormat="1" ht="84.95" customHeight="1" x14ac:dyDescent="0.2">
      <c r="A46" s="24">
        <v>1</v>
      </c>
      <c r="B46" s="195" t="s">
        <v>315</v>
      </c>
      <c r="C46" s="24">
        <v>43</v>
      </c>
      <c r="D46" s="227" t="s">
        <v>2562</v>
      </c>
      <c r="E46" s="24">
        <v>4301</v>
      </c>
      <c r="F46" s="227" t="s">
        <v>2564</v>
      </c>
      <c r="G46" s="24">
        <v>4301037</v>
      </c>
      <c r="H46" s="227" t="s">
        <v>2603</v>
      </c>
      <c r="I46" s="945">
        <v>4301037</v>
      </c>
      <c r="J46" s="227" t="s">
        <v>2603</v>
      </c>
      <c r="K46" s="842">
        <v>430103704</v>
      </c>
      <c r="L46" s="227" t="s">
        <v>2622</v>
      </c>
      <c r="M46" s="24">
        <v>430103704</v>
      </c>
      <c r="N46" s="227" t="s">
        <v>2622</v>
      </c>
      <c r="O46" s="842">
        <v>12</v>
      </c>
      <c r="P46" s="842"/>
      <c r="Q46" s="842">
        <v>12</v>
      </c>
      <c r="R46" s="842" t="s">
        <v>2567</v>
      </c>
      <c r="S46" s="227" t="s">
        <v>2568</v>
      </c>
      <c r="T46" s="948">
        <f t="shared" si="1"/>
        <v>0.48213702160350796</v>
      </c>
      <c r="U46" s="227" t="s">
        <v>2569</v>
      </c>
      <c r="V46" s="227" t="s">
        <v>2570</v>
      </c>
      <c r="W46" s="227" t="s">
        <v>2634</v>
      </c>
      <c r="X46" s="874">
        <v>5000000</v>
      </c>
      <c r="Y46" s="874"/>
      <c r="Z46" s="874"/>
      <c r="AA46" s="874"/>
      <c r="AB46" s="874"/>
      <c r="AC46" s="873" t="s">
        <v>2627</v>
      </c>
      <c r="AD46" s="227" t="s">
        <v>2573</v>
      </c>
      <c r="AE46" s="872" t="s">
        <v>2588</v>
      </c>
      <c r="AF46" s="227" t="s">
        <v>2589</v>
      </c>
      <c r="AG46" s="280">
        <v>6991</v>
      </c>
      <c r="AH46" s="280">
        <v>6453</v>
      </c>
      <c r="AI46" s="280">
        <v>352</v>
      </c>
      <c r="AJ46" s="280">
        <v>4378</v>
      </c>
      <c r="AK46" s="280">
        <v>4202</v>
      </c>
      <c r="AL46" s="280">
        <v>1344</v>
      </c>
      <c r="AM46" s="872"/>
      <c r="AN46" s="872"/>
      <c r="AO46" s="872"/>
      <c r="AP46" s="872"/>
      <c r="AQ46" s="872"/>
      <c r="AR46" s="872"/>
      <c r="AS46" s="872"/>
      <c r="AT46" s="872"/>
      <c r="AU46" s="872"/>
      <c r="AV46" s="872">
        <v>13444</v>
      </c>
      <c r="AW46" s="875">
        <v>45293</v>
      </c>
      <c r="AX46" s="875">
        <v>45657</v>
      </c>
      <c r="AY46" s="872" t="s">
        <v>2576</v>
      </c>
    </row>
    <row r="47" spans="1:51" s="876" customFormat="1" ht="84.95" customHeight="1" x14ac:dyDescent="0.2">
      <c r="A47" s="24">
        <v>1</v>
      </c>
      <c r="B47" s="195" t="s">
        <v>315</v>
      </c>
      <c r="C47" s="24">
        <v>43</v>
      </c>
      <c r="D47" s="227" t="s">
        <v>2562</v>
      </c>
      <c r="E47" s="24">
        <v>4301</v>
      </c>
      <c r="F47" s="227" t="s">
        <v>2564</v>
      </c>
      <c r="G47" s="24">
        <v>4301037</v>
      </c>
      <c r="H47" s="227" t="s">
        <v>2603</v>
      </c>
      <c r="I47" s="945">
        <v>4301037</v>
      </c>
      <c r="J47" s="227" t="s">
        <v>2603</v>
      </c>
      <c r="K47" s="842">
        <v>430103704</v>
      </c>
      <c r="L47" s="227" t="s">
        <v>2622</v>
      </c>
      <c r="M47" s="24">
        <v>430103704</v>
      </c>
      <c r="N47" s="227" t="s">
        <v>2622</v>
      </c>
      <c r="O47" s="842">
        <v>12</v>
      </c>
      <c r="P47" s="842"/>
      <c r="Q47" s="842">
        <v>12</v>
      </c>
      <c r="R47" s="842" t="s">
        <v>2567</v>
      </c>
      <c r="S47" s="227" t="s">
        <v>2568</v>
      </c>
      <c r="T47" s="948">
        <f t="shared" si="1"/>
        <v>0.48213702160350796</v>
      </c>
      <c r="U47" s="227" t="s">
        <v>2569</v>
      </c>
      <c r="V47" s="227" t="s">
        <v>2570</v>
      </c>
      <c r="W47" s="227" t="s">
        <v>2634</v>
      </c>
      <c r="X47" s="874">
        <v>5000000</v>
      </c>
      <c r="Y47" s="874"/>
      <c r="Z47" s="874"/>
      <c r="AA47" s="874"/>
      <c r="AB47" s="874"/>
      <c r="AC47" s="873" t="s">
        <v>2639</v>
      </c>
      <c r="AD47" s="227" t="s">
        <v>2640</v>
      </c>
      <c r="AE47" s="872" t="s">
        <v>2588</v>
      </c>
      <c r="AF47" s="227" t="s">
        <v>2589</v>
      </c>
      <c r="AG47" s="280">
        <v>6991</v>
      </c>
      <c r="AH47" s="280">
        <v>6453</v>
      </c>
      <c r="AI47" s="280">
        <v>352</v>
      </c>
      <c r="AJ47" s="280">
        <v>4378</v>
      </c>
      <c r="AK47" s="280">
        <v>4202</v>
      </c>
      <c r="AL47" s="280">
        <v>1344</v>
      </c>
      <c r="AM47" s="872"/>
      <c r="AN47" s="872"/>
      <c r="AO47" s="872"/>
      <c r="AP47" s="872"/>
      <c r="AQ47" s="872"/>
      <c r="AR47" s="872"/>
      <c r="AS47" s="872"/>
      <c r="AT47" s="872"/>
      <c r="AU47" s="872"/>
      <c r="AV47" s="872">
        <v>13444</v>
      </c>
      <c r="AW47" s="875">
        <v>45293</v>
      </c>
      <c r="AX47" s="875">
        <v>45657</v>
      </c>
      <c r="AY47" s="872" t="s">
        <v>2576</v>
      </c>
    </row>
    <row r="48" spans="1:51" s="876" customFormat="1" ht="84.95" customHeight="1" x14ac:dyDescent="0.2">
      <c r="A48" s="24">
        <v>1</v>
      </c>
      <c r="B48" s="195" t="s">
        <v>315</v>
      </c>
      <c r="C48" s="24">
        <v>43</v>
      </c>
      <c r="D48" s="227" t="s">
        <v>2562</v>
      </c>
      <c r="E48" s="24">
        <v>4301</v>
      </c>
      <c r="F48" s="227" t="s">
        <v>2564</v>
      </c>
      <c r="G48" s="24">
        <v>4301037</v>
      </c>
      <c r="H48" s="227" t="s">
        <v>2603</v>
      </c>
      <c r="I48" s="945">
        <v>4301037</v>
      </c>
      <c r="J48" s="227" t="s">
        <v>2603</v>
      </c>
      <c r="K48" s="842">
        <v>430103704</v>
      </c>
      <c r="L48" s="227" t="s">
        <v>2622</v>
      </c>
      <c r="M48" s="24">
        <v>430103704</v>
      </c>
      <c r="N48" s="227" t="s">
        <v>2622</v>
      </c>
      <c r="O48" s="842">
        <v>12</v>
      </c>
      <c r="P48" s="842"/>
      <c r="Q48" s="842">
        <v>12</v>
      </c>
      <c r="R48" s="842" t="s">
        <v>2567</v>
      </c>
      <c r="S48" s="227" t="s">
        <v>2568</v>
      </c>
      <c r="T48" s="948">
        <f t="shared" si="1"/>
        <v>0.48213702160350796</v>
      </c>
      <c r="U48" s="227" t="s">
        <v>2569</v>
      </c>
      <c r="V48" s="227" t="s">
        <v>2570</v>
      </c>
      <c r="W48" s="227" t="s">
        <v>2634</v>
      </c>
      <c r="X48" s="874">
        <v>5000000</v>
      </c>
      <c r="Y48" s="874"/>
      <c r="Z48" s="874"/>
      <c r="AA48" s="874"/>
      <c r="AB48" s="874"/>
      <c r="AC48" s="873" t="s">
        <v>2641</v>
      </c>
      <c r="AD48" s="227" t="s">
        <v>2642</v>
      </c>
      <c r="AE48" s="872" t="s">
        <v>2588</v>
      </c>
      <c r="AF48" s="227" t="s">
        <v>2589</v>
      </c>
      <c r="AG48" s="280">
        <v>6991</v>
      </c>
      <c r="AH48" s="280">
        <v>6453</v>
      </c>
      <c r="AI48" s="280">
        <v>352</v>
      </c>
      <c r="AJ48" s="280">
        <v>4378</v>
      </c>
      <c r="AK48" s="280">
        <v>4202</v>
      </c>
      <c r="AL48" s="280">
        <v>1344</v>
      </c>
      <c r="AM48" s="872"/>
      <c r="AN48" s="872"/>
      <c r="AO48" s="872"/>
      <c r="AP48" s="872"/>
      <c r="AQ48" s="872"/>
      <c r="AR48" s="872"/>
      <c r="AS48" s="872"/>
      <c r="AT48" s="872"/>
      <c r="AU48" s="872"/>
      <c r="AV48" s="872">
        <v>13444</v>
      </c>
      <c r="AW48" s="875">
        <v>45293</v>
      </c>
      <c r="AX48" s="875">
        <v>45657</v>
      </c>
      <c r="AY48" s="872" t="s">
        <v>2576</v>
      </c>
    </row>
    <row r="49" spans="1:51" s="876" customFormat="1" ht="84.95" customHeight="1" x14ac:dyDescent="0.2">
      <c r="A49" s="24">
        <v>1</v>
      </c>
      <c r="B49" s="195" t="s">
        <v>315</v>
      </c>
      <c r="C49" s="24">
        <v>43</v>
      </c>
      <c r="D49" s="227" t="s">
        <v>2562</v>
      </c>
      <c r="E49" s="24">
        <v>4301</v>
      </c>
      <c r="F49" s="227" t="s">
        <v>2564</v>
      </c>
      <c r="G49" s="24">
        <v>4301037</v>
      </c>
      <c r="H49" s="227" t="s">
        <v>2603</v>
      </c>
      <c r="I49" s="945">
        <v>4301037</v>
      </c>
      <c r="J49" s="227" t="s">
        <v>2603</v>
      </c>
      <c r="K49" s="842">
        <v>430103704</v>
      </c>
      <c r="L49" s="227" t="s">
        <v>2622</v>
      </c>
      <c r="M49" s="24">
        <v>430103704</v>
      </c>
      <c r="N49" s="227" t="s">
        <v>2622</v>
      </c>
      <c r="O49" s="842">
        <v>12</v>
      </c>
      <c r="P49" s="842"/>
      <c r="Q49" s="842">
        <v>12</v>
      </c>
      <c r="R49" s="842" t="s">
        <v>2567</v>
      </c>
      <c r="S49" s="227" t="s">
        <v>2568</v>
      </c>
      <c r="T49" s="948">
        <f t="shared" si="1"/>
        <v>0.48213702160350796</v>
      </c>
      <c r="U49" s="227" t="s">
        <v>2569</v>
      </c>
      <c r="V49" s="227" t="s">
        <v>2570</v>
      </c>
      <c r="W49" s="227" t="s">
        <v>2634</v>
      </c>
      <c r="X49" s="874">
        <v>5000000</v>
      </c>
      <c r="Y49" s="874"/>
      <c r="Z49" s="874"/>
      <c r="AA49" s="874"/>
      <c r="AB49" s="874"/>
      <c r="AC49" s="873" t="s">
        <v>2643</v>
      </c>
      <c r="AD49" s="227" t="s">
        <v>2644</v>
      </c>
      <c r="AE49" s="872" t="s">
        <v>2588</v>
      </c>
      <c r="AF49" s="227" t="s">
        <v>2589</v>
      </c>
      <c r="AG49" s="280">
        <v>6991</v>
      </c>
      <c r="AH49" s="280">
        <v>6453</v>
      </c>
      <c r="AI49" s="280">
        <v>352</v>
      </c>
      <c r="AJ49" s="280">
        <v>4378</v>
      </c>
      <c r="AK49" s="280">
        <v>4202</v>
      </c>
      <c r="AL49" s="280">
        <v>1344</v>
      </c>
      <c r="AM49" s="872"/>
      <c r="AN49" s="872"/>
      <c r="AO49" s="872"/>
      <c r="AP49" s="872"/>
      <c r="AQ49" s="872"/>
      <c r="AR49" s="872"/>
      <c r="AS49" s="872"/>
      <c r="AT49" s="872"/>
      <c r="AU49" s="872"/>
      <c r="AV49" s="872">
        <v>13444</v>
      </c>
      <c r="AW49" s="875">
        <v>45293</v>
      </c>
      <c r="AX49" s="875">
        <v>45657</v>
      </c>
      <c r="AY49" s="872" t="s">
        <v>2576</v>
      </c>
    </row>
    <row r="50" spans="1:51" s="876" customFormat="1" ht="84.95" customHeight="1" x14ac:dyDescent="0.2">
      <c r="A50" s="24">
        <v>1</v>
      </c>
      <c r="B50" s="195" t="s">
        <v>315</v>
      </c>
      <c r="C50" s="24">
        <v>43</v>
      </c>
      <c r="D50" s="227" t="s">
        <v>2562</v>
      </c>
      <c r="E50" s="24">
        <v>4301</v>
      </c>
      <c r="F50" s="227" t="s">
        <v>2564</v>
      </c>
      <c r="G50" s="24">
        <v>4301037</v>
      </c>
      <c r="H50" s="227" t="s">
        <v>2603</v>
      </c>
      <c r="I50" s="945">
        <v>4301037</v>
      </c>
      <c r="J50" s="227" t="s">
        <v>2603</v>
      </c>
      <c r="K50" s="842">
        <v>430103704</v>
      </c>
      <c r="L50" s="227" t="s">
        <v>2622</v>
      </c>
      <c r="M50" s="24">
        <v>430103704</v>
      </c>
      <c r="N50" s="227" t="s">
        <v>2622</v>
      </c>
      <c r="O50" s="842">
        <v>12</v>
      </c>
      <c r="P50" s="842"/>
      <c r="Q50" s="842">
        <v>12</v>
      </c>
      <c r="R50" s="842" t="s">
        <v>2567</v>
      </c>
      <c r="S50" s="227" t="s">
        <v>2568</v>
      </c>
      <c r="T50" s="948">
        <f t="shared" si="1"/>
        <v>0.48213702160350796</v>
      </c>
      <c r="U50" s="227" t="s">
        <v>2569</v>
      </c>
      <c r="V50" s="227" t="s">
        <v>2570</v>
      </c>
      <c r="W50" s="227" t="s">
        <v>2634</v>
      </c>
      <c r="X50" s="874">
        <v>5000000</v>
      </c>
      <c r="Y50" s="874"/>
      <c r="Z50" s="874"/>
      <c r="AA50" s="874"/>
      <c r="AB50" s="874"/>
      <c r="AC50" s="873" t="s">
        <v>2645</v>
      </c>
      <c r="AD50" s="227" t="s">
        <v>2602</v>
      </c>
      <c r="AE50" s="872" t="s">
        <v>2591</v>
      </c>
      <c r="AF50" s="227" t="s">
        <v>2592</v>
      </c>
      <c r="AG50" s="280">
        <v>6991</v>
      </c>
      <c r="AH50" s="280">
        <v>6453</v>
      </c>
      <c r="AI50" s="280">
        <v>352</v>
      </c>
      <c r="AJ50" s="280">
        <v>4378</v>
      </c>
      <c r="AK50" s="280">
        <v>4202</v>
      </c>
      <c r="AL50" s="280">
        <v>1344</v>
      </c>
      <c r="AM50" s="872"/>
      <c r="AN50" s="872"/>
      <c r="AO50" s="872"/>
      <c r="AP50" s="872"/>
      <c r="AQ50" s="872"/>
      <c r="AR50" s="872"/>
      <c r="AS50" s="872"/>
      <c r="AT50" s="872"/>
      <c r="AU50" s="872"/>
      <c r="AV50" s="872">
        <v>13444</v>
      </c>
      <c r="AW50" s="875">
        <v>45293</v>
      </c>
      <c r="AX50" s="875">
        <v>45657</v>
      </c>
      <c r="AY50" s="872" t="s">
        <v>2576</v>
      </c>
    </row>
    <row r="51" spans="1:51" s="876" customFormat="1" ht="84.95" customHeight="1" x14ac:dyDescent="0.2">
      <c r="A51" s="24">
        <v>1</v>
      </c>
      <c r="B51" s="195" t="s">
        <v>315</v>
      </c>
      <c r="C51" s="24">
        <v>43</v>
      </c>
      <c r="D51" s="227" t="s">
        <v>2562</v>
      </c>
      <c r="E51" s="24">
        <v>4301</v>
      </c>
      <c r="F51" s="227" t="s">
        <v>2564</v>
      </c>
      <c r="G51" s="24">
        <v>4301037</v>
      </c>
      <c r="H51" s="227" t="s">
        <v>2603</v>
      </c>
      <c r="I51" s="945">
        <v>4301037</v>
      </c>
      <c r="J51" s="227" t="s">
        <v>2603</v>
      </c>
      <c r="K51" s="842">
        <v>430103704</v>
      </c>
      <c r="L51" s="227" t="s">
        <v>2622</v>
      </c>
      <c r="M51" s="24">
        <v>430103704</v>
      </c>
      <c r="N51" s="227" t="s">
        <v>2622</v>
      </c>
      <c r="O51" s="842">
        <v>12</v>
      </c>
      <c r="P51" s="842"/>
      <c r="Q51" s="842">
        <v>12</v>
      </c>
      <c r="R51" s="842" t="s">
        <v>2567</v>
      </c>
      <c r="S51" s="227" t="s">
        <v>2568</v>
      </c>
      <c r="T51" s="948">
        <f t="shared" si="1"/>
        <v>0.48213702160350796</v>
      </c>
      <c r="U51" s="227" t="s">
        <v>2569</v>
      </c>
      <c r="V51" s="227" t="s">
        <v>2570</v>
      </c>
      <c r="W51" s="227" t="s">
        <v>2634</v>
      </c>
      <c r="X51" s="874">
        <v>10000000</v>
      </c>
      <c r="Y51" s="874"/>
      <c r="Z51" s="874"/>
      <c r="AA51" s="874"/>
      <c r="AB51" s="874"/>
      <c r="AC51" s="873" t="s">
        <v>2646</v>
      </c>
      <c r="AD51" s="227" t="s">
        <v>2602</v>
      </c>
      <c r="AE51" s="872" t="s">
        <v>2647</v>
      </c>
      <c r="AF51" s="227" t="s">
        <v>2648</v>
      </c>
      <c r="AG51" s="280">
        <v>6991</v>
      </c>
      <c r="AH51" s="280">
        <v>6453</v>
      </c>
      <c r="AI51" s="280">
        <v>352</v>
      </c>
      <c r="AJ51" s="280">
        <v>4378</v>
      </c>
      <c r="AK51" s="280">
        <v>4202</v>
      </c>
      <c r="AL51" s="280">
        <v>1344</v>
      </c>
      <c r="AM51" s="872"/>
      <c r="AN51" s="872"/>
      <c r="AO51" s="872"/>
      <c r="AP51" s="872"/>
      <c r="AQ51" s="872"/>
      <c r="AR51" s="872"/>
      <c r="AS51" s="872"/>
      <c r="AT51" s="872"/>
      <c r="AU51" s="872"/>
      <c r="AV51" s="872">
        <v>13444</v>
      </c>
      <c r="AW51" s="875">
        <v>45293</v>
      </c>
      <c r="AX51" s="875">
        <v>45657</v>
      </c>
      <c r="AY51" s="872" t="s">
        <v>2576</v>
      </c>
    </row>
    <row r="52" spans="1:51" s="876" customFormat="1" ht="84.95" customHeight="1" x14ac:dyDescent="0.2">
      <c r="A52" s="24">
        <v>1</v>
      </c>
      <c r="B52" s="195" t="s">
        <v>315</v>
      </c>
      <c r="C52" s="24">
        <v>43</v>
      </c>
      <c r="D52" s="227" t="s">
        <v>2562</v>
      </c>
      <c r="E52" s="24">
        <v>4301</v>
      </c>
      <c r="F52" s="227" t="s">
        <v>2564</v>
      </c>
      <c r="G52" s="24">
        <v>4301037</v>
      </c>
      <c r="H52" s="227" t="s">
        <v>2603</v>
      </c>
      <c r="I52" s="945">
        <v>4301037</v>
      </c>
      <c r="J52" s="227" t="s">
        <v>2603</v>
      </c>
      <c r="K52" s="842">
        <v>430103704</v>
      </c>
      <c r="L52" s="227" t="s">
        <v>2622</v>
      </c>
      <c r="M52" s="24">
        <v>430103704</v>
      </c>
      <c r="N52" s="227" t="s">
        <v>2622</v>
      </c>
      <c r="O52" s="842">
        <v>12</v>
      </c>
      <c r="P52" s="842"/>
      <c r="Q52" s="842">
        <v>12</v>
      </c>
      <c r="R52" s="842" t="s">
        <v>2567</v>
      </c>
      <c r="S52" s="227" t="s">
        <v>2568</v>
      </c>
      <c r="T52" s="948">
        <f t="shared" si="1"/>
        <v>0.48213702160350796</v>
      </c>
      <c r="U52" s="227" t="s">
        <v>2569</v>
      </c>
      <c r="V52" s="227" t="s">
        <v>2570</v>
      </c>
      <c r="W52" s="227" t="s">
        <v>2634</v>
      </c>
      <c r="X52" s="874">
        <v>30000000</v>
      </c>
      <c r="Y52" s="874"/>
      <c r="Z52" s="874"/>
      <c r="AA52" s="874"/>
      <c r="AB52" s="874"/>
      <c r="AC52" s="873" t="s">
        <v>2649</v>
      </c>
      <c r="AD52" s="227" t="s">
        <v>2650</v>
      </c>
      <c r="AE52" s="872" t="s">
        <v>2579</v>
      </c>
      <c r="AF52" s="227" t="s">
        <v>2580</v>
      </c>
      <c r="AG52" s="280">
        <v>6991</v>
      </c>
      <c r="AH52" s="280">
        <v>6453</v>
      </c>
      <c r="AI52" s="280">
        <v>352</v>
      </c>
      <c r="AJ52" s="280">
        <v>4378</v>
      </c>
      <c r="AK52" s="280">
        <v>4202</v>
      </c>
      <c r="AL52" s="280">
        <v>1344</v>
      </c>
      <c r="AM52" s="872"/>
      <c r="AN52" s="872"/>
      <c r="AO52" s="872"/>
      <c r="AP52" s="872"/>
      <c r="AQ52" s="872"/>
      <c r="AR52" s="872"/>
      <c r="AS52" s="872"/>
      <c r="AT52" s="872"/>
      <c r="AU52" s="872"/>
      <c r="AV52" s="872">
        <v>13444</v>
      </c>
      <c r="AW52" s="875">
        <v>45293</v>
      </c>
      <c r="AX52" s="875">
        <v>45657</v>
      </c>
      <c r="AY52" s="872" t="s">
        <v>2576</v>
      </c>
    </row>
    <row r="53" spans="1:51" s="876" customFormat="1" ht="84.95" customHeight="1" x14ac:dyDescent="0.2">
      <c r="A53" s="24">
        <v>1</v>
      </c>
      <c r="B53" s="195" t="s">
        <v>315</v>
      </c>
      <c r="C53" s="24">
        <v>43</v>
      </c>
      <c r="D53" s="227" t="s">
        <v>2562</v>
      </c>
      <c r="E53" s="24">
        <v>4301</v>
      </c>
      <c r="F53" s="227" t="s">
        <v>2564</v>
      </c>
      <c r="G53" s="24">
        <v>4301037</v>
      </c>
      <c r="H53" s="227" t="s">
        <v>2603</v>
      </c>
      <c r="I53" s="945">
        <v>4301037</v>
      </c>
      <c r="J53" s="227" t="s">
        <v>2603</v>
      </c>
      <c r="K53" s="842">
        <v>430103704</v>
      </c>
      <c r="L53" s="227" t="s">
        <v>2622</v>
      </c>
      <c r="M53" s="24">
        <v>430103704</v>
      </c>
      <c r="N53" s="227" t="s">
        <v>2622</v>
      </c>
      <c r="O53" s="842">
        <v>12</v>
      </c>
      <c r="P53" s="842"/>
      <c r="Q53" s="842">
        <v>12</v>
      </c>
      <c r="R53" s="842" t="s">
        <v>2567</v>
      </c>
      <c r="S53" s="227" t="s">
        <v>2568</v>
      </c>
      <c r="T53" s="948">
        <f t="shared" si="1"/>
        <v>0.48213702160350796</v>
      </c>
      <c r="U53" s="227" t="s">
        <v>2569</v>
      </c>
      <c r="V53" s="227" t="s">
        <v>2570</v>
      </c>
      <c r="W53" s="227" t="s">
        <v>2651</v>
      </c>
      <c r="X53" s="874">
        <v>80000000</v>
      </c>
      <c r="Y53" s="874"/>
      <c r="Z53" s="874"/>
      <c r="AA53" s="874"/>
      <c r="AB53" s="874"/>
      <c r="AC53" s="873" t="s">
        <v>2652</v>
      </c>
      <c r="AD53" s="227" t="s">
        <v>2598</v>
      </c>
      <c r="AE53" s="872" t="s">
        <v>2582</v>
      </c>
      <c r="AF53" s="227" t="s">
        <v>2583</v>
      </c>
      <c r="AG53" s="280">
        <v>6991</v>
      </c>
      <c r="AH53" s="280">
        <v>6453</v>
      </c>
      <c r="AI53" s="280">
        <v>352</v>
      </c>
      <c r="AJ53" s="280">
        <v>4378</v>
      </c>
      <c r="AK53" s="280">
        <v>4202</v>
      </c>
      <c r="AL53" s="280">
        <v>1344</v>
      </c>
      <c r="AM53" s="872"/>
      <c r="AN53" s="872"/>
      <c r="AO53" s="872"/>
      <c r="AP53" s="872"/>
      <c r="AQ53" s="872"/>
      <c r="AR53" s="872"/>
      <c r="AS53" s="872"/>
      <c r="AT53" s="872"/>
      <c r="AU53" s="872"/>
      <c r="AV53" s="872">
        <v>13444</v>
      </c>
      <c r="AW53" s="875">
        <v>45293</v>
      </c>
      <c r="AX53" s="875">
        <v>45657</v>
      </c>
      <c r="AY53" s="872" t="s">
        <v>2576</v>
      </c>
    </row>
    <row r="54" spans="1:51" s="876" customFormat="1" ht="84.95" customHeight="1" x14ac:dyDescent="0.2">
      <c r="A54" s="24">
        <v>1</v>
      </c>
      <c r="B54" s="195" t="s">
        <v>315</v>
      </c>
      <c r="C54" s="24">
        <v>43</v>
      </c>
      <c r="D54" s="227" t="s">
        <v>2562</v>
      </c>
      <c r="E54" s="24">
        <v>4301</v>
      </c>
      <c r="F54" s="227" t="s">
        <v>2564</v>
      </c>
      <c r="G54" s="24">
        <v>4301037</v>
      </c>
      <c r="H54" s="227" t="s">
        <v>2603</v>
      </c>
      <c r="I54" s="945">
        <v>4301037</v>
      </c>
      <c r="J54" s="227" t="s">
        <v>2603</v>
      </c>
      <c r="K54" s="842">
        <v>430103704</v>
      </c>
      <c r="L54" s="227" t="s">
        <v>2622</v>
      </c>
      <c r="M54" s="24">
        <v>430103704</v>
      </c>
      <c r="N54" s="227" t="s">
        <v>2622</v>
      </c>
      <c r="O54" s="842">
        <v>12</v>
      </c>
      <c r="P54" s="842"/>
      <c r="Q54" s="842">
        <v>12</v>
      </c>
      <c r="R54" s="842" t="s">
        <v>2567</v>
      </c>
      <c r="S54" s="227" t="s">
        <v>2568</v>
      </c>
      <c r="T54" s="948">
        <f t="shared" si="1"/>
        <v>0.48213702160350796</v>
      </c>
      <c r="U54" s="227" t="s">
        <v>2569</v>
      </c>
      <c r="V54" s="227" t="s">
        <v>2570</v>
      </c>
      <c r="W54" s="227" t="s">
        <v>2651</v>
      </c>
      <c r="X54" s="874">
        <v>20000000</v>
      </c>
      <c r="Y54" s="874"/>
      <c r="Z54" s="874"/>
      <c r="AA54" s="874"/>
      <c r="AB54" s="874"/>
      <c r="AC54" s="873" t="s">
        <v>2653</v>
      </c>
      <c r="AD54" s="227" t="s">
        <v>2600</v>
      </c>
      <c r="AE54" s="872" t="s">
        <v>2582</v>
      </c>
      <c r="AF54" s="227" t="s">
        <v>2583</v>
      </c>
      <c r="AG54" s="280">
        <v>6991</v>
      </c>
      <c r="AH54" s="280">
        <v>6453</v>
      </c>
      <c r="AI54" s="280">
        <v>352</v>
      </c>
      <c r="AJ54" s="280">
        <v>4378</v>
      </c>
      <c r="AK54" s="280">
        <v>4202</v>
      </c>
      <c r="AL54" s="280">
        <v>1344</v>
      </c>
      <c r="AM54" s="872"/>
      <c r="AN54" s="872"/>
      <c r="AO54" s="872"/>
      <c r="AP54" s="872"/>
      <c r="AQ54" s="872"/>
      <c r="AR54" s="872"/>
      <c r="AS54" s="872"/>
      <c r="AT54" s="872"/>
      <c r="AU54" s="872"/>
      <c r="AV54" s="872">
        <v>13444</v>
      </c>
      <c r="AW54" s="875">
        <v>45293</v>
      </c>
      <c r="AX54" s="875">
        <v>45657</v>
      </c>
      <c r="AY54" s="872" t="s">
        <v>2576</v>
      </c>
    </row>
    <row r="55" spans="1:51" s="876" customFormat="1" ht="84.95" customHeight="1" x14ac:dyDescent="0.2">
      <c r="A55" s="24">
        <v>1</v>
      </c>
      <c r="B55" s="195" t="s">
        <v>315</v>
      </c>
      <c r="C55" s="24">
        <v>43</v>
      </c>
      <c r="D55" s="227" t="s">
        <v>2562</v>
      </c>
      <c r="E55" s="24">
        <v>4301</v>
      </c>
      <c r="F55" s="227" t="s">
        <v>2564</v>
      </c>
      <c r="G55" s="24" t="s">
        <v>70</v>
      </c>
      <c r="H55" s="227" t="s">
        <v>2654</v>
      </c>
      <c r="I55" s="945">
        <v>4301006</v>
      </c>
      <c r="J55" s="227" t="s">
        <v>2655</v>
      </c>
      <c r="K55" s="842" t="s">
        <v>70</v>
      </c>
      <c r="L55" s="227" t="s">
        <v>2656</v>
      </c>
      <c r="M55" s="24">
        <v>430100600</v>
      </c>
      <c r="N55" s="227" t="s">
        <v>2657</v>
      </c>
      <c r="O55" s="842">
        <v>1</v>
      </c>
      <c r="P55" s="842"/>
      <c r="Q55" s="842">
        <v>1</v>
      </c>
      <c r="R55" s="842" t="s">
        <v>2567</v>
      </c>
      <c r="S55" s="227" t="s">
        <v>2568</v>
      </c>
      <c r="T55" s="948">
        <f>SUM($X$55:$X$56)/SUM($X$11:$X$56)</f>
        <v>1.9257969479170075E-2</v>
      </c>
      <c r="U55" s="227" t="s">
        <v>2569</v>
      </c>
      <c r="V55" s="227" t="s">
        <v>2570</v>
      </c>
      <c r="W55" s="227" t="s">
        <v>2658</v>
      </c>
      <c r="X55" s="874">
        <v>50000000</v>
      </c>
      <c r="Y55" s="874"/>
      <c r="Z55" s="874"/>
      <c r="AA55" s="874"/>
      <c r="AB55" s="874"/>
      <c r="AC55" s="873" t="s">
        <v>2659</v>
      </c>
      <c r="AD55" s="227" t="s">
        <v>2594</v>
      </c>
      <c r="AE55" s="872" t="s">
        <v>2582</v>
      </c>
      <c r="AF55" s="227" t="s">
        <v>2583</v>
      </c>
      <c r="AG55" s="280">
        <v>6991</v>
      </c>
      <c r="AH55" s="280">
        <v>6453</v>
      </c>
      <c r="AI55" s="280">
        <v>352</v>
      </c>
      <c r="AJ55" s="280">
        <v>4378</v>
      </c>
      <c r="AK55" s="280">
        <v>4202</v>
      </c>
      <c r="AL55" s="280">
        <v>1344</v>
      </c>
      <c r="AM55" s="872"/>
      <c r="AN55" s="872"/>
      <c r="AO55" s="872"/>
      <c r="AP55" s="872"/>
      <c r="AQ55" s="872"/>
      <c r="AR55" s="872"/>
      <c r="AS55" s="872"/>
      <c r="AT55" s="872"/>
      <c r="AU55" s="872"/>
      <c r="AV55" s="872">
        <v>13444</v>
      </c>
      <c r="AW55" s="875">
        <v>45293</v>
      </c>
      <c r="AX55" s="875">
        <v>45657</v>
      </c>
      <c r="AY55" s="872" t="s">
        <v>2576</v>
      </c>
    </row>
    <row r="56" spans="1:51" s="876" customFormat="1" ht="84.95" customHeight="1" x14ac:dyDescent="0.2">
      <c r="A56" s="24">
        <v>1</v>
      </c>
      <c r="B56" s="195" t="s">
        <v>315</v>
      </c>
      <c r="C56" s="24">
        <v>43</v>
      </c>
      <c r="D56" s="227" t="s">
        <v>2562</v>
      </c>
      <c r="E56" s="24">
        <v>4301</v>
      </c>
      <c r="F56" s="227" t="s">
        <v>2564</v>
      </c>
      <c r="G56" s="24" t="s">
        <v>70</v>
      </c>
      <c r="H56" s="227" t="s">
        <v>2654</v>
      </c>
      <c r="I56" s="24">
        <v>4301006</v>
      </c>
      <c r="J56" s="227" t="s">
        <v>2655</v>
      </c>
      <c r="K56" s="24" t="s">
        <v>70</v>
      </c>
      <c r="L56" s="227" t="s">
        <v>2656</v>
      </c>
      <c r="M56" s="24">
        <v>430100600</v>
      </c>
      <c r="N56" s="227" t="s">
        <v>2657</v>
      </c>
      <c r="O56" s="842">
        <v>1</v>
      </c>
      <c r="P56" s="842"/>
      <c r="Q56" s="842">
        <v>1</v>
      </c>
      <c r="R56" s="842" t="s">
        <v>2567</v>
      </c>
      <c r="S56" s="227" t="s">
        <v>2568</v>
      </c>
      <c r="T56" s="948">
        <f>SUM($X$55:$X$56)/SUM($X$11:$X$56)</f>
        <v>1.9257969479170075E-2</v>
      </c>
      <c r="U56" s="227" t="s">
        <v>2569</v>
      </c>
      <c r="V56" s="227" t="s">
        <v>2570</v>
      </c>
      <c r="W56" s="227" t="s">
        <v>2658</v>
      </c>
      <c r="X56" s="874">
        <v>6000000</v>
      </c>
      <c r="Y56" s="874"/>
      <c r="Z56" s="874"/>
      <c r="AA56" s="874"/>
      <c r="AB56" s="874"/>
      <c r="AC56" s="873" t="s">
        <v>2660</v>
      </c>
      <c r="AD56" s="227" t="s">
        <v>2594</v>
      </c>
      <c r="AE56" s="872" t="s">
        <v>2585</v>
      </c>
      <c r="AF56" s="227" t="s">
        <v>2586</v>
      </c>
      <c r="AG56" s="280">
        <v>6991</v>
      </c>
      <c r="AH56" s="280">
        <v>6453</v>
      </c>
      <c r="AI56" s="280">
        <v>352</v>
      </c>
      <c r="AJ56" s="280">
        <v>4378</v>
      </c>
      <c r="AK56" s="280">
        <v>4202</v>
      </c>
      <c r="AL56" s="280">
        <v>1344</v>
      </c>
      <c r="AM56" s="872"/>
      <c r="AN56" s="872"/>
      <c r="AO56" s="872"/>
      <c r="AP56" s="872"/>
      <c r="AQ56" s="872"/>
      <c r="AR56" s="872"/>
      <c r="AS56" s="872"/>
      <c r="AT56" s="872"/>
      <c r="AU56" s="872"/>
      <c r="AV56" s="872">
        <v>13444</v>
      </c>
      <c r="AW56" s="875">
        <v>45293</v>
      </c>
      <c r="AX56" s="875">
        <v>45657</v>
      </c>
      <c r="AY56" s="872" t="s">
        <v>2576</v>
      </c>
    </row>
    <row r="57" spans="1:51" s="876" customFormat="1" ht="84.95" customHeight="1" x14ac:dyDescent="0.2">
      <c r="A57" s="24">
        <v>1</v>
      </c>
      <c r="B57" s="195" t="s">
        <v>315</v>
      </c>
      <c r="C57" s="24">
        <v>43</v>
      </c>
      <c r="D57" s="227" t="s">
        <v>2562</v>
      </c>
      <c r="E57" s="24">
        <v>4302</v>
      </c>
      <c r="F57" s="227" t="s">
        <v>2661</v>
      </c>
      <c r="G57" s="24">
        <v>4302075</v>
      </c>
      <c r="H57" s="227" t="s">
        <v>2662</v>
      </c>
      <c r="I57" s="24">
        <v>4302075</v>
      </c>
      <c r="J57" s="227" t="s">
        <v>2662</v>
      </c>
      <c r="K57" s="24">
        <v>430207500</v>
      </c>
      <c r="L57" s="227" t="s">
        <v>2663</v>
      </c>
      <c r="M57" s="24">
        <v>430207500</v>
      </c>
      <c r="N57" s="227" t="s">
        <v>2663</v>
      </c>
      <c r="O57" s="842">
        <v>25</v>
      </c>
      <c r="P57" s="842"/>
      <c r="Q57" s="842">
        <v>25</v>
      </c>
      <c r="R57" s="842" t="s">
        <v>2664</v>
      </c>
      <c r="S57" s="227" t="s">
        <v>2665</v>
      </c>
      <c r="T57" s="948">
        <f>SUM($X$57:$X$80)/SUM($X$57:$X$80)</f>
        <v>1</v>
      </c>
      <c r="U57" s="227" t="s">
        <v>2666</v>
      </c>
      <c r="V57" s="227" t="s">
        <v>2667</v>
      </c>
      <c r="W57" s="227" t="s">
        <v>2668</v>
      </c>
      <c r="X57" s="874">
        <v>950000000</v>
      </c>
      <c r="Y57" s="874"/>
      <c r="Z57" s="874"/>
      <c r="AA57" s="874"/>
      <c r="AB57" s="874"/>
      <c r="AC57" s="873" t="s">
        <v>2669</v>
      </c>
      <c r="AD57" s="227" t="s">
        <v>2573</v>
      </c>
      <c r="AE57" s="872" t="s">
        <v>2579</v>
      </c>
      <c r="AF57" s="227" t="s">
        <v>2580</v>
      </c>
      <c r="AG57" s="280">
        <v>230</v>
      </c>
      <c r="AH57" s="280">
        <v>270</v>
      </c>
      <c r="AI57" s="280">
        <v>110</v>
      </c>
      <c r="AJ57" s="280">
        <v>270</v>
      </c>
      <c r="AK57" s="280">
        <v>120</v>
      </c>
      <c r="AL57" s="280"/>
      <c r="AM57" s="872"/>
      <c r="AN57" s="872"/>
      <c r="AO57" s="872"/>
      <c r="AP57" s="872"/>
      <c r="AQ57" s="872"/>
      <c r="AR57" s="872"/>
      <c r="AS57" s="872"/>
      <c r="AT57" s="872"/>
      <c r="AU57" s="872"/>
      <c r="AV57" s="872">
        <v>500</v>
      </c>
      <c r="AW57" s="875">
        <v>45293</v>
      </c>
      <c r="AX57" s="875">
        <v>45657</v>
      </c>
      <c r="AY57" s="872" t="s">
        <v>2576</v>
      </c>
    </row>
    <row r="58" spans="1:51" s="876" customFormat="1" ht="84.95" customHeight="1" x14ac:dyDescent="0.2">
      <c r="A58" s="24">
        <v>1</v>
      </c>
      <c r="B58" s="195" t="s">
        <v>315</v>
      </c>
      <c r="C58" s="24">
        <v>43</v>
      </c>
      <c r="D58" s="227" t="s">
        <v>2562</v>
      </c>
      <c r="E58" s="24">
        <v>4302</v>
      </c>
      <c r="F58" s="227" t="s">
        <v>2661</v>
      </c>
      <c r="G58" s="24">
        <v>4302075</v>
      </c>
      <c r="H58" s="227" t="s">
        <v>2662</v>
      </c>
      <c r="I58" s="24">
        <v>4302075</v>
      </c>
      <c r="J58" s="227" t="s">
        <v>2662</v>
      </c>
      <c r="K58" s="24">
        <v>430207500</v>
      </c>
      <c r="L58" s="227" t="s">
        <v>2663</v>
      </c>
      <c r="M58" s="24">
        <v>430207500</v>
      </c>
      <c r="N58" s="227" t="s">
        <v>2663</v>
      </c>
      <c r="O58" s="842">
        <v>25</v>
      </c>
      <c r="P58" s="842"/>
      <c r="Q58" s="842">
        <v>25</v>
      </c>
      <c r="R58" s="842" t="s">
        <v>2664</v>
      </c>
      <c r="S58" s="227" t="s">
        <v>2665</v>
      </c>
      <c r="T58" s="948">
        <f t="shared" ref="T58:T80" si="2">SUM($X$57:$X$80)/SUM($X$57:$X$80)</f>
        <v>1</v>
      </c>
      <c r="U58" s="227" t="s">
        <v>2666</v>
      </c>
      <c r="V58" s="227" t="s">
        <v>2667</v>
      </c>
      <c r="W58" s="227" t="s">
        <v>2668</v>
      </c>
      <c r="X58" s="874">
        <v>226783000</v>
      </c>
      <c r="Y58" s="874"/>
      <c r="Z58" s="874"/>
      <c r="AA58" s="874"/>
      <c r="AB58" s="874"/>
      <c r="AC58" s="873" t="s">
        <v>2670</v>
      </c>
      <c r="AD58" s="227" t="s">
        <v>2573</v>
      </c>
      <c r="AE58" s="872" t="s">
        <v>2582</v>
      </c>
      <c r="AF58" s="227" t="s">
        <v>2583</v>
      </c>
      <c r="AG58" s="280">
        <v>230</v>
      </c>
      <c r="AH58" s="280">
        <v>270</v>
      </c>
      <c r="AI58" s="280">
        <v>110</v>
      </c>
      <c r="AJ58" s="280">
        <v>270</v>
      </c>
      <c r="AK58" s="280">
        <v>120</v>
      </c>
      <c r="AL58" s="280"/>
      <c r="AM58" s="872"/>
      <c r="AN58" s="872"/>
      <c r="AO58" s="872"/>
      <c r="AP58" s="872"/>
      <c r="AQ58" s="872"/>
      <c r="AR58" s="872"/>
      <c r="AS58" s="872"/>
      <c r="AT58" s="872"/>
      <c r="AU58" s="872"/>
      <c r="AV58" s="872">
        <v>500</v>
      </c>
      <c r="AW58" s="875">
        <v>45293</v>
      </c>
      <c r="AX58" s="875">
        <v>45657</v>
      </c>
      <c r="AY58" s="872" t="s">
        <v>2576</v>
      </c>
    </row>
    <row r="59" spans="1:51" s="876" customFormat="1" ht="84.95" customHeight="1" x14ac:dyDescent="0.2">
      <c r="A59" s="24">
        <v>1</v>
      </c>
      <c r="B59" s="195" t="s">
        <v>315</v>
      </c>
      <c r="C59" s="24">
        <v>43</v>
      </c>
      <c r="D59" s="227" t="s">
        <v>2562</v>
      </c>
      <c r="E59" s="24">
        <v>4302</v>
      </c>
      <c r="F59" s="227" t="s">
        <v>2661</v>
      </c>
      <c r="G59" s="24">
        <v>4302075</v>
      </c>
      <c r="H59" s="227" t="s">
        <v>2662</v>
      </c>
      <c r="I59" s="24">
        <v>4302075</v>
      </c>
      <c r="J59" s="227" t="s">
        <v>2662</v>
      </c>
      <c r="K59" s="24">
        <v>430207500</v>
      </c>
      <c r="L59" s="227" t="s">
        <v>2663</v>
      </c>
      <c r="M59" s="24">
        <v>430207500</v>
      </c>
      <c r="N59" s="227" t="s">
        <v>2663</v>
      </c>
      <c r="O59" s="842">
        <v>25</v>
      </c>
      <c r="P59" s="842"/>
      <c r="Q59" s="842">
        <v>25</v>
      </c>
      <c r="R59" s="842" t="s">
        <v>2664</v>
      </c>
      <c r="S59" s="227" t="s">
        <v>2665</v>
      </c>
      <c r="T59" s="948">
        <f t="shared" si="2"/>
        <v>1</v>
      </c>
      <c r="U59" s="227" t="s">
        <v>2666</v>
      </c>
      <c r="V59" s="227" t="s">
        <v>2667</v>
      </c>
      <c r="W59" s="227" t="s">
        <v>2668</v>
      </c>
      <c r="X59" s="874">
        <v>200000000</v>
      </c>
      <c r="Y59" s="874"/>
      <c r="Z59" s="874"/>
      <c r="AA59" s="874"/>
      <c r="AB59" s="874"/>
      <c r="AC59" s="873" t="s">
        <v>2671</v>
      </c>
      <c r="AD59" s="227" t="s">
        <v>2573</v>
      </c>
      <c r="AE59" s="872" t="s">
        <v>2588</v>
      </c>
      <c r="AF59" s="227" t="s">
        <v>2589</v>
      </c>
      <c r="AG59" s="280">
        <v>230</v>
      </c>
      <c r="AH59" s="280">
        <v>270</v>
      </c>
      <c r="AI59" s="280">
        <v>110</v>
      </c>
      <c r="AJ59" s="280">
        <v>270</v>
      </c>
      <c r="AK59" s="280">
        <v>120</v>
      </c>
      <c r="AL59" s="280"/>
      <c r="AM59" s="872"/>
      <c r="AN59" s="872"/>
      <c r="AO59" s="872"/>
      <c r="AP59" s="872"/>
      <c r="AQ59" s="872"/>
      <c r="AR59" s="872"/>
      <c r="AS59" s="872"/>
      <c r="AT59" s="872"/>
      <c r="AU59" s="872"/>
      <c r="AV59" s="872">
        <v>500</v>
      </c>
      <c r="AW59" s="875">
        <v>45293</v>
      </c>
      <c r="AX59" s="875">
        <v>45657</v>
      </c>
      <c r="AY59" s="872" t="s">
        <v>2576</v>
      </c>
    </row>
    <row r="60" spans="1:51" s="876" customFormat="1" ht="84.95" customHeight="1" x14ac:dyDescent="0.2">
      <c r="A60" s="24">
        <v>1</v>
      </c>
      <c r="B60" s="195" t="s">
        <v>315</v>
      </c>
      <c r="C60" s="24">
        <v>43</v>
      </c>
      <c r="D60" s="227" t="s">
        <v>2562</v>
      </c>
      <c r="E60" s="24">
        <v>4302</v>
      </c>
      <c r="F60" s="227" t="s">
        <v>2661</v>
      </c>
      <c r="G60" s="24">
        <v>4302075</v>
      </c>
      <c r="H60" s="227" t="s">
        <v>2662</v>
      </c>
      <c r="I60" s="24">
        <v>4302075</v>
      </c>
      <c r="J60" s="227" t="s">
        <v>2662</v>
      </c>
      <c r="K60" s="24">
        <v>430207500</v>
      </c>
      <c r="L60" s="227" t="s">
        <v>2663</v>
      </c>
      <c r="M60" s="24">
        <v>430207500</v>
      </c>
      <c r="N60" s="227" t="s">
        <v>2663</v>
      </c>
      <c r="O60" s="842">
        <v>25</v>
      </c>
      <c r="P60" s="842"/>
      <c r="Q60" s="842">
        <v>25</v>
      </c>
      <c r="R60" s="842" t="s">
        <v>2664</v>
      </c>
      <c r="S60" s="227" t="s">
        <v>2665</v>
      </c>
      <c r="T60" s="948">
        <f t="shared" si="2"/>
        <v>1</v>
      </c>
      <c r="U60" s="227" t="s">
        <v>2666</v>
      </c>
      <c r="V60" s="227" t="s">
        <v>2667</v>
      </c>
      <c r="W60" s="227" t="s">
        <v>2672</v>
      </c>
      <c r="X60" s="874">
        <v>50000000</v>
      </c>
      <c r="Y60" s="874"/>
      <c r="Z60" s="874"/>
      <c r="AA60" s="874"/>
      <c r="AB60" s="874"/>
      <c r="AC60" s="873" t="s">
        <v>2673</v>
      </c>
      <c r="AD60" s="227" t="s">
        <v>2650</v>
      </c>
      <c r="AE60" s="872" t="s">
        <v>2579</v>
      </c>
      <c r="AF60" s="227" t="s">
        <v>2580</v>
      </c>
      <c r="AG60" s="280">
        <v>230</v>
      </c>
      <c r="AH60" s="280">
        <v>270</v>
      </c>
      <c r="AI60" s="280">
        <v>110</v>
      </c>
      <c r="AJ60" s="280">
        <v>270</v>
      </c>
      <c r="AK60" s="280">
        <v>120</v>
      </c>
      <c r="AL60" s="280"/>
      <c r="AM60" s="872"/>
      <c r="AN60" s="872"/>
      <c r="AO60" s="872"/>
      <c r="AP60" s="872"/>
      <c r="AQ60" s="872"/>
      <c r="AR60" s="872"/>
      <c r="AS60" s="872"/>
      <c r="AT60" s="872"/>
      <c r="AU60" s="872"/>
      <c r="AV60" s="872">
        <v>500</v>
      </c>
      <c r="AW60" s="875">
        <v>45293</v>
      </c>
      <c r="AX60" s="875">
        <v>45657</v>
      </c>
      <c r="AY60" s="872" t="s">
        <v>2576</v>
      </c>
    </row>
    <row r="61" spans="1:51" s="876" customFormat="1" ht="84.95" customHeight="1" x14ac:dyDescent="0.2">
      <c r="A61" s="24">
        <v>1</v>
      </c>
      <c r="B61" s="195" t="s">
        <v>315</v>
      </c>
      <c r="C61" s="24">
        <v>43</v>
      </c>
      <c r="D61" s="227" t="s">
        <v>2562</v>
      </c>
      <c r="E61" s="24">
        <v>4302</v>
      </c>
      <c r="F61" s="227" t="s">
        <v>2661</v>
      </c>
      <c r="G61" s="24">
        <v>4302075</v>
      </c>
      <c r="H61" s="227" t="s">
        <v>2662</v>
      </c>
      <c r="I61" s="24">
        <v>4302075</v>
      </c>
      <c r="J61" s="227" t="s">
        <v>2662</v>
      </c>
      <c r="K61" s="24">
        <v>430207500</v>
      </c>
      <c r="L61" s="227" t="s">
        <v>2663</v>
      </c>
      <c r="M61" s="24">
        <v>430207500</v>
      </c>
      <c r="N61" s="227" t="s">
        <v>2663</v>
      </c>
      <c r="O61" s="842">
        <v>25</v>
      </c>
      <c r="P61" s="842"/>
      <c r="Q61" s="842">
        <v>25</v>
      </c>
      <c r="R61" s="842" t="s">
        <v>2664</v>
      </c>
      <c r="S61" s="227" t="s">
        <v>2665</v>
      </c>
      <c r="T61" s="948">
        <f t="shared" si="2"/>
        <v>1</v>
      </c>
      <c r="U61" s="227" t="s">
        <v>2666</v>
      </c>
      <c r="V61" s="227" t="s">
        <v>2667</v>
      </c>
      <c r="W61" s="227" t="s">
        <v>2672</v>
      </c>
      <c r="X61" s="874">
        <v>40000000</v>
      </c>
      <c r="Y61" s="874"/>
      <c r="Z61" s="874"/>
      <c r="AA61" s="874"/>
      <c r="AB61" s="874"/>
      <c r="AC61" s="873" t="s">
        <v>2674</v>
      </c>
      <c r="AD61" s="227" t="s">
        <v>2650</v>
      </c>
      <c r="AE61" s="872" t="s">
        <v>2588</v>
      </c>
      <c r="AF61" s="227" t="s">
        <v>2589</v>
      </c>
      <c r="AG61" s="280">
        <v>230</v>
      </c>
      <c r="AH61" s="280">
        <v>270</v>
      </c>
      <c r="AI61" s="280">
        <v>110</v>
      </c>
      <c r="AJ61" s="280">
        <v>270</v>
      </c>
      <c r="AK61" s="280">
        <v>120</v>
      </c>
      <c r="AL61" s="280"/>
      <c r="AM61" s="872"/>
      <c r="AN61" s="872"/>
      <c r="AO61" s="872"/>
      <c r="AP61" s="872"/>
      <c r="AQ61" s="872"/>
      <c r="AR61" s="872"/>
      <c r="AS61" s="872"/>
      <c r="AT61" s="872"/>
      <c r="AU61" s="872"/>
      <c r="AV61" s="872">
        <v>500</v>
      </c>
      <c r="AW61" s="875">
        <v>45293</v>
      </c>
      <c r="AX61" s="875">
        <v>45657</v>
      </c>
      <c r="AY61" s="872" t="s">
        <v>2576</v>
      </c>
    </row>
    <row r="62" spans="1:51" s="876" customFormat="1" ht="84.95" customHeight="1" x14ac:dyDescent="0.2">
      <c r="A62" s="24">
        <v>1</v>
      </c>
      <c r="B62" s="195" t="s">
        <v>315</v>
      </c>
      <c r="C62" s="24">
        <v>43</v>
      </c>
      <c r="D62" s="227" t="s">
        <v>2562</v>
      </c>
      <c r="E62" s="24">
        <v>4302</v>
      </c>
      <c r="F62" s="227" t="s">
        <v>2661</v>
      </c>
      <c r="G62" s="24">
        <v>4302075</v>
      </c>
      <c r="H62" s="227" t="s">
        <v>2662</v>
      </c>
      <c r="I62" s="24">
        <v>4302075</v>
      </c>
      <c r="J62" s="227" t="s">
        <v>2662</v>
      </c>
      <c r="K62" s="24">
        <v>430207500</v>
      </c>
      <c r="L62" s="227" t="s">
        <v>2663</v>
      </c>
      <c r="M62" s="24">
        <v>430207500</v>
      </c>
      <c r="N62" s="227" t="s">
        <v>2663</v>
      </c>
      <c r="O62" s="842">
        <v>25</v>
      </c>
      <c r="P62" s="842"/>
      <c r="Q62" s="842">
        <v>25</v>
      </c>
      <c r="R62" s="842" t="s">
        <v>2664</v>
      </c>
      <c r="S62" s="227" t="s">
        <v>2665</v>
      </c>
      <c r="T62" s="948">
        <f t="shared" si="2"/>
        <v>1</v>
      </c>
      <c r="U62" s="227" t="s">
        <v>2666</v>
      </c>
      <c r="V62" s="227" t="s">
        <v>2667</v>
      </c>
      <c r="W62" s="227" t="s">
        <v>2675</v>
      </c>
      <c r="X62" s="874">
        <v>550000000</v>
      </c>
      <c r="Y62" s="874"/>
      <c r="Z62" s="874"/>
      <c r="AA62" s="874"/>
      <c r="AB62" s="874"/>
      <c r="AC62" s="873" t="s">
        <v>2676</v>
      </c>
      <c r="AD62" s="227" t="s">
        <v>2573</v>
      </c>
      <c r="AE62" s="872" t="s">
        <v>2579</v>
      </c>
      <c r="AF62" s="227" t="s">
        <v>2580</v>
      </c>
      <c r="AG62" s="280">
        <v>230</v>
      </c>
      <c r="AH62" s="280">
        <v>270</v>
      </c>
      <c r="AI62" s="280">
        <v>110</v>
      </c>
      <c r="AJ62" s="280">
        <v>270</v>
      </c>
      <c r="AK62" s="280">
        <v>120</v>
      </c>
      <c r="AL62" s="280"/>
      <c r="AM62" s="872"/>
      <c r="AN62" s="872"/>
      <c r="AO62" s="872"/>
      <c r="AP62" s="872"/>
      <c r="AQ62" s="872"/>
      <c r="AR62" s="872"/>
      <c r="AS62" s="872"/>
      <c r="AT62" s="872"/>
      <c r="AU62" s="872"/>
      <c r="AV62" s="872">
        <v>500</v>
      </c>
      <c r="AW62" s="875">
        <v>45293</v>
      </c>
      <c r="AX62" s="875">
        <v>45657</v>
      </c>
      <c r="AY62" s="872" t="s">
        <v>2576</v>
      </c>
    </row>
    <row r="63" spans="1:51" s="876" customFormat="1" ht="84.95" customHeight="1" x14ac:dyDescent="0.2">
      <c r="A63" s="24">
        <v>1</v>
      </c>
      <c r="B63" s="195" t="s">
        <v>315</v>
      </c>
      <c r="C63" s="24">
        <v>43</v>
      </c>
      <c r="D63" s="227" t="s">
        <v>2562</v>
      </c>
      <c r="E63" s="24">
        <v>4302</v>
      </c>
      <c r="F63" s="227" t="s">
        <v>2661</v>
      </c>
      <c r="G63" s="24">
        <v>4302075</v>
      </c>
      <c r="H63" s="227" t="s">
        <v>2662</v>
      </c>
      <c r="I63" s="24">
        <v>4302075</v>
      </c>
      <c r="J63" s="227" t="s">
        <v>2662</v>
      </c>
      <c r="K63" s="24">
        <v>430207500</v>
      </c>
      <c r="L63" s="227" t="s">
        <v>2663</v>
      </c>
      <c r="M63" s="24">
        <v>430207500</v>
      </c>
      <c r="N63" s="227" t="s">
        <v>2663</v>
      </c>
      <c r="O63" s="842">
        <v>25</v>
      </c>
      <c r="P63" s="842"/>
      <c r="Q63" s="842">
        <v>25</v>
      </c>
      <c r="R63" s="842" t="s">
        <v>2664</v>
      </c>
      <c r="S63" s="227" t="s">
        <v>2665</v>
      </c>
      <c r="T63" s="948">
        <f t="shared" si="2"/>
        <v>1</v>
      </c>
      <c r="U63" s="227" t="s">
        <v>2666</v>
      </c>
      <c r="V63" s="227" t="s">
        <v>2667</v>
      </c>
      <c r="W63" s="227" t="s">
        <v>2675</v>
      </c>
      <c r="X63" s="874">
        <v>320000000</v>
      </c>
      <c r="Y63" s="874"/>
      <c r="Z63" s="874"/>
      <c r="AA63" s="874"/>
      <c r="AB63" s="874"/>
      <c r="AC63" s="873" t="s">
        <v>2677</v>
      </c>
      <c r="AD63" s="227" t="s">
        <v>2573</v>
      </c>
      <c r="AE63" s="872" t="s">
        <v>2582</v>
      </c>
      <c r="AF63" s="227" t="s">
        <v>2583</v>
      </c>
      <c r="AG63" s="280">
        <v>230</v>
      </c>
      <c r="AH63" s="280">
        <v>270</v>
      </c>
      <c r="AI63" s="280">
        <v>110</v>
      </c>
      <c r="AJ63" s="280">
        <v>270</v>
      </c>
      <c r="AK63" s="280">
        <v>120</v>
      </c>
      <c r="AL63" s="280"/>
      <c r="AM63" s="872"/>
      <c r="AN63" s="872"/>
      <c r="AO63" s="872"/>
      <c r="AP63" s="872"/>
      <c r="AQ63" s="872"/>
      <c r="AR63" s="872"/>
      <c r="AS63" s="872"/>
      <c r="AT63" s="872"/>
      <c r="AU63" s="872"/>
      <c r="AV63" s="872">
        <v>500</v>
      </c>
      <c r="AW63" s="875">
        <v>45293</v>
      </c>
      <c r="AX63" s="875">
        <v>45657</v>
      </c>
      <c r="AY63" s="872" t="s">
        <v>2576</v>
      </c>
    </row>
    <row r="64" spans="1:51" s="876" customFormat="1" ht="84.95" customHeight="1" x14ac:dyDescent="0.2">
      <c r="A64" s="24">
        <v>1</v>
      </c>
      <c r="B64" s="195" t="s">
        <v>315</v>
      </c>
      <c r="C64" s="24">
        <v>43</v>
      </c>
      <c r="D64" s="227" t="s">
        <v>2562</v>
      </c>
      <c r="E64" s="24">
        <v>4302</v>
      </c>
      <c r="F64" s="227" t="s">
        <v>2661</v>
      </c>
      <c r="G64" s="24">
        <v>4302075</v>
      </c>
      <c r="H64" s="227" t="s">
        <v>2662</v>
      </c>
      <c r="I64" s="24">
        <v>4302075</v>
      </c>
      <c r="J64" s="227" t="s">
        <v>2662</v>
      </c>
      <c r="K64" s="24">
        <v>430207500</v>
      </c>
      <c r="L64" s="227" t="s">
        <v>2663</v>
      </c>
      <c r="M64" s="24">
        <v>430207500</v>
      </c>
      <c r="N64" s="227" t="s">
        <v>2663</v>
      </c>
      <c r="O64" s="842">
        <v>25</v>
      </c>
      <c r="P64" s="842"/>
      <c r="Q64" s="842">
        <v>25</v>
      </c>
      <c r="R64" s="842" t="s">
        <v>2664</v>
      </c>
      <c r="S64" s="227" t="s">
        <v>2665</v>
      </c>
      <c r="T64" s="948">
        <f t="shared" si="2"/>
        <v>1</v>
      </c>
      <c r="U64" s="227" t="s">
        <v>2666</v>
      </c>
      <c r="V64" s="227" t="s">
        <v>2667</v>
      </c>
      <c r="W64" s="227" t="s">
        <v>2675</v>
      </c>
      <c r="X64" s="874">
        <v>87083000</v>
      </c>
      <c r="Y64" s="874"/>
      <c r="Z64" s="874"/>
      <c r="AA64" s="874"/>
      <c r="AB64" s="874"/>
      <c r="AC64" s="873" t="s">
        <v>2678</v>
      </c>
      <c r="AD64" s="227" t="s">
        <v>2573</v>
      </c>
      <c r="AE64" s="872" t="s">
        <v>2585</v>
      </c>
      <c r="AF64" s="227" t="s">
        <v>2586</v>
      </c>
      <c r="AG64" s="280">
        <v>230</v>
      </c>
      <c r="AH64" s="280">
        <v>270</v>
      </c>
      <c r="AI64" s="280">
        <v>110</v>
      </c>
      <c r="AJ64" s="280">
        <v>270</v>
      </c>
      <c r="AK64" s="280">
        <v>120</v>
      </c>
      <c r="AL64" s="280"/>
      <c r="AM64" s="872"/>
      <c r="AN64" s="872"/>
      <c r="AO64" s="872"/>
      <c r="AP64" s="872"/>
      <c r="AQ64" s="872"/>
      <c r="AR64" s="872"/>
      <c r="AS64" s="872"/>
      <c r="AT64" s="872"/>
      <c r="AU64" s="872"/>
      <c r="AV64" s="872">
        <v>500</v>
      </c>
      <c r="AW64" s="875">
        <v>45293</v>
      </c>
      <c r="AX64" s="875">
        <v>45657</v>
      </c>
      <c r="AY64" s="872" t="s">
        <v>2576</v>
      </c>
    </row>
    <row r="65" spans="1:51" s="876" customFormat="1" ht="84.95" customHeight="1" x14ac:dyDescent="0.2">
      <c r="A65" s="24">
        <v>1</v>
      </c>
      <c r="B65" s="195" t="s">
        <v>315</v>
      </c>
      <c r="C65" s="24">
        <v>43</v>
      </c>
      <c r="D65" s="227" t="s">
        <v>2562</v>
      </c>
      <c r="E65" s="24">
        <v>4302</v>
      </c>
      <c r="F65" s="227" t="s">
        <v>2661</v>
      </c>
      <c r="G65" s="24">
        <v>4302075</v>
      </c>
      <c r="H65" s="227" t="s">
        <v>2662</v>
      </c>
      <c r="I65" s="24">
        <v>4302075</v>
      </c>
      <c r="J65" s="227" t="s">
        <v>2662</v>
      </c>
      <c r="K65" s="24">
        <v>430207500</v>
      </c>
      <c r="L65" s="227" t="s">
        <v>2663</v>
      </c>
      <c r="M65" s="24">
        <v>430207500</v>
      </c>
      <c r="N65" s="227" t="s">
        <v>2663</v>
      </c>
      <c r="O65" s="842">
        <v>25</v>
      </c>
      <c r="P65" s="842"/>
      <c r="Q65" s="842">
        <v>25</v>
      </c>
      <c r="R65" s="842" t="s">
        <v>2664</v>
      </c>
      <c r="S65" s="227" t="s">
        <v>2665</v>
      </c>
      <c r="T65" s="948">
        <f t="shared" si="2"/>
        <v>1</v>
      </c>
      <c r="U65" s="227" t="s">
        <v>2666</v>
      </c>
      <c r="V65" s="227" t="s">
        <v>2667</v>
      </c>
      <c r="W65" s="227" t="s">
        <v>2675</v>
      </c>
      <c r="X65" s="874">
        <v>160000000</v>
      </c>
      <c r="Y65" s="874"/>
      <c r="Z65" s="874"/>
      <c r="AA65" s="874"/>
      <c r="AB65" s="874"/>
      <c r="AC65" s="873" t="s">
        <v>2679</v>
      </c>
      <c r="AD65" s="227" t="s">
        <v>2573</v>
      </c>
      <c r="AE65" s="872" t="s">
        <v>2588</v>
      </c>
      <c r="AF65" s="227" t="s">
        <v>2589</v>
      </c>
      <c r="AG65" s="280">
        <v>230</v>
      </c>
      <c r="AH65" s="280">
        <v>270</v>
      </c>
      <c r="AI65" s="280">
        <v>110</v>
      </c>
      <c r="AJ65" s="280">
        <v>270</v>
      </c>
      <c r="AK65" s="280">
        <v>120</v>
      </c>
      <c r="AL65" s="280"/>
      <c r="AM65" s="872"/>
      <c r="AN65" s="872"/>
      <c r="AO65" s="872"/>
      <c r="AP65" s="872"/>
      <c r="AQ65" s="872"/>
      <c r="AR65" s="872"/>
      <c r="AS65" s="872"/>
      <c r="AT65" s="872"/>
      <c r="AU65" s="872"/>
      <c r="AV65" s="872">
        <v>500</v>
      </c>
      <c r="AW65" s="875">
        <v>45293</v>
      </c>
      <c r="AX65" s="875">
        <v>45657</v>
      </c>
      <c r="AY65" s="872" t="s">
        <v>2576</v>
      </c>
    </row>
    <row r="66" spans="1:51" s="876" customFormat="1" ht="84.95" customHeight="1" x14ac:dyDescent="0.2">
      <c r="A66" s="24">
        <v>1</v>
      </c>
      <c r="B66" s="195" t="s">
        <v>315</v>
      </c>
      <c r="C66" s="24">
        <v>43</v>
      </c>
      <c r="D66" s="227" t="s">
        <v>2562</v>
      </c>
      <c r="E66" s="24">
        <v>4302</v>
      </c>
      <c r="F66" s="227" t="s">
        <v>2661</v>
      </c>
      <c r="G66" s="24">
        <v>4302075</v>
      </c>
      <c r="H66" s="227" t="s">
        <v>2662</v>
      </c>
      <c r="I66" s="24">
        <v>4302075</v>
      </c>
      <c r="J66" s="227" t="s">
        <v>2662</v>
      </c>
      <c r="K66" s="24">
        <v>430207500</v>
      </c>
      <c r="L66" s="227" t="s">
        <v>2663</v>
      </c>
      <c r="M66" s="24">
        <v>430207500</v>
      </c>
      <c r="N66" s="227" t="s">
        <v>2663</v>
      </c>
      <c r="O66" s="842">
        <v>25</v>
      </c>
      <c r="P66" s="842"/>
      <c r="Q66" s="842">
        <v>25</v>
      </c>
      <c r="R66" s="842" t="s">
        <v>2664</v>
      </c>
      <c r="S66" s="227" t="s">
        <v>2665</v>
      </c>
      <c r="T66" s="948">
        <f t="shared" si="2"/>
        <v>1</v>
      </c>
      <c r="U66" s="227" t="s">
        <v>2666</v>
      </c>
      <c r="V66" s="227" t="s">
        <v>2667</v>
      </c>
      <c r="W66" s="227" t="s">
        <v>2680</v>
      </c>
      <c r="X66" s="874">
        <v>100000000</v>
      </c>
      <c r="Y66" s="874"/>
      <c r="Z66" s="874"/>
      <c r="AA66" s="874"/>
      <c r="AB66" s="874"/>
      <c r="AC66" s="873" t="s">
        <v>2681</v>
      </c>
      <c r="AD66" s="227" t="s">
        <v>2573</v>
      </c>
      <c r="AE66" s="872" t="s">
        <v>2582</v>
      </c>
      <c r="AF66" s="227" t="s">
        <v>2583</v>
      </c>
      <c r="AG66" s="280">
        <v>230</v>
      </c>
      <c r="AH66" s="280">
        <v>270</v>
      </c>
      <c r="AI66" s="280">
        <v>110</v>
      </c>
      <c r="AJ66" s="280">
        <v>270</v>
      </c>
      <c r="AK66" s="280">
        <v>120</v>
      </c>
      <c r="AL66" s="280"/>
      <c r="AM66" s="872"/>
      <c r="AN66" s="872"/>
      <c r="AO66" s="872"/>
      <c r="AP66" s="872"/>
      <c r="AQ66" s="872"/>
      <c r="AR66" s="872"/>
      <c r="AS66" s="872"/>
      <c r="AT66" s="872"/>
      <c r="AU66" s="872"/>
      <c r="AV66" s="872">
        <v>500</v>
      </c>
      <c r="AW66" s="875">
        <v>45293</v>
      </c>
      <c r="AX66" s="875">
        <v>45657</v>
      </c>
      <c r="AY66" s="872" t="s">
        <v>2576</v>
      </c>
    </row>
    <row r="67" spans="1:51" s="876" customFormat="1" ht="84.95" customHeight="1" x14ac:dyDescent="0.2">
      <c r="A67" s="24">
        <v>1</v>
      </c>
      <c r="B67" s="195" t="s">
        <v>315</v>
      </c>
      <c r="C67" s="24">
        <v>43</v>
      </c>
      <c r="D67" s="227" t="s">
        <v>2562</v>
      </c>
      <c r="E67" s="24">
        <v>4302</v>
      </c>
      <c r="F67" s="227" t="s">
        <v>2661</v>
      </c>
      <c r="G67" s="24">
        <v>4302075</v>
      </c>
      <c r="H67" s="227" t="s">
        <v>2662</v>
      </c>
      <c r="I67" s="24">
        <v>4302075</v>
      </c>
      <c r="J67" s="227" t="s">
        <v>2662</v>
      </c>
      <c r="K67" s="24">
        <v>430207500</v>
      </c>
      <c r="L67" s="227" t="s">
        <v>2663</v>
      </c>
      <c r="M67" s="24">
        <v>430207500</v>
      </c>
      <c r="N67" s="227" t="s">
        <v>2663</v>
      </c>
      <c r="O67" s="842">
        <v>25</v>
      </c>
      <c r="P67" s="842"/>
      <c r="Q67" s="842">
        <v>25</v>
      </c>
      <c r="R67" s="842" t="s">
        <v>2664</v>
      </c>
      <c r="S67" s="227" t="s">
        <v>2665</v>
      </c>
      <c r="T67" s="948">
        <f t="shared" si="2"/>
        <v>1</v>
      </c>
      <c r="U67" s="227" t="s">
        <v>2666</v>
      </c>
      <c r="V67" s="227" t="s">
        <v>2667</v>
      </c>
      <c r="W67" s="227" t="s">
        <v>2680</v>
      </c>
      <c r="X67" s="874">
        <v>100000000</v>
      </c>
      <c r="Y67" s="874"/>
      <c r="Z67" s="874"/>
      <c r="AA67" s="874"/>
      <c r="AB67" s="874"/>
      <c r="AC67" s="873" t="s">
        <v>2682</v>
      </c>
      <c r="AD67" s="227" t="s">
        <v>2573</v>
      </c>
      <c r="AE67" s="872" t="s">
        <v>2588</v>
      </c>
      <c r="AF67" s="227" t="s">
        <v>2589</v>
      </c>
      <c r="AG67" s="280">
        <v>230</v>
      </c>
      <c r="AH67" s="280">
        <v>270</v>
      </c>
      <c r="AI67" s="280">
        <v>110</v>
      </c>
      <c r="AJ67" s="280">
        <v>270</v>
      </c>
      <c r="AK67" s="280">
        <v>120</v>
      </c>
      <c r="AL67" s="280"/>
      <c r="AM67" s="872"/>
      <c r="AN67" s="872"/>
      <c r="AO67" s="872"/>
      <c r="AP67" s="872"/>
      <c r="AQ67" s="872"/>
      <c r="AR67" s="872"/>
      <c r="AS67" s="872"/>
      <c r="AT67" s="872"/>
      <c r="AU67" s="872"/>
      <c r="AV67" s="872">
        <v>500</v>
      </c>
      <c r="AW67" s="875">
        <v>45293</v>
      </c>
      <c r="AX67" s="875">
        <v>45657</v>
      </c>
      <c r="AY67" s="872" t="s">
        <v>2576</v>
      </c>
    </row>
    <row r="68" spans="1:51" s="876" customFormat="1" ht="84.95" customHeight="1" x14ac:dyDescent="0.2">
      <c r="A68" s="24">
        <v>1</v>
      </c>
      <c r="B68" s="195" t="s">
        <v>315</v>
      </c>
      <c r="C68" s="24">
        <v>43</v>
      </c>
      <c r="D68" s="227" t="s">
        <v>2562</v>
      </c>
      <c r="E68" s="24">
        <v>4302</v>
      </c>
      <c r="F68" s="227" t="s">
        <v>2661</v>
      </c>
      <c r="G68" s="24">
        <v>4302075</v>
      </c>
      <c r="H68" s="227" t="s">
        <v>2662</v>
      </c>
      <c r="I68" s="24">
        <v>4302075</v>
      </c>
      <c r="J68" s="227" t="s">
        <v>2662</v>
      </c>
      <c r="K68" s="24">
        <v>430207500</v>
      </c>
      <c r="L68" s="227" t="s">
        <v>2663</v>
      </c>
      <c r="M68" s="24">
        <v>430207500</v>
      </c>
      <c r="N68" s="227" t="s">
        <v>2663</v>
      </c>
      <c r="O68" s="842">
        <v>25</v>
      </c>
      <c r="P68" s="842"/>
      <c r="Q68" s="842">
        <v>25</v>
      </c>
      <c r="R68" s="842" t="s">
        <v>2664</v>
      </c>
      <c r="S68" s="227" t="s">
        <v>2665</v>
      </c>
      <c r="T68" s="948">
        <f t="shared" si="2"/>
        <v>1</v>
      </c>
      <c r="U68" s="227" t="s">
        <v>2666</v>
      </c>
      <c r="V68" s="227" t="s">
        <v>2667</v>
      </c>
      <c r="W68" s="227" t="s">
        <v>2683</v>
      </c>
      <c r="X68" s="874">
        <v>14000000</v>
      </c>
      <c r="Y68" s="874"/>
      <c r="Z68" s="874"/>
      <c r="AA68" s="874"/>
      <c r="AB68" s="874"/>
      <c r="AC68" s="873" t="s">
        <v>2684</v>
      </c>
      <c r="AD68" s="227" t="s">
        <v>2612</v>
      </c>
      <c r="AE68" s="872" t="s">
        <v>2579</v>
      </c>
      <c r="AF68" s="227" t="s">
        <v>2580</v>
      </c>
      <c r="AG68" s="280">
        <v>230</v>
      </c>
      <c r="AH68" s="280">
        <v>270</v>
      </c>
      <c r="AI68" s="280">
        <v>110</v>
      </c>
      <c r="AJ68" s="280">
        <v>270</v>
      </c>
      <c r="AK68" s="280">
        <v>120</v>
      </c>
      <c r="AL68" s="280"/>
      <c r="AM68" s="872"/>
      <c r="AN68" s="872"/>
      <c r="AO68" s="872"/>
      <c r="AP68" s="872"/>
      <c r="AQ68" s="872"/>
      <c r="AR68" s="872"/>
      <c r="AS68" s="872"/>
      <c r="AT68" s="872"/>
      <c r="AU68" s="872"/>
      <c r="AV68" s="872">
        <v>500</v>
      </c>
      <c r="AW68" s="875">
        <v>45293</v>
      </c>
      <c r="AX68" s="875">
        <v>45657</v>
      </c>
      <c r="AY68" s="872" t="s">
        <v>2576</v>
      </c>
    </row>
    <row r="69" spans="1:51" s="876" customFormat="1" ht="84.95" customHeight="1" x14ac:dyDescent="0.2">
      <c r="A69" s="24">
        <v>1</v>
      </c>
      <c r="B69" s="195" t="s">
        <v>315</v>
      </c>
      <c r="C69" s="24">
        <v>43</v>
      </c>
      <c r="D69" s="227" t="s">
        <v>2562</v>
      </c>
      <c r="E69" s="24">
        <v>4302</v>
      </c>
      <c r="F69" s="227" t="s">
        <v>2661</v>
      </c>
      <c r="G69" s="24">
        <v>4302075</v>
      </c>
      <c r="H69" s="227" t="s">
        <v>2662</v>
      </c>
      <c r="I69" s="24">
        <v>4302075</v>
      </c>
      <c r="J69" s="227" t="s">
        <v>2662</v>
      </c>
      <c r="K69" s="24">
        <v>430207500</v>
      </c>
      <c r="L69" s="227" t="s">
        <v>2663</v>
      </c>
      <c r="M69" s="24">
        <v>430207500</v>
      </c>
      <c r="N69" s="227" t="s">
        <v>2663</v>
      </c>
      <c r="O69" s="842">
        <v>25</v>
      </c>
      <c r="P69" s="842"/>
      <c r="Q69" s="842">
        <v>25</v>
      </c>
      <c r="R69" s="842" t="s">
        <v>2664</v>
      </c>
      <c r="S69" s="227" t="s">
        <v>2665</v>
      </c>
      <c r="T69" s="948">
        <f t="shared" si="2"/>
        <v>1</v>
      </c>
      <c r="U69" s="227" t="s">
        <v>2666</v>
      </c>
      <c r="V69" s="227" t="s">
        <v>2667</v>
      </c>
      <c r="W69" s="227" t="s">
        <v>2683</v>
      </c>
      <c r="X69" s="874">
        <v>30000000</v>
      </c>
      <c r="Y69" s="874"/>
      <c r="Z69" s="874"/>
      <c r="AA69" s="874"/>
      <c r="AB69" s="874"/>
      <c r="AC69" s="873" t="s">
        <v>2685</v>
      </c>
      <c r="AD69" s="227" t="s">
        <v>2616</v>
      </c>
      <c r="AE69" s="872" t="s">
        <v>2579</v>
      </c>
      <c r="AF69" s="227" t="s">
        <v>2580</v>
      </c>
      <c r="AG69" s="280">
        <v>230</v>
      </c>
      <c r="AH69" s="280">
        <v>270</v>
      </c>
      <c r="AI69" s="280">
        <v>110</v>
      </c>
      <c r="AJ69" s="280">
        <v>270</v>
      </c>
      <c r="AK69" s="280">
        <v>120</v>
      </c>
      <c r="AL69" s="280"/>
      <c r="AM69" s="872"/>
      <c r="AN69" s="872"/>
      <c r="AO69" s="872"/>
      <c r="AP69" s="872"/>
      <c r="AQ69" s="872"/>
      <c r="AR69" s="872"/>
      <c r="AS69" s="872"/>
      <c r="AT69" s="872"/>
      <c r="AU69" s="872"/>
      <c r="AV69" s="872">
        <v>500</v>
      </c>
      <c r="AW69" s="875">
        <v>45293</v>
      </c>
      <c r="AX69" s="875">
        <v>45657</v>
      </c>
      <c r="AY69" s="872" t="s">
        <v>2576</v>
      </c>
    </row>
    <row r="70" spans="1:51" s="876" customFormat="1" ht="84.95" customHeight="1" x14ac:dyDescent="0.2">
      <c r="A70" s="24">
        <v>1</v>
      </c>
      <c r="B70" s="195" t="s">
        <v>315</v>
      </c>
      <c r="C70" s="24">
        <v>43</v>
      </c>
      <c r="D70" s="227" t="s">
        <v>2562</v>
      </c>
      <c r="E70" s="24">
        <v>4302</v>
      </c>
      <c r="F70" s="227" t="s">
        <v>2661</v>
      </c>
      <c r="G70" s="24">
        <v>4302075</v>
      </c>
      <c r="H70" s="227" t="s">
        <v>2662</v>
      </c>
      <c r="I70" s="24">
        <v>4302075</v>
      </c>
      <c r="J70" s="227" t="s">
        <v>2662</v>
      </c>
      <c r="K70" s="24">
        <v>430207500</v>
      </c>
      <c r="L70" s="227" t="s">
        <v>2663</v>
      </c>
      <c r="M70" s="24">
        <v>430207500</v>
      </c>
      <c r="N70" s="227" t="s">
        <v>2663</v>
      </c>
      <c r="O70" s="842">
        <v>25</v>
      </c>
      <c r="P70" s="842"/>
      <c r="Q70" s="842">
        <v>25</v>
      </c>
      <c r="R70" s="842" t="s">
        <v>2664</v>
      </c>
      <c r="S70" s="227" t="s">
        <v>2665</v>
      </c>
      <c r="T70" s="948">
        <f t="shared" si="2"/>
        <v>1</v>
      </c>
      <c r="U70" s="227" t="s">
        <v>2666</v>
      </c>
      <c r="V70" s="227" t="s">
        <v>2667</v>
      </c>
      <c r="W70" s="227" t="s">
        <v>2683</v>
      </c>
      <c r="X70" s="874">
        <v>15000000</v>
      </c>
      <c r="Y70" s="874"/>
      <c r="Z70" s="874"/>
      <c r="AA70" s="874"/>
      <c r="AB70" s="874"/>
      <c r="AC70" s="873" t="s">
        <v>2686</v>
      </c>
      <c r="AD70" s="227" t="s">
        <v>2618</v>
      </c>
      <c r="AE70" s="872" t="s">
        <v>2579</v>
      </c>
      <c r="AF70" s="227" t="s">
        <v>2580</v>
      </c>
      <c r="AG70" s="280">
        <v>230</v>
      </c>
      <c r="AH70" s="280">
        <v>270</v>
      </c>
      <c r="AI70" s="280">
        <v>110</v>
      </c>
      <c r="AJ70" s="280">
        <v>270</v>
      </c>
      <c r="AK70" s="280">
        <v>120</v>
      </c>
      <c r="AL70" s="280"/>
      <c r="AM70" s="872"/>
      <c r="AN70" s="872"/>
      <c r="AO70" s="872"/>
      <c r="AP70" s="872"/>
      <c r="AQ70" s="872"/>
      <c r="AR70" s="872"/>
      <c r="AS70" s="872"/>
      <c r="AT70" s="872"/>
      <c r="AU70" s="872"/>
      <c r="AV70" s="872">
        <v>500</v>
      </c>
      <c r="AW70" s="875">
        <v>45293</v>
      </c>
      <c r="AX70" s="875">
        <v>45657</v>
      </c>
      <c r="AY70" s="872" t="s">
        <v>2576</v>
      </c>
    </row>
    <row r="71" spans="1:51" s="876" customFormat="1" ht="84.95" customHeight="1" x14ac:dyDescent="0.2">
      <c r="A71" s="24">
        <v>1</v>
      </c>
      <c r="B71" s="195" t="s">
        <v>315</v>
      </c>
      <c r="C71" s="24">
        <v>43</v>
      </c>
      <c r="D71" s="227" t="s">
        <v>2562</v>
      </c>
      <c r="E71" s="24">
        <v>4302</v>
      </c>
      <c r="F71" s="227" t="s">
        <v>2661</v>
      </c>
      <c r="G71" s="24">
        <v>4302075</v>
      </c>
      <c r="H71" s="227" t="s">
        <v>2662</v>
      </c>
      <c r="I71" s="24">
        <v>4302075</v>
      </c>
      <c r="J71" s="227" t="s">
        <v>2662</v>
      </c>
      <c r="K71" s="24">
        <v>430207500</v>
      </c>
      <c r="L71" s="227" t="s">
        <v>2663</v>
      </c>
      <c r="M71" s="24">
        <v>430207500</v>
      </c>
      <c r="N71" s="227" t="s">
        <v>2663</v>
      </c>
      <c r="O71" s="842">
        <v>25</v>
      </c>
      <c r="P71" s="842"/>
      <c r="Q71" s="842">
        <v>25</v>
      </c>
      <c r="R71" s="842" t="s">
        <v>2664</v>
      </c>
      <c r="S71" s="227" t="s">
        <v>2665</v>
      </c>
      <c r="T71" s="948">
        <f t="shared" si="2"/>
        <v>1</v>
      </c>
      <c r="U71" s="227" t="s">
        <v>2666</v>
      </c>
      <c r="V71" s="227" t="s">
        <v>2667</v>
      </c>
      <c r="W71" s="227" t="s">
        <v>2683</v>
      </c>
      <c r="X71" s="874">
        <v>30000000</v>
      </c>
      <c r="Y71" s="874"/>
      <c r="Z71" s="874"/>
      <c r="AA71" s="874"/>
      <c r="AB71" s="874"/>
      <c r="AC71" s="873" t="s">
        <v>2687</v>
      </c>
      <c r="AD71" s="227" t="s">
        <v>2573</v>
      </c>
      <c r="AE71" s="872" t="s">
        <v>2579</v>
      </c>
      <c r="AF71" s="227" t="s">
        <v>2580</v>
      </c>
      <c r="AG71" s="280">
        <v>230</v>
      </c>
      <c r="AH71" s="280">
        <v>270</v>
      </c>
      <c r="AI71" s="280">
        <v>110</v>
      </c>
      <c r="AJ71" s="280">
        <v>270</v>
      </c>
      <c r="AK71" s="280">
        <v>120</v>
      </c>
      <c r="AL71" s="280"/>
      <c r="AM71" s="872"/>
      <c r="AN71" s="872"/>
      <c r="AO71" s="872"/>
      <c r="AP71" s="872"/>
      <c r="AQ71" s="872"/>
      <c r="AR71" s="872"/>
      <c r="AS71" s="872"/>
      <c r="AT71" s="872"/>
      <c r="AU71" s="872"/>
      <c r="AV71" s="872">
        <v>500</v>
      </c>
      <c r="AW71" s="875">
        <v>45293</v>
      </c>
      <c r="AX71" s="875">
        <v>45657</v>
      </c>
      <c r="AY71" s="872" t="s">
        <v>2576</v>
      </c>
    </row>
    <row r="72" spans="1:51" s="876" customFormat="1" ht="84.95" customHeight="1" x14ac:dyDescent="0.2">
      <c r="A72" s="24">
        <v>1</v>
      </c>
      <c r="B72" s="195" t="s">
        <v>315</v>
      </c>
      <c r="C72" s="24">
        <v>43</v>
      </c>
      <c r="D72" s="227" t="s">
        <v>2562</v>
      </c>
      <c r="E72" s="24">
        <v>4302</v>
      </c>
      <c r="F72" s="227" t="s">
        <v>2661</v>
      </c>
      <c r="G72" s="24">
        <v>4302075</v>
      </c>
      <c r="H72" s="227" t="s">
        <v>2662</v>
      </c>
      <c r="I72" s="24">
        <v>4302075</v>
      </c>
      <c r="J72" s="227" t="s">
        <v>2662</v>
      </c>
      <c r="K72" s="24">
        <v>430207500</v>
      </c>
      <c r="L72" s="227" t="s">
        <v>2663</v>
      </c>
      <c r="M72" s="24">
        <v>430207500</v>
      </c>
      <c r="N72" s="227" t="s">
        <v>2663</v>
      </c>
      <c r="O72" s="842">
        <v>25</v>
      </c>
      <c r="P72" s="842"/>
      <c r="Q72" s="842">
        <v>25</v>
      </c>
      <c r="R72" s="842" t="s">
        <v>2664</v>
      </c>
      <c r="S72" s="227" t="s">
        <v>2665</v>
      </c>
      <c r="T72" s="948">
        <f t="shared" si="2"/>
        <v>1</v>
      </c>
      <c r="U72" s="227" t="s">
        <v>2666</v>
      </c>
      <c r="V72" s="227" t="s">
        <v>2667</v>
      </c>
      <c r="W72" s="227" t="s">
        <v>2683</v>
      </c>
      <c r="X72" s="874">
        <v>100000000</v>
      </c>
      <c r="Y72" s="874"/>
      <c r="Z72" s="874"/>
      <c r="AA72" s="874"/>
      <c r="AB72" s="874"/>
      <c r="AC72" s="873" t="s">
        <v>2688</v>
      </c>
      <c r="AD72" s="227" t="s">
        <v>2689</v>
      </c>
      <c r="AE72" s="872" t="s">
        <v>2579</v>
      </c>
      <c r="AF72" s="227" t="s">
        <v>2580</v>
      </c>
      <c r="AG72" s="280">
        <v>230</v>
      </c>
      <c r="AH72" s="280">
        <v>270</v>
      </c>
      <c r="AI72" s="280">
        <v>110</v>
      </c>
      <c r="AJ72" s="280">
        <v>270</v>
      </c>
      <c r="AK72" s="280">
        <v>120</v>
      </c>
      <c r="AL72" s="280"/>
      <c r="AM72" s="872"/>
      <c r="AN72" s="872"/>
      <c r="AO72" s="872"/>
      <c r="AP72" s="872"/>
      <c r="AQ72" s="872"/>
      <c r="AR72" s="872"/>
      <c r="AS72" s="872"/>
      <c r="AT72" s="872"/>
      <c r="AU72" s="872"/>
      <c r="AV72" s="872">
        <v>500</v>
      </c>
      <c r="AW72" s="875">
        <v>45293</v>
      </c>
      <c r="AX72" s="875">
        <v>45657</v>
      </c>
      <c r="AY72" s="872" t="s">
        <v>2576</v>
      </c>
    </row>
    <row r="73" spans="1:51" s="876" customFormat="1" ht="102" customHeight="1" x14ac:dyDescent="0.2">
      <c r="A73" s="24">
        <v>1</v>
      </c>
      <c r="B73" s="195" t="s">
        <v>315</v>
      </c>
      <c r="C73" s="24">
        <v>43</v>
      </c>
      <c r="D73" s="227" t="s">
        <v>2562</v>
      </c>
      <c r="E73" s="24">
        <v>4302</v>
      </c>
      <c r="F73" s="227" t="s">
        <v>2661</v>
      </c>
      <c r="G73" s="24">
        <v>4302075</v>
      </c>
      <c r="H73" s="227" t="s">
        <v>2662</v>
      </c>
      <c r="I73" s="24">
        <v>4302075</v>
      </c>
      <c r="J73" s="227" t="s">
        <v>2662</v>
      </c>
      <c r="K73" s="24">
        <v>430207500</v>
      </c>
      <c r="L73" s="227" t="s">
        <v>2663</v>
      </c>
      <c r="M73" s="24">
        <v>430207500</v>
      </c>
      <c r="N73" s="227" t="s">
        <v>2663</v>
      </c>
      <c r="O73" s="842">
        <v>25</v>
      </c>
      <c r="P73" s="842"/>
      <c r="Q73" s="842">
        <v>25</v>
      </c>
      <c r="R73" s="842" t="s">
        <v>2664</v>
      </c>
      <c r="S73" s="227" t="s">
        <v>2665</v>
      </c>
      <c r="T73" s="948">
        <f t="shared" si="2"/>
        <v>1</v>
      </c>
      <c r="U73" s="227" t="s">
        <v>2666</v>
      </c>
      <c r="V73" s="227" t="s">
        <v>2667</v>
      </c>
      <c r="W73" s="227" t="s">
        <v>2683</v>
      </c>
      <c r="X73" s="874">
        <v>2200000</v>
      </c>
      <c r="Y73" s="874"/>
      <c r="Z73" s="874"/>
      <c r="AA73" s="874"/>
      <c r="AB73" s="874"/>
      <c r="AC73" s="873" t="s">
        <v>2690</v>
      </c>
      <c r="AD73" s="227" t="s">
        <v>2602</v>
      </c>
      <c r="AE73" s="872" t="s">
        <v>2579</v>
      </c>
      <c r="AF73" s="227" t="s">
        <v>2580</v>
      </c>
      <c r="AG73" s="280">
        <v>230</v>
      </c>
      <c r="AH73" s="280">
        <v>270</v>
      </c>
      <c r="AI73" s="280">
        <v>110</v>
      </c>
      <c r="AJ73" s="280">
        <v>270</v>
      </c>
      <c r="AK73" s="280">
        <v>120</v>
      </c>
      <c r="AL73" s="280"/>
      <c r="AM73" s="872"/>
      <c r="AN73" s="872"/>
      <c r="AO73" s="872"/>
      <c r="AP73" s="872"/>
      <c r="AQ73" s="872"/>
      <c r="AR73" s="872"/>
      <c r="AS73" s="872"/>
      <c r="AT73" s="872"/>
      <c r="AU73" s="872"/>
      <c r="AV73" s="872">
        <v>500</v>
      </c>
      <c r="AW73" s="875">
        <v>45293</v>
      </c>
      <c r="AX73" s="875">
        <v>45657</v>
      </c>
      <c r="AY73" s="872" t="s">
        <v>2576</v>
      </c>
    </row>
    <row r="74" spans="1:51" s="876" customFormat="1" ht="84.95" customHeight="1" x14ac:dyDescent="0.2">
      <c r="A74" s="24">
        <v>1</v>
      </c>
      <c r="B74" s="195" t="s">
        <v>315</v>
      </c>
      <c r="C74" s="24">
        <v>43</v>
      </c>
      <c r="D74" s="227" t="s">
        <v>2562</v>
      </c>
      <c r="E74" s="24">
        <v>4302</v>
      </c>
      <c r="F74" s="227" t="s">
        <v>2661</v>
      </c>
      <c r="G74" s="24">
        <v>4302075</v>
      </c>
      <c r="H74" s="227" t="s">
        <v>2662</v>
      </c>
      <c r="I74" s="24">
        <v>4302075</v>
      </c>
      <c r="J74" s="227" t="s">
        <v>2662</v>
      </c>
      <c r="K74" s="24">
        <v>430207500</v>
      </c>
      <c r="L74" s="227" t="s">
        <v>2663</v>
      </c>
      <c r="M74" s="24">
        <v>430207500</v>
      </c>
      <c r="N74" s="227" t="s">
        <v>2663</v>
      </c>
      <c r="O74" s="842">
        <v>25</v>
      </c>
      <c r="P74" s="842"/>
      <c r="Q74" s="842">
        <v>25</v>
      </c>
      <c r="R74" s="842" t="s">
        <v>2664</v>
      </c>
      <c r="S74" s="227" t="s">
        <v>2665</v>
      </c>
      <c r="T74" s="948">
        <f t="shared" si="2"/>
        <v>1</v>
      </c>
      <c r="U74" s="227" t="s">
        <v>2666</v>
      </c>
      <c r="V74" s="227" t="s">
        <v>2667</v>
      </c>
      <c r="W74" s="227" t="s">
        <v>2683</v>
      </c>
      <c r="X74" s="874">
        <v>10000000</v>
      </c>
      <c r="Y74" s="874"/>
      <c r="Z74" s="874"/>
      <c r="AA74" s="874"/>
      <c r="AB74" s="874"/>
      <c r="AC74" s="873" t="s">
        <v>2691</v>
      </c>
      <c r="AD74" s="227" t="s">
        <v>2602</v>
      </c>
      <c r="AE74" s="872" t="s">
        <v>2588</v>
      </c>
      <c r="AF74" s="227" t="s">
        <v>2589</v>
      </c>
      <c r="AG74" s="280">
        <v>230</v>
      </c>
      <c r="AH74" s="280">
        <v>270</v>
      </c>
      <c r="AI74" s="280">
        <v>110</v>
      </c>
      <c r="AJ74" s="280">
        <v>270</v>
      </c>
      <c r="AK74" s="280">
        <v>120</v>
      </c>
      <c r="AL74" s="280"/>
      <c r="AM74" s="872"/>
      <c r="AN74" s="872"/>
      <c r="AO74" s="872"/>
      <c r="AP74" s="872"/>
      <c r="AQ74" s="872"/>
      <c r="AR74" s="872"/>
      <c r="AS74" s="872"/>
      <c r="AT74" s="872"/>
      <c r="AU74" s="872"/>
      <c r="AV74" s="872">
        <v>500</v>
      </c>
      <c r="AW74" s="875">
        <v>45293</v>
      </c>
      <c r="AX74" s="875">
        <v>45657</v>
      </c>
      <c r="AY74" s="872" t="s">
        <v>2576</v>
      </c>
    </row>
    <row r="75" spans="1:51" s="876" customFormat="1" ht="84.95" customHeight="1" x14ac:dyDescent="0.2">
      <c r="A75" s="24">
        <v>1</v>
      </c>
      <c r="B75" s="195" t="s">
        <v>315</v>
      </c>
      <c r="C75" s="24">
        <v>43</v>
      </c>
      <c r="D75" s="227" t="s">
        <v>2562</v>
      </c>
      <c r="E75" s="24">
        <v>4302</v>
      </c>
      <c r="F75" s="227" t="s">
        <v>2661</v>
      </c>
      <c r="G75" s="24">
        <v>4302075</v>
      </c>
      <c r="H75" s="227" t="s">
        <v>2662</v>
      </c>
      <c r="I75" s="24">
        <v>4302075</v>
      </c>
      <c r="J75" s="227" t="s">
        <v>2662</v>
      </c>
      <c r="K75" s="24">
        <v>430207500</v>
      </c>
      <c r="L75" s="227" t="s">
        <v>2663</v>
      </c>
      <c r="M75" s="24">
        <v>430207500</v>
      </c>
      <c r="N75" s="227" t="s">
        <v>2663</v>
      </c>
      <c r="O75" s="842">
        <v>25</v>
      </c>
      <c r="P75" s="842"/>
      <c r="Q75" s="842">
        <v>25</v>
      </c>
      <c r="R75" s="842" t="s">
        <v>2664</v>
      </c>
      <c r="S75" s="227" t="s">
        <v>2665</v>
      </c>
      <c r="T75" s="948">
        <f t="shared" si="2"/>
        <v>1</v>
      </c>
      <c r="U75" s="227" t="s">
        <v>2666</v>
      </c>
      <c r="V75" s="227" t="s">
        <v>2667</v>
      </c>
      <c r="W75" s="227" t="s">
        <v>2683</v>
      </c>
      <c r="X75" s="874">
        <v>60126000</v>
      </c>
      <c r="Y75" s="874"/>
      <c r="Z75" s="874"/>
      <c r="AA75" s="874"/>
      <c r="AB75" s="874"/>
      <c r="AC75" s="873" t="s">
        <v>2692</v>
      </c>
      <c r="AD75" s="227" t="s">
        <v>2598</v>
      </c>
      <c r="AE75" s="872" t="s">
        <v>2579</v>
      </c>
      <c r="AF75" s="227" t="s">
        <v>2580</v>
      </c>
      <c r="AG75" s="280">
        <v>230</v>
      </c>
      <c r="AH75" s="280">
        <v>270</v>
      </c>
      <c r="AI75" s="280">
        <v>110</v>
      </c>
      <c r="AJ75" s="280">
        <v>270</v>
      </c>
      <c r="AK75" s="280">
        <v>120</v>
      </c>
      <c r="AL75" s="280"/>
      <c r="AM75" s="872"/>
      <c r="AN75" s="872"/>
      <c r="AO75" s="872"/>
      <c r="AP75" s="872"/>
      <c r="AQ75" s="872"/>
      <c r="AR75" s="872"/>
      <c r="AS75" s="872"/>
      <c r="AT75" s="872"/>
      <c r="AU75" s="872"/>
      <c r="AV75" s="872">
        <v>500</v>
      </c>
      <c r="AW75" s="875">
        <v>45293</v>
      </c>
      <c r="AX75" s="875">
        <v>45657</v>
      </c>
      <c r="AY75" s="872" t="s">
        <v>2576</v>
      </c>
    </row>
    <row r="76" spans="1:51" s="876" customFormat="1" ht="84.95" customHeight="1" x14ac:dyDescent="0.2">
      <c r="A76" s="24">
        <v>1</v>
      </c>
      <c r="B76" s="195" t="s">
        <v>315</v>
      </c>
      <c r="C76" s="24">
        <v>43</v>
      </c>
      <c r="D76" s="227" t="s">
        <v>2562</v>
      </c>
      <c r="E76" s="24">
        <v>4302</v>
      </c>
      <c r="F76" s="227" t="s">
        <v>2661</v>
      </c>
      <c r="G76" s="24">
        <v>4302075</v>
      </c>
      <c r="H76" s="227" t="s">
        <v>2662</v>
      </c>
      <c r="I76" s="24">
        <v>4302075</v>
      </c>
      <c r="J76" s="227" t="s">
        <v>2662</v>
      </c>
      <c r="K76" s="24">
        <v>430207500</v>
      </c>
      <c r="L76" s="227" t="s">
        <v>2663</v>
      </c>
      <c r="M76" s="24">
        <v>430207500</v>
      </c>
      <c r="N76" s="227" t="s">
        <v>2663</v>
      </c>
      <c r="O76" s="842">
        <v>25</v>
      </c>
      <c r="P76" s="842"/>
      <c r="Q76" s="842">
        <v>25</v>
      </c>
      <c r="R76" s="842" t="s">
        <v>2664</v>
      </c>
      <c r="S76" s="227" t="s">
        <v>2665</v>
      </c>
      <c r="T76" s="948">
        <f t="shared" si="2"/>
        <v>1</v>
      </c>
      <c r="U76" s="227" t="s">
        <v>2666</v>
      </c>
      <c r="V76" s="227" t="s">
        <v>2667</v>
      </c>
      <c r="W76" s="227" t="s">
        <v>2683</v>
      </c>
      <c r="X76" s="874">
        <v>148464416</v>
      </c>
      <c r="Y76" s="874"/>
      <c r="Z76" s="874"/>
      <c r="AA76" s="874"/>
      <c r="AB76" s="874"/>
      <c r="AC76" s="873" t="s">
        <v>2693</v>
      </c>
      <c r="AD76" s="227" t="s">
        <v>2598</v>
      </c>
      <c r="AE76" s="872" t="s">
        <v>2588</v>
      </c>
      <c r="AF76" s="227" t="s">
        <v>2589</v>
      </c>
      <c r="AG76" s="280">
        <v>230</v>
      </c>
      <c r="AH76" s="280">
        <v>270</v>
      </c>
      <c r="AI76" s="280">
        <v>110</v>
      </c>
      <c r="AJ76" s="280">
        <v>270</v>
      </c>
      <c r="AK76" s="280">
        <v>120</v>
      </c>
      <c r="AL76" s="280"/>
      <c r="AM76" s="872"/>
      <c r="AN76" s="872"/>
      <c r="AO76" s="872"/>
      <c r="AP76" s="872"/>
      <c r="AQ76" s="872"/>
      <c r="AR76" s="872"/>
      <c r="AS76" s="872"/>
      <c r="AT76" s="872"/>
      <c r="AU76" s="872"/>
      <c r="AV76" s="872">
        <v>500</v>
      </c>
      <c r="AW76" s="875">
        <v>45293</v>
      </c>
      <c r="AX76" s="875">
        <v>45657</v>
      </c>
      <c r="AY76" s="872" t="s">
        <v>2576</v>
      </c>
    </row>
    <row r="77" spans="1:51" s="876" customFormat="1" ht="84.95" customHeight="1" x14ac:dyDescent="0.2">
      <c r="A77" s="24">
        <v>1</v>
      </c>
      <c r="B77" s="195" t="s">
        <v>315</v>
      </c>
      <c r="C77" s="24">
        <v>43</v>
      </c>
      <c r="D77" s="227" t="s">
        <v>2562</v>
      </c>
      <c r="E77" s="24">
        <v>4302</v>
      </c>
      <c r="F77" s="227" t="s">
        <v>2661</v>
      </c>
      <c r="G77" s="24">
        <v>4302075</v>
      </c>
      <c r="H77" s="227" t="s">
        <v>2662</v>
      </c>
      <c r="I77" s="24">
        <v>4302075</v>
      </c>
      <c r="J77" s="227" t="s">
        <v>2662</v>
      </c>
      <c r="K77" s="24">
        <v>430207500</v>
      </c>
      <c r="L77" s="227" t="s">
        <v>2663</v>
      </c>
      <c r="M77" s="24">
        <v>430207500</v>
      </c>
      <c r="N77" s="227" t="s">
        <v>2663</v>
      </c>
      <c r="O77" s="842">
        <v>25</v>
      </c>
      <c r="P77" s="842"/>
      <c r="Q77" s="842">
        <v>25</v>
      </c>
      <c r="R77" s="842" t="s">
        <v>2664</v>
      </c>
      <c r="S77" s="227" t="s">
        <v>2665</v>
      </c>
      <c r="T77" s="948">
        <f t="shared" si="2"/>
        <v>1</v>
      </c>
      <c r="U77" s="227" t="s">
        <v>2666</v>
      </c>
      <c r="V77" s="227" t="s">
        <v>2667</v>
      </c>
      <c r="W77" s="227" t="s">
        <v>2683</v>
      </c>
      <c r="X77" s="874">
        <v>90000000</v>
      </c>
      <c r="Y77" s="874"/>
      <c r="Z77" s="874"/>
      <c r="AA77" s="874"/>
      <c r="AB77" s="874"/>
      <c r="AC77" s="873" t="s">
        <v>2694</v>
      </c>
      <c r="AD77" s="227" t="s">
        <v>2598</v>
      </c>
      <c r="AE77" s="872" t="s">
        <v>2647</v>
      </c>
      <c r="AF77" s="227" t="s">
        <v>2648</v>
      </c>
      <c r="AG77" s="280">
        <v>230</v>
      </c>
      <c r="AH77" s="280">
        <v>270</v>
      </c>
      <c r="AI77" s="280">
        <v>110</v>
      </c>
      <c r="AJ77" s="280">
        <v>270</v>
      </c>
      <c r="AK77" s="280">
        <v>120</v>
      </c>
      <c r="AL77" s="280"/>
      <c r="AM77" s="872"/>
      <c r="AN77" s="872"/>
      <c r="AO77" s="872"/>
      <c r="AP77" s="872"/>
      <c r="AQ77" s="872"/>
      <c r="AR77" s="872"/>
      <c r="AS77" s="872"/>
      <c r="AT77" s="872"/>
      <c r="AU77" s="872"/>
      <c r="AV77" s="872">
        <v>500</v>
      </c>
      <c r="AW77" s="875">
        <v>45293</v>
      </c>
      <c r="AX77" s="875">
        <v>45657</v>
      </c>
      <c r="AY77" s="872" t="s">
        <v>2576</v>
      </c>
    </row>
    <row r="78" spans="1:51" s="876" customFormat="1" ht="84.95" customHeight="1" x14ac:dyDescent="0.2">
      <c r="A78" s="24">
        <v>1</v>
      </c>
      <c r="B78" s="195" t="s">
        <v>315</v>
      </c>
      <c r="C78" s="24">
        <v>43</v>
      </c>
      <c r="D78" s="227" t="s">
        <v>2562</v>
      </c>
      <c r="E78" s="24">
        <v>4302</v>
      </c>
      <c r="F78" s="227" t="s">
        <v>2661</v>
      </c>
      <c r="G78" s="24">
        <v>4302075</v>
      </c>
      <c r="H78" s="227" t="s">
        <v>2662</v>
      </c>
      <c r="I78" s="24">
        <v>4302075</v>
      </c>
      <c r="J78" s="227" t="s">
        <v>2662</v>
      </c>
      <c r="K78" s="24">
        <v>430207500</v>
      </c>
      <c r="L78" s="227" t="s">
        <v>2663</v>
      </c>
      <c r="M78" s="24">
        <v>430207500</v>
      </c>
      <c r="N78" s="227" t="s">
        <v>2663</v>
      </c>
      <c r="O78" s="842">
        <v>25</v>
      </c>
      <c r="P78" s="842"/>
      <c r="Q78" s="842">
        <v>25</v>
      </c>
      <c r="R78" s="842" t="s">
        <v>2664</v>
      </c>
      <c r="S78" s="227" t="s">
        <v>2665</v>
      </c>
      <c r="T78" s="948">
        <f t="shared" si="2"/>
        <v>1</v>
      </c>
      <c r="U78" s="227" t="s">
        <v>2666</v>
      </c>
      <c r="V78" s="227" t="s">
        <v>2667</v>
      </c>
      <c r="W78" s="227" t="s">
        <v>2683</v>
      </c>
      <c r="X78" s="874">
        <v>1000000</v>
      </c>
      <c r="Y78" s="874"/>
      <c r="Z78" s="874"/>
      <c r="AA78" s="874"/>
      <c r="AB78" s="874"/>
      <c r="AC78" s="873" t="s">
        <v>2695</v>
      </c>
      <c r="AD78" s="227" t="s">
        <v>2696</v>
      </c>
      <c r="AE78" s="872" t="s">
        <v>2579</v>
      </c>
      <c r="AF78" s="227" t="s">
        <v>2580</v>
      </c>
      <c r="AG78" s="280">
        <v>230</v>
      </c>
      <c r="AH78" s="280">
        <v>270</v>
      </c>
      <c r="AI78" s="280">
        <v>110</v>
      </c>
      <c r="AJ78" s="280">
        <v>270</v>
      </c>
      <c r="AK78" s="280">
        <v>120</v>
      </c>
      <c r="AL78" s="280"/>
      <c r="AM78" s="872"/>
      <c r="AN78" s="872"/>
      <c r="AO78" s="872"/>
      <c r="AP78" s="872"/>
      <c r="AQ78" s="872"/>
      <c r="AR78" s="872"/>
      <c r="AS78" s="872"/>
      <c r="AT78" s="872"/>
      <c r="AU78" s="872"/>
      <c r="AV78" s="872">
        <v>500</v>
      </c>
      <c r="AW78" s="875">
        <v>45293</v>
      </c>
      <c r="AX78" s="875">
        <v>45657</v>
      </c>
      <c r="AY78" s="872" t="s">
        <v>2576</v>
      </c>
    </row>
    <row r="79" spans="1:51" s="876" customFormat="1" ht="84.95" customHeight="1" x14ac:dyDescent="0.2">
      <c r="A79" s="24">
        <v>1</v>
      </c>
      <c r="B79" s="195" t="s">
        <v>315</v>
      </c>
      <c r="C79" s="24">
        <v>43</v>
      </c>
      <c r="D79" s="227" t="s">
        <v>2562</v>
      </c>
      <c r="E79" s="24">
        <v>4302</v>
      </c>
      <c r="F79" s="227" t="s">
        <v>2661</v>
      </c>
      <c r="G79" s="24">
        <v>4302075</v>
      </c>
      <c r="H79" s="227" t="s">
        <v>2662</v>
      </c>
      <c r="I79" s="24">
        <v>4302075</v>
      </c>
      <c r="J79" s="227" t="s">
        <v>2662</v>
      </c>
      <c r="K79" s="24">
        <v>430207500</v>
      </c>
      <c r="L79" s="227" t="s">
        <v>2663</v>
      </c>
      <c r="M79" s="24">
        <v>430207500</v>
      </c>
      <c r="N79" s="227" t="s">
        <v>2663</v>
      </c>
      <c r="O79" s="842">
        <v>25</v>
      </c>
      <c r="P79" s="842"/>
      <c r="Q79" s="842">
        <v>25</v>
      </c>
      <c r="R79" s="842" t="s">
        <v>2664</v>
      </c>
      <c r="S79" s="227" t="s">
        <v>2665</v>
      </c>
      <c r="T79" s="948">
        <f t="shared" si="2"/>
        <v>1</v>
      </c>
      <c r="U79" s="227" t="s">
        <v>2666</v>
      </c>
      <c r="V79" s="227" t="s">
        <v>2667</v>
      </c>
      <c r="W79" s="227" t="s">
        <v>2683</v>
      </c>
      <c r="X79" s="874">
        <v>50000000</v>
      </c>
      <c r="Y79" s="874"/>
      <c r="Z79" s="874"/>
      <c r="AA79" s="874"/>
      <c r="AB79" s="874"/>
      <c r="AC79" s="873" t="s">
        <v>2697</v>
      </c>
      <c r="AD79" s="227" t="s">
        <v>2698</v>
      </c>
      <c r="AE79" s="872" t="s">
        <v>2579</v>
      </c>
      <c r="AF79" s="227" t="s">
        <v>2580</v>
      </c>
      <c r="AG79" s="280">
        <v>230</v>
      </c>
      <c r="AH79" s="280">
        <v>270</v>
      </c>
      <c r="AI79" s="280">
        <v>110</v>
      </c>
      <c r="AJ79" s="280">
        <v>270</v>
      </c>
      <c r="AK79" s="280">
        <v>120</v>
      </c>
      <c r="AL79" s="280"/>
      <c r="AM79" s="872"/>
      <c r="AN79" s="872"/>
      <c r="AO79" s="872"/>
      <c r="AP79" s="872"/>
      <c r="AQ79" s="872"/>
      <c r="AR79" s="872"/>
      <c r="AS79" s="872"/>
      <c r="AT79" s="872"/>
      <c r="AU79" s="872"/>
      <c r="AV79" s="872">
        <v>500</v>
      </c>
      <c r="AW79" s="875">
        <v>45293</v>
      </c>
      <c r="AX79" s="875">
        <v>45657</v>
      </c>
      <c r="AY79" s="872" t="s">
        <v>2576</v>
      </c>
    </row>
    <row r="80" spans="1:51" s="876" customFormat="1" ht="84.95" customHeight="1" x14ac:dyDescent="0.2">
      <c r="A80" s="24">
        <v>1</v>
      </c>
      <c r="B80" s="195" t="s">
        <v>315</v>
      </c>
      <c r="C80" s="24">
        <v>43</v>
      </c>
      <c r="D80" s="227" t="s">
        <v>2562</v>
      </c>
      <c r="E80" s="24">
        <v>4302</v>
      </c>
      <c r="F80" s="227" t="s">
        <v>2661</v>
      </c>
      <c r="G80" s="24">
        <v>4302075</v>
      </c>
      <c r="H80" s="227" t="s">
        <v>2662</v>
      </c>
      <c r="I80" s="24">
        <v>4302075</v>
      </c>
      <c r="J80" s="227" t="s">
        <v>2662</v>
      </c>
      <c r="K80" s="24">
        <v>430207500</v>
      </c>
      <c r="L80" s="227" t="s">
        <v>2663</v>
      </c>
      <c r="M80" s="24">
        <v>430207500</v>
      </c>
      <c r="N80" s="227" t="s">
        <v>2663</v>
      </c>
      <c r="O80" s="842">
        <v>25</v>
      </c>
      <c r="P80" s="842"/>
      <c r="Q80" s="842">
        <v>25</v>
      </c>
      <c r="R80" s="842" t="s">
        <v>2664</v>
      </c>
      <c r="S80" s="227" t="s">
        <v>2665</v>
      </c>
      <c r="T80" s="948">
        <f t="shared" si="2"/>
        <v>1</v>
      </c>
      <c r="U80" s="227" t="s">
        <v>2666</v>
      </c>
      <c r="V80" s="227" t="s">
        <v>2667</v>
      </c>
      <c r="W80" s="227" t="s">
        <v>2683</v>
      </c>
      <c r="X80" s="874">
        <v>1000000</v>
      </c>
      <c r="Y80" s="874"/>
      <c r="Z80" s="874"/>
      <c r="AA80" s="874"/>
      <c r="AB80" s="874"/>
      <c r="AC80" s="873" t="s">
        <v>2699</v>
      </c>
      <c r="AD80" s="227" t="s">
        <v>2650</v>
      </c>
      <c r="AE80" s="872" t="s">
        <v>2588</v>
      </c>
      <c r="AF80" s="227" t="s">
        <v>2589</v>
      </c>
      <c r="AG80" s="280">
        <v>230</v>
      </c>
      <c r="AH80" s="280">
        <v>270</v>
      </c>
      <c r="AI80" s="280">
        <v>110</v>
      </c>
      <c r="AJ80" s="280">
        <v>270</v>
      </c>
      <c r="AK80" s="280">
        <v>120</v>
      </c>
      <c r="AL80" s="280"/>
      <c r="AM80" s="872"/>
      <c r="AN80" s="872"/>
      <c r="AO80" s="872"/>
      <c r="AP80" s="872"/>
      <c r="AQ80" s="872"/>
      <c r="AR80" s="872"/>
      <c r="AS80" s="872"/>
      <c r="AT80" s="872"/>
      <c r="AU80" s="872"/>
      <c r="AV80" s="872">
        <v>500</v>
      </c>
      <c r="AW80" s="875">
        <v>45293</v>
      </c>
      <c r="AX80" s="875">
        <v>45657</v>
      </c>
      <c r="AY80" s="872" t="s">
        <v>2576</v>
      </c>
    </row>
    <row r="81" spans="1:51" ht="20.25" customHeight="1" x14ac:dyDescent="0.2">
      <c r="A81" s="958"/>
      <c r="B81" s="889"/>
      <c r="C81" s="896"/>
      <c r="D81" s="889"/>
      <c r="E81" s="896"/>
      <c r="F81" s="889"/>
      <c r="G81" s="946"/>
      <c r="H81" s="951"/>
      <c r="I81" s="946"/>
      <c r="J81" s="951"/>
      <c r="K81" s="896"/>
      <c r="L81" s="889"/>
      <c r="M81" s="896"/>
      <c r="N81" s="889"/>
      <c r="O81" s="896"/>
      <c r="P81" s="896"/>
      <c r="Q81" s="896"/>
      <c r="R81" s="896"/>
      <c r="S81" s="889"/>
      <c r="T81" s="896"/>
      <c r="U81" s="889"/>
      <c r="V81" s="889"/>
      <c r="W81" s="955" t="s">
        <v>25</v>
      </c>
      <c r="X81" s="634">
        <f>SUM(X11:X80)</f>
        <v>6243543463</v>
      </c>
      <c r="Y81" s="634"/>
      <c r="Z81" s="634"/>
      <c r="AA81" s="634"/>
      <c r="AB81" s="634"/>
      <c r="AC81" s="633"/>
      <c r="AD81" s="306"/>
      <c r="AE81" s="306"/>
      <c r="AF81" s="306"/>
      <c r="AG81" s="306"/>
      <c r="AH81" s="306"/>
      <c r="AI81" s="306"/>
      <c r="AJ81" s="306"/>
      <c r="AK81" s="306"/>
      <c r="AL81" s="306"/>
      <c r="AM81" s="306"/>
      <c r="AN81" s="306"/>
      <c r="AO81" s="306"/>
      <c r="AP81" s="306"/>
      <c r="AQ81" s="306"/>
      <c r="AR81" s="306"/>
      <c r="AS81" s="306"/>
      <c r="AT81" s="306"/>
      <c r="AU81" s="306"/>
      <c r="AV81" s="306"/>
      <c r="AW81" s="306"/>
      <c r="AX81" s="306"/>
      <c r="AY81" s="382"/>
    </row>
    <row r="82" spans="1:51" ht="12.75" x14ac:dyDescent="0.2">
      <c r="X82" s="494">
        <f>SUBTOTAL(9,X11:X80)</f>
        <v>6243543463</v>
      </c>
      <c r="Y82" s="494"/>
      <c r="Z82" s="494"/>
      <c r="AA82" s="494"/>
      <c r="AB82" s="494"/>
    </row>
    <row r="83" spans="1:51" ht="12.75" x14ac:dyDescent="0.2">
      <c r="AD83" s="85"/>
      <c r="AE83" s="85"/>
      <c r="AF83" s="85"/>
    </row>
    <row r="84" spans="1:51" ht="12.75" x14ac:dyDescent="0.2">
      <c r="O84" s="1080" t="s">
        <v>308</v>
      </c>
      <c r="P84" s="1080"/>
      <c r="Q84" s="1080"/>
      <c r="R84" s="1080"/>
      <c r="S84" s="1116"/>
      <c r="AD84" s="85"/>
      <c r="AE84" s="85"/>
      <c r="AF84" s="85"/>
    </row>
    <row r="85" spans="1:51" ht="12.75" x14ac:dyDescent="0.2">
      <c r="AD85" s="85"/>
      <c r="AE85" s="85"/>
      <c r="AF85" s="85"/>
    </row>
    <row r="86" spans="1:51" ht="12.75" x14ac:dyDescent="0.2">
      <c r="AD86" s="85"/>
      <c r="AE86" s="85"/>
      <c r="AF86" s="85"/>
    </row>
    <row r="87" spans="1:51" ht="12.75" x14ac:dyDescent="0.2">
      <c r="AD87" s="85"/>
      <c r="AE87" s="85"/>
      <c r="AF87" s="85"/>
    </row>
    <row r="88" spans="1:51" ht="12.75" x14ac:dyDescent="0.2">
      <c r="I88" s="1264" t="s">
        <v>113</v>
      </c>
      <c r="J88" s="1265"/>
      <c r="K88" s="1077" t="s">
        <v>114</v>
      </c>
      <c r="L88" s="1118"/>
      <c r="M88" s="1077" t="s">
        <v>115</v>
      </c>
      <c r="N88" s="1118"/>
      <c r="AD88" s="85"/>
      <c r="AE88" s="85"/>
      <c r="AF88" s="85"/>
    </row>
    <row r="89" spans="1:51" ht="12.75" x14ac:dyDescent="0.2">
      <c r="I89" s="1264" t="s">
        <v>116</v>
      </c>
      <c r="J89" s="1265"/>
      <c r="K89" s="1077" t="s">
        <v>117</v>
      </c>
      <c r="L89" s="1118"/>
      <c r="M89" s="1076" t="s">
        <v>118</v>
      </c>
      <c r="N89" s="1117"/>
      <c r="AD89" s="85"/>
      <c r="AE89" s="85"/>
      <c r="AF89" s="85"/>
    </row>
    <row r="90" spans="1:51" ht="12.75" x14ac:dyDescent="0.2">
      <c r="I90" s="1264" t="s">
        <v>119</v>
      </c>
      <c r="J90" s="1265"/>
      <c r="K90" s="1077" t="s">
        <v>120</v>
      </c>
      <c r="L90" s="1118"/>
      <c r="M90" s="1076" t="s">
        <v>121</v>
      </c>
      <c r="N90" s="1117"/>
      <c r="AD90" s="85"/>
      <c r="AE90" s="85"/>
      <c r="AF90" s="85"/>
    </row>
  </sheetData>
  <autoFilter ref="A10:BQ81" xr:uid="{00000000-0009-0000-0000-000007000000}"/>
  <mergeCells count="32">
    <mergeCell ref="I89:J89"/>
    <mergeCell ref="K89:L89"/>
    <mergeCell ref="M89:N89"/>
    <mergeCell ref="I90:J90"/>
    <mergeCell ref="K90:L90"/>
    <mergeCell ref="M90:N90"/>
    <mergeCell ref="O84:S84"/>
    <mergeCell ref="I88:J88"/>
    <mergeCell ref="K88:L88"/>
    <mergeCell ref="M88:N88"/>
    <mergeCell ref="O8:Q9"/>
    <mergeCell ref="R8:X9"/>
    <mergeCell ref="AW8:AW10"/>
    <mergeCell ref="AX8:AX10"/>
    <mergeCell ref="AY8:AY10"/>
    <mergeCell ref="AC9:AF9"/>
    <mergeCell ref="AG9:AH9"/>
    <mergeCell ref="AI9:AL9"/>
    <mergeCell ref="AM9:AR9"/>
    <mergeCell ref="AS9:AU9"/>
    <mergeCell ref="AV9:AV10"/>
    <mergeCell ref="AG8:AV8"/>
    <mergeCell ref="A1:B7"/>
    <mergeCell ref="C1:AW1"/>
    <mergeCell ref="C2:AW4"/>
    <mergeCell ref="C5:AW5"/>
    <mergeCell ref="C6:AW6"/>
    <mergeCell ref="A8:B9"/>
    <mergeCell ref="C8:D9"/>
    <mergeCell ref="E8:F9"/>
    <mergeCell ref="G8:J9"/>
    <mergeCell ref="K8:N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A1:BQ37"/>
  <sheetViews>
    <sheetView showGridLines="0" topLeftCell="F1" zoomScale="80" zoomScaleNormal="80" workbookViewId="0">
      <pane ySplit="10" topLeftCell="A11" activePane="bottomLeft" state="frozen"/>
      <selection activeCell="C1" sqref="C1"/>
      <selection pane="bottomLeft" activeCell="L21" sqref="L21"/>
    </sheetView>
  </sheetViews>
  <sheetFormatPr baseColWidth="10" defaultColWidth="11.42578125" defaultRowHeight="15" x14ac:dyDescent="0.25"/>
  <cols>
    <col min="1" max="1" width="8" customWidth="1"/>
    <col min="2" max="2" width="11.28515625" customWidth="1"/>
    <col min="3" max="3" width="7" customWidth="1"/>
    <col min="4" max="4" width="11" customWidth="1"/>
    <col min="5" max="5" width="7.85546875" customWidth="1"/>
    <col min="6" max="6" width="24.85546875" customWidth="1"/>
    <col min="7" max="7" width="6" customWidth="1"/>
    <col min="8" max="8" width="21.140625" customWidth="1"/>
    <col min="9" max="9" width="9.28515625" customWidth="1"/>
    <col min="10" max="10" width="16.140625" customWidth="1"/>
    <col min="11" max="11" width="6" customWidth="1"/>
    <col min="12" max="12" width="22.7109375" customWidth="1"/>
    <col min="13" max="13" width="12" customWidth="1"/>
    <col min="14" max="14" width="18" customWidth="1"/>
    <col min="15" max="15" width="12.140625" customWidth="1"/>
    <col min="16" max="16" width="11.85546875" customWidth="1"/>
    <col min="17" max="17" width="13.7109375" style="64" customWidth="1"/>
    <col min="18" max="18" width="16" customWidth="1"/>
    <col min="19" max="19" width="22.140625" customWidth="1"/>
    <col min="20" max="20" width="12" customWidth="1"/>
    <col min="21" max="21" width="27.140625" customWidth="1"/>
    <col min="22" max="22" width="32" customWidth="1"/>
    <col min="23" max="23" width="25.85546875" customWidth="1"/>
    <col min="24" max="24" width="18.28515625" bestFit="1" customWidth="1"/>
    <col min="25" max="28" width="18.28515625" customWidth="1"/>
    <col min="29" max="29" width="22.42578125" customWidth="1"/>
    <col min="30" max="30" width="26.140625" customWidth="1"/>
    <col min="32" max="32" width="15.85546875" customWidth="1"/>
    <col min="33" max="42" width="9.85546875" customWidth="1"/>
    <col min="43" max="44" width="7.28515625" customWidth="1"/>
    <col min="45" max="48" width="9.85546875" customWidth="1"/>
    <col min="49" max="49" width="14.28515625" customWidth="1"/>
    <col min="50" max="50" width="14.42578125" customWidth="1"/>
    <col min="51" max="51" width="15.140625" customWidth="1"/>
  </cols>
  <sheetData>
    <row r="1" spans="1:69" ht="12.75" customHeight="1" x14ac:dyDescent="0.25">
      <c r="A1" s="1278"/>
      <c r="B1" s="1278"/>
      <c r="C1" s="1279" t="s">
        <v>0</v>
      </c>
      <c r="D1" s="1279"/>
      <c r="E1" s="1279"/>
      <c r="F1" s="1279"/>
      <c r="G1" s="1279"/>
      <c r="H1" s="1279"/>
      <c r="I1" s="1279"/>
      <c r="J1" s="1279"/>
      <c r="K1" s="1279"/>
      <c r="L1" s="1279"/>
      <c r="M1" s="1279"/>
      <c r="N1" s="1279"/>
      <c r="O1" s="1279"/>
      <c r="P1" s="1279"/>
      <c r="Q1" s="1279"/>
      <c r="R1" s="1279"/>
      <c r="S1" s="1279"/>
      <c r="T1" s="1279"/>
      <c r="U1" s="1279"/>
      <c r="V1" s="1279"/>
      <c r="W1" s="1279"/>
      <c r="X1" s="1279"/>
      <c r="Y1" s="1279"/>
      <c r="Z1" s="1279"/>
      <c r="AA1" s="1279"/>
      <c r="AB1" s="1279"/>
      <c r="AC1" s="1279"/>
      <c r="AD1" s="1279"/>
      <c r="AE1" s="1279"/>
      <c r="AF1" s="1279"/>
      <c r="AG1" s="1279"/>
      <c r="AH1" s="1279"/>
      <c r="AI1" s="1279"/>
      <c r="AJ1" s="1279"/>
      <c r="AK1" s="1279"/>
      <c r="AL1" s="1279"/>
      <c r="AM1" s="1279"/>
      <c r="AN1" s="1279"/>
      <c r="AO1" s="1279"/>
      <c r="AP1" s="1279"/>
      <c r="AQ1" s="1279"/>
      <c r="AR1" s="1279"/>
      <c r="AS1" s="1279"/>
      <c r="AT1" s="1279"/>
      <c r="AU1" s="1279"/>
      <c r="AV1" s="1279"/>
      <c r="AW1" s="1279"/>
    </row>
    <row r="2" spans="1:69" s="45" customFormat="1" ht="9.75" customHeight="1" x14ac:dyDescent="0.2">
      <c r="A2" s="1278"/>
      <c r="B2" s="1278"/>
      <c r="C2" s="980" t="s">
        <v>2700</v>
      </c>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2"/>
      <c r="AX2" s="2" t="s">
        <v>2</v>
      </c>
      <c r="AY2" s="2" t="s">
        <v>3</v>
      </c>
      <c r="AZ2" s="3"/>
      <c r="BA2" s="3"/>
      <c r="BB2" s="3"/>
      <c r="BC2" s="3"/>
      <c r="BD2" s="3"/>
      <c r="BE2" s="3"/>
      <c r="BF2" s="3"/>
      <c r="BG2" s="3"/>
      <c r="BH2" s="3"/>
      <c r="BI2" s="3"/>
      <c r="BJ2" s="3"/>
      <c r="BK2" s="3"/>
      <c r="BL2" s="3"/>
      <c r="BM2" s="3"/>
      <c r="BN2" s="3"/>
      <c r="BO2" s="3"/>
      <c r="BP2" s="3"/>
      <c r="BQ2" s="3"/>
    </row>
    <row r="3" spans="1:69" s="45" customFormat="1" ht="9.75" customHeight="1" x14ac:dyDescent="0.2">
      <c r="A3" s="1278"/>
      <c r="B3" s="1278"/>
      <c r="C3" s="983"/>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5"/>
      <c r="AX3" s="2" t="s">
        <v>4</v>
      </c>
      <c r="AY3" s="49">
        <v>11</v>
      </c>
      <c r="AZ3" s="3"/>
      <c r="BA3" s="3"/>
      <c r="BB3" s="3"/>
      <c r="BC3" s="3"/>
      <c r="BD3" s="3"/>
      <c r="BE3" s="3"/>
      <c r="BF3" s="3"/>
      <c r="BG3" s="3"/>
      <c r="BH3" s="3"/>
      <c r="BI3" s="3"/>
      <c r="BJ3" s="3"/>
      <c r="BK3" s="3"/>
      <c r="BL3" s="3"/>
      <c r="BM3" s="3"/>
      <c r="BN3" s="3"/>
      <c r="BO3" s="3"/>
      <c r="BP3" s="3"/>
      <c r="BQ3" s="3"/>
    </row>
    <row r="4" spans="1:69" s="45" customFormat="1" ht="10.5" customHeight="1" x14ac:dyDescent="0.2">
      <c r="A4" s="1278"/>
      <c r="B4" s="1278"/>
      <c r="C4" s="986"/>
      <c r="D4" s="987"/>
      <c r="E4" s="987"/>
      <c r="F4" s="987"/>
      <c r="G4" s="987"/>
      <c r="H4" s="987"/>
      <c r="I4" s="987"/>
      <c r="J4" s="987"/>
      <c r="K4" s="987"/>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c r="AT4" s="987"/>
      <c r="AU4" s="987"/>
      <c r="AV4" s="987"/>
      <c r="AW4" s="988"/>
      <c r="AX4" s="2" t="s">
        <v>5</v>
      </c>
      <c r="AY4" s="50">
        <v>44714</v>
      </c>
      <c r="AZ4" s="3"/>
      <c r="BA4" s="3"/>
      <c r="BB4" s="3"/>
      <c r="BC4" s="3"/>
      <c r="BD4" s="3"/>
      <c r="BE4" s="3"/>
      <c r="BF4" s="3"/>
      <c r="BG4" s="3"/>
      <c r="BH4" s="3"/>
      <c r="BI4" s="3"/>
      <c r="BJ4" s="3"/>
      <c r="BK4" s="3"/>
      <c r="BL4" s="3"/>
      <c r="BM4" s="3"/>
      <c r="BN4" s="3"/>
      <c r="BO4" s="3"/>
      <c r="BP4" s="3"/>
      <c r="BQ4" s="3"/>
    </row>
    <row r="5" spans="1:69" s="45" customFormat="1" ht="12.75" customHeight="1" x14ac:dyDescent="0.2">
      <c r="A5" s="1278"/>
      <c r="B5" s="1278"/>
      <c r="C5" s="989"/>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1"/>
      <c r="AX5" s="2" t="s">
        <v>6</v>
      </c>
      <c r="AY5" s="7" t="s">
        <v>7</v>
      </c>
      <c r="AZ5" s="3"/>
      <c r="BA5" s="3"/>
      <c r="BB5" s="3"/>
      <c r="BC5" s="3"/>
      <c r="BD5" s="3"/>
      <c r="BE5" s="3"/>
      <c r="BF5" s="3"/>
      <c r="BG5" s="3"/>
      <c r="BH5" s="3"/>
      <c r="BI5" s="3"/>
      <c r="BJ5" s="3"/>
      <c r="BK5" s="3"/>
      <c r="BL5" s="3"/>
      <c r="BM5" s="3"/>
      <c r="BN5" s="3"/>
      <c r="BO5" s="3"/>
      <c r="BP5" s="3"/>
      <c r="BQ5" s="3"/>
    </row>
    <row r="6" spans="1:69" s="45" customFormat="1" ht="9" customHeight="1" x14ac:dyDescent="0.2">
      <c r="A6" s="1278"/>
      <c r="B6" s="1278"/>
      <c r="C6" s="992" t="s">
        <v>2701</v>
      </c>
      <c r="D6" s="993"/>
      <c r="E6" s="993"/>
      <c r="F6" s="993"/>
      <c r="G6" s="993"/>
      <c r="H6" s="993"/>
      <c r="I6" s="993"/>
      <c r="J6" s="993"/>
      <c r="K6" s="993"/>
      <c r="L6" s="993"/>
      <c r="M6" s="993"/>
      <c r="N6" s="993"/>
      <c r="O6" s="993"/>
      <c r="P6" s="993"/>
      <c r="Q6" s="993"/>
      <c r="R6" s="993"/>
      <c r="S6" s="993"/>
      <c r="T6" s="993"/>
      <c r="U6" s="993"/>
      <c r="V6" s="993"/>
      <c r="W6" s="993"/>
      <c r="X6" s="993"/>
      <c r="Y6" s="993"/>
      <c r="Z6" s="993"/>
      <c r="AA6" s="993"/>
      <c r="AB6" s="993"/>
      <c r="AC6" s="993"/>
      <c r="AD6" s="993"/>
      <c r="AE6" s="993"/>
      <c r="AF6" s="993"/>
      <c r="AG6" s="993"/>
      <c r="AH6" s="993"/>
      <c r="AI6" s="993"/>
      <c r="AJ6" s="993"/>
      <c r="AK6" s="993"/>
      <c r="AL6" s="993"/>
      <c r="AM6" s="993"/>
      <c r="AN6" s="993"/>
      <c r="AO6" s="993"/>
      <c r="AP6" s="993"/>
      <c r="AQ6" s="993"/>
      <c r="AR6" s="993"/>
      <c r="AS6" s="993"/>
      <c r="AT6" s="993"/>
      <c r="AU6" s="993"/>
      <c r="AV6" s="993"/>
      <c r="AW6" s="993"/>
      <c r="AX6" s="52"/>
      <c r="AY6" s="53"/>
      <c r="AZ6" s="3"/>
      <c r="BA6" s="3"/>
      <c r="BB6" s="3"/>
      <c r="BC6" s="3"/>
      <c r="BD6" s="3"/>
      <c r="BE6" s="3"/>
      <c r="BF6" s="3"/>
      <c r="BG6" s="3"/>
      <c r="BH6" s="3"/>
      <c r="BI6" s="3"/>
      <c r="BJ6" s="3"/>
      <c r="BK6" s="3"/>
      <c r="BL6" s="3"/>
      <c r="BM6" s="3"/>
      <c r="BN6" s="3"/>
      <c r="BO6" s="3"/>
      <c r="BP6" s="3"/>
      <c r="BQ6" s="3"/>
    </row>
    <row r="7" spans="1:69" s="45" customFormat="1" ht="12.75" customHeight="1" x14ac:dyDescent="0.2">
      <c r="A7" s="1279"/>
      <c r="B7" s="1279"/>
      <c r="C7" s="54"/>
      <c r="D7" s="54"/>
      <c r="E7" s="54"/>
      <c r="F7" s="54"/>
      <c r="G7" s="54"/>
      <c r="H7" s="54"/>
      <c r="I7" s="54"/>
      <c r="J7" s="54"/>
      <c r="K7" s="54"/>
      <c r="L7" s="54"/>
      <c r="M7" s="54"/>
      <c r="N7" s="54"/>
      <c r="O7" s="54"/>
      <c r="P7" s="54"/>
      <c r="Q7" s="10"/>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5"/>
      <c r="AZ7" s="3"/>
      <c r="BA7" s="3"/>
      <c r="BB7" s="3"/>
      <c r="BC7" s="3"/>
      <c r="BD7" s="3"/>
      <c r="BE7" s="3"/>
      <c r="BF7" s="3"/>
      <c r="BG7" s="3"/>
      <c r="BH7" s="3"/>
      <c r="BI7" s="3"/>
      <c r="BJ7" s="3"/>
      <c r="BK7" s="3"/>
      <c r="BL7" s="3"/>
      <c r="BM7" s="3"/>
      <c r="BN7" s="3"/>
      <c r="BO7" s="3"/>
      <c r="BP7" s="3"/>
      <c r="BQ7" s="3"/>
    </row>
    <row r="8" spans="1:69" x14ac:dyDescent="0.25">
      <c r="A8" s="1266" t="s">
        <v>9</v>
      </c>
      <c r="B8" s="1267"/>
      <c r="C8" s="1266" t="s">
        <v>10</v>
      </c>
      <c r="D8" s="1267"/>
      <c r="E8" s="1266" t="s">
        <v>11</v>
      </c>
      <c r="F8" s="1267"/>
      <c r="G8" s="1266" t="s">
        <v>12</v>
      </c>
      <c r="H8" s="1270"/>
      <c r="I8" s="1270"/>
      <c r="J8" s="1267"/>
      <c r="K8" s="1272" t="s">
        <v>13</v>
      </c>
      <c r="L8" s="1273"/>
      <c r="M8" s="1273"/>
      <c r="N8" s="1274"/>
      <c r="O8" s="1272" t="s">
        <v>14</v>
      </c>
      <c r="P8" s="1273"/>
      <c r="Q8" s="1274"/>
      <c r="R8" s="1291" t="s">
        <v>15</v>
      </c>
      <c r="S8" s="1291"/>
      <c r="T8" s="1291"/>
      <c r="U8" s="1291"/>
      <c r="V8" s="1291"/>
      <c r="W8" s="1291"/>
      <c r="X8" s="1291"/>
      <c r="Y8" s="674"/>
      <c r="Z8" s="674"/>
      <c r="AA8" s="674"/>
      <c r="AB8" s="674"/>
      <c r="AC8" s="242"/>
      <c r="AD8" s="242"/>
      <c r="AE8" s="242"/>
      <c r="AF8" s="243"/>
      <c r="AG8" s="1288" t="s">
        <v>16</v>
      </c>
      <c r="AH8" s="1289"/>
      <c r="AI8" s="1289"/>
      <c r="AJ8" s="1289"/>
      <c r="AK8" s="1289"/>
      <c r="AL8" s="1289"/>
      <c r="AM8" s="1289"/>
      <c r="AN8" s="1289"/>
      <c r="AO8" s="1289"/>
      <c r="AP8" s="1289"/>
      <c r="AQ8" s="1289"/>
      <c r="AR8" s="1289"/>
      <c r="AS8" s="1289"/>
      <c r="AT8" s="1289"/>
      <c r="AU8" s="1289"/>
      <c r="AV8" s="1290"/>
      <c r="AW8" s="1280" t="s">
        <v>17</v>
      </c>
      <c r="AX8" s="1280" t="s">
        <v>18</v>
      </c>
      <c r="AY8" s="1280" t="s">
        <v>19</v>
      </c>
    </row>
    <row r="9" spans="1:69" s="46" customFormat="1" ht="13.5" x14ac:dyDescent="0.25">
      <c r="A9" s="1268"/>
      <c r="B9" s="1269"/>
      <c r="C9" s="1268"/>
      <c r="D9" s="1269"/>
      <c r="E9" s="1268"/>
      <c r="F9" s="1269"/>
      <c r="G9" s="1268"/>
      <c r="H9" s="1271"/>
      <c r="I9" s="1271"/>
      <c r="J9" s="1269"/>
      <c r="K9" s="1275"/>
      <c r="L9" s="1276"/>
      <c r="M9" s="1276"/>
      <c r="N9" s="1277"/>
      <c r="O9" s="1275"/>
      <c r="P9" s="1276"/>
      <c r="Q9" s="1277"/>
      <c r="R9" s="1292"/>
      <c r="S9" s="1292"/>
      <c r="T9" s="1292"/>
      <c r="U9" s="1292"/>
      <c r="V9" s="1292"/>
      <c r="W9" s="1292"/>
      <c r="X9" s="1292"/>
      <c r="Y9" s="675"/>
      <c r="Z9" s="675"/>
      <c r="AA9" s="675"/>
      <c r="AB9" s="675"/>
      <c r="AC9" s="1283" t="s">
        <v>20</v>
      </c>
      <c r="AD9" s="1283"/>
      <c r="AE9" s="1283"/>
      <c r="AF9" s="1283"/>
      <c r="AG9" s="1283" t="s">
        <v>21</v>
      </c>
      <c r="AH9" s="1284"/>
      <c r="AI9" s="1285" t="s">
        <v>22</v>
      </c>
      <c r="AJ9" s="1284"/>
      <c r="AK9" s="1284"/>
      <c r="AL9" s="1284"/>
      <c r="AM9" s="1286" t="s">
        <v>23</v>
      </c>
      <c r="AN9" s="1284"/>
      <c r="AO9" s="1284"/>
      <c r="AP9" s="1284"/>
      <c r="AQ9" s="1284"/>
      <c r="AR9" s="1284"/>
      <c r="AS9" s="1285" t="s">
        <v>24</v>
      </c>
      <c r="AT9" s="1284"/>
      <c r="AU9" s="1284"/>
      <c r="AV9" s="1287" t="s">
        <v>25</v>
      </c>
      <c r="AW9" s="1281"/>
      <c r="AX9" s="1281"/>
      <c r="AY9" s="1281"/>
      <c r="AZ9" s="14"/>
      <c r="BA9" s="14"/>
      <c r="BB9" s="14"/>
      <c r="BC9" s="14"/>
      <c r="BD9" s="14"/>
      <c r="BE9" s="14"/>
      <c r="BF9" s="14"/>
      <c r="BG9" s="14"/>
      <c r="BH9" s="14"/>
      <c r="BI9" s="14"/>
      <c r="BJ9" s="14"/>
      <c r="BK9" s="14"/>
      <c r="BL9" s="14"/>
      <c r="BM9" s="14"/>
      <c r="BN9" s="14"/>
    </row>
    <row r="10" spans="1:69" s="61" customFormat="1" ht="66.75" customHeight="1" x14ac:dyDescent="0.2">
      <c r="A10" s="244" t="s">
        <v>26</v>
      </c>
      <c r="B10" s="245" t="s">
        <v>27</v>
      </c>
      <c r="C10" s="244" t="s">
        <v>26</v>
      </c>
      <c r="D10" s="245" t="s">
        <v>27</v>
      </c>
      <c r="E10" s="245" t="s">
        <v>26</v>
      </c>
      <c r="F10" s="245" t="s">
        <v>27</v>
      </c>
      <c r="G10" s="246" t="s">
        <v>28</v>
      </c>
      <c r="H10" s="246" t="s">
        <v>29</v>
      </c>
      <c r="I10" s="246" t="s">
        <v>30</v>
      </c>
      <c r="J10" s="246" t="s">
        <v>31</v>
      </c>
      <c r="K10" s="246" t="s">
        <v>28</v>
      </c>
      <c r="L10" s="246" t="s">
        <v>32</v>
      </c>
      <c r="M10" s="246" t="s">
        <v>33</v>
      </c>
      <c r="N10" s="246" t="s">
        <v>34</v>
      </c>
      <c r="O10" s="246" t="s">
        <v>35</v>
      </c>
      <c r="P10" s="246" t="s">
        <v>36</v>
      </c>
      <c r="Q10" s="246" t="s">
        <v>37</v>
      </c>
      <c r="R10" s="245" t="s">
        <v>38</v>
      </c>
      <c r="S10" s="245" t="s">
        <v>39</v>
      </c>
      <c r="T10" s="247" t="s">
        <v>40</v>
      </c>
      <c r="U10" s="245" t="s">
        <v>41</v>
      </c>
      <c r="V10" s="245" t="s">
        <v>42</v>
      </c>
      <c r="W10" s="245" t="s">
        <v>43</v>
      </c>
      <c r="X10" s="248" t="s">
        <v>44</v>
      </c>
      <c r="Y10" s="660" t="s">
        <v>45</v>
      </c>
      <c r="Z10" s="659" t="s">
        <v>46</v>
      </c>
      <c r="AA10" s="659" t="s">
        <v>47</v>
      </c>
      <c r="AB10" s="660" t="s">
        <v>48</v>
      </c>
      <c r="AC10" s="244" t="s">
        <v>49</v>
      </c>
      <c r="AD10" s="245" t="s">
        <v>50</v>
      </c>
      <c r="AE10" s="245" t="s">
        <v>51</v>
      </c>
      <c r="AF10" s="245" t="s">
        <v>52</v>
      </c>
      <c r="AG10" s="249" t="s">
        <v>53</v>
      </c>
      <c r="AH10" s="250" t="s">
        <v>54</v>
      </c>
      <c r="AI10" s="249" t="s">
        <v>55</v>
      </c>
      <c r="AJ10" s="249" t="s">
        <v>56</v>
      </c>
      <c r="AK10" s="249" t="s">
        <v>57</v>
      </c>
      <c r="AL10" s="249" t="s">
        <v>58</v>
      </c>
      <c r="AM10" s="249" t="s">
        <v>59</v>
      </c>
      <c r="AN10" s="249" t="s">
        <v>60</v>
      </c>
      <c r="AO10" s="249" t="s">
        <v>61</v>
      </c>
      <c r="AP10" s="249" t="s">
        <v>62</v>
      </c>
      <c r="AQ10" s="249" t="s">
        <v>63</v>
      </c>
      <c r="AR10" s="249" t="s">
        <v>64</v>
      </c>
      <c r="AS10" s="249" t="s">
        <v>65</v>
      </c>
      <c r="AT10" s="249" t="s">
        <v>66</v>
      </c>
      <c r="AU10" s="249" t="s">
        <v>67</v>
      </c>
      <c r="AV10" s="1287"/>
      <c r="AW10" s="1282"/>
      <c r="AX10" s="1282"/>
      <c r="AY10" s="1282"/>
      <c r="AZ10" s="60"/>
      <c r="BA10" s="60"/>
      <c r="BB10" s="60"/>
      <c r="BC10" s="60"/>
      <c r="BD10" s="60"/>
      <c r="BE10" s="60"/>
      <c r="BF10" s="60"/>
      <c r="BG10" s="60"/>
      <c r="BH10" s="60"/>
      <c r="BI10" s="60"/>
      <c r="BJ10" s="60"/>
      <c r="BK10" s="60"/>
      <c r="BL10" s="60"/>
      <c r="BM10" s="60"/>
      <c r="BN10" s="60"/>
    </row>
    <row r="11" spans="1:69" ht="69.75" customHeight="1" x14ac:dyDescent="0.25">
      <c r="A11" s="259">
        <v>1</v>
      </c>
      <c r="B11" s="259" t="s">
        <v>315</v>
      </c>
      <c r="C11" s="259">
        <v>43</v>
      </c>
      <c r="D11" s="259" t="s">
        <v>385</v>
      </c>
      <c r="E11" s="259">
        <v>4301</v>
      </c>
      <c r="F11" s="267" t="s">
        <v>2702</v>
      </c>
      <c r="G11" s="268" t="s">
        <v>70</v>
      </c>
      <c r="H11" s="267" t="s">
        <v>2703</v>
      </c>
      <c r="I11" s="263">
        <v>4301004</v>
      </c>
      <c r="J11" s="267" t="s">
        <v>388</v>
      </c>
      <c r="K11" s="268" t="s">
        <v>70</v>
      </c>
      <c r="L11" s="267" t="s">
        <v>2704</v>
      </c>
      <c r="M11" s="259">
        <v>430100401</v>
      </c>
      <c r="N11" s="267" t="s">
        <v>390</v>
      </c>
      <c r="O11" s="259">
        <v>3</v>
      </c>
      <c r="P11" s="259">
        <v>0</v>
      </c>
      <c r="Q11" s="259">
        <f>SUM(O11)</f>
        <v>3</v>
      </c>
      <c r="R11" s="251" t="s">
        <v>2705</v>
      </c>
      <c r="S11" s="252" t="s">
        <v>2706</v>
      </c>
      <c r="T11" s="787">
        <f>SUM($X$11:$X$12)/SUM($X$11:$X$12)</f>
        <v>1</v>
      </c>
      <c r="U11" s="252" t="s">
        <v>2707</v>
      </c>
      <c r="V11" s="252" t="s">
        <v>2708</v>
      </c>
      <c r="W11" s="252" t="s">
        <v>2709</v>
      </c>
      <c r="X11" s="269">
        <v>1120000000</v>
      </c>
      <c r="Y11" s="269"/>
      <c r="Z11" s="269"/>
      <c r="AA11" s="269"/>
      <c r="AB11" s="269"/>
      <c r="AC11" s="270" t="s">
        <v>2710</v>
      </c>
      <c r="AD11" s="252" t="s">
        <v>2711</v>
      </c>
      <c r="AE11" s="253">
        <v>3</v>
      </c>
      <c r="AF11" s="253" t="s">
        <v>2712</v>
      </c>
      <c r="AG11" s="271">
        <v>295972</v>
      </c>
      <c r="AH11" s="271">
        <v>285580</v>
      </c>
      <c r="AI11" s="271">
        <v>135545</v>
      </c>
      <c r="AJ11" s="271">
        <v>44254</v>
      </c>
      <c r="AK11" s="271">
        <v>309146</v>
      </c>
      <c r="AL11" s="271">
        <v>92607</v>
      </c>
      <c r="AM11" s="271">
        <v>2145</v>
      </c>
      <c r="AN11" s="271">
        <v>12718</v>
      </c>
      <c r="AO11" s="271">
        <v>26</v>
      </c>
      <c r="AP11" s="271">
        <v>37</v>
      </c>
      <c r="AQ11" s="271" t="s">
        <v>285</v>
      </c>
      <c r="AR11" s="271" t="s">
        <v>285</v>
      </c>
      <c r="AS11" s="271">
        <v>44350</v>
      </c>
      <c r="AT11" s="271">
        <v>21944</v>
      </c>
      <c r="AU11" s="271">
        <v>75687</v>
      </c>
      <c r="AV11" s="271">
        <v>581552</v>
      </c>
      <c r="AW11" s="260">
        <v>45292</v>
      </c>
      <c r="AX11" s="260">
        <v>45657</v>
      </c>
      <c r="AY11" s="251" t="s">
        <v>2713</v>
      </c>
    </row>
    <row r="12" spans="1:69" ht="69.75" customHeight="1" x14ac:dyDescent="0.25">
      <c r="A12" s="259">
        <v>1</v>
      </c>
      <c r="B12" s="259" t="s">
        <v>315</v>
      </c>
      <c r="C12" s="259">
        <v>43</v>
      </c>
      <c r="D12" s="259" t="s">
        <v>385</v>
      </c>
      <c r="E12" s="259">
        <v>4301</v>
      </c>
      <c r="F12" s="267" t="s">
        <v>2702</v>
      </c>
      <c r="G12" s="268" t="s">
        <v>70</v>
      </c>
      <c r="H12" s="267" t="s">
        <v>2703</v>
      </c>
      <c r="I12" s="263">
        <v>4301004</v>
      </c>
      <c r="J12" s="267" t="s">
        <v>388</v>
      </c>
      <c r="K12" s="268" t="s">
        <v>70</v>
      </c>
      <c r="L12" s="267" t="s">
        <v>2704</v>
      </c>
      <c r="M12" s="259">
        <v>430100401</v>
      </c>
      <c r="N12" s="267" t="s">
        <v>390</v>
      </c>
      <c r="O12" s="259">
        <v>3</v>
      </c>
      <c r="P12" s="259">
        <v>0</v>
      </c>
      <c r="Q12" s="259">
        <f t="shared" ref="Q12:Q24" si="0">SUM(O12)</f>
        <v>3</v>
      </c>
      <c r="R12" s="251" t="s">
        <v>2705</v>
      </c>
      <c r="S12" s="252" t="s">
        <v>2706</v>
      </c>
      <c r="T12" s="787">
        <f>SUM($X$11:$X$12)/SUM($X$11:$X$12)</f>
        <v>1</v>
      </c>
      <c r="U12" s="252" t="s">
        <v>2707</v>
      </c>
      <c r="V12" s="252" t="s">
        <v>2714</v>
      </c>
      <c r="W12" s="252" t="s">
        <v>2715</v>
      </c>
      <c r="X12" s="269">
        <v>480000000</v>
      </c>
      <c r="Y12" s="269"/>
      <c r="Z12" s="269"/>
      <c r="AA12" s="269"/>
      <c r="AB12" s="269"/>
      <c r="AC12" s="270" t="s">
        <v>2716</v>
      </c>
      <c r="AD12" s="252" t="s">
        <v>2717</v>
      </c>
      <c r="AE12" s="253">
        <v>3</v>
      </c>
      <c r="AF12" s="253" t="s">
        <v>2712</v>
      </c>
      <c r="AG12" s="271">
        <v>295972</v>
      </c>
      <c r="AH12" s="271">
        <v>285580</v>
      </c>
      <c r="AI12" s="271">
        <v>135545</v>
      </c>
      <c r="AJ12" s="271">
        <v>44254</v>
      </c>
      <c r="AK12" s="271">
        <v>309146</v>
      </c>
      <c r="AL12" s="271">
        <v>92607</v>
      </c>
      <c r="AM12" s="271">
        <v>2145</v>
      </c>
      <c r="AN12" s="271">
        <v>12718</v>
      </c>
      <c r="AO12" s="271">
        <v>26</v>
      </c>
      <c r="AP12" s="271">
        <v>37</v>
      </c>
      <c r="AQ12" s="271" t="s">
        <v>285</v>
      </c>
      <c r="AR12" s="271" t="s">
        <v>285</v>
      </c>
      <c r="AS12" s="271">
        <v>44350</v>
      </c>
      <c r="AT12" s="271">
        <v>21944</v>
      </c>
      <c r="AU12" s="271">
        <v>75687</v>
      </c>
      <c r="AV12" s="271">
        <v>581552</v>
      </c>
      <c r="AW12" s="260">
        <v>45292</v>
      </c>
      <c r="AX12" s="260">
        <v>45657</v>
      </c>
      <c r="AY12" s="251" t="s">
        <v>2713</v>
      </c>
    </row>
    <row r="13" spans="1:69" ht="69.75" customHeight="1" x14ac:dyDescent="0.25">
      <c r="A13" s="262">
        <v>1</v>
      </c>
      <c r="B13" s="259" t="s">
        <v>315</v>
      </c>
      <c r="C13" s="259">
        <v>22</v>
      </c>
      <c r="D13" s="259" t="s">
        <v>335</v>
      </c>
      <c r="E13" s="259">
        <v>2201</v>
      </c>
      <c r="F13" s="267" t="s">
        <v>2718</v>
      </c>
      <c r="G13" s="268" t="s">
        <v>70</v>
      </c>
      <c r="H13" s="267" t="s">
        <v>2719</v>
      </c>
      <c r="I13" s="263">
        <v>2201062</v>
      </c>
      <c r="J13" s="267" t="s">
        <v>338</v>
      </c>
      <c r="K13" s="268" t="s">
        <v>70</v>
      </c>
      <c r="L13" s="267" t="s">
        <v>2720</v>
      </c>
      <c r="M13" s="259">
        <v>220106200</v>
      </c>
      <c r="N13" s="267" t="s">
        <v>340</v>
      </c>
      <c r="O13" s="259">
        <v>15</v>
      </c>
      <c r="P13" s="259">
        <v>0</v>
      </c>
      <c r="Q13" s="259">
        <f t="shared" si="0"/>
        <v>15</v>
      </c>
      <c r="R13" s="251" t="s">
        <v>2721</v>
      </c>
      <c r="S13" s="252" t="s">
        <v>2722</v>
      </c>
      <c r="T13" s="787">
        <f>SUM($X$13:$X$14)/SUM($X$13:$X$14)</f>
        <v>1</v>
      </c>
      <c r="U13" s="252" t="s">
        <v>2723</v>
      </c>
      <c r="V13" s="252" t="s">
        <v>2724</v>
      </c>
      <c r="W13" s="252" t="s">
        <v>2725</v>
      </c>
      <c r="X13" s="269">
        <v>1548283800</v>
      </c>
      <c r="Y13" s="269"/>
      <c r="Z13" s="269"/>
      <c r="AA13" s="269"/>
      <c r="AB13" s="269"/>
      <c r="AC13" s="270" t="s">
        <v>2726</v>
      </c>
      <c r="AD13" s="252" t="s">
        <v>2727</v>
      </c>
      <c r="AE13" s="253">
        <v>3</v>
      </c>
      <c r="AF13" s="253" t="s">
        <v>2712</v>
      </c>
      <c r="AG13" s="271">
        <v>295972</v>
      </c>
      <c r="AH13" s="271">
        <v>285580</v>
      </c>
      <c r="AI13" s="271">
        <v>135545</v>
      </c>
      <c r="AJ13" s="271">
        <v>44254</v>
      </c>
      <c r="AK13" s="271">
        <v>309146</v>
      </c>
      <c r="AL13" s="271">
        <v>92607</v>
      </c>
      <c r="AM13" s="271">
        <v>2145</v>
      </c>
      <c r="AN13" s="271">
        <v>12718</v>
      </c>
      <c r="AO13" s="271">
        <v>26</v>
      </c>
      <c r="AP13" s="271">
        <v>37</v>
      </c>
      <c r="AQ13" s="271" t="s">
        <v>285</v>
      </c>
      <c r="AR13" s="271" t="s">
        <v>285</v>
      </c>
      <c r="AS13" s="271">
        <v>44350</v>
      </c>
      <c r="AT13" s="271">
        <v>21944</v>
      </c>
      <c r="AU13" s="271">
        <v>75687</v>
      </c>
      <c r="AV13" s="271">
        <v>581552</v>
      </c>
      <c r="AW13" s="260">
        <v>45292</v>
      </c>
      <c r="AX13" s="260">
        <v>45657</v>
      </c>
      <c r="AY13" s="251" t="s">
        <v>2713</v>
      </c>
    </row>
    <row r="14" spans="1:69" ht="69.75" customHeight="1" x14ac:dyDescent="0.25">
      <c r="A14" s="262">
        <v>1</v>
      </c>
      <c r="B14" s="259" t="s">
        <v>315</v>
      </c>
      <c r="C14" s="259">
        <v>22</v>
      </c>
      <c r="D14" s="259" t="s">
        <v>335</v>
      </c>
      <c r="E14" s="259">
        <v>2201</v>
      </c>
      <c r="F14" s="267" t="s">
        <v>2718</v>
      </c>
      <c r="G14" s="268" t="s">
        <v>70</v>
      </c>
      <c r="H14" s="267" t="s">
        <v>2719</v>
      </c>
      <c r="I14" s="263">
        <v>2201062</v>
      </c>
      <c r="J14" s="267" t="s">
        <v>338</v>
      </c>
      <c r="K14" s="268" t="s">
        <v>70</v>
      </c>
      <c r="L14" s="267" t="s">
        <v>2720</v>
      </c>
      <c r="M14" s="259">
        <v>220106200</v>
      </c>
      <c r="N14" s="267" t="s">
        <v>340</v>
      </c>
      <c r="O14" s="259">
        <v>15</v>
      </c>
      <c r="P14" s="259">
        <v>0</v>
      </c>
      <c r="Q14" s="259">
        <f t="shared" si="0"/>
        <v>15</v>
      </c>
      <c r="R14" s="251" t="s">
        <v>2721</v>
      </c>
      <c r="S14" s="252" t="s">
        <v>2722</v>
      </c>
      <c r="T14" s="787">
        <f>SUM($X$13:$X$14)/SUM($X$13:$X$14)</f>
        <v>1</v>
      </c>
      <c r="U14" s="252" t="s">
        <v>2723</v>
      </c>
      <c r="V14" s="252" t="s">
        <v>2728</v>
      </c>
      <c r="W14" s="252" t="s">
        <v>2729</v>
      </c>
      <c r="X14" s="269">
        <v>663550200</v>
      </c>
      <c r="Y14" s="269"/>
      <c r="Z14" s="269"/>
      <c r="AA14" s="269"/>
      <c r="AB14" s="269"/>
      <c r="AC14" s="270" t="s">
        <v>2730</v>
      </c>
      <c r="AD14" s="252" t="s">
        <v>2731</v>
      </c>
      <c r="AE14" s="253">
        <v>3</v>
      </c>
      <c r="AF14" s="253" t="s">
        <v>2712</v>
      </c>
      <c r="AG14" s="271">
        <v>295972</v>
      </c>
      <c r="AH14" s="271">
        <v>285580</v>
      </c>
      <c r="AI14" s="271">
        <v>135545</v>
      </c>
      <c r="AJ14" s="271">
        <v>44254</v>
      </c>
      <c r="AK14" s="271">
        <v>309146</v>
      </c>
      <c r="AL14" s="271">
        <v>92607</v>
      </c>
      <c r="AM14" s="271">
        <v>2145</v>
      </c>
      <c r="AN14" s="271">
        <v>12718</v>
      </c>
      <c r="AO14" s="271">
        <v>26</v>
      </c>
      <c r="AP14" s="271">
        <v>37</v>
      </c>
      <c r="AQ14" s="271" t="s">
        <v>285</v>
      </c>
      <c r="AR14" s="271" t="s">
        <v>285</v>
      </c>
      <c r="AS14" s="271">
        <v>44350</v>
      </c>
      <c r="AT14" s="271">
        <v>21944</v>
      </c>
      <c r="AU14" s="271">
        <v>75687</v>
      </c>
      <c r="AV14" s="271">
        <v>581552</v>
      </c>
      <c r="AW14" s="260">
        <v>45292</v>
      </c>
      <c r="AX14" s="260">
        <v>45657</v>
      </c>
      <c r="AY14" s="251" t="s">
        <v>2713</v>
      </c>
    </row>
    <row r="15" spans="1:69" ht="69.75" customHeight="1" x14ac:dyDescent="0.25">
      <c r="A15" s="259">
        <v>3</v>
      </c>
      <c r="B15" s="259" t="s">
        <v>2843</v>
      </c>
      <c r="C15" s="259">
        <v>24</v>
      </c>
      <c r="D15" s="259" t="s">
        <v>404</v>
      </c>
      <c r="E15" s="259">
        <v>2402</v>
      </c>
      <c r="F15" s="267" t="s">
        <v>405</v>
      </c>
      <c r="G15" s="268" t="s">
        <v>70</v>
      </c>
      <c r="H15" s="267" t="s">
        <v>2732</v>
      </c>
      <c r="I15" s="263">
        <v>2402041</v>
      </c>
      <c r="J15" s="267" t="s">
        <v>407</v>
      </c>
      <c r="K15" s="268" t="s">
        <v>70</v>
      </c>
      <c r="L15" s="267" t="s">
        <v>2733</v>
      </c>
      <c r="M15" s="259">
        <v>240204100</v>
      </c>
      <c r="N15" s="267" t="s">
        <v>409</v>
      </c>
      <c r="O15" s="259">
        <v>30</v>
      </c>
      <c r="P15" s="259">
        <v>0</v>
      </c>
      <c r="Q15" s="259">
        <f t="shared" si="0"/>
        <v>30</v>
      </c>
      <c r="R15" s="251" t="s">
        <v>2734</v>
      </c>
      <c r="S15" s="252" t="s">
        <v>2735</v>
      </c>
      <c r="T15" s="787">
        <f>SUM($X$15:$X$16)/SUM($X$15:$X$16)</f>
        <v>1</v>
      </c>
      <c r="U15" s="252" t="s">
        <v>2736</v>
      </c>
      <c r="V15" s="252" t="s">
        <v>2737</v>
      </c>
      <c r="W15" s="252" t="s">
        <v>2738</v>
      </c>
      <c r="X15" s="269">
        <v>700336700</v>
      </c>
      <c r="Y15" s="269"/>
      <c r="Z15" s="269"/>
      <c r="AA15" s="269"/>
      <c r="AB15" s="269"/>
      <c r="AC15" s="270" t="s">
        <v>2739</v>
      </c>
      <c r="AD15" s="252" t="s">
        <v>2740</v>
      </c>
      <c r="AE15" s="253">
        <v>4</v>
      </c>
      <c r="AF15" s="253" t="s">
        <v>2741</v>
      </c>
      <c r="AG15" s="271">
        <v>295972</v>
      </c>
      <c r="AH15" s="271">
        <v>285580</v>
      </c>
      <c r="AI15" s="271">
        <v>135545</v>
      </c>
      <c r="AJ15" s="271">
        <v>44254</v>
      </c>
      <c r="AK15" s="271">
        <v>309146</v>
      </c>
      <c r="AL15" s="271">
        <v>92607</v>
      </c>
      <c r="AM15" s="271">
        <v>2145</v>
      </c>
      <c r="AN15" s="271">
        <v>12718</v>
      </c>
      <c r="AO15" s="271">
        <v>26</v>
      </c>
      <c r="AP15" s="271">
        <v>37</v>
      </c>
      <c r="AQ15" s="271" t="s">
        <v>285</v>
      </c>
      <c r="AR15" s="271" t="s">
        <v>285</v>
      </c>
      <c r="AS15" s="271">
        <v>44350</v>
      </c>
      <c r="AT15" s="271">
        <v>21944</v>
      </c>
      <c r="AU15" s="271">
        <v>75687</v>
      </c>
      <c r="AV15" s="271">
        <v>581552</v>
      </c>
      <c r="AW15" s="260">
        <v>45292</v>
      </c>
      <c r="AX15" s="260">
        <v>45657</v>
      </c>
      <c r="AY15" s="251" t="s">
        <v>2713</v>
      </c>
    </row>
    <row r="16" spans="1:69" ht="69.75" customHeight="1" x14ac:dyDescent="0.25">
      <c r="A16" s="259">
        <v>3</v>
      </c>
      <c r="B16" s="259" t="s">
        <v>2843</v>
      </c>
      <c r="C16" s="259">
        <v>24</v>
      </c>
      <c r="D16" s="259" t="s">
        <v>404</v>
      </c>
      <c r="E16" s="259">
        <v>2402</v>
      </c>
      <c r="F16" s="267" t="s">
        <v>405</v>
      </c>
      <c r="G16" s="268" t="s">
        <v>70</v>
      </c>
      <c r="H16" s="267" t="s">
        <v>2732</v>
      </c>
      <c r="I16" s="263">
        <v>2402041</v>
      </c>
      <c r="J16" s="267" t="s">
        <v>407</v>
      </c>
      <c r="K16" s="268" t="s">
        <v>70</v>
      </c>
      <c r="L16" s="267" t="s">
        <v>2733</v>
      </c>
      <c r="M16" s="259">
        <v>240204100</v>
      </c>
      <c r="N16" s="267" t="s">
        <v>409</v>
      </c>
      <c r="O16" s="259">
        <v>30</v>
      </c>
      <c r="P16" s="259">
        <v>0</v>
      </c>
      <c r="Q16" s="259">
        <f t="shared" si="0"/>
        <v>30</v>
      </c>
      <c r="R16" s="251" t="s">
        <v>2734</v>
      </c>
      <c r="S16" s="252" t="s">
        <v>2735</v>
      </c>
      <c r="T16" s="787">
        <f>SUM($X$15:$X$16)/SUM($X$15:$X$16)</f>
        <v>1</v>
      </c>
      <c r="U16" s="252" t="s">
        <v>2736</v>
      </c>
      <c r="V16" s="252" t="s">
        <v>2742</v>
      </c>
      <c r="W16" s="252" t="s">
        <v>2743</v>
      </c>
      <c r="X16" s="269">
        <v>300144300</v>
      </c>
      <c r="Y16" s="269"/>
      <c r="Z16" s="269"/>
      <c r="AA16" s="269"/>
      <c r="AB16" s="269"/>
      <c r="AC16" s="270" t="s">
        <v>2744</v>
      </c>
      <c r="AD16" s="252" t="s">
        <v>2745</v>
      </c>
      <c r="AE16" s="253">
        <v>4</v>
      </c>
      <c r="AF16" s="253" t="s">
        <v>2741</v>
      </c>
      <c r="AG16" s="271">
        <v>295972</v>
      </c>
      <c r="AH16" s="271">
        <v>285580</v>
      </c>
      <c r="AI16" s="271">
        <v>135545</v>
      </c>
      <c r="AJ16" s="271">
        <v>44254</v>
      </c>
      <c r="AK16" s="271">
        <v>309146</v>
      </c>
      <c r="AL16" s="271">
        <v>92607</v>
      </c>
      <c r="AM16" s="271">
        <v>2145</v>
      </c>
      <c r="AN16" s="271">
        <v>12718</v>
      </c>
      <c r="AO16" s="271">
        <v>26</v>
      </c>
      <c r="AP16" s="271">
        <v>37</v>
      </c>
      <c r="AQ16" s="271" t="s">
        <v>285</v>
      </c>
      <c r="AR16" s="271" t="s">
        <v>285</v>
      </c>
      <c r="AS16" s="271">
        <v>44350</v>
      </c>
      <c r="AT16" s="271">
        <v>21944</v>
      </c>
      <c r="AU16" s="271">
        <v>75687</v>
      </c>
      <c r="AV16" s="271">
        <v>581552</v>
      </c>
      <c r="AW16" s="260">
        <v>45292</v>
      </c>
      <c r="AX16" s="260">
        <v>45657</v>
      </c>
      <c r="AY16" s="251" t="s">
        <v>2713</v>
      </c>
    </row>
    <row r="17" spans="1:51" ht="69.75" customHeight="1" x14ac:dyDescent="0.25">
      <c r="A17" s="259">
        <v>3</v>
      </c>
      <c r="B17" s="259" t="s">
        <v>2843</v>
      </c>
      <c r="C17" s="259">
        <v>40</v>
      </c>
      <c r="D17" s="259" t="s">
        <v>462</v>
      </c>
      <c r="E17" s="259">
        <v>4001</v>
      </c>
      <c r="F17" s="267" t="s">
        <v>452</v>
      </c>
      <c r="G17" s="268" t="s">
        <v>70</v>
      </c>
      <c r="H17" s="267" t="s">
        <v>2746</v>
      </c>
      <c r="I17" s="259">
        <v>4001001</v>
      </c>
      <c r="J17" s="267" t="s">
        <v>2746</v>
      </c>
      <c r="K17" s="268" t="s">
        <v>70</v>
      </c>
      <c r="L17" s="267" t="s">
        <v>2747</v>
      </c>
      <c r="M17" s="259">
        <v>400100100</v>
      </c>
      <c r="N17" s="267" t="s">
        <v>2747</v>
      </c>
      <c r="O17" s="259">
        <v>3</v>
      </c>
      <c r="P17" s="259">
        <v>0</v>
      </c>
      <c r="Q17" s="259">
        <f t="shared" si="0"/>
        <v>3</v>
      </c>
      <c r="R17" s="251" t="s">
        <v>2748</v>
      </c>
      <c r="S17" s="252" t="s">
        <v>2749</v>
      </c>
      <c r="T17" s="787">
        <f>SUM(X17)/SUM($X$17:$X$22)</f>
        <v>5.9395248380129592E-2</v>
      </c>
      <c r="U17" s="252" t="s">
        <v>2750</v>
      </c>
      <c r="V17" s="252" t="s">
        <v>2751</v>
      </c>
      <c r="W17" s="252" t="s">
        <v>2747</v>
      </c>
      <c r="X17" s="269">
        <v>55000000</v>
      </c>
      <c r="Y17" s="269"/>
      <c r="Z17" s="269"/>
      <c r="AA17" s="269"/>
      <c r="AB17" s="269"/>
      <c r="AC17" s="270" t="s">
        <v>2752</v>
      </c>
      <c r="AD17" s="252" t="s">
        <v>2753</v>
      </c>
      <c r="AE17" s="253">
        <v>4</v>
      </c>
      <c r="AF17" s="253" t="s">
        <v>2741</v>
      </c>
      <c r="AG17" s="271">
        <v>295972</v>
      </c>
      <c r="AH17" s="271">
        <v>285580</v>
      </c>
      <c r="AI17" s="271">
        <v>135545</v>
      </c>
      <c r="AJ17" s="271">
        <v>44254</v>
      </c>
      <c r="AK17" s="271">
        <v>309146</v>
      </c>
      <c r="AL17" s="271">
        <v>92607</v>
      </c>
      <c r="AM17" s="271">
        <v>2145</v>
      </c>
      <c r="AN17" s="271">
        <v>12718</v>
      </c>
      <c r="AO17" s="271">
        <v>26</v>
      </c>
      <c r="AP17" s="271">
        <v>37</v>
      </c>
      <c r="AQ17" s="271" t="s">
        <v>285</v>
      </c>
      <c r="AR17" s="271" t="s">
        <v>285</v>
      </c>
      <c r="AS17" s="271">
        <v>44350</v>
      </c>
      <c r="AT17" s="271">
        <v>21944</v>
      </c>
      <c r="AU17" s="271">
        <v>75687</v>
      </c>
      <c r="AV17" s="271">
        <v>581552</v>
      </c>
      <c r="AW17" s="260">
        <v>45292</v>
      </c>
      <c r="AX17" s="260">
        <v>45657</v>
      </c>
      <c r="AY17" s="251" t="s">
        <v>2713</v>
      </c>
    </row>
    <row r="18" spans="1:51" ht="69.75" customHeight="1" x14ac:dyDescent="0.25">
      <c r="A18" s="259">
        <v>3</v>
      </c>
      <c r="B18" s="259" t="s">
        <v>2843</v>
      </c>
      <c r="C18" s="259">
        <v>40</v>
      </c>
      <c r="D18" s="259" t="s">
        <v>462</v>
      </c>
      <c r="E18" s="259">
        <v>4001</v>
      </c>
      <c r="F18" s="267" t="s">
        <v>452</v>
      </c>
      <c r="G18" s="268" t="s">
        <v>70</v>
      </c>
      <c r="H18" s="267" t="s">
        <v>2754</v>
      </c>
      <c r="I18" s="259">
        <v>4001018</v>
      </c>
      <c r="J18" s="267" t="s">
        <v>2754</v>
      </c>
      <c r="K18" s="268" t="s">
        <v>70</v>
      </c>
      <c r="L18" s="267" t="s">
        <v>2755</v>
      </c>
      <c r="M18" s="259">
        <v>400101800</v>
      </c>
      <c r="N18" s="267" t="s">
        <v>2755</v>
      </c>
      <c r="O18" s="259">
        <v>75</v>
      </c>
      <c r="P18" s="259">
        <v>0</v>
      </c>
      <c r="Q18" s="259">
        <f t="shared" si="0"/>
        <v>75</v>
      </c>
      <c r="R18" s="251" t="s">
        <v>2748</v>
      </c>
      <c r="S18" s="252" t="s">
        <v>2749</v>
      </c>
      <c r="T18" s="787">
        <f>SUM($X$18:$X$19)/SUM($X$17:$X$22)</f>
        <v>0.43196544276457882</v>
      </c>
      <c r="U18" s="252" t="s">
        <v>2750</v>
      </c>
      <c r="V18" s="252" t="s">
        <v>2751</v>
      </c>
      <c r="W18" s="252" t="s">
        <v>2755</v>
      </c>
      <c r="X18" s="269">
        <v>280000000</v>
      </c>
      <c r="Y18" s="269"/>
      <c r="Z18" s="269"/>
      <c r="AA18" s="269"/>
      <c r="AB18" s="269">
        <f>X18+Y18-Z18-AA18</f>
        <v>280000000</v>
      </c>
      <c r="AC18" s="270" t="s">
        <v>2756</v>
      </c>
      <c r="AD18" s="252" t="s">
        <v>2757</v>
      </c>
      <c r="AE18" s="253">
        <v>3</v>
      </c>
      <c r="AF18" s="253" t="s">
        <v>2712</v>
      </c>
      <c r="AG18" s="271">
        <v>295972</v>
      </c>
      <c r="AH18" s="271">
        <v>285580</v>
      </c>
      <c r="AI18" s="271">
        <v>135545</v>
      </c>
      <c r="AJ18" s="271">
        <v>44254</v>
      </c>
      <c r="AK18" s="271">
        <v>309146</v>
      </c>
      <c r="AL18" s="271">
        <v>92607</v>
      </c>
      <c r="AM18" s="271">
        <v>2145</v>
      </c>
      <c r="AN18" s="271">
        <v>12718</v>
      </c>
      <c r="AO18" s="271">
        <v>26</v>
      </c>
      <c r="AP18" s="271">
        <v>37</v>
      </c>
      <c r="AQ18" s="271" t="s">
        <v>285</v>
      </c>
      <c r="AR18" s="271" t="s">
        <v>285</v>
      </c>
      <c r="AS18" s="271">
        <v>44350</v>
      </c>
      <c r="AT18" s="271">
        <v>21944</v>
      </c>
      <c r="AU18" s="271">
        <v>75687</v>
      </c>
      <c r="AV18" s="271">
        <v>581552</v>
      </c>
      <c r="AW18" s="260">
        <v>45292</v>
      </c>
      <c r="AX18" s="260">
        <v>45657</v>
      </c>
      <c r="AY18" s="251" t="s">
        <v>2713</v>
      </c>
    </row>
    <row r="19" spans="1:51" ht="69.75" customHeight="1" x14ac:dyDescent="0.25">
      <c r="A19" s="259">
        <v>3</v>
      </c>
      <c r="B19" s="259" t="s">
        <v>2843</v>
      </c>
      <c r="C19" s="259">
        <v>40</v>
      </c>
      <c r="D19" s="259" t="s">
        <v>462</v>
      </c>
      <c r="E19" s="259">
        <v>4001</v>
      </c>
      <c r="F19" s="267" t="s">
        <v>452</v>
      </c>
      <c r="G19" s="268" t="s">
        <v>70</v>
      </c>
      <c r="H19" s="267" t="s">
        <v>2754</v>
      </c>
      <c r="I19" s="259">
        <v>4001018</v>
      </c>
      <c r="J19" s="267" t="s">
        <v>2754</v>
      </c>
      <c r="K19" s="268" t="s">
        <v>70</v>
      </c>
      <c r="L19" s="267" t="s">
        <v>2755</v>
      </c>
      <c r="M19" s="259">
        <v>400101800</v>
      </c>
      <c r="N19" s="267" t="s">
        <v>2755</v>
      </c>
      <c r="O19" s="259">
        <v>75</v>
      </c>
      <c r="P19" s="259">
        <v>0</v>
      </c>
      <c r="Q19" s="259">
        <f t="shared" si="0"/>
        <v>75</v>
      </c>
      <c r="R19" s="251" t="s">
        <v>2748</v>
      </c>
      <c r="S19" s="252" t="s">
        <v>2749</v>
      </c>
      <c r="T19" s="787">
        <f>SUM($X$18:$X$19)/SUM($X$17:$X$22)</f>
        <v>0.43196544276457882</v>
      </c>
      <c r="U19" s="252" t="s">
        <v>2750</v>
      </c>
      <c r="V19" s="252" t="s">
        <v>2751</v>
      </c>
      <c r="W19" s="252" t="s">
        <v>2715</v>
      </c>
      <c r="X19" s="269">
        <v>120000000</v>
      </c>
      <c r="Y19" s="269"/>
      <c r="Z19" s="269"/>
      <c r="AA19" s="269"/>
      <c r="AB19" s="269"/>
      <c r="AC19" s="270" t="s">
        <v>2758</v>
      </c>
      <c r="AD19" s="252" t="s">
        <v>2759</v>
      </c>
      <c r="AE19" s="253">
        <v>3</v>
      </c>
      <c r="AF19" s="253" t="s">
        <v>2712</v>
      </c>
      <c r="AG19" s="271">
        <v>295972</v>
      </c>
      <c r="AH19" s="271">
        <v>285580</v>
      </c>
      <c r="AI19" s="271">
        <v>135545</v>
      </c>
      <c r="AJ19" s="271">
        <v>44254</v>
      </c>
      <c r="AK19" s="271">
        <v>309146</v>
      </c>
      <c r="AL19" s="271">
        <v>92607</v>
      </c>
      <c r="AM19" s="271">
        <v>2145</v>
      </c>
      <c r="AN19" s="271">
        <v>12718</v>
      </c>
      <c r="AO19" s="271">
        <v>26</v>
      </c>
      <c r="AP19" s="271">
        <v>37</v>
      </c>
      <c r="AQ19" s="271" t="s">
        <v>285</v>
      </c>
      <c r="AR19" s="271" t="s">
        <v>285</v>
      </c>
      <c r="AS19" s="271">
        <v>44350</v>
      </c>
      <c r="AT19" s="271">
        <v>21944</v>
      </c>
      <c r="AU19" s="271">
        <v>75687</v>
      </c>
      <c r="AV19" s="271">
        <v>581552</v>
      </c>
      <c r="AW19" s="260">
        <v>45292</v>
      </c>
      <c r="AX19" s="260">
        <v>45657</v>
      </c>
      <c r="AY19" s="251" t="s">
        <v>2713</v>
      </c>
    </row>
    <row r="20" spans="1:51" ht="69.75" customHeight="1" x14ac:dyDescent="0.25">
      <c r="A20" s="259">
        <v>3</v>
      </c>
      <c r="B20" s="259" t="s">
        <v>2843</v>
      </c>
      <c r="C20" s="259">
        <v>40</v>
      </c>
      <c r="D20" s="259" t="s">
        <v>462</v>
      </c>
      <c r="E20" s="259">
        <v>4001</v>
      </c>
      <c r="F20" s="267" t="s">
        <v>452</v>
      </c>
      <c r="G20" s="268" t="s">
        <v>70</v>
      </c>
      <c r="H20" s="267" t="s">
        <v>2760</v>
      </c>
      <c r="I20" s="259">
        <v>4001030</v>
      </c>
      <c r="J20" s="267" t="s">
        <v>2760</v>
      </c>
      <c r="K20" s="268" t="s">
        <v>70</v>
      </c>
      <c r="L20" s="267" t="s">
        <v>487</v>
      </c>
      <c r="M20" s="259">
        <v>400103000</v>
      </c>
      <c r="N20" s="267" t="s">
        <v>487</v>
      </c>
      <c r="O20" s="259">
        <v>3</v>
      </c>
      <c r="P20" s="259">
        <v>0</v>
      </c>
      <c r="Q20" s="259">
        <f t="shared" si="0"/>
        <v>3</v>
      </c>
      <c r="R20" s="251" t="s">
        <v>2748</v>
      </c>
      <c r="S20" s="252" t="s">
        <v>2749</v>
      </c>
      <c r="T20" s="787">
        <f>(X20)/SUM(X17:X22)</f>
        <v>0.18466522678185746</v>
      </c>
      <c r="U20" s="252" t="s">
        <v>2750</v>
      </c>
      <c r="V20" s="252" t="s">
        <v>2761</v>
      </c>
      <c r="W20" s="252" t="s">
        <v>487</v>
      </c>
      <c r="X20" s="269">
        <v>171000000</v>
      </c>
      <c r="Y20" s="269"/>
      <c r="Z20" s="269"/>
      <c r="AA20" s="269"/>
      <c r="AB20" s="269"/>
      <c r="AC20" s="270" t="s">
        <v>2762</v>
      </c>
      <c r="AD20" s="252" t="s">
        <v>2763</v>
      </c>
      <c r="AE20" s="253">
        <v>4</v>
      </c>
      <c r="AF20" s="253" t="s">
        <v>2741</v>
      </c>
      <c r="AG20" s="271">
        <v>295972</v>
      </c>
      <c r="AH20" s="271">
        <v>285580</v>
      </c>
      <c r="AI20" s="271">
        <v>135545</v>
      </c>
      <c r="AJ20" s="271">
        <v>44254</v>
      </c>
      <c r="AK20" s="271">
        <v>309146</v>
      </c>
      <c r="AL20" s="271">
        <v>92607</v>
      </c>
      <c r="AM20" s="271">
        <v>2145</v>
      </c>
      <c r="AN20" s="271">
        <v>12718</v>
      </c>
      <c r="AO20" s="271">
        <v>26</v>
      </c>
      <c r="AP20" s="271">
        <v>37</v>
      </c>
      <c r="AQ20" s="271" t="s">
        <v>285</v>
      </c>
      <c r="AR20" s="271" t="s">
        <v>285</v>
      </c>
      <c r="AS20" s="271">
        <v>44350</v>
      </c>
      <c r="AT20" s="271">
        <v>21944</v>
      </c>
      <c r="AU20" s="271">
        <v>75687</v>
      </c>
      <c r="AV20" s="271">
        <v>581552</v>
      </c>
      <c r="AW20" s="260">
        <v>45292</v>
      </c>
      <c r="AX20" s="260">
        <v>45657</v>
      </c>
      <c r="AY20" s="251" t="s">
        <v>2713</v>
      </c>
    </row>
    <row r="21" spans="1:51" ht="69.75" customHeight="1" x14ac:dyDescent="0.25">
      <c r="A21" s="259">
        <v>3</v>
      </c>
      <c r="B21" s="259" t="s">
        <v>2843</v>
      </c>
      <c r="C21" s="259">
        <v>40</v>
      </c>
      <c r="D21" s="259" t="s">
        <v>462</v>
      </c>
      <c r="E21" s="259">
        <v>4001</v>
      </c>
      <c r="F21" s="267" t="s">
        <v>452</v>
      </c>
      <c r="G21" s="268" t="s">
        <v>70</v>
      </c>
      <c r="H21" s="267" t="s">
        <v>455</v>
      </c>
      <c r="I21" s="259">
        <v>4001015</v>
      </c>
      <c r="J21" s="267" t="s">
        <v>455</v>
      </c>
      <c r="K21" s="268" t="s">
        <v>70</v>
      </c>
      <c r="L21" s="267" t="s">
        <v>455</v>
      </c>
      <c r="M21" s="259">
        <v>400101500</v>
      </c>
      <c r="N21" s="267" t="s">
        <v>455</v>
      </c>
      <c r="O21" s="259">
        <v>75</v>
      </c>
      <c r="P21" s="259">
        <v>0</v>
      </c>
      <c r="Q21" s="259">
        <f t="shared" si="0"/>
        <v>75</v>
      </c>
      <c r="R21" s="251" t="s">
        <v>2748</v>
      </c>
      <c r="S21" s="252" t="s">
        <v>2749</v>
      </c>
      <c r="T21" s="787">
        <f>SUM($X$21:$X$22)/SUM($X$17:$X$22)</f>
        <v>0.32397408207343414</v>
      </c>
      <c r="U21" s="252" t="s">
        <v>2750</v>
      </c>
      <c r="V21" s="252" t="s">
        <v>2761</v>
      </c>
      <c r="W21" s="252" t="s">
        <v>455</v>
      </c>
      <c r="X21" s="269">
        <v>210000000</v>
      </c>
      <c r="Y21" s="269"/>
      <c r="Z21" s="269"/>
      <c r="AA21" s="269"/>
      <c r="AB21" s="269"/>
      <c r="AC21" s="270" t="s">
        <v>2764</v>
      </c>
      <c r="AD21" s="252" t="s">
        <v>2765</v>
      </c>
      <c r="AE21" s="253">
        <v>3</v>
      </c>
      <c r="AF21" s="253" t="s">
        <v>2712</v>
      </c>
      <c r="AG21" s="271">
        <v>295972</v>
      </c>
      <c r="AH21" s="271">
        <v>285580</v>
      </c>
      <c r="AI21" s="271">
        <v>135545</v>
      </c>
      <c r="AJ21" s="271">
        <v>44254</v>
      </c>
      <c r="AK21" s="271">
        <v>309146</v>
      </c>
      <c r="AL21" s="271">
        <v>92607</v>
      </c>
      <c r="AM21" s="271">
        <v>2145</v>
      </c>
      <c r="AN21" s="271">
        <v>12718</v>
      </c>
      <c r="AO21" s="271">
        <v>26</v>
      </c>
      <c r="AP21" s="271">
        <v>37</v>
      </c>
      <c r="AQ21" s="271" t="s">
        <v>285</v>
      </c>
      <c r="AR21" s="271" t="s">
        <v>285</v>
      </c>
      <c r="AS21" s="271">
        <v>44350</v>
      </c>
      <c r="AT21" s="271">
        <v>21944</v>
      </c>
      <c r="AU21" s="271">
        <v>75687</v>
      </c>
      <c r="AV21" s="271">
        <v>581552</v>
      </c>
      <c r="AW21" s="260">
        <v>45292</v>
      </c>
      <c r="AX21" s="260">
        <v>45657</v>
      </c>
      <c r="AY21" s="251" t="s">
        <v>2713</v>
      </c>
    </row>
    <row r="22" spans="1:51" ht="69.75" customHeight="1" x14ac:dyDescent="0.25">
      <c r="A22" s="259">
        <v>3</v>
      </c>
      <c r="B22" s="259" t="s">
        <v>2843</v>
      </c>
      <c r="C22" s="259">
        <v>40</v>
      </c>
      <c r="D22" s="259" t="s">
        <v>462</v>
      </c>
      <c r="E22" s="259">
        <v>4001</v>
      </c>
      <c r="F22" s="267" t="s">
        <v>452</v>
      </c>
      <c r="G22" s="268" t="s">
        <v>70</v>
      </c>
      <c r="H22" s="267" t="s">
        <v>455</v>
      </c>
      <c r="I22" s="259">
        <v>4001015</v>
      </c>
      <c r="J22" s="267" t="s">
        <v>455</v>
      </c>
      <c r="K22" s="268" t="s">
        <v>70</v>
      </c>
      <c r="L22" s="267" t="s">
        <v>455</v>
      </c>
      <c r="M22" s="259">
        <v>400101500</v>
      </c>
      <c r="N22" s="267" t="s">
        <v>455</v>
      </c>
      <c r="O22" s="259">
        <v>75</v>
      </c>
      <c r="P22" s="259">
        <v>0</v>
      </c>
      <c r="Q22" s="259">
        <f t="shared" si="0"/>
        <v>75</v>
      </c>
      <c r="R22" s="251" t="s">
        <v>2748</v>
      </c>
      <c r="S22" s="252" t="s">
        <v>2749</v>
      </c>
      <c r="T22" s="787">
        <f>SUM($X$21:$X$22)/SUM($X$17:$X$22)</f>
        <v>0.32397408207343414</v>
      </c>
      <c r="U22" s="252" t="s">
        <v>2750</v>
      </c>
      <c r="V22" s="252" t="s">
        <v>2761</v>
      </c>
      <c r="W22" s="252" t="s">
        <v>2743</v>
      </c>
      <c r="X22" s="269">
        <v>90000000</v>
      </c>
      <c r="Y22" s="269"/>
      <c r="Z22" s="269"/>
      <c r="AA22" s="269"/>
      <c r="AB22" s="269"/>
      <c r="AC22" s="270" t="s">
        <v>2766</v>
      </c>
      <c r="AD22" s="252" t="s">
        <v>2767</v>
      </c>
      <c r="AE22" s="253">
        <v>3</v>
      </c>
      <c r="AF22" s="253" t="s">
        <v>2712</v>
      </c>
      <c r="AG22" s="271">
        <v>295972</v>
      </c>
      <c r="AH22" s="271">
        <v>285580</v>
      </c>
      <c r="AI22" s="271">
        <v>135545</v>
      </c>
      <c r="AJ22" s="271">
        <v>44254</v>
      </c>
      <c r="AK22" s="271">
        <v>309146</v>
      </c>
      <c r="AL22" s="271">
        <v>92607</v>
      </c>
      <c r="AM22" s="271">
        <v>2145</v>
      </c>
      <c r="AN22" s="271">
        <v>12718</v>
      </c>
      <c r="AO22" s="271">
        <v>26</v>
      </c>
      <c r="AP22" s="271">
        <v>37</v>
      </c>
      <c r="AQ22" s="271" t="s">
        <v>285</v>
      </c>
      <c r="AR22" s="271" t="s">
        <v>285</v>
      </c>
      <c r="AS22" s="271">
        <v>44350</v>
      </c>
      <c r="AT22" s="271">
        <v>21944</v>
      </c>
      <c r="AU22" s="271">
        <v>75687</v>
      </c>
      <c r="AV22" s="271">
        <v>581552</v>
      </c>
      <c r="AW22" s="260">
        <v>45292</v>
      </c>
      <c r="AX22" s="260">
        <v>45657</v>
      </c>
      <c r="AY22" s="251" t="s">
        <v>2713</v>
      </c>
    </row>
    <row r="23" spans="1:51" ht="69.75" customHeight="1" x14ac:dyDescent="0.25">
      <c r="A23" s="272">
        <v>4</v>
      </c>
      <c r="B23" s="259" t="s">
        <v>124</v>
      </c>
      <c r="C23" s="261">
        <v>45</v>
      </c>
      <c r="D23" s="265" t="s">
        <v>68</v>
      </c>
      <c r="E23" s="272">
        <v>4001</v>
      </c>
      <c r="F23" s="264" t="s">
        <v>276</v>
      </c>
      <c r="G23" s="261" t="s">
        <v>70</v>
      </c>
      <c r="H23" s="267" t="s">
        <v>340</v>
      </c>
      <c r="I23" s="273" t="s">
        <v>496</v>
      </c>
      <c r="J23" s="267" t="s">
        <v>340</v>
      </c>
      <c r="K23" s="274" t="s">
        <v>70</v>
      </c>
      <c r="L23" s="267" t="s">
        <v>340</v>
      </c>
      <c r="M23" s="273">
        <v>459901600</v>
      </c>
      <c r="N23" s="267" t="s">
        <v>340</v>
      </c>
      <c r="O23" s="272">
        <v>1</v>
      </c>
      <c r="P23" s="259">
        <v>0</v>
      </c>
      <c r="Q23" s="259">
        <f t="shared" si="0"/>
        <v>1</v>
      </c>
      <c r="R23" s="251" t="s">
        <v>2768</v>
      </c>
      <c r="S23" s="252" t="s">
        <v>2769</v>
      </c>
      <c r="T23" s="787">
        <f>SUM($X$23:$X$24)/SUM($X$23:$X$24)</f>
        <v>1</v>
      </c>
      <c r="U23" s="252" t="s">
        <v>499</v>
      </c>
      <c r="V23" s="252" t="s">
        <v>499</v>
      </c>
      <c r="W23" s="252" t="s">
        <v>2770</v>
      </c>
      <c r="X23" s="269">
        <v>350000000</v>
      </c>
      <c r="Y23" s="269"/>
      <c r="Z23" s="269"/>
      <c r="AA23" s="269"/>
      <c r="AB23" s="269"/>
      <c r="AC23" s="270" t="s">
        <v>2771</v>
      </c>
      <c r="AD23" s="252" t="s">
        <v>2772</v>
      </c>
      <c r="AE23" s="253">
        <v>4</v>
      </c>
      <c r="AF23" s="253" t="s">
        <v>2741</v>
      </c>
      <c r="AG23" s="271">
        <v>295972</v>
      </c>
      <c r="AH23" s="271">
        <v>285580</v>
      </c>
      <c r="AI23" s="271">
        <v>135545</v>
      </c>
      <c r="AJ23" s="271">
        <v>44254</v>
      </c>
      <c r="AK23" s="271">
        <v>309146</v>
      </c>
      <c r="AL23" s="271">
        <v>92607</v>
      </c>
      <c r="AM23" s="271">
        <v>2145</v>
      </c>
      <c r="AN23" s="271">
        <v>12718</v>
      </c>
      <c r="AO23" s="271">
        <v>26</v>
      </c>
      <c r="AP23" s="271">
        <v>37</v>
      </c>
      <c r="AQ23" s="271" t="s">
        <v>285</v>
      </c>
      <c r="AR23" s="271" t="s">
        <v>285</v>
      </c>
      <c r="AS23" s="271">
        <v>44350</v>
      </c>
      <c r="AT23" s="271">
        <v>21944</v>
      </c>
      <c r="AU23" s="271">
        <v>75687</v>
      </c>
      <c r="AV23" s="271">
        <v>581552</v>
      </c>
      <c r="AW23" s="260">
        <v>45292</v>
      </c>
      <c r="AX23" s="260">
        <v>45657</v>
      </c>
      <c r="AY23" s="251" t="s">
        <v>2713</v>
      </c>
    </row>
    <row r="24" spans="1:51" ht="69.75" customHeight="1" thickBot="1" x14ac:dyDescent="0.3">
      <c r="A24" s="272">
        <v>4</v>
      </c>
      <c r="B24" s="259" t="s">
        <v>124</v>
      </c>
      <c r="C24" s="261">
        <v>45</v>
      </c>
      <c r="D24" s="265" t="s">
        <v>68</v>
      </c>
      <c r="E24" s="272">
        <v>4001</v>
      </c>
      <c r="F24" s="264" t="s">
        <v>276</v>
      </c>
      <c r="G24" s="261" t="s">
        <v>70</v>
      </c>
      <c r="H24" s="267" t="s">
        <v>340</v>
      </c>
      <c r="I24" s="273" t="s">
        <v>496</v>
      </c>
      <c r="J24" s="267" t="s">
        <v>340</v>
      </c>
      <c r="K24" s="274" t="s">
        <v>70</v>
      </c>
      <c r="L24" s="267" t="s">
        <v>340</v>
      </c>
      <c r="M24" s="273">
        <v>459901600</v>
      </c>
      <c r="N24" s="267" t="s">
        <v>340</v>
      </c>
      <c r="O24" s="272">
        <v>1</v>
      </c>
      <c r="P24" s="259">
        <v>0</v>
      </c>
      <c r="Q24" s="259">
        <f t="shared" si="0"/>
        <v>1</v>
      </c>
      <c r="R24" s="251" t="s">
        <v>2768</v>
      </c>
      <c r="S24" s="252" t="s">
        <v>2769</v>
      </c>
      <c r="T24" s="787">
        <f>SUM($X$23:$X$24)/SUM($X$23:$X$24)</f>
        <v>1</v>
      </c>
      <c r="U24" s="252" t="s">
        <v>499</v>
      </c>
      <c r="V24" s="252" t="s">
        <v>499</v>
      </c>
      <c r="W24" s="252" t="s">
        <v>2773</v>
      </c>
      <c r="X24" s="269">
        <v>150000000</v>
      </c>
      <c r="Y24" s="269"/>
      <c r="Z24" s="269"/>
      <c r="AA24" s="269"/>
      <c r="AB24" s="269"/>
      <c r="AC24" s="270" t="s">
        <v>2774</v>
      </c>
      <c r="AD24" s="252" t="s">
        <v>2775</v>
      </c>
      <c r="AE24" s="253">
        <v>4</v>
      </c>
      <c r="AF24" s="253" t="s">
        <v>2741</v>
      </c>
      <c r="AG24" s="271">
        <v>295972</v>
      </c>
      <c r="AH24" s="271">
        <v>285580</v>
      </c>
      <c r="AI24" s="271">
        <v>135545</v>
      </c>
      <c r="AJ24" s="271">
        <v>44254</v>
      </c>
      <c r="AK24" s="271">
        <v>309146</v>
      </c>
      <c r="AL24" s="271">
        <v>92607</v>
      </c>
      <c r="AM24" s="271">
        <v>2145</v>
      </c>
      <c r="AN24" s="271">
        <v>12718</v>
      </c>
      <c r="AO24" s="271">
        <v>26</v>
      </c>
      <c r="AP24" s="271">
        <v>37</v>
      </c>
      <c r="AQ24" s="271" t="s">
        <v>285</v>
      </c>
      <c r="AR24" s="271" t="s">
        <v>285</v>
      </c>
      <c r="AS24" s="271">
        <v>44350</v>
      </c>
      <c r="AT24" s="271">
        <v>21944</v>
      </c>
      <c r="AU24" s="271">
        <v>75687</v>
      </c>
      <c r="AV24" s="271">
        <v>581552</v>
      </c>
      <c r="AW24" s="260">
        <v>45292</v>
      </c>
      <c r="AX24" s="260">
        <v>45657</v>
      </c>
      <c r="AY24" s="251" t="s">
        <v>2713</v>
      </c>
    </row>
    <row r="25" spans="1:51" ht="15.75" thickBot="1" x14ac:dyDescent="0.3">
      <c r="A25" s="254"/>
      <c r="B25" s="255"/>
      <c r="C25" s="255"/>
      <c r="D25" s="255"/>
      <c r="E25" s="255"/>
      <c r="F25" s="255"/>
      <c r="G25" s="255"/>
      <c r="H25" s="255"/>
      <c r="I25" s="255"/>
      <c r="J25" s="255"/>
      <c r="K25" s="255"/>
      <c r="L25" s="255"/>
      <c r="M25" s="255"/>
      <c r="N25" s="255"/>
      <c r="O25" s="255"/>
      <c r="P25" s="255"/>
      <c r="Q25" s="275"/>
      <c r="R25" s="255"/>
      <c r="S25" s="255"/>
      <c r="T25" s="255"/>
      <c r="U25" s="255"/>
      <c r="V25" s="255"/>
      <c r="W25" s="258" t="s">
        <v>25</v>
      </c>
      <c r="X25" s="276">
        <f>SUM(X11:X24)</f>
        <v>6238315000</v>
      </c>
      <c r="Y25" s="713"/>
      <c r="Z25" s="713"/>
      <c r="AA25" s="713"/>
      <c r="AB25" s="713"/>
      <c r="AC25" s="255"/>
      <c r="AD25" s="255"/>
      <c r="AE25" s="255"/>
      <c r="AF25" s="255"/>
      <c r="AG25" s="255"/>
      <c r="AH25" s="255"/>
      <c r="AI25" s="255"/>
      <c r="AJ25" s="255"/>
      <c r="AK25" s="255"/>
      <c r="AL25" s="255"/>
      <c r="AM25" s="255"/>
      <c r="AN25" s="255"/>
      <c r="AO25" s="255"/>
      <c r="AP25" s="255"/>
      <c r="AQ25" s="255"/>
      <c r="AR25" s="255"/>
      <c r="AS25" s="255"/>
      <c r="AT25" s="255"/>
      <c r="AU25" s="255"/>
      <c r="AV25" s="255"/>
      <c r="AW25" s="255"/>
      <c r="AX25" s="255"/>
      <c r="AY25" s="256"/>
    </row>
    <row r="26" spans="1:51" x14ac:dyDescent="0.25">
      <c r="A26" s="257"/>
      <c r="B26" s="257"/>
      <c r="C26" s="257"/>
      <c r="D26" s="257"/>
      <c r="E26" s="257"/>
      <c r="F26" s="257"/>
      <c r="G26" s="257"/>
      <c r="H26" s="257"/>
      <c r="I26" s="257"/>
      <c r="J26" s="257"/>
      <c r="K26" s="257"/>
      <c r="L26" s="257"/>
      <c r="M26" s="257"/>
      <c r="N26" s="257"/>
      <c r="O26" s="257"/>
      <c r="P26" s="257"/>
      <c r="Q26" s="277"/>
      <c r="R26" s="257"/>
      <c r="S26" s="257"/>
      <c r="T26" s="257"/>
      <c r="U26" s="257"/>
      <c r="V26" s="257"/>
      <c r="W26" s="257"/>
      <c r="X26" s="266">
        <f>SUBTOTAL(9,X11:X25)</f>
        <v>12476630000</v>
      </c>
      <c r="Y26" s="266"/>
      <c r="Z26" s="266"/>
      <c r="AA26" s="266"/>
      <c r="AB26" s="266"/>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row>
    <row r="30" spans="1:51" s="44" customFormat="1" ht="14.25" x14ac:dyDescent="0.2">
      <c r="Q30" s="63"/>
      <c r="AD30" s="48"/>
      <c r="AE30" s="48"/>
      <c r="AF30" s="48"/>
    </row>
    <row r="31" spans="1:51" s="44" customFormat="1" x14ac:dyDescent="0.25">
      <c r="O31" s="1014" t="s">
        <v>2776</v>
      </c>
      <c r="P31" s="1014"/>
      <c r="Q31" s="1014"/>
      <c r="R31" s="1014"/>
      <c r="S31" s="1014"/>
      <c r="AD31" s="48"/>
      <c r="AE31" s="48"/>
      <c r="AF31" s="48"/>
    </row>
    <row r="32" spans="1:51" s="44" customFormat="1" x14ac:dyDescent="0.25">
      <c r="O32" s="1014" t="s">
        <v>2777</v>
      </c>
      <c r="P32" s="1014"/>
      <c r="Q32" s="1014"/>
      <c r="R32" s="1014"/>
      <c r="S32" s="1014"/>
      <c r="AD32" s="48"/>
      <c r="AE32" s="48"/>
      <c r="AF32" s="48"/>
    </row>
    <row r="33" spans="9:32" s="44" customFormat="1" ht="14.25" x14ac:dyDescent="0.2">
      <c r="Q33" s="63"/>
      <c r="AD33" s="48"/>
      <c r="AE33" s="48"/>
      <c r="AF33" s="48"/>
    </row>
    <row r="34" spans="9:32" s="44" customFormat="1" ht="14.25" x14ac:dyDescent="0.2">
      <c r="Q34" s="63"/>
      <c r="AD34" s="48"/>
      <c r="AE34" s="48"/>
      <c r="AF34" s="48"/>
    </row>
    <row r="35" spans="9:32" s="44" customFormat="1" x14ac:dyDescent="0.2">
      <c r="I35" s="1005" t="s">
        <v>113</v>
      </c>
      <c r="J35" s="1005"/>
      <c r="K35" s="1006" t="s">
        <v>114</v>
      </c>
      <c r="L35" s="1007"/>
      <c r="M35" s="1006" t="s">
        <v>115</v>
      </c>
      <c r="N35" s="1007"/>
      <c r="Q35" s="63"/>
      <c r="AD35" s="48"/>
      <c r="AE35" s="48"/>
      <c r="AF35" s="48"/>
    </row>
    <row r="36" spans="9:32" s="44" customFormat="1" x14ac:dyDescent="0.2">
      <c r="I36" s="1005" t="s">
        <v>116</v>
      </c>
      <c r="J36" s="1005"/>
      <c r="K36" s="1006" t="s">
        <v>117</v>
      </c>
      <c r="L36" s="1007"/>
      <c r="M36" s="1005" t="s">
        <v>118</v>
      </c>
      <c r="N36" s="1005"/>
      <c r="Q36" s="63"/>
      <c r="AD36" s="48"/>
      <c r="AE36" s="48"/>
      <c r="AF36" s="48"/>
    </row>
    <row r="37" spans="9:32" s="44" customFormat="1" x14ac:dyDescent="0.2">
      <c r="I37" s="1005" t="s">
        <v>119</v>
      </c>
      <c r="J37" s="1005"/>
      <c r="K37" s="1006" t="s">
        <v>120</v>
      </c>
      <c r="L37" s="1007"/>
      <c r="M37" s="1005" t="s">
        <v>121</v>
      </c>
      <c r="N37" s="1005"/>
      <c r="Q37" s="63"/>
      <c r="AD37" s="48"/>
      <c r="AE37" s="48"/>
      <c r="AF37" s="48"/>
    </row>
  </sheetData>
  <autoFilter ref="A10:BQ25" xr:uid="{00000000-0001-0000-0800-000000000000}"/>
  <mergeCells count="33">
    <mergeCell ref="I36:J36"/>
    <mergeCell ref="K36:L36"/>
    <mergeCell ref="M36:N36"/>
    <mergeCell ref="I37:J37"/>
    <mergeCell ref="K37:L37"/>
    <mergeCell ref="M37:N37"/>
    <mergeCell ref="O31:S31"/>
    <mergeCell ref="I35:J35"/>
    <mergeCell ref="K35:L35"/>
    <mergeCell ref="M35:N35"/>
    <mergeCell ref="O8:Q9"/>
    <mergeCell ref="R8:X9"/>
    <mergeCell ref="O32:S32"/>
    <mergeCell ref="AW8:AW10"/>
    <mergeCell ref="AX8:AX10"/>
    <mergeCell ref="AY8:AY10"/>
    <mergeCell ref="AC9:AF9"/>
    <mergeCell ref="AG9:AH9"/>
    <mergeCell ref="AI9:AL9"/>
    <mergeCell ref="AM9:AR9"/>
    <mergeCell ref="AS9:AU9"/>
    <mergeCell ref="AV9:AV10"/>
    <mergeCell ref="AG8:AV8"/>
    <mergeCell ref="A1:B7"/>
    <mergeCell ref="C1:AW1"/>
    <mergeCell ref="C2:AW4"/>
    <mergeCell ref="C5:AW5"/>
    <mergeCell ref="C6:AW6"/>
    <mergeCell ref="A8:B9"/>
    <mergeCell ref="C8:D9"/>
    <mergeCell ref="E8:F9"/>
    <mergeCell ref="G8:J9"/>
    <mergeCell ref="K8:N9"/>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A1:BQ24"/>
  <sheetViews>
    <sheetView showGridLines="0" tabSelected="1" topLeftCell="N1" zoomScale="70" zoomScaleNormal="70" workbookViewId="0">
      <pane ySplit="10" topLeftCell="A11" activePane="bottomLeft" state="frozen"/>
      <selection activeCell="C1" sqref="C1"/>
      <selection pane="bottomLeft" activeCell="AB14" sqref="AB14"/>
    </sheetView>
  </sheetViews>
  <sheetFormatPr baseColWidth="10" defaultColWidth="11.42578125" defaultRowHeight="12.75" x14ac:dyDescent="0.2"/>
  <cols>
    <col min="1" max="1" width="10.28515625" style="81" customWidth="1"/>
    <col min="2" max="2" width="15.7109375" style="81" customWidth="1"/>
    <col min="3" max="5" width="11.42578125" style="81"/>
    <col min="6" max="6" width="18.140625" style="81" customWidth="1"/>
    <col min="7" max="7" width="11.42578125" style="81"/>
    <col min="8" max="8" width="25" style="81" customWidth="1"/>
    <col min="9" max="9" width="19.140625" style="81" customWidth="1"/>
    <col min="10" max="10" width="15.28515625" style="81" customWidth="1"/>
    <col min="11" max="11" width="16.140625" style="81" customWidth="1"/>
    <col min="12" max="12" width="14.85546875" style="81" customWidth="1"/>
    <col min="13" max="13" width="16.28515625" style="81" customWidth="1"/>
    <col min="14" max="14" width="15.7109375" style="81" customWidth="1"/>
    <col min="15" max="15" width="14.140625" style="81" customWidth="1"/>
    <col min="16" max="16" width="14.28515625" style="81" customWidth="1"/>
    <col min="17" max="17" width="11.42578125" style="81"/>
    <col min="18" max="18" width="16.42578125" style="81" customWidth="1"/>
    <col min="19" max="19" width="20.28515625" style="81" customWidth="1"/>
    <col min="20" max="20" width="11.42578125" style="81"/>
    <col min="21" max="21" width="32.28515625" style="81" customWidth="1"/>
    <col min="22" max="22" width="23.140625" style="81" customWidth="1"/>
    <col min="23" max="23" width="18.5703125" style="81" customWidth="1"/>
    <col min="24" max="24" width="21.42578125" style="81" customWidth="1"/>
    <col min="25" max="28" width="18.85546875" style="81" customWidth="1"/>
    <col min="29" max="29" width="28.140625" style="81" customWidth="1"/>
    <col min="30" max="30" width="29.85546875" style="81" customWidth="1"/>
    <col min="31" max="32" width="11.42578125" style="81"/>
    <col min="33" max="33" width="8" style="81" customWidth="1"/>
    <col min="34" max="34" width="8.5703125" style="81" customWidth="1"/>
    <col min="35" max="35" width="9.28515625" style="81" customWidth="1"/>
    <col min="36" max="36" width="7.42578125" style="81" customWidth="1"/>
    <col min="37" max="37" width="9.42578125" style="81" customWidth="1"/>
    <col min="38" max="38" width="8.5703125" style="81" customWidth="1"/>
    <col min="39" max="39" width="5.28515625" style="81" customWidth="1"/>
    <col min="40" max="40" width="8.140625" style="81" customWidth="1"/>
    <col min="41" max="41" width="6.7109375" style="81" customWidth="1"/>
    <col min="42" max="42" width="6.42578125" style="81" customWidth="1"/>
    <col min="43" max="43" width="6.28515625" style="81" customWidth="1"/>
    <col min="44" max="44" width="6.5703125" style="81" customWidth="1"/>
    <col min="45" max="45" width="8" style="81" customWidth="1"/>
    <col min="46" max="46" width="7.7109375" style="81" customWidth="1"/>
    <col min="47" max="47" width="7.5703125" style="81" customWidth="1"/>
    <col min="48" max="48" width="11.5703125" style="81" customWidth="1"/>
    <col min="49" max="49" width="14.28515625" style="81" customWidth="1"/>
    <col min="50" max="50" width="14.42578125" style="81" customWidth="1"/>
    <col min="51" max="51" width="15.140625" style="81" customWidth="1"/>
    <col min="52" max="16384" width="11.42578125" style="81"/>
  </cols>
  <sheetData>
    <row r="1" spans="1:69" ht="11.25" customHeight="1" x14ac:dyDescent="0.2">
      <c r="A1" s="1073"/>
      <c r="B1" s="1073"/>
      <c r="C1" s="1074" t="s">
        <v>0</v>
      </c>
      <c r="D1" s="1074"/>
      <c r="E1" s="1074"/>
      <c r="F1" s="1074"/>
      <c r="G1" s="1074"/>
      <c r="H1" s="1074"/>
      <c r="I1" s="1074"/>
      <c r="J1" s="1074"/>
      <c r="K1" s="1074"/>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1074"/>
      <c r="AO1" s="1074"/>
      <c r="AP1" s="1074"/>
      <c r="AQ1" s="1074"/>
      <c r="AR1" s="1074"/>
      <c r="AS1" s="1074"/>
      <c r="AT1" s="1074"/>
      <c r="AU1" s="1074"/>
      <c r="AV1" s="1074"/>
      <c r="AW1" s="1074"/>
    </row>
    <row r="2" spans="1:69" s="45" customFormat="1" ht="12" customHeight="1" x14ac:dyDescent="0.2">
      <c r="A2" s="1073"/>
      <c r="B2" s="1073"/>
      <c r="C2" s="980" t="s">
        <v>2778</v>
      </c>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2"/>
      <c r="AX2" s="2" t="s">
        <v>2</v>
      </c>
      <c r="AY2" s="2" t="s">
        <v>3</v>
      </c>
      <c r="AZ2" s="3"/>
      <c r="BA2" s="3"/>
      <c r="BB2" s="3"/>
      <c r="BC2" s="3"/>
      <c r="BD2" s="3"/>
      <c r="BE2" s="3"/>
      <c r="BF2" s="3"/>
      <c r="BG2" s="3"/>
      <c r="BH2" s="3"/>
      <c r="BI2" s="3"/>
      <c r="BJ2" s="3"/>
      <c r="BK2" s="3"/>
      <c r="BL2" s="3"/>
      <c r="BM2" s="3"/>
      <c r="BN2" s="3"/>
      <c r="BO2" s="3"/>
      <c r="BP2" s="3"/>
      <c r="BQ2" s="3"/>
    </row>
    <row r="3" spans="1:69" s="45" customFormat="1" ht="10.5" customHeight="1" x14ac:dyDescent="0.2">
      <c r="A3" s="1073"/>
      <c r="B3" s="1073"/>
      <c r="C3" s="983"/>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5"/>
      <c r="AX3" s="2" t="s">
        <v>4</v>
      </c>
      <c r="AY3" s="49">
        <v>11</v>
      </c>
      <c r="AZ3" s="3"/>
      <c r="BA3" s="3"/>
      <c r="BB3" s="3"/>
      <c r="BC3" s="3"/>
      <c r="BD3" s="3"/>
      <c r="BE3" s="3"/>
      <c r="BF3" s="3"/>
      <c r="BG3" s="3"/>
      <c r="BH3" s="3"/>
      <c r="BI3" s="3"/>
      <c r="BJ3" s="3"/>
      <c r="BK3" s="3"/>
      <c r="BL3" s="3"/>
      <c r="BM3" s="3"/>
      <c r="BN3" s="3"/>
      <c r="BO3" s="3"/>
      <c r="BP3" s="3"/>
      <c r="BQ3" s="3"/>
    </row>
    <row r="4" spans="1:69" s="45" customFormat="1" ht="11.25" customHeight="1" x14ac:dyDescent="0.2">
      <c r="A4" s="1073"/>
      <c r="B4" s="1073"/>
      <c r="C4" s="986"/>
      <c r="D4" s="987"/>
      <c r="E4" s="987"/>
      <c r="F4" s="987"/>
      <c r="G4" s="987"/>
      <c r="H4" s="987"/>
      <c r="I4" s="987"/>
      <c r="J4" s="987"/>
      <c r="K4" s="987"/>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c r="AT4" s="987"/>
      <c r="AU4" s="987"/>
      <c r="AV4" s="987"/>
      <c r="AW4" s="988"/>
      <c r="AX4" s="2" t="s">
        <v>5</v>
      </c>
      <c r="AY4" s="50">
        <v>44714</v>
      </c>
      <c r="AZ4" s="3"/>
      <c r="BA4" s="3"/>
      <c r="BB4" s="3"/>
      <c r="BC4" s="3"/>
      <c r="BD4" s="3"/>
      <c r="BE4" s="3"/>
      <c r="BF4" s="3"/>
      <c r="BG4" s="3"/>
      <c r="BH4" s="3"/>
      <c r="BI4" s="3"/>
      <c r="BJ4" s="3"/>
      <c r="BK4" s="3"/>
      <c r="BL4" s="3"/>
      <c r="BM4" s="3"/>
      <c r="BN4" s="3"/>
      <c r="BO4" s="3"/>
      <c r="BP4" s="3"/>
      <c r="BQ4" s="3"/>
    </row>
    <row r="5" spans="1:69" s="45" customFormat="1" ht="11.25" customHeight="1" x14ac:dyDescent="0.2">
      <c r="A5" s="1073"/>
      <c r="B5" s="1073"/>
      <c r="C5" s="989"/>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1"/>
      <c r="AX5" s="2" t="s">
        <v>6</v>
      </c>
      <c r="AY5" s="7" t="s">
        <v>7</v>
      </c>
      <c r="AZ5" s="3"/>
      <c r="BA5" s="3"/>
      <c r="BB5" s="3"/>
      <c r="BC5" s="3"/>
      <c r="BD5" s="3"/>
      <c r="BE5" s="3"/>
      <c r="BF5" s="3"/>
      <c r="BG5" s="3"/>
      <c r="BH5" s="3"/>
      <c r="BI5" s="3"/>
      <c r="BJ5" s="3"/>
      <c r="BK5" s="3"/>
      <c r="BL5" s="3"/>
      <c r="BM5" s="3"/>
      <c r="BN5" s="3"/>
      <c r="BO5" s="3"/>
      <c r="BP5" s="3"/>
      <c r="BQ5" s="3"/>
    </row>
    <row r="6" spans="1:69" s="45" customFormat="1" ht="9.75" customHeight="1" x14ac:dyDescent="0.2">
      <c r="A6" s="1073"/>
      <c r="B6" s="1073"/>
      <c r="C6" s="992" t="s">
        <v>275</v>
      </c>
      <c r="D6" s="993"/>
      <c r="E6" s="993"/>
      <c r="F6" s="993"/>
      <c r="G6" s="993"/>
      <c r="H6" s="993"/>
      <c r="I6" s="993"/>
      <c r="J6" s="993"/>
      <c r="K6" s="993"/>
      <c r="L6" s="993"/>
      <c r="M6" s="993"/>
      <c r="N6" s="993"/>
      <c r="O6" s="993"/>
      <c r="P6" s="993"/>
      <c r="Q6" s="993"/>
      <c r="R6" s="993"/>
      <c r="S6" s="993"/>
      <c r="T6" s="993"/>
      <c r="U6" s="993"/>
      <c r="V6" s="993"/>
      <c r="W6" s="993"/>
      <c r="X6" s="993"/>
      <c r="Y6" s="993"/>
      <c r="Z6" s="993"/>
      <c r="AA6" s="993"/>
      <c r="AB6" s="993"/>
      <c r="AC6" s="993"/>
      <c r="AD6" s="993"/>
      <c r="AE6" s="993"/>
      <c r="AF6" s="993"/>
      <c r="AG6" s="993"/>
      <c r="AH6" s="993"/>
      <c r="AI6" s="993"/>
      <c r="AJ6" s="993"/>
      <c r="AK6" s="993"/>
      <c r="AL6" s="993"/>
      <c r="AM6" s="993"/>
      <c r="AN6" s="993"/>
      <c r="AO6" s="993"/>
      <c r="AP6" s="993"/>
      <c r="AQ6" s="993"/>
      <c r="AR6" s="993"/>
      <c r="AS6" s="993"/>
      <c r="AT6" s="993"/>
      <c r="AU6" s="993"/>
      <c r="AV6" s="993"/>
      <c r="AW6" s="993"/>
      <c r="AX6" s="52"/>
      <c r="AY6" s="53"/>
      <c r="AZ6" s="3"/>
      <c r="BA6" s="3"/>
      <c r="BB6" s="3"/>
      <c r="BC6" s="3"/>
      <c r="BD6" s="3"/>
      <c r="BE6" s="3"/>
      <c r="BF6" s="3"/>
      <c r="BG6" s="3"/>
      <c r="BH6" s="3"/>
      <c r="BI6" s="3"/>
      <c r="BJ6" s="3"/>
      <c r="BK6" s="3"/>
      <c r="BL6" s="3"/>
      <c r="BM6" s="3"/>
      <c r="BN6" s="3"/>
      <c r="BO6" s="3"/>
      <c r="BP6" s="3"/>
      <c r="BQ6" s="3"/>
    </row>
    <row r="7" spans="1:69" s="45" customFormat="1" ht="9.75" customHeight="1" x14ac:dyDescent="0.2">
      <c r="A7" s="1074"/>
      <c r="B7" s="107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5"/>
      <c r="AZ7" s="3"/>
      <c r="BA7" s="3"/>
      <c r="BB7" s="3"/>
      <c r="BC7" s="3"/>
      <c r="BD7" s="3"/>
      <c r="BE7" s="3"/>
      <c r="BF7" s="3"/>
      <c r="BG7" s="3"/>
      <c r="BH7" s="3"/>
      <c r="BI7" s="3"/>
      <c r="BJ7" s="3"/>
      <c r="BK7" s="3"/>
      <c r="BL7" s="3"/>
      <c r="BM7" s="3"/>
      <c r="BN7" s="3"/>
      <c r="BO7" s="3"/>
      <c r="BP7" s="3"/>
      <c r="BQ7" s="3"/>
    </row>
    <row r="8" spans="1:69" x14ac:dyDescent="0.2">
      <c r="A8" s="966" t="s">
        <v>9</v>
      </c>
      <c r="B8" s="967"/>
      <c r="C8" s="966" t="s">
        <v>10</v>
      </c>
      <c r="D8" s="967"/>
      <c r="E8" s="966" t="s">
        <v>11</v>
      </c>
      <c r="F8" s="967"/>
      <c r="G8" s="966" t="s">
        <v>12</v>
      </c>
      <c r="H8" s="970"/>
      <c r="I8" s="970"/>
      <c r="J8" s="967"/>
      <c r="K8" s="1067" t="s">
        <v>13</v>
      </c>
      <c r="L8" s="1068"/>
      <c r="M8" s="1068"/>
      <c r="N8" s="1069"/>
      <c r="O8" s="1067" t="s">
        <v>14</v>
      </c>
      <c r="P8" s="1068"/>
      <c r="Q8" s="1069"/>
      <c r="R8" s="1008" t="s">
        <v>15</v>
      </c>
      <c r="S8" s="1008"/>
      <c r="T8" s="1008"/>
      <c r="U8" s="1008"/>
      <c r="V8" s="1008"/>
      <c r="W8" s="1008"/>
      <c r="X8" s="1008"/>
      <c r="Y8" s="281"/>
      <c r="Z8" s="281"/>
      <c r="AA8" s="281"/>
      <c r="AB8" s="281"/>
      <c r="AC8" s="82"/>
      <c r="AD8" s="82"/>
      <c r="AE8" s="82"/>
      <c r="AF8" s="83"/>
      <c r="AG8" s="1002" t="s">
        <v>16</v>
      </c>
      <c r="AH8" s="1003"/>
      <c r="AI8" s="1003"/>
      <c r="AJ8" s="1003"/>
      <c r="AK8" s="1003"/>
      <c r="AL8" s="1003"/>
      <c r="AM8" s="1003"/>
      <c r="AN8" s="1003"/>
      <c r="AO8" s="1003"/>
      <c r="AP8" s="1003"/>
      <c r="AQ8" s="1003"/>
      <c r="AR8" s="1003"/>
      <c r="AS8" s="1003"/>
      <c r="AT8" s="1003"/>
      <c r="AU8" s="1003"/>
      <c r="AV8" s="1004"/>
      <c r="AW8" s="994" t="s">
        <v>17</v>
      </c>
      <c r="AX8" s="994" t="s">
        <v>18</v>
      </c>
      <c r="AY8" s="994" t="s">
        <v>19</v>
      </c>
    </row>
    <row r="9" spans="1:69" s="46" customFormat="1" x14ac:dyDescent="0.2">
      <c r="A9" s="968"/>
      <c r="B9" s="969"/>
      <c r="C9" s="968"/>
      <c r="D9" s="969"/>
      <c r="E9" s="968"/>
      <c r="F9" s="969"/>
      <c r="G9" s="968"/>
      <c r="H9" s="971"/>
      <c r="I9" s="971"/>
      <c r="J9" s="969"/>
      <c r="K9" s="1070"/>
      <c r="L9" s="1071"/>
      <c r="M9" s="1071"/>
      <c r="N9" s="1072"/>
      <c r="O9" s="1070"/>
      <c r="P9" s="1071"/>
      <c r="Q9" s="1072"/>
      <c r="R9" s="1009"/>
      <c r="S9" s="1009"/>
      <c r="T9" s="1009"/>
      <c r="U9" s="1009"/>
      <c r="V9" s="1009"/>
      <c r="W9" s="1009"/>
      <c r="X9" s="1009"/>
      <c r="Y9" s="282"/>
      <c r="Z9" s="282"/>
      <c r="AA9" s="282"/>
      <c r="AB9" s="282"/>
      <c r="AC9" s="997" t="s">
        <v>20</v>
      </c>
      <c r="AD9" s="997"/>
      <c r="AE9" s="997"/>
      <c r="AF9" s="997"/>
      <c r="AG9" s="997" t="s">
        <v>21</v>
      </c>
      <c r="AH9" s="1075"/>
      <c r="AI9" s="999" t="s">
        <v>22</v>
      </c>
      <c r="AJ9" s="1075"/>
      <c r="AK9" s="1075"/>
      <c r="AL9" s="1075"/>
      <c r="AM9" s="1000" t="s">
        <v>23</v>
      </c>
      <c r="AN9" s="1075"/>
      <c r="AO9" s="1075"/>
      <c r="AP9" s="1075"/>
      <c r="AQ9" s="1075"/>
      <c r="AR9" s="1075"/>
      <c r="AS9" s="999" t="s">
        <v>24</v>
      </c>
      <c r="AT9" s="1075"/>
      <c r="AU9" s="1075"/>
      <c r="AV9" s="1001" t="s">
        <v>25</v>
      </c>
      <c r="AW9" s="995"/>
      <c r="AX9" s="995"/>
      <c r="AY9" s="995"/>
      <c r="AZ9" s="14"/>
      <c r="BA9" s="14"/>
      <c r="BB9" s="14"/>
      <c r="BC9" s="14"/>
      <c r="BD9" s="14"/>
      <c r="BE9" s="14"/>
      <c r="BF9" s="14"/>
      <c r="BG9" s="14"/>
      <c r="BH9" s="14"/>
      <c r="BI9" s="14"/>
      <c r="BJ9" s="14"/>
      <c r="BK9" s="14"/>
      <c r="BL9" s="14"/>
      <c r="BM9" s="14"/>
      <c r="BN9" s="14"/>
    </row>
    <row r="10" spans="1:69" s="47" customFormat="1" ht="83.25" customHeight="1" x14ac:dyDescent="0.2">
      <c r="A10" s="16" t="s">
        <v>26</v>
      </c>
      <c r="B10" s="17" t="s">
        <v>27</v>
      </c>
      <c r="C10" s="16" t="s">
        <v>26</v>
      </c>
      <c r="D10" s="17" t="s">
        <v>27</v>
      </c>
      <c r="E10" s="17" t="s">
        <v>26</v>
      </c>
      <c r="F10" s="17" t="s">
        <v>27</v>
      </c>
      <c r="G10" s="18" t="s">
        <v>28</v>
      </c>
      <c r="H10" s="18" t="s">
        <v>29</v>
      </c>
      <c r="I10" s="18" t="s">
        <v>30</v>
      </c>
      <c r="J10" s="18" t="s">
        <v>31</v>
      </c>
      <c r="K10" s="18" t="s">
        <v>28</v>
      </c>
      <c r="L10" s="18" t="s">
        <v>32</v>
      </c>
      <c r="M10" s="18" t="s">
        <v>33</v>
      </c>
      <c r="N10" s="18" t="s">
        <v>34</v>
      </c>
      <c r="O10" s="18" t="s">
        <v>35</v>
      </c>
      <c r="P10" s="18" t="s">
        <v>36</v>
      </c>
      <c r="Q10" s="18" t="s">
        <v>37</v>
      </c>
      <c r="R10" s="17" t="s">
        <v>38</v>
      </c>
      <c r="S10" s="17" t="s">
        <v>39</v>
      </c>
      <c r="T10" s="19" t="s">
        <v>40</v>
      </c>
      <c r="U10" s="17" t="s">
        <v>41</v>
      </c>
      <c r="V10" s="17" t="s">
        <v>42</v>
      </c>
      <c r="W10" s="17" t="s">
        <v>43</v>
      </c>
      <c r="X10" s="20" t="s">
        <v>44</v>
      </c>
      <c r="Y10" s="660" t="s">
        <v>45</v>
      </c>
      <c r="Z10" s="659" t="s">
        <v>46</v>
      </c>
      <c r="AA10" s="659" t="s">
        <v>47</v>
      </c>
      <c r="AB10" s="660" t="s">
        <v>48</v>
      </c>
      <c r="AC10" s="16" t="s">
        <v>49</v>
      </c>
      <c r="AD10" s="17" t="s">
        <v>50</v>
      </c>
      <c r="AE10" s="17" t="s">
        <v>51</v>
      </c>
      <c r="AF10" s="17" t="s">
        <v>52</v>
      </c>
      <c r="AG10" s="21" t="s">
        <v>53</v>
      </c>
      <c r="AH10" s="22" t="s">
        <v>54</v>
      </c>
      <c r="AI10" s="21" t="s">
        <v>55</v>
      </c>
      <c r="AJ10" s="21" t="s">
        <v>56</v>
      </c>
      <c r="AK10" s="21" t="s">
        <v>57</v>
      </c>
      <c r="AL10" s="21" t="s">
        <v>58</v>
      </c>
      <c r="AM10" s="21" t="s">
        <v>59</v>
      </c>
      <c r="AN10" s="21" t="s">
        <v>60</v>
      </c>
      <c r="AO10" s="21" t="s">
        <v>61</v>
      </c>
      <c r="AP10" s="21" t="s">
        <v>62</v>
      </c>
      <c r="AQ10" s="21" t="s">
        <v>63</v>
      </c>
      <c r="AR10" s="21" t="s">
        <v>64</v>
      </c>
      <c r="AS10" s="21" t="s">
        <v>65</v>
      </c>
      <c r="AT10" s="21" t="s">
        <v>66</v>
      </c>
      <c r="AU10" s="21" t="s">
        <v>67</v>
      </c>
      <c r="AV10" s="1001"/>
      <c r="AW10" s="996"/>
      <c r="AX10" s="996"/>
      <c r="AY10" s="996"/>
      <c r="AZ10" s="14"/>
      <c r="BA10" s="14"/>
      <c r="BB10" s="14"/>
      <c r="BC10" s="14"/>
      <c r="BD10" s="14"/>
      <c r="BE10" s="14"/>
      <c r="BF10" s="14"/>
      <c r="BG10" s="14"/>
      <c r="BH10" s="14"/>
      <c r="BI10" s="14"/>
      <c r="BJ10" s="14"/>
      <c r="BK10" s="14"/>
      <c r="BL10" s="14"/>
      <c r="BM10" s="14"/>
      <c r="BN10" s="14"/>
    </row>
    <row r="11" spans="1:69" ht="114.75" x14ac:dyDescent="0.2">
      <c r="A11" s="205">
        <v>3</v>
      </c>
      <c r="B11" s="635" t="s">
        <v>2779</v>
      </c>
      <c r="C11" s="636">
        <v>16</v>
      </c>
      <c r="D11" s="637" t="s">
        <v>404</v>
      </c>
      <c r="E11" s="638">
        <v>2409</v>
      </c>
      <c r="F11" s="635" t="s">
        <v>2780</v>
      </c>
      <c r="G11" s="638" t="s">
        <v>70</v>
      </c>
      <c r="H11" s="635" t="s">
        <v>2781</v>
      </c>
      <c r="I11" s="638">
        <v>2409009</v>
      </c>
      <c r="J11" s="635" t="s">
        <v>2782</v>
      </c>
      <c r="K11" s="638" t="s">
        <v>70</v>
      </c>
      <c r="L11" s="635" t="s">
        <v>2783</v>
      </c>
      <c r="M11" s="638">
        <v>240900900</v>
      </c>
      <c r="N11" s="635" t="s">
        <v>2784</v>
      </c>
      <c r="O11" s="205">
        <v>1</v>
      </c>
      <c r="P11" s="205">
        <v>1</v>
      </c>
      <c r="Q11" s="205">
        <v>1</v>
      </c>
      <c r="R11" s="639">
        <v>2020003630149</v>
      </c>
      <c r="S11" s="640" t="s">
        <v>2785</v>
      </c>
      <c r="T11" s="641">
        <f>X11/SUM(X11:X14)</f>
        <v>0.15616045468440259</v>
      </c>
      <c r="U11" s="642" t="s">
        <v>2786</v>
      </c>
      <c r="V11" s="643" t="s">
        <v>2787</v>
      </c>
      <c r="W11" s="644" t="s">
        <v>2018</v>
      </c>
      <c r="X11" s="791">
        <v>30542364.719999999</v>
      </c>
      <c r="Y11" s="714"/>
      <c r="Z11" s="714"/>
      <c r="AA11" s="714"/>
      <c r="AB11" s="964">
        <f>X11+Y11-Z11-AA11</f>
        <v>30542364.719999999</v>
      </c>
      <c r="AC11" s="646" t="s">
        <v>2788</v>
      </c>
      <c r="AD11" s="647" t="s">
        <v>2789</v>
      </c>
      <c r="AE11" s="648">
        <v>23</v>
      </c>
      <c r="AF11" s="648" t="s">
        <v>2790</v>
      </c>
      <c r="AG11" s="649">
        <v>57260</v>
      </c>
      <c r="AH11" s="649">
        <v>57955</v>
      </c>
      <c r="AI11" s="649">
        <v>2920</v>
      </c>
      <c r="AJ11" s="649">
        <v>8850</v>
      </c>
      <c r="AK11" s="649">
        <v>60583</v>
      </c>
      <c r="AL11" s="649">
        <v>17800</v>
      </c>
      <c r="AM11" s="649">
        <v>283</v>
      </c>
      <c r="AN11" s="649">
        <v>1501</v>
      </c>
      <c r="AO11" s="649">
        <v>12</v>
      </c>
      <c r="AP11" s="649">
        <v>0</v>
      </c>
      <c r="AQ11" s="649">
        <v>0</v>
      </c>
      <c r="AR11" s="649">
        <v>0</v>
      </c>
      <c r="AS11" s="649">
        <v>44500</v>
      </c>
      <c r="AT11" s="649">
        <v>6260</v>
      </c>
      <c r="AU11" s="649">
        <v>75703</v>
      </c>
      <c r="AV11" s="649">
        <f>+AG11+AH11</f>
        <v>115215</v>
      </c>
      <c r="AW11" s="74">
        <v>45293</v>
      </c>
      <c r="AX11" s="74">
        <v>45657</v>
      </c>
      <c r="AY11" s="649" t="s">
        <v>2791</v>
      </c>
    </row>
    <row r="12" spans="1:69" ht="114.75" x14ac:dyDescent="0.2">
      <c r="A12" s="205">
        <v>3</v>
      </c>
      <c r="B12" s="635" t="s">
        <v>2779</v>
      </c>
      <c r="C12" s="650">
        <v>16</v>
      </c>
      <c r="D12" s="651" t="s">
        <v>404</v>
      </c>
      <c r="E12" s="649">
        <v>2409</v>
      </c>
      <c r="F12" s="635" t="s">
        <v>2780</v>
      </c>
      <c r="G12" s="638" t="s">
        <v>70</v>
      </c>
      <c r="H12" s="635" t="s">
        <v>2792</v>
      </c>
      <c r="I12" s="638">
        <v>2409022</v>
      </c>
      <c r="J12" s="635" t="s">
        <v>2793</v>
      </c>
      <c r="K12" s="638" t="s">
        <v>70</v>
      </c>
      <c r="L12" s="635" t="s">
        <v>2794</v>
      </c>
      <c r="M12" s="638">
        <v>240902202</v>
      </c>
      <c r="N12" s="635" t="s">
        <v>2795</v>
      </c>
      <c r="O12" s="205">
        <v>1</v>
      </c>
      <c r="P12" s="205">
        <v>1</v>
      </c>
      <c r="Q12" s="205">
        <v>1</v>
      </c>
      <c r="R12" s="639">
        <v>2020003630149</v>
      </c>
      <c r="S12" s="640" t="s">
        <v>2785</v>
      </c>
      <c r="T12" s="652">
        <f>X12/SUM(X11:X14)</f>
        <v>0.24519304945898199</v>
      </c>
      <c r="U12" s="642" t="s">
        <v>2786</v>
      </c>
      <c r="V12" s="643" t="s">
        <v>2787</v>
      </c>
      <c r="W12" s="653" t="s">
        <v>2796</v>
      </c>
      <c r="X12" s="791">
        <v>47955646.380000003</v>
      </c>
      <c r="Y12" s="645"/>
      <c r="Z12" s="645"/>
      <c r="AA12" s="645"/>
      <c r="AB12" s="964">
        <f t="shared" ref="AB12:AB13" si="0">X12+Y12-Z12-AA12</f>
        <v>47955646.380000003</v>
      </c>
      <c r="AC12" s="654" t="s">
        <v>2797</v>
      </c>
      <c r="AD12" s="647" t="s">
        <v>2798</v>
      </c>
      <c r="AE12" s="648">
        <v>23</v>
      </c>
      <c r="AF12" s="648" t="s">
        <v>2790</v>
      </c>
      <c r="AG12" s="649">
        <v>57380</v>
      </c>
      <c r="AH12" s="649">
        <v>58125</v>
      </c>
      <c r="AI12" s="649">
        <v>27805</v>
      </c>
      <c r="AJ12" s="649">
        <v>8790</v>
      </c>
      <c r="AK12" s="649">
        <v>60583</v>
      </c>
      <c r="AL12" s="649">
        <v>17800</v>
      </c>
      <c r="AM12" s="649">
        <v>283</v>
      </c>
      <c r="AN12" s="649">
        <v>1495</v>
      </c>
      <c r="AO12" s="649">
        <v>8</v>
      </c>
      <c r="AP12" s="649">
        <v>0</v>
      </c>
      <c r="AQ12" s="649">
        <v>0</v>
      </c>
      <c r="AR12" s="649">
        <v>0</v>
      </c>
      <c r="AS12" s="649">
        <v>44350</v>
      </c>
      <c r="AT12" s="649">
        <v>6251</v>
      </c>
      <c r="AU12" s="649">
        <v>75703</v>
      </c>
      <c r="AV12" s="649">
        <f>+AG12+AH12</f>
        <v>115505</v>
      </c>
      <c r="AW12" s="74">
        <v>45293</v>
      </c>
      <c r="AX12" s="74">
        <v>45657</v>
      </c>
      <c r="AY12" s="649" t="s">
        <v>2791</v>
      </c>
    </row>
    <row r="13" spans="1:69" ht="114.75" x14ac:dyDescent="0.2">
      <c r="A13" s="205">
        <v>3</v>
      </c>
      <c r="B13" s="635" t="s">
        <v>2779</v>
      </c>
      <c r="C13" s="650">
        <v>16</v>
      </c>
      <c r="D13" s="651" t="s">
        <v>404</v>
      </c>
      <c r="E13" s="649">
        <v>2409</v>
      </c>
      <c r="F13" s="635" t="s">
        <v>2780</v>
      </c>
      <c r="G13" s="638" t="s">
        <v>70</v>
      </c>
      <c r="H13" s="635" t="s">
        <v>2799</v>
      </c>
      <c r="I13" s="638">
        <v>2409014</v>
      </c>
      <c r="J13" s="635" t="s">
        <v>490</v>
      </c>
      <c r="K13" s="638" t="s">
        <v>70</v>
      </c>
      <c r="L13" s="635" t="s">
        <v>2800</v>
      </c>
      <c r="M13" s="638">
        <v>240901400</v>
      </c>
      <c r="N13" s="635" t="s">
        <v>2801</v>
      </c>
      <c r="O13" s="205">
        <v>1</v>
      </c>
      <c r="P13" s="205">
        <v>1</v>
      </c>
      <c r="Q13" s="205">
        <v>1</v>
      </c>
      <c r="R13" s="639">
        <v>2020003630149</v>
      </c>
      <c r="S13" s="640" t="s">
        <v>2785</v>
      </c>
      <c r="T13" s="652">
        <f>X13/SUM(X11:X14)</f>
        <v>0.15300392256041229</v>
      </c>
      <c r="U13" s="642" t="s">
        <v>2786</v>
      </c>
      <c r="V13" s="643" t="s">
        <v>2787</v>
      </c>
      <c r="W13" s="653" t="s">
        <v>2802</v>
      </c>
      <c r="X13" s="791">
        <v>29925000</v>
      </c>
      <c r="Y13" s="645"/>
      <c r="Z13" s="645"/>
      <c r="AA13" s="645"/>
      <c r="AB13" s="964">
        <f t="shared" si="0"/>
        <v>29925000</v>
      </c>
      <c r="AC13" s="654" t="s">
        <v>2803</v>
      </c>
      <c r="AD13" s="647" t="s">
        <v>2804</v>
      </c>
      <c r="AE13" s="648">
        <v>23</v>
      </c>
      <c r="AF13" s="648" t="s">
        <v>2790</v>
      </c>
      <c r="AG13" s="649">
        <v>57163</v>
      </c>
      <c r="AH13" s="649">
        <v>57815</v>
      </c>
      <c r="AI13" s="649">
        <v>27805</v>
      </c>
      <c r="AJ13" s="649">
        <v>8790</v>
      </c>
      <c r="AK13" s="649">
        <v>60583</v>
      </c>
      <c r="AL13" s="649">
        <v>17800</v>
      </c>
      <c r="AM13" s="649">
        <v>283</v>
      </c>
      <c r="AN13" s="649">
        <v>1495</v>
      </c>
      <c r="AO13" s="649">
        <v>8</v>
      </c>
      <c r="AP13" s="649">
        <v>0</v>
      </c>
      <c r="AQ13" s="649">
        <v>0</v>
      </c>
      <c r="AR13" s="649">
        <v>0</v>
      </c>
      <c r="AS13" s="649">
        <v>44350</v>
      </c>
      <c r="AT13" s="649">
        <v>6251</v>
      </c>
      <c r="AU13" s="649">
        <v>73703</v>
      </c>
      <c r="AV13" s="649">
        <f>+AG13+AH13</f>
        <v>114978</v>
      </c>
      <c r="AW13" s="74">
        <v>45293</v>
      </c>
      <c r="AX13" s="74">
        <v>45657</v>
      </c>
      <c r="AY13" s="649" t="s">
        <v>2791</v>
      </c>
    </row>
    <row r="14" spans="1:69" ht="79.150000000000006" customHeight="1" thickBot="1" x14ac:dyDescent="0.25">
      <c r="A14" s="205">
        <v>3</v>
      </c>
      <c r="B14" s="635" t="s">
        <v>2779</v>
      </c>
      <c r="C14" s="650">
        <v>16</v>
      </c>
      <c r="D14" s="651" t="s">
        <v>404</v>
      </c>
      <c r="E14" s="649">
        <v>2409</v>
      </c>
      <c r="F14" s="635" t="s">
        <v>2780</v>
      </c>
      <c r="G14" s="649" t="s">
        <v>70</v>
      </c>
      <c r="H14" s="642" t="s">
        <v>2805</v>
      </c>
      <c r="I14" s="649">
        <v>2409039</v>
      </c>
      <c r="J14" s="642" t="s">
        <v>2806</v>
      </c>
      <c r="K14" s="649" t="s">
        <v>70</v>
      </c>
      <c r="L14" s="785" t="s">
        <v>2807</v>
      </c>
      <c r="M14" s="785">
        <v>240903905</v>
      </c>
      <c r="N14" s="785" t="s">
        <v>2808</v>
      </c>
      <c r="O14" s="788">
        <v>1</v>
      </c>
      <c r="P14" s="325">
        <v>1</v>
      </c>
      <c r="Q14" s="325">
        <v>1</v>
      </c>
      <c r="R14" s="789">
        <v>2020003630149</v>
      </c>
      <c r="S14" s="640" t="s">
        <v>2785</v>
      </c>
      <c r="T14" s="655">
        <f>SUM($X$14:$X$14)/SUM($X$11:$X$14)</f>
        <v>0.44564257329620316</v>
      </c>
      <c r="U14" s="785" t="s">
        <v>2786</v>
      </c>
      <c r="V14" s="963" t="s">
        <v>2787</v>
      </c>
      <c r="W14" s="962" t="s">
        <v>2809</v>
      </c>
      <c r="X14" s="790">
        <v>87160209.900000006</v>
      </c>
      <c r="Y14" s="645"/>
      <c r="Z14" s="645"/>
      <c r="AA14" s="645"/>
      <c r="AB14" s="964">
        <f>X14+Y14-Z14-AA14</f>
        <v>87160209.900000006</v>
      </c>
      <c r="AC14" s="654" t="s">
        <v>2810</v>
      </c>
      <c r="AD14" s="656" t="s">
        <v>2811</v>
      </c>
      <c r="AE14" s="648">
        <v>23</v>
      </c>
      <c r="AF14" s="648" t="s">
        <v>2790</v>
      </c>
      <c r="AG14" s="649">
        <v>57163</v>
      </c>
      <c r="AH14" s="649">
        <v>57815</v>
      </c>
      <c r="AI14" s="649">
        <v>27805</v>
      </c>
      <c r="AJ14" s="649">
        <v>8790</v>
      </c>
      <c r="AK14" s="649">
        <v>60583</v>
      </c>
      <c r="AL14" s="649">
        <v>17800</v>
      </c>
      <c r="AM14" s="649">
        <v>283</v>
      </c>
      <c r="AN14" s="649">
        <v>1495</v>
      </c>
      <c r="AO14" s="649">
        <v>8</v>
      </c>
      <c r="AP14" s="649">
        <v>0</v>
      </c>
      <c r="AQ14" s="649">
        <v>0</v>
      </c>
      <c r="AR14" s="649">
        <v>0</v>
      </c>
      <c r="AS14" s="649">
        <v>44350</v>
      </c>
      <c r="AT14" s="649">
        <v>6251</v>
      </c>
      <c r="AU14" s="649">
        <v>75703</v>
      </c>
      <c r="AV14" s="649">
        <f>+AG14+AH14</f>
        <v>114978</v>
      </c>
      <c r="AW14" s="74">
        <v>45293</v>
      </c>
      <c r="AX14" s="74">
        <v>45657</v>
      </c>
      <c r="AY14" s="649" t="s">
        <v>2791</v>
      </c>
    </row>
    <row r="15" spans="1:69" ht="13.5" thickBot="1" x14ac:dyDescent="0.25">
      <c r="A15" s="479"/>
      <c r="B15" s="306"/>
      <c r="C15" s="306"/>
      <c r="D15" s="306"/>
      <c r="E15" s="306"/>
      <c r="F15" s="306"/>
      <c r="G15" s="306"/>
      <c r="H15" s="306"/>
      <c r="I15" s="306"/>
      <c r="J15" s="306"/>
      <c r="K15" s="306"/>
      <c r="L15" s="306"/>
      <c r="M15" s="306"/>
      <c r="N15" s="306"/>
      <c r="O15" s="306"/>
      <c r="P15" s="306"/>
      <c r="Q15" s="306"/>
      <c r="R15" s="306"/>
      <c r="S15" s="306"/>
      <c r="T15" s="306"/>
      <c r="U15" s="306"/>
      <c r="V15" s="306"/>
      <c r="W15" s="480" t="s">
        <v>25</v>
      </c>
      <c r="X15" s="657">
        <f>SUM(X11:X14)</f>
        <v>195583221</v>
      </c>
      <c r="Y15" s="965"/>
      <c r="Z15" s="965"/>
      <c r="AA15" s="965"/>
      <c r="AB15" s="715"/>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82"/>
    </row>
    <row r="17" spans="9:32" x14ac:dyDescent="0.2">
      <c r="AD17" s="85"/>
      <c r="AE17" s="85"/>
      <c r="AF17" s="85"/>
    </row>
    <row r="18" spans="9:32" x14ac:dyDescent="0.2">
      <c r="O18" s="1080" t="s">
        <v>2812</v>
      </c>
      <c r="P18" s="1080"/>
      <c r="Q18" s="1080"/>
      <c r="R18" s="1080"/>
      <c r="S18" s="1080"/>
      <c r="AD18" s="85"/>
      <c r="AE18" s="85"/>
      <c r="AF18" s="85"/>
    </row>
    <row r="19" spans="9:32" x14ac:dyDescent="0.2">
      <c r="O19" s="1080" t="s">
        <v>2813</v>
      </c>
      <c r="P19" s="1080"/>
      <c r="Q19" s="1080"/>
      <c r="R19" s="1080"/>
      <c r="S19" s="1080"/>
      <c r="AD19" s="85"/>
      <c r="AE19" s="85"/>
      <c r="AF19" s="85"/>
    </row>
    <row r="20" spans="9:32" x14ac:dyDescent="0.2">
      <c r="AD20" s="85"/>
      <c r="AE20" s="85"/>
      <c r="AF20" s="85"/>
    </row>
    <row r="21" spans="9:32" x14ac:dyDescent="0.2">
      <c r="AD21" s="85"/>
      <c r="AE21" s="85"/>
      <c r="AF21" s="85"/>
    </row>
    <row r="22" spans="9:32" x14ac:dyDescent="0.2">
      <c r="I22" s="1076" t="s">
        <v>113</v>
      </c>
      <c r="J22" s="1076"/>
      <c r="K22" s="1077" t="s">
        <v>114</v>
      </c>
      <c r="L22" s="1078"/>
      <c r="M22" s="1077" t="s">
        <v>115</v>
      </c>
      <c r="N22" s="1078"/>
      <c r="AD22" s="85"/>
      <c r="AE22" s="85"/>
      <c r="AF22" s="85"/>
    </row>
    <row r="23" spans="9:32" x14ac:dyDescent="0.2">
      <c r="I23" s="1076" t="s">
        <v>116</v>
      </c>
      <c r="J23" s="1076"/>
      <c r="K23" s="1077" t="s">
        <v>117</v>
      </c>
      <c r="L23" s="1078"/>
      <c r="M23" s="1076" t="s">
        <v>118</v>
      </c>
      <c r="N23" s="1076"/>
      <c r="AD23" s="85"/>
      <c r="AE23" s="85"/>
      <c r="AF23" s="85"/>
    </row>
    <row r="24" spans="9:32" x14ac:dyDescent="0.2">
      <c r="I24" s="1076" t="s">
        <v>119</v>
      </c>
      <c r="J24" s="1076"/>
      <c r="K24" s="1077" t="s">
        <v>120</v>
      </c>
      <c r="L24" s="1078"/>
      <c r="M24" s="1076" t="s">
        <v>121</v>
      </c>
      <c r="N24" s="1076"/>
      <c r="AD24" s="85"/>
      <c r="AE24" s="85"/>
      <c r="AF24" s="85"/>
    </row>
  </sheetData>
  <autoFilter ref="A10:BQ10" xr:uid="{00000000-0001-0000-0600-000000000000}"/>
  <mergeCells count="33">
    <mergeCell ref="O8:Q9"/>
    <mergeCell ref="R8:X9"/>
    <mergeCell ref="I24:J24"/>
    <mergeCell ref="K24:L24"/>
    <mergeCell ref="M24:N24"/>
    <mergeCell ref="O18:S18"/>
    <mergeCell ref="I22:J22"/>
    <mergeCell ref="K22:L22"/>
    <mergeCell ref="M22:N22"/>
    <mergeCell ref="I23:J23"/>
    <mergeCell ref="K23:L23"/>
    <mergeCell ref="M23:N23"/>
    <mergeCell ref="O19:S19"/>
    <mergeCell ref="AW8:AW10"/>
    <mergeCell ref="AX8:AX10"/>
    <mergeCell ref="AY8:AY10"/>
    <mergeCell ref="AC9:AF9"/>
    <mergeCell ref="AG9:AH9"/>
    <mergeCell ref="AI9:AL9"/>
    <mergeCell ref="AM9:AR9"/>
    <mergeCell ref="AS9:AU9"/>
    <mergeCell ref="AV9:AV10"/>
    <mergeCell ref="AG8:AV8"/>
    <mergeCell ref="A1:B7"/>
    <mergeCell ref="C1:AW1"/>
    <mergeCell ref="C2:AW4"/>
    <mergeCell ref="C5:AW5"/>
    <mergeCell ref="C6:AW6"/>
    <mergeCell ref="A8:B9"/>
    <mergeCell ref="C8:D9"/>
    <mergeCell ref="E8:F9"/>
    <mergeCell ref="G8:J9"/>
    <mergeCell ref="K8:N9"/>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42DB7-B456-4F86-97F3-65B0EE1F11D0}">
  <dimension ref="A3:E32"/>
  <sheetViews>
    <sheetView topLeftCell="A7" workbookViewId="0">
      <selection activeCell="B32" sqref="B32"/>
    </sheetView>
  </sheetViews>
  <sheetFormatPr baseColWidth="10" defaultColWidth="11.42578125" defaultRowHeight="15" x14ac:dyDescent="0.25"/>
  <cols>
    <col min="1" max="1" width="21.28515625" customWidth="1"/>
    <col min="2" max="2" width="27.28515625" customWidth="1"/>
    <col min="5" max="5" width="15.140625" customWidth="1"/>
  </cols>
  <sheetData>
    <row r="3" spans="1:4" ht="30" x14ac:dyDescent="0.25">
      <c r="A3" s="151" t="s">
        <v>2814</v>
      </c>
      <c r="B3" s="152" t="s">
        <v>2815</v>
      </c>
      <c r="C3" s="152" t="s">
        <v>2816</v>
      </c>
      <c r="D3" s="152" t="s">
        <v>2817</v>
      </c>
    </row>
    <row r="4" spans="1:4" x14ac:dyDescent="0.25">
      <c r="A4" s="153" t="s">
        <v>2818</v>
      </c>
      <c r="B4" s="154">
        <f>+Administrativa!X19</f>
        <v>223644454.75999999</v>
      </c>
      <c r="C4" s="155">
        <f t="shared" ref="C4:C16" si="0">+B4/$B$17</f>
        <v>6.4200327353141446E-4</v>
      </c>
      <c r="D4" s="187">
        <v>4</v>
      </c>
    </row>
    <row r="5" spans="1:4" x14ac:dyDescent="0.25">
      <c r="A5" s="156" t="s">
        <v>2819</v>
      </c>
      <c r="B5" s="157">
        <f>+Hacienda!X24</f>
        <v>3309256833.3499999</v>
      </c>
      <c r="C5" s="158">
        <f t="shared" si="0"/>
        <v>9.4996932619985097E-3</v>
      </c>
      <c r="D5" s="159">
        <v>2</v>
      </c>
    </row>
    <row r="6" spans="1:4" x14ac:dyDescent="0.25">
      <c r="A6" s="156" t="s">
        <v>2820</v>
      </c>
      <c r="B6" s="157">
        <f>+Planeación!X91</f>
        <v>1499246787</v>
      </c>
      <c r="C6" s="158">
        <f t="shared" si="0"/>
        <v>4.3038015233526255E-3</v>
      </c>
      <c r="D6" s="159">
        <v>7</v>
      </c>
    </row>
    <row r="7" spans="1:4" x14ac:dyDescent="0.25">
      <c r="A7" s="156" t="s">
        <v>2821</v>
      </c>
      <c r="B7" s="157">
        <f>+Infraestruc!X73</f>
        <v>16113091909.379999</v>
      </c>
      <c r="C7" s="158">
        <f t="shared" si="0"/>
        <v>4.6254926211498029E-2</v>
      </c>
      <c r="D7" s="159">
        <v>13</v>
      </c>
    </row>
    <row r="8" spans="1:4" x14ac:dyDescent="0.25">
      <c r="A8" s="156" t="s">
        <v>2822</v>
      </c>
      <c r="B8" s="160">
        <f>+Interior!X109</f>
        <v>3956772619.6399999</v>
      </c>
      <c r="C8" s="158">
        <f t="shared" si="0"/>
        <v>1.1358479588301822E-2</v>
      </c>
      <c r="D8" s="159">
        <v>12</v>
      </c>
    </row>
    <row r="9" spans="1:4" x14ac:dyDescent="0.25">
      <c r="A9" s="156" t="s">
        <v>2823</v>
      </c>
      <c r="B9" s="157">
        <f>+Cultura!Y46</f>
        <v>4645909784.1999998</v>
      </c>
      <c r="C9" s="158">
        <f t="shared" si="0"/>
        <v>1.3336746011381531E-2</v>
      </c>
      <c r="D9" s="159">
        <v>4</v>
      </c>
    </row>
    <row r="10" spans="1:4" x14ac:dyDescent="0.25">
      <c r="A10" s="156" t="s">
        <v>2824</v>
      </c>
      <c r="B10" s="157">
        <f>+Agricultura!W46</f>
        <v>5259947534.9499998</v>
      </c>
      <c r="C10" s="158">
        <f t="shared" si="0"/>
        <v>1.5099428866525025E-2</v>
      </c>
      <c r="D10" s="159">
        <v>19</v>
      </c>
    </row>
    <row r="11" spans="1:4" x14ac:dyDescent="0.25">
      <c r="A11" s="156" t="s">
        <v>2825</v>
      </c>
      <c r="B11" s="157">
        <f>+Turismo!X28</f>
        <v>2244120951.4499998</v>
      </c>
      <c r="C11" s="158">
        <f t="shared" si="0"/>
        <v>6.442068946343556E-3</v>
      </c>
      <c r="D11" s="159">
        <v>4</v>
      </c>
    </row>
    <row r="12" spans="1:4" x14ac:dyDescent="0.25">
      <c r="A12" s="156" t="s">
        <v>2826</v>
      </c>
      <c r="B12" s="157">
        <f>+Privada!X16</f>
        <v>703002887.27999997</v>
      </c>
      <c r="C12" s="158">
        <f t="shared" si="0"/>
        <v>2.0180699558150581E-3</v>
      </c>
      <c r="D12" s="159">
        <v>3</v>
      </c>
    </row>
    <row r="13" spans="1:4" x14ac:dyDescent="0.25">
      <c r="A13" s="156" t="s">
        <v>1002</v>
      </c>
      <c r="B13" s="161">
        <f>+Educación!X138</f>
        <v>234747812737.19638</v>
      </c>
      <c r="C13" s="162">
        <f t="shared" si="0"/>
        <v>0.67387704467499565</v>
      </c>
      <c r="D13" s="159">
        <v>7</v>
      </c>
    </row>
    <row r="14" spans="1:4" x14ac:dyDescent="0.25">
      <c r="A14" s="156" t="s">
        <v>2827</v>
      </c>
      <c r="B14" s="157">
        <f>+Familia!X126</f>
        <v>8449873038.4000006</v>
      </c>
      <c r="C14" s="158">
        <f t="shared" si="0"/>
        <v>2.4256564543034233E-2</v>
      </c>
      <c r="D14" s="159">
        <f>28-3</f>
        <v>25</v>
      </c>
    </row>
    <row r="15" spans="1:4" x14ac:dyDescent="0.25">
      <c r="A15" s="156" t="s">
        <v>2828</v>
      </c>
      <c r="B15" s="161">
        <f>+Salud!X328</f>
        <v>65916870760.45002</v>
      </c>
      <c r="C15" s="162">
        <f t="shared" si="0"/>
        <v>0.18922376973115562</v>
      </c>
      <c r="D15" s="159">
        <v>22</v>
      </c>
    </row>
    <row r="16" spans="1:4" x14ac:dyDescent="0.25">
      <c r="A16" s="156" t="s">
        <v>2829</v>
      </c>
      <c r="B16" s="185">
        <f>+TIC!X33</f>
        <v>1284521994.78</v>
      </c>
      <c r="C16" s="158">
        <f t="shared" si="0"/>
        <v>3.6874034120668868E-3</v>
      </c>
      <c r="D16" s="159">
        <v>6</v>
      </c>
    </row>
    <row r="17" spans="1:5" x14ac:dyDescent="0.25">
      <c r="A17" s="183" t="s">
        <v>2830</v>
      </c>
      <c r="B17" s="186">
        <f>SUM(B4:B16)</f>
        <v>348354072292.83643</v>
      </c>
      <c r="C17" s="184">
        <f>SUM(C4:C16)</f>
        <v>1</v>
      </c>
      <c r="D17" s="165">
        <f>SUM(D4:D16)</f>
        <v>128</v>
      </c>
    </row>
    <row r="18" spans="1:5" x14ac:dyDescent="0.25">
      <c r="A18" s="166"/>
      <c r="C18" s="167"/>
      <c r="D18" s="167"/>
    </row>
    <row r="19" spans="1:5" x14ac:dyDescent="0.25">
      <c r="A19" s="153" t="s">
        <v>2831</v>
      </c>
      <c r="B19" s="167">
        <v>341281245031</v>
      </c>
      <c r="C19" s="168"/>
      <c r="D19" s="168"/>
    </row>
    <row r="20" spans="1:5" x14ac:dyDescent="0.25">
      <c r="A20" s="156" t="s">
        <v>2832</v>
      </c>
      <c r="B20" s="169">
        <f>+B17-B19</f>
        <v>7072827261.8364258</v>
      </c>
      <c r="C20" s="169"/>
      <c r="D20" s="169"/>
    </row>
    <row r="21" spans="1:5" x14ac:dyDescent="0.25">
      <c r="A21" s="156"/>
      <c r="B21" s="156"/>
      <c r="C21" s="156"/>
      <c r="D21" s="156"/>
    </row>
    <row r="22" spans="1:5" x14ac:dyDescent="0.25">
      <c r="A22" s="170" t="s">
        <v>2833</v>
      </c>
      <c r="B22" s="156"/>
      <c r="C22" s="156"/>
      <c r="D22" s="156"/>
    </row>
    <row r="23" spans="1:5" x14ac:dyDescent="0.25">
      <c r="A23" s="156" t="s">
        <v>2834</v>
      </c>
      <c r="B23" s="171">
        <f>+IDTQ!X15</f>
        <v>195583221</v>
      </c>
      <c r="C23" s="158">
        <f>+B23/$B$26</f>
        <v>1.5427656925990242E-2</v>
      </c>
      <c r="D23" s="172">
        <v>1</v>
      </c>
    </row>
    <row r="24" spans="1:5" x14ac:dyDescent="0.25">
      <c r="A24" s="156" t="s">
        <v>2835</v>
      </c>
      <c r="B24" s="171">
        <f>+Indeportes!X81</f>
        <v>6243543463</v>
      </c>
      <c r="C24" s="158">
        <f>+B24/$B$26</f>
        <v>0.49249238281883623</v>
      </c>
      <c r="D24" s="172">
        <v>2</v>
      </c>
    </row>
    <row r="25" spans="1:5" x14ac:dyDescent="0.25">
      <c r="A25" s="156" t="s">
        <v>2836</v>
      </c>
      <c r="B25" s="171">
        <f>+Proyecta!X25</f>
        <v>6238315000</v>
      </c>
      <c r="C25" s="158">
        <f>+B25/$B$26</f>
        <v>0.49207996025517353</v>
      </c>
      <c r="D25" s="172">
        <v>5</v>
      </c>
    </row>
    <row r="26" spans="1:5" x14ac:dyDescent="0.25">
      <c r="A26" s="163" t="s">
        <v>2837</v>
      </c>
      <c r="B26" s="173">
        <f>B23+B24+B25</f>
        <v>12677441684</v>
      </c>
      <c r="C26" s="164">
        <f>SUM(C23:C25)</f>
        <v>1</v>
      </c>
      <c r="D26" s="174">
        <f>SUM(D23:D25)</f>
        <v>8</v>
      </c>
    </row>
    <row r="27" spans="1:5" x14ac:dyDescent="0.25">
      <c r="A27" s="175"/>
      <c r="B27" s="176"/>
      <c r="C27" s="175"/>
      <c r="D27" s="177"/>
    </row>
    <row r="28" spans="1:5" x14ac:dyDescent="0.25">
      <c r="A28" s="178" t="s">
        <v>2838</v>
      </c>
      <c r="B28" s="179">
        <f>+B17+B26</f>
        <v>361031513976.83643</v>
      </c>
      <c r="C28" s="178"/>
      <c r="D28" s="180">
        <f>+D17+D26</f>
        <v>136</v>
      </c>
      <c r="E28" s="241"/>
    </row>
    <row r="30" spans="1:5" x14ac:dyDescent="0.25">
      <c r="A30" s="181" t="s">
        <v>2839</v>
      </c>
      <c r="B30" s="179">
        <v>361031513976.84003</v>
      </c>
    </row>
    <row r="32" spans="1:5" x14ac:dyDescent="0.25">
      <c r="A32" t="s">
        <v>2832</v>
      </c>
      <c r="B32" s="182">
        <f>+B28-B30</f>
        <v>-3.60107421875E-3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DDA2F-5093-4195-8A2B-DAE749AD04A5}">
  <sheetPr filterMode="1">
    <tabColor theme="7" tint="0.59999389629810485"/>
  </sheetPr>
  <dimension ref="A1:AY101"/>
  <sheetViews>
    <sheetView zoomScale="50" zoomScaleNormal="50" workbookViewId="0">
      <pane ySplit="10" topLeftCell="A11" activePane="bottomLeft" state="frozen"/>
      <selection pane="bottomLeft" activeCell="J74" sqref="J74"/>
    </sheetView>
  </sheetViews>
  <sheetFormatPr baseColWidth="10" defaultColWidth="11.42578125" defaultRowHeight="12.75" x14ac:dyDescent="0.2"/>
  <cols>
    <col min="1" max="1" width="11.5703125" style="888" bestFit="1" customWidth="1"/>
    <col min="2" max="2" width="11.42578125" style="883"/>
    <col min="3" max="3" width="11.5703125" style="888" bestFit="1" customWidth="1"/>
    <col min="4" max="4" width="11.42578125" style="108"/>
    <col min="5" max="5" width="11.5703125" style="888" bestFit="1" customWidth="1"/>
    <col min="6" max="6" width="19.28515625" style="883" customWidth="1"/>
    <col min="7" max="7" width="11.42578125" style="888"/>
    <col min="8" max="8" width="21.28515625" style="883" customWidth="1"/>
    <col min="9" max="9" width="11.5703125" style="888" bestFit="1" customWidth="1"/>
    <col min="10" max="10" width="13.85546875" style="883" customWidth="1"/>
    <col min="11" max="11" width="11.42578125" style="888"/>
    <col min="12" max="12" width="14" style="883" customWidth="1"/>
    <col min="13" max="13" width="11.5703125" style="888" bestFit="1" customWidth="1"/>
    <col min="14" max="14" width="11.42578125" style="883"/>
    <col min="15" max="15" width="11.5703125" style="888" bestFit="1" customWidth="1"/>
    <col min="16" max="16" width="11.42578125" style="108"/>
    <col min="17" max="17" width="10.140625" style="888" customWidth="1"/>
    <col min="18" max="18" width="15.85546875" style="108" customWidth="1"/>
    <col min="19" max="19" width="19.28515625" style="883" customWidth="1"/>
    <col min="20" max="20" width="11.5703125" style="888" bestFit="1" customWidth="1"/>
    <col min="21" max="21" width="27.42578125" style="883" customWidth="1"/>
    <col min="22" max="22" width="34.5703125" style="883" customWidth="1"/>
    <col min="23" max="23" width="29.7109375" style="883" customWidth="1"/>
    <col min="24" max="24" width="27.28515625" style="108" customWidth="1"/>
    <col min="25" max="28" width="19.5703125" style="108" customWidth="1"/>
    <col min="29" max="29" width="36.140625" style="108" customWidth="1"/>
    <col min="30" max="30" width="13.140625" style="108" customWidth="1"/>
    <col min="31" max="31" width="11.5703125" style="108" bestFit="1" customWidth="1"/>
    <col min="32" max="32" width="11.42578125" style="108"/>
    <col min="33" max="47" width="11.5703125" style="108" bestFit="1" customWidth="1"/>
    <col min="48" max="48" width="10" style="108" customWidth="1"/>
    <col min="49" max="51" width="11.5703125" style="108" bestFit="1" customWidth="1"/>
    <col min="52" max="16384" width="11.42578125" style="108"/>
  </cols>
  <sheetData>
    <row r="1" spans="1:51" ht="12.75" hidden="1" customHeight="1" x14ac:dyDescent="0.2">
      <c r="A1" s="1026"/>
      <c r="B1" s="1026"/>
      <c r="C1" s="1027" t="s">
        <v>0</v>
      </c>
      <c r="D1" s="1027"/>
      <c r="E1" s="1027"/>
      <c r="F1" s="1027"/>
      <c r="G1" s="1027"/>
      <c r="H1" s="1027"/>
      <c r="I1" s="1027"/>
      <c r="J1" s="1027"/>
      <c r="K1" s="1027"/>
      <c r="L1" s="1027"/>
      <c r="M1" s="1027"/>
      <c r="N1" s="1027"/>
      <c r="O1" s="1027"/>
      <c r="P1" s="1027"/>
      <c r="Q1" s="1027"/>
      <c r="R1" s="1027"/>
      <c r="S1" s="1027"/>
      <c r="T1" s="1027"/>
      <c r="U1" s="1027"/>
      <c r="V1" s="1027"/>
      <c r="W1" s="1027"/>
      <c r="X1" s="1027"/>
      <c r="Y1" s="1027"/>
      <c r="Z1" s="1027"/>
      <c r="AA1" s="1027"/>
      <c r="AB1" s="1027"/>
      <c r="AC1" s="1027"/>
      <c r="AD1" s="1027"/>
      <c r="AE1" s="1027"/>
      <c r="AF1" s="1027"/>
      <c r="AG1" s="1027"/>
      <c r="AH1" s="1027"/>
      <c r="AI1" s="1027"/>
      <c r="AJ1" s="1027"/>
      <c r="AK1" s="1027"/>
      <c r="AL1" s="1027"/>
      <c r="AM1" s="1027"/>
      <c r="AN1" s="1027"/>
      <c r="AO1" s="1027"/>
      <c r="AP1" s="1027"/>
      <c r="AQ1" s="1027"/>
      <c r="AR1" s="1027"/>
      <c r="AS1" s="1027"/>
      <c r="AT1" s="1027"/>
      <c r="AU1" s="1027"/>
      <c r="AV1" s="1027"/>
      <c r="AW1" s="1027"/>
    </row>
    <row r="2" spans="1:51" s="113" customFormat="1" ht="12" hidden="1" customHeight="1" x14ac:dyDescent="0.2">
      <c r="A2" s="1026"/>
      <c r="B2" s="1026"/>
      <c r="C2" s="1028" t="s">
        <v>122</v>
      </c>
      <c r="D2" s="1029"/>
      <c r="E2" s="1029"/>
      <c r="F2" s="1029"/>
      <c r="G2" s="1029"/>
      <c r="H2" s="1029"/>
      <c r="I2" s="1029"/>
      <c r="J2" s="1029"/>
      <c r="K2" s="1029"/>
      <c r="L2" s="1029"/>
      <c r="M2" s="1029"/>
      <c r="N2" s="1029"/>
      <c r="O2" s="1029"/>
      <c r="P2" s="1029"/>
      <c r="Q2" s="1029"/>
      <c r="R2" s="1029"/>
      <c r="S2" s="1029"/>
      <c r="T2" s="1029"/>
      <c r="U2" s="1029"/>
      <c r="V2" s="1029"/>
      <c r="W2" s="1029"/>
      <c r="X2" s="1029"/>
      <c r="Y2" s="1029"/>
      <c r="Z2" s="1029"/>
      <c r="AA2" s="1029"/>
      <c r="AB2" s="1029"/>
      <c r="AC2" s="1029"/>
      <c r="AD2" s="1029"/>
      <c r="AE2" s="1029"/>
      <c r="AF2" s="1029"/>
      <c r="AG2" s="1029"/>
      <c r="AH2" s="1029"/>
      <c r="AI2" s="1029"/>
      <c r="AJ2" s="1029"/>
      <c r="AK2" s="1029"/>
      <c r="AL2" s="1029"/>
      <c r="AM2" s="1029"/>
      <c r="AN2" s="1029"/>
      <c r="AO2" s="1029"/>
      <c r="AP2" s="1029"/>
      <c r="AQ2" s="1029"/>
      <c r="AR2" s="1029"/>
      <c r="AS2" s="1029"/>
      <c r="AT2" s="1029"/>
      <c r="AU2" s="1029"/>
      <c r="AV2" s="1029"/>
      <c r="AW2" s="1030"/>
      <c r="AX2" s="112" t="s">
        <v>2</v>
      </c>
      <c r="AY2" s="112" t="s">
        <v>3</v>
      </c>
    </row>
    <row r="3" spans="1:51" s="113" customFormat="1" ht="11.25" hidden="1" customHeight="1" x14ac:dyDescent="0.2">
      <c r="A3" s="1026"/>
      <c r="B3" s="1026"/>
      <c r="C3" s="1031"/>
      <c r="D3" s="1032"/>
      <c r="E3" s="1032"/>
      <c r="F3" s="1032"/>
      <c r="G3" s="1032"/>
      <c r="H3" s="1032"/>
      <c r="I3" s="1032"/>
      <c r="J3" s="1032"/>
      <c r="K3" s="1032"/>
      <c r="L3" s="1032"/>
      <c r="M3" s="1032"/>
      <c r="N3" s="1032"/>
      <c r="O3" s="1032"/>
      <c r="P3" s="1032"/>
      <c r="Q3" s="1032"/>
      <c r="R3" s="1032"/>
      <c r="S3" s="1032"/>
      <c r="T3" s="1032"/>
      <c r="U3" s="1032"/>
      <c r="V3" s="1032"/>
      <c r="W3" s="1032"/>
      <c r="X3" s="1032"/>
      <c r="Y3" s="1032"/>
      <c r="Z3" s="1032"/>
      <c r="AA3" s="1032"/>
      <c r="AB3" s="1032"/>
      <c r="AC3" s="1032"/>
      <c r="AD3" s="1032"/>
      <c r="AE3" s="1032"/>
      <c r="AF3" s="1032"/>
      <c r="AG3" s="1032"/>
      <c r="AH3" s="1032"/>
      <c r="AI3" s="1032"/>
      <c r="AJ3" s="1032"/>
      <c r="AK3" s="1032"/>
      <c r="AL3" s="1032"/>
      <c r="AM3" s="1032"/>
      <c r="AN3" s="1032"/>
      <c r="AO3" s="1032"/>
      <c r="AP3" s="1032"/>
      <c r="AQ3" s="1032"/>
      <c r="AR3" s="1032"/>
      <c r="AS3" s="1032"/>
      <c r="AT3" s="1032"/>
      <c r="AU3" s="1032"/>
      <c r="AV3" s="1032"/>
      <c r="AW3" s="1033"/>
      <c r="AX3" s="112" t="s">
        <v>4</v>
      </c>
      <c r="AY3" s="114">
        <v>11</v>
      </c>
    </row>
    <row r="4" spans="1:51" s="113" customFormat="1" ht="7.5" hidden="1" customHeight="1" x14ac:dyDescent="0.2">
      <c r="A4" s="1026"/>
      <c r="B4" s="1026"/>
      <c r="C4" s="1034"/>
      <c r="D4" s="1035"/>
      <c r="E4" s="1035"/>
      <c r="F4" s="1035"/>
      <c r="G4" s="1035"/>
      <c r="H4" s="1035"/>
      <c r="I4" s="1035"/>
      <c r="J4" s="1035"/>
      <c r="K4" s="1035"/>
      <c r="L4" s="1035"/>
      <c r="M4" s="1035"/>
      <c r="N4" s="1035"/>
      <c r="O4" s="1035"/>
      <c r="P4" s="1035"/>
      <c r="Q4" s="1035"/>
      <c r="R4" s="1035"/>
      <c r="S4" s="1035"/>
      <c r="T4" s="1035"/>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c r="AU4" s="1035"/>
      <c r="AV4" s="1035"/>
      <c r="AW4" s="1036"/>
      <c r="AX4" s="112" t="s">
        <v>5</v>
      </c>
      <c r="AY4" s="115">
        <v>44714</v>
      </c>
    </row>
    <row r="5" spans="1:51" s="113" customFormat="1" ht="12" hidden="1" customHeight="1" x14ac:dyDescent="0.2">
      <c r="A5" s="1026"/>
      <c r="B5" s="1026"/>
      <c r="C5" s="1037"/>
      <c r="D5" s="1038"/>
      <c r="E5" s="1038"/>
      <c r="F5" s="1038"/>
      <c r="G5" s="1038"/>
      <c r="H5" s="1038"/>
      <c r="I5" s="1038"/>
      <c r="J5" s="1038"/>
      <c r="K5" s="1038"/>
      <c r="L5" s="1038"/>
      <c r="M5" s="1038"/>
      <c r="N5" s="1038"/>
      <c r="O5" s="1038"/>
      <c r="P5" s="1038"/>
      <c r="Q5" s="1038"/>
      <c r="R5" s="1038"/>
      <c r="S5" s="1038"/>
      <c r="T5" s="1038"/>
      <c r="U5" s="1038"/>
      <c r="V5" s="1038"/>
      <c r="W5" s="1038"/>
      <c r="X5" s="1038"/>
      <c r="Y5" s="1038"/>
      <c r="Z5" s="1038"/>
      <c r="AA5" s="1038"/>
      <c r="AB5" s="1038"/>
      <c r="AC5" s="1038"/>
      <c r="AD5" s="1038"/>
      <c r="AE5" s="1038"/>
      <c r="AF5" s="1038"/>
      <c r="AG5" s="1038"/>
      <c r="AH5" s="1038"/>
      <c r="AI5" s="1038"/>
      <c r="AJ5" s="1038"/>
      <c r="AK5" s="1038"/>
      <c r="AL5" s="1038"/>
      <c r="AM5" s="1038"/>
      <c r="AN5" s="1038"/>
      <c r="AO5" s="1038"/>
      <c r="AP5" s="1038"/>
      <c r="AQ5" s="1038"/>
      <c r="AR5" s="1038"/>
      <c r="AS5" s="1038"/>
      <c r="AT5" s="1038"/>
      <c r="AU5" s="1038"/>
      <c r="AV5" s="1038"/>
      <c r="AW5" s="1039"/>
      <c r="AX5" s="112" t="s">
        <v>6</v>
      </c>
      <c r="AY5" s="116" t="s">
        <v>7</v>
      </c>
    </row>
    <row r="6" spans="1:51" s="113" customFormat="1" ht="9" hidden="1" customHeight="1" x14ac:dyDescent="0.2">
      <c r="A6" s="1026"/>
      <c r="B6" s="1026"/>
      <c r="C6" s="1040" t="s">
        <v>123</v>
      </c>
      <c r="D6" s="1041"/>
      <c r="E6" s="1041"/>
      <c r="F6" s="1041"/>
      <c r="G6" s="1041"/>
      <c r="H6" s="1041"/>
      <c r="I6" s="1041"/>
      <c r="J6" s="1041"/>
      <c r="K6" s="1041"/>
      <c r="L6" s="1041"/>
      <c r="M6" s="1041"/>
      <c r="N6" s="1041"/>
      <c r="O6" s="1041"/>
      <c r="P6" s="1041"/>
      <c r="Q6" s="1041"/>
      <c r="R6" s="1041"/>
      <c r="S6" s="1041"/>
      <c r="T6" s="1041"/>
      <c r="U6" s="1041"/>
      <c r="V6" s="1041"/>
      <c r="W6" s="1041"/>
      <c r="X6" s="1041"/>
      <c r="Y6" s="1041"/>
      <c r="Z6" s="1041"/>
      <c r="AA6" s="1041"/>
      <c r="AB6" s="1041"/>
      <c r="AC6" s="1041"/>
      <c r="AD6" s="1041"/>
      <c r="AE6" s="1041"/>
      <c r="AF6" s="1041"/>
      <c r="AG6" s="1041"/>
      <c r="AH6" s="1041"/>
      <c r="AI6" s="1041"/>
      <c r="AJ6" s="1041"/>
      <c r="AK6" s="1041"/>
      <c r="AL6" s="1041"/>
      <c r="AM6" s="1041"/>
      <c r="AN6" s="1041"/>
      <c r="AO6" s="1041"/>
      <c r="AP6" s="1041"/>
      <c r="AQ6" s="1041"/>
      <c r="AR6" s="1041"/>
      <c r="AS6" s="1041"/>
      <c r="AT6" s="1041"/>
      <c r="AU6" s="1041"/>
      <c r="AV6" s="1041"/>
      <c r="AW6" s="1041"/>
      <c r="AX6" s="117"/>
      <c r="AY6" s="118"/>
    </row>
    <row r="7" spans="1:51" s="113" customFormat="1" ht="12" hidden="1" customHeight="1" x14ac:dyDescent="0.2">
      <c r="A7" s="1027"/>
      <c r="B7" s="1027"/>
      <c r="C7" s="130"/>
      <c r="D7" s="130"/>
      <c r="E7" s="130"/>
      <c r="F7" s="119"/>
      <c r="G7" s="130"/>
      <c r="H7" s="119"/>
      <c r="I7" s="130"/>
      <c r="J7" s="119"/>
      <c r="K7" s="130"/>
      <c r="L7" s="119"/>
      <c r="M7" s="130"/>
      <c r="N7" s="119"/>
      <c r="O7" s="130"/>
      <c r="P7" s="130"/>
      <c r="Q7" s="130"/>
      <c r="R7" s="130"/>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20"/>
    </row>
    <row r="8" spans="1:51" x14ac:dyDescent="0.2">
      <c r="A8" s="1048" t="s">
        <v>9</v>
      </c>
      <c r="B8" s="1049"/>
      <c r="C8" s="1048" t="s">
        <v>10</v>
      </c>
      <c r="D8" s="1052"/>
      <c r="E8" s="1048" t="s">
        <v>11</v>
      </c>
      <c r="F8" s="1049"/>
      <c r="G8" s="1048" t="s">
        <v>12</v>
      </c>
      <c r="H8" s="1054"/>
      <c r="I8" s="1055"/>
      <c r="J8" s="1049"/>
      <c r="K8" s="1042" t="s">
        <v>13</v>
      </c>
      <c r="L8" s="1058"/>
      <c r="M8" s="1043"/>
      <c r="N8" s="1059"/>
      <c r="O8" s="1042" t="s">
        <v>14</v>
      </c>
      <c r="P8" s="1043"/>
      <c r="Q8" s="1044"/>
      <c r="R8" s="1016" t="s">
        <v>15</v>
      </c>
      <c r="S8" s="1016"/>
      <c r="T8" s="1017"/>
      <c r="U8" s="1016"/>
      <c r="V8" s="1016"/>
      <c r="W8" s="1016"/>
      <c r="X8" s="1016"/>
      <c r="Y8" s="283"/>
      <c r="Z8" s="283"/>
      <c r="AA8" s="283"/>
      <c r="AB8" s="283"/>
      <c r="AC8" s="109"/>
      <c r="AD8" s="109"/>
      <c r="AE8" s="109"/>
      <c r="AF8" s="110"/>
      <c r="AG8" s="1020" t="s">
        <v>16</v>
      </c>
      <c r="AH8" s="1021"/>
      <c r="AI8" s="1021"/>
      <c r="AJ8" s="1021"/>
      <c r="AK8" s="1021"/>
      <c r="AL8" s="1021"/>
      <c r="AM8" s="1021"/>
      <c r="AN8" s="1021"/>
      <c r="AO8" s="1021"/>
      <c r="AP8" s="1021"/>
      <c r="AQ8" s="1021"/>
      <c r="AR8" s="1021"/>
      <c r="AS8" s="1021"/>
      <c r="AT8" s="1021"/>
      <c r="AU8" s="1021"/>
      <c r="AV8" s="1022"/>
      <c r="AW8" s="1023" t="s">
        <v>17</v>
      </c>
      <c r="AX8" s="1023" t="s">
        <v>18</v>
      </c>
      <c r="AY8" s="1023" t="s">
        <v>19</v>
      </c>
    </row>
    <row r="9" spans="1:51" s="121" customFormat="1" x14ac:dyDescent="0.2">
      <c r="A9" s="1050"/>
      <c r="B9" s="1051"/>
      <c r="C9" s="1050"/>
      <c r="D9" s="1053"/>
      <c r="E9" s="1050"/>
      <c r="F9" s="1051"/>
      <c r="G9" s="1050"/>
      <c r="H9" s="1056"/>
      <c r="I9" s="1057"/>
      <c r="J9" s="1051"/>
      <c r="K9" s="1045"/>
      <c r="L9" s="1060"/>
      <c r="M9" s="1046"/>
      <c r="N9" s="1061"/>
      <c r="O9" s="1045"/>
      <c r="P9" s="1046"/>
      <c r="Q9" s="1047"/>
      <c r="R9" s="1018"/>
      <c r="S9" s="1018"/>
      <c r="T9" s="1019"/>
      <c r="U9" s="1018"/>
      <c r="V9" s="1018"/>
      <c r="W9" s="1018"/>
      <c r="X9" s="1018"/>
      <c r="Y9" s="284"/>
      <c r="Z9" s="284"/>
      <c r="AA9" s="284"/>
      <c r="AB9" s="284"/>
      <c r="AC9" s="1062" t="s">
        <v>20</v>
      </c>
      <c r="AD9" s="1062"/>
      <c r="AE9" s="1062"/>
      <c r="AF9" s="1062"/>
      <c r="AG9" s="1062" t="s">
        <v>21</v>
      </c>
      <c r="AH9" s="1063"/>
      <c r="AI9" s="1064" t="s">
        <v>22</v>
      </c>
      <c r="AJ9" s="1063"/>
      <c r="AK9" s="1063"/>
      <c r="AL9" s="1063"/>
      <c r="AM9" s="1065" t="s">
        <v>23</v>
      </c>
      <c r="AN9" s="1063"/>
      <c r="AO9" s="1063"/>
      <c r="AP9" s="1063"/>
      <c r="AQ9" s="1063"/>
      <c r="AR9" s="1063"/>
      <c r="AS9" s="1064" t="s">
        <v>24</v>
      </c>
      <c r="AT9" s="1063"/>
      <c r="AU9" s="1063"/>
      <c r="AV9" s="1066" t="s">
        <v>25</v>
      </c>
      <c r="AW9" s="1024"/>
      <c r="AX9" s="1024"/>
      <c r="AY9" s="1024"/>
    </row>
    <row r="10" spans="1:51" s="129" customFormat="1" ht="46.5" customHeight="1" x14ac:dyDescent="0.2">
      <c r="A10" s="122" t="s">
        <v>26</v>
      </c>
      <c r="B10" s="879" t="s">
        <v>27</v>
      </c>
      <c r="C10" s="122" t="s">
        <v>26</v>
      </c>
      <c r="D10" s="123" t="s">
        <v>27</v>
      </c>
      <c r="E10" s="123" t="s">
        <v>26</v>
      </c>
      <c r="F10" s="879" t="s">
        <v>27</v>
      </c>
      <c r="G10" s="124" t="s">
        <v>28</v>
      </c>
      <c r="H10" s="884" t="s">
        <v>29</v>
      </c>
      <c r="I10" s="124" t="s">
        <v>30</v>
      </c>
      <c r="J10" s="884" t="s">
        <v>31</v>
      </c>
      <c r="K10" s="124" t="s">
        <v>28</v>
      </c>
      <c r="L10" s="884" t="s">
        <v>32</v>
      </c>
      <c r="M10" s="124" t="s">
        <v>33</v>
      </c>
      <c r="N10" s="884" t="s">
        <v>34</v>
      </c>
      <c r="O10" s="124" t="s">
        <v>35</v>
      </c>
      <c r="P10" s="124" t="s">
        <v>36</v>
      </c>
      <c r="Q10" s="124" t="s">
        <v>37</v>
      </c>
      <c r="R10" s="123" t="s">
        <v>38</v>
      </c>
      <c r="S10" s="879" t="s">
        <v>39</v>
      </c>
      <c r="T10" s="125" t="s">
        <v>40</v>
      </c>
      <c r="U10" s="879" t="s">
        <v>41</v>
      </c>
      <c r="V10" s="879" t="s">
        <v>42</v>
      </c>
      <c r="W10" s="879" t="s">
        <v>43</v>
      </c>
      <c r="X10" s="126" t="s">
        <v>44</v>
      </c>
      <c r="Y10" s="660" t="s">
        <v>45</v>
      </c>
      <c r="Z10" s="659" t="s">
        <v>46</v>
      </c>
      <c r="AA10" s="659" t="s">
        <v>47</v>
      </c>
      <c r="AB10" s="660" t="s">
        <v>48</v>
      </c>
      <c r="AC10" s="668" t="s">
        <v>49</v>
      </c>
      <c r="AD10" s="123" t="s">
        <v>50</v>
      </c>
      <c r="AE10" s="123" t="s">
        <v>51</v>
      </c>
      <c r="AF10" s="123" t="s">
        <v>52</v>
      </c>
      <c r="AG10" s="127" t="s">
        <v>53</v>
      </c>
      <c r="AH10" s="128" t="s">
        <v>54</v>
      </c>
      <c r="AI10" s="127" t="s">
        <v>55</v>
      </c>
      <c r="AJ10" s="127" t="s">
        <v>56</v>
      </c>
      <c r="AK10" s="127" t="s">
        <v>57</v>
      </c>
      <c r="AL10" s="127" t="s">
        <v>58</v>
      </c>
      <c r="AM10" s="127" t="s">
        <v>59</v>
      </c>
      <c r="AN10" s="127" t="s">
        <v>60</v>
      </c>
      <c r="AO10" s="127" t="s">
        <v>61</v>
      </c>
      <c r="AP10" s="127" t="s">
        <v>62</v>
      </c>
      <c r="AQ10" s="127" t="s">
        <v>63</v>
      </c>
      <c r="AR10" s="127" t="s">
        <v>64</v>
      </c>
      <c r="AS10" s="127" t="s">
        <v>65</v>
      </c>
      <c r="AT10" s="127" t="s">
        <v>66</v>
      </c>
      <c r="AU10" s="127" t="s">
        <v>67</v>
      </c>
      <c r="AV10" s="1066"/>
      <c r="AW10" s="1025"/>
      <c r="AX10" s="1025"/>
      <c r="AY10" s="1025"/>
    </row>
    <row r="11" spans="1:51" s="47" customFormat="1" ht="77.25" hidden="1" customHeight="1" x14ac:dyDescent="0.2">
      <c r="A11" s="65">
        <v>4</v>
      </c>
      <c r="B11" s="66" t="s">
        <v>124</v>
      </c>
      <c r="C11" s="65">
        <v>45</v>
      </c>
      <c r="D11" s="65" t="s">
        <v>68</v>
      </c>
      <c r="E11" s="65">
        <v>4502</v>
      </c>
      <c r="F11" s="194" t="s">
        <v>125</v>
      </c>
      <c r="G11" s="28" t="s">
        <v>70</v>
      </c>
      <c r="H11" s="194" t="s">
        <v>71</v>
      </c>
      <c r="I11" s="28">
        <v>4599023</v>
      </c>
      <c r="J11" s="75" t="s">
        <v>126</v>
      </c>
      <c r="K11" s="131" t="s">
        <v>70</v>
      </c>
      <c r="L11" s="132" t="s">
        <v>73</v>
      </c>
      <c r="M11" s="131">
        <v>459902300</v>
      </c>
      <c r="N11" s="132" t="s">
        <v>74</v>
      </c>
      <c r="O11" s="131">
        <v>18</v>
      </c>
      <c r="P11" s="28"/>
      <c r="Q11" s="28">
        <f>+O11+P11</f>
        <v>18</v>
      </c>
      <c r="R11" s="79">
        <v>2020003630008</v>
      </c>
      <c r="S11" s="194" t="s">
        <v>127</v>
      </c>
      <c r="T11" s="133">
        <f>SUM($X$11:$X$37)/SUM($X$11:$X$37)</f>
        <v>1</v>
      </c>
      <c r="U11" s="194" t="s">
        <v>128</v>
      </c>
      <c r="V11" s="194" t="s">
        <v>129</v>
      </c>
      <c r="W11" s="75" t="s">
        <v>130</v>
      </c>
      <c r="X11" s="198">
        <v>1200000</v>
      </c>
      <c r="Y11" s="198"/>
      <c r="Z11" s="198"/>
      <c r="AA11" s="198"/>
      <c r="AB11" s="198">
        <f>X11-Y11+Z11-AA11</f>
        <v>1200000</v>
      </c>
      <c r="AC11" s="28" t="s">
        <v>131</v>
      </c>
      <c r="AD11" s="194"/>
      <c r="AE11" s="72">
        <v>20</v>
      </c>
      <c r="AF11" s="72" t="s">
        <v>132</v>
      </c>
      <c r="AG11" s="134">
        <v>295972</v>
      </c>
      <c r="AH11" s="134">
        <v>285580</v>
      </c>
      <c r="AI11" s="134">
        <v>135545</v>
      </c>
      <c r="AJ11" s="134">
        <v>44254</v>
      </c>
      <c r="AK11" s="134">
        <v>309146</v>
      </c>
      <c r="AL11" s="134">
        <v>92607</v>
      </c>
      <c r="AM11" s="134">
        <v>2145</v>
      </c>
      <c r="AN11" s="134">
        <v>12718</v>
      </c>
      <c r="AO11" s="134">
        <v>26</v>
      </c>
      <c r="AP11" s="134">
        <v>37</v>
      </c>
      <c r="AQ11" s="134">
        <v>0</v>
      </c>
      <c r="AR11" s="134">
        <v>0</v>
      </c>
      <c r="AS11" s="134">
        <v>44350</v>
      </c>
      <c r="AT11" s="134">
        <v>21944</v>
      </c>
      <c r="AU11" s="134">
        <v>75687</v>
      </c>
      <c r="AV11" s="134">
        <v>581552</v>
      </c>
      <c r="AW11" s="74">
        <v>45292</v>
      </c>
      <c r="AX11" s="74">
        <v>45657</v>
      </c>
      <c r="AY11" s="28" t="s">
        <v>133</v>
      </c>
    </row>
    <row r="12" spans="1:51" s="47" customFormat="1" ht="102" hidden="1" x14ac:dyDescent="0.2">
      <c r="A12" s="65">
        <v>4</v>
      </c>
      <c r="B12" s="66" t="s">
        <v>124</v>
      </c>
      <c r="C12" s="65">
        <v>45</v>
      </c>
      <c r="D12" s="65" t="s">
        <v>68</v>
      </c>
      <c r="E12" s="65">
        <v>4502</v>
      </c>
      <c r="F12" s="194" t="s">
        <v>125</v>
      </c>
      <c r="G12" s="28" t="s">
        <v>70</v>
      </c>
      <c r="H12" s="194" t="s">
        <v>71</v>
      </c>
      <c r="I12" s="28">
        <v>4599023</v>
      </c>
      <c r="J12" s="75" t="s">
        <v>126</v>
      </c>
      <c r="K12" s="131" t="s">
        <v>70</v>
      </c>
      <c r="L12" s="132" t="s">
        <v>73</v>
      </c>
      <c r="M12" s="131">
        <v>459902300</v>
      </c>
      <c r="N12" s="132" t="s">
        <v>74</v>
      </c>
      <c r="O12" s="131">
        <v>18</v>
      </c>
      <c r="P12" s="28"/>
      <c r="Q12" s="28">
        <f t="shared" ref="Q12:Q37" si="0">+O12+P12</f>
        <v>18</v>
      </c>
      <c r="R12" s="79">
        <v>2020003630008</v>
      </c>
      <c r="S12" s="194" t="s">
        <v>127</v>
      </c>
      <c r="T12" s="133">
        <f t="shared" ref="T12:T37" si="1">SUM($X$11:$X$37)/SUM($X$11:$X$37)</f>
        <v>1</v>
      </c>
      <c r="U12" s="194" t="s">
        <v>128</v>
      </c>
      <c r="V12" s="194" t="s">
        <v>129</v>
      </c>
      <c r="W12" s="75" t="s">
        <v>134</v>
      </c>
      <c r="X12" s="198">
        <v>1200000</v>
      </c>
      <c r="Y12" s="198"/>
      <c r="Z12" s="198"/>
      <c r="AA12" s="198"/>
      <c r="AB12" s="198">
        <f t="shared" ref="AB12:AB53" si="2">X12-Y12+Z12-AA12</f>
        <v>1200000</v>
      </c>
      <c r="AC12" s="28" t="s">
        <v>131</v>
      </c>
      <c r="AD12" s="194"/>
      <c r="AE12" s="72">
        <v>20</v>
      </c>
      <c r="AF12" s="72" t="s">
        <v>132</v>
      </c>
      <c r="AG12" s="134">
        <v>295972</v>
      </c>
      <c r="AH12" s="134">
        <v>285580</v>
      </c>
      <c r="AI12" s="134">
        <v>135545</v>
      </c>
      <c r="AJ12" s="134">
        <v>44254</v>
      </c>
      <c r="AK12" s="134">
        <v>309146</v>
      </c>
      <c r="AL12" s="134">
        <v>92607</v>
      </c>
      <c r="AM12" s="134">
        <v>2145</v>
      </c>
      <c r="AN12" s="134">
        <v>12718</v>
      </c>
      <c r="AO12" s="134">
        <v>26</v>
      </c>
      <c r="AP12" s="134">
        <v>37</v>
      </c>
      <c r="AQ12" s="134">
        <v>0</v>
      </c>
      <c r="AR12" s="134">
        <v>0</v>
      </c>
      <c r="AS12" s="134">
        <v>44350</v>
      </c>
      <c r="AT12" s="134">
        <v>21944</v>
      </c>
      <c r="AU12" s="134">
        <v>75687</v>
      </c>
      <c r="AV12" s="134">
        <v>581552</v>
      </c>
      <c r="AW12" s="74">
        <v>45292</v>
      </c>
      <c r="AX12" s="74">
        <v>45657</v>
      </c>
      <c r="AY12" s="28" t="s">
        <v>133</v>
      </c>
    </row>
    <row r="13" spans="1:51" s="47" customFormat="1" ht="102" hidden="1" x14ac:dyDescent="0.2">
      <c r="A13" s="65">
        <v>4</v>
      </c>
      <c r="B13" s="66" t="s">
        <v>124</v>
      </c>
      <c r="C13" s="65">
        <v>45</v>
      </c>
      <c r="D13" s="65" t="s">
        <v>68</v>
      </c>
      <c r="E13" s="65">
        <v>4502</v>
      </c>
      <c r="F13" s="194" t="s">
        <v>125</v>
      </c>
      <c r="G13" s="28" t="s">
        <v>70</v>
      </c>
      <c r="H13" s="194" t="s">
        <v>71</v>
      </c>
      <c r="I13" s="28">
        <v>4599023</v>
      </c>
      <c r="J13" s="75" t="s">
        <v>126</v>
      </c>
      <c r="K13" s="131" t="s">
        <v>70</v>
      </c>
      <c r="L13" s="132" t="s">
        <v>73</v>
      </c>
      <c r="M13" s="131">
        <v>459902300</v>
      </c>
      <c r="N13" s="132" t="s">
        <v>74</v>
      </c>
      <c r="O13" s="131">
        <v>18</v>
      </c>
      <c r="P13" s="28"/>
      <c r="Q13" s="28">
        <f t="shared" si="0"/>
        <v>18</v>
      </c>
      <c r="R13" s="79">
        <v>2020003630008</v>
      </c>
      <c r="S13" s="194" t="s">
        <v>127</v>
      </c>
      <c r="T13" s="133">
        <f t="shared" si="1"/>
        <v>1</v>
      </c>
      <c r="U13" s="194" t="s">
        <v>128</v>
      </c>
      <c r="V13" s="194" t="s">
        <v>129</v>
      </c>
      <c r="W13" s="75" t="s">
        <v>135</v>
      </c>
      <c r="X13" s="198">
        <v>1200000</v>
      </c>
      <c r="Y13" s="198"/>
      <c r="Z13" s="198"/>
      <c r="AA13" s="198"/>
      <c r="AB13" s="198">
        <f t="shared" si="2"/>
        <v>1200000</v>
      </c>
      <c r="AC13" s="28" t="s">
        <v>136</v>
      </c>
      <c r="AD13" s="194"/>
      <c r="AE13" s="72">
        <v>20</v>
      </c>
      <c r="AF13" s="72" t="s">
        <v>132</v>
      </c>
      <c r="AG13" s="134">
        <v>295972</v>
      </c>
      <c r="AH13" s="134">
        <v>285580</v>
      </c>
      <c r="AI13" s="134">
        <v>135545</v>
      </c>
      <c r="AJ13" s="134">
        <v>44254</v>
      </c>
      <c r="AK13" s="134">
        <v>309146</v>
      </c>
      <c r="AL13" s="134">
        <v>92607</v>
      </c>
      <c r="AM13" s="134">
        <v>2145</v>
      </c>
      <c r="AN13" s="134">
        <v>12718</v>
      </c>
      <c r="AO13" s="134">
        <v>26</v>
      </c>
      <c r="AP13" s="134">
        <v>37</v>
      </c>
      <c r="AQ13" s="134">
        <v>0</v>
      </c>
      <c r="AR13" s="134">
        <v>0</v>
      </c>
      <c r="AS13" s="134">
        <v>44350</v>
      </c>
      <c r="AT13" s="134">
        <v>21944</v>
      </c>
      <c r="AU13" s="134">
        <v>75687</v>
      </c>
      <c r="AV13" s="134">
        <v>581552</v>
      </c>
      <c r="AW13" s="74">
        <v>45292</v>
      </c>
      <c r="AX13" s="74">
        <v>45657</v>
      </c>
      <c r="AY13" s="28" t="s">
        <v>133</v>
      </c>
    </row>
    <row r="14" spans="1:51" s="47" customFormat="1" ht="102" hidden="1" x14ac:dyDescent="0.2">
      <c r="A14" s="65">
        <v>4</v>
      </c>
      <c r="B14" s="66" t="s">
        <v>124</v>
      </c>
      <c r="C14" s="65">
        <v>45</v>
      </c>
      <c r="D14" s="65" t="s">
        <v>68</v>
      </c>
      <c r="E14" s="65">
        <v>4502</v>
      </c>
      <c r="F14" s="194" t="s">
        <v>125</v>
      </c>
      <c r="G14" s="28" t="s">
        <v>70</v>
      </c>
      <c r="H14" s="194" t="s">
        <v>71</v>
      </c>
      <c r="I14" s="28">
        <v>4599023</v>
      </c>
      <c r="J14" s="75" t="s">
        <v>126</v>
      </c>
      <c r="K14" s="131" t="s">
        <v>70</v>
      </c>
      <c r="L14" s="132" t="s">
        <v>73</v>
      </c>
      <c r="M14" s="131">
        <v>459902300</v>
      </c>
      <c r="N14" s="132" t="s">
        <v>74</v>
      </c>
      <c r="O14" s="131">
        <v>18</v>
      </c>
      <c r="P14" s="28"/>
      <c r="Q14" s="28">
        <f t="shared" si="0"/>
        <v>18</v>
      </c>
      <c r="R14" s="79">
        <v>2020003630008</v>
      </c>
      <c r="S14" s="194" t="s">
        <v>127</v>
      </c>
      <c r="T14" s="133">
        <f t="shared" si="1"/>
        <v>1</v>
      </c>
      <c r="U14" s="194" t="s">
        <v>128</v>
      </c>
      <c r="V14" s="194" t="s">
        <v>129</v>
      </c>
      <c r="W14" s="75" t="s">
        <v>137</v>
      </c>
      <c r="X14" s="198">
        <v>1200000</v>
      </c>
      <c r="Y14" s="198"/>
      <c r="Z14" s="198"/>
      <c r="AA14" s="198"/>
      <c r="AB14" s="198">
        <f t="shared" si="2"/>
        <v>1200000</v>
      </c>
      <c r="AC14" s="28" t="s">
        <v>136</v>
      </c>
      <c r="AD14" s="194"/>
      <c r="AE14" s="72">
        <v>20</v>
      </c>
      <c r="AF14" s="72" t="s">
        <v>132</v>
      </c>
      <c r="AG14" s="134">
        <v>295972</v>
      </c>
      <c r="AH14" s="134">
        <v>285580</v>
      </c>
      <c r="AI14" s="134">
        <v>135545</v>
      </c>
      <c r="AJ14" s="134">
        <v>44254</v>
      </c>
      <c r="AK14" s="134">
        <v>309146</v>
      </c>
      <c r="AL14" s="134">
        <v>92607</v>
      </c>
      <c r="AM14" s="134">
        <v>2145</v>
      </c>
      <c r="AN14" s="134">
        <v>12718</v>
      </c>
      <c r="AO14" s="134">
        <v>26</v>
      </c>
      <c r="AP14" s="134">
        <v>37</v>
      </c>
      <c r="AQ14" s="134">
        <v>0</v>
      </c>
      <c r="AR14" s="134">
        <v>0</v>
      </c>
      <c r="AS14" s="134">
        <v>44350</v>
      </c>
      <c r="AT14" s="134">
        <v>21944</v>
      </c>
      <c r="AU14" s="134">
        <v>75687</v>
      </c>
      <c r="AV14" s="134">
        <v>581552</v>
      </c>
      <c r="AW14" s="74">
        <v>45292</v>
      </c>
      <c r="AX14" s="74">
        <v>45657</v>
      </c>
      <c r="AY14" s="28" t="s">
        <v>133</v>
      </c>
    </row>
    <row r="15" spans="1:51" s="47" customFormat="1" ht="102" hidden="1" x14ac:dyDescent="0.2">
      <c r="A15" s="65">
        <v>4</v>
      </c>
      <c r="B15" s="66" t="s">
        <v>124</v>
      </c>
      <c r="C15" s="65">
        <v>45</v>
      </c>
      <c r="D15" s="65" t="s">
        <v>68</v>
      </c>
      <c r="E15" s="65">
        <v>4502</v>
      </c>
      <c r="F15" s="194" t="s">
        <v>125</v>
      </c>
      <c r="G15" s="28" t="s">
        <v>70</v>
      </c>
      <c r="H15" s="194" t="s">
        <v>71</v>
      </c>
      <c r="I15" s="28">
        <v>4599023</v>
      </c>
      <c r="J15" s="75" t="s">
        <v>126</v>
      </c>
      <c r="K15" s="131" t="s">
        <v>70</v>
      </c>
      <c r="L15" s="132" t="s">
        <v>73</v>
      </c>
      <c r="M15" s="131">
        <v>459902300</v>
      </c>
      <c r="N15" s="132" t="s">
        <v>74</v>
      </c>
      <c r="O15" s="131">
        <v>18</v>
      </c>
      <c r="P15" s="28"/>
      <c r="Q15" s="28">
        <f t="shared" si="0"/>
        <v>18</v>
      </c>
      <c r="R15" s="79">
        <v>2020003630008</v>
      </c>
      <c r="S15" s="194" t="s">
        <v>127</v>
      </c>
      <c r="T15" s="133">
        <f t="shared" si="1"/>
        <v>1</v>
      </c>
      <c r="U15" s="194" t="s">
        <v>128</v>
      </c>
      <c r="V15" s="194" t="s">
        <v>129</v>
      </c>
      <c r="W15" s="75" t="s">
        <v>138</v>
      </c>
      <c r="X15" s="198">
        <v>1200000</v>
      </c>
      <c r="Y15" s="198"/>
      <c r="Z15" s="198"/>
      <c r="AA15" s="198"/>
      <c r="AB15" s="198">
        <f t="shared" si="2"/>
        <v>1200000</v>
      </c>
      <c r="AC15" s="28" t="s">
        <v>136</v>
      </c>
      <c r="AD15" s="194"/>
      <c r="AE15" s="72">
        <v>20</v>
      </c>
      <c r="AF15" s="72" t="s">
        <v>132</v>
      </c>
      <c r="AG15" s="134">
        <v>295972</v>
      </c>
      <c r="AH15" s="134">
        <v>285580</v>
      </c>
      <c r="AI15" s="134">
        <v>135545</v>
      </c>
      <c r="AJ15" s="134">
        <v>44254</v>
      </c>
      <c r="AK15" s="134">
        <v>309146</v>
      </c>
      <c r="AL15" s="134">
        <v>92607</v>
      </c>
      <c r="AM15" s="134">
        <v>2145</v>
      </c>
      <c r="AN15" s="134">
        <v>12718</v>
      </c>
      <c r="AO15" s="134">
        <v>26</v>
      </c>
      <c r="AP15" s="134">
        <v>37</v>
      </c>
      <c r="AQ15" s="134">
        <v>0</v>
      </c>
      <c r="AR15" s="134">
        <v>0</v>
      </c>
      <c r="AS15" s="134">
        <v>44350</v>
      </c>
      <c r="AT15" s="134">
        <v>21944</v>
      </c>
      <c r="AU15" s="134">
        <v>75687</v>
      </c>
      <c r="AV15" s="134">
        <v>581552</v>
      </c>
      <c r="AW15" s="74">
        <v>45292</v>
      </c>
      <c r="AX15" s="74">
        <v>45657</v>
      </c>
      <c r="AY15" s="28" t="s">
        <v>133</v>
      </c>
    </row>
    <row r="16" spans="1:51" s="47" customFormat="1" ht="102" hidden="1" x14ac:dyDescent="0.2">
      <c r="A16" s="65">
        <v>4</v>
      </c>
      <c r="B16" s="66" t="s">
        <v>124</v>
      </c>
      <c r="C16" s="65">
        <v>45</v>
      </c>
      <c r="D16" s="65" t="s">
        <v>68</v>
      </c>
      <c r="E16" s="65">
        <v>4502</v>
      </c>
      <c r="F16" s="194" t="s">
        <v>125</v>
      </c>
      <c r="G16" s="28" t="s">
        <v>70</v>
      </c>
      <c r="H16" s="194" t="s">
        <v>71</v>
      </c>
      <c r="I16" s="28">
        <v>4599023</v>
      </c>
      <c r="J16" s="75" t="s">
        <v>126</v>
      </c>
      <c r="K16" s="131" t="s">
        <v>70</v>
      </c>
      <c r="L16" s="132" t="s">
        <v>73</v>
      </c>
      <c r="M16" s="131">
        <v>459902300</v>
      </c>
      <c r="N16" s="132" t="s">
        <v>74</v>
      </c>
      <c r="O16" s="131">
        <v>18</v>
      </c>
      <c r="P16" s="28"/>
      <c r="Q16" s="28">
        <f t="shared" si="0"/>
        <v>18</v>
      </c>
      <c r="R16" s="79">
        <v>2020003630008</v>
      </c>
      <c r="S16" s="194" t="s">
        <v>127</v>
      </c>
      <c r="T16" s="133">
        <f t="shared" si="1"/>
        <v>1</v>
      </c>
      <c r="U16" s="194" t="s">
        <v>128</v>
      </c>
      <c r="V16" s="194" t="s">
        <v>129</v>
      </c>
      <c r="W16" s="75" t="s">
        <v>139</v>
      </c>
      <c r="X16" s="198">
        <v>1200000</v>
      </c>
      <c r="Y16" s="198"/>
      <c r="Z16" s="198"/>
      <c r="AA16" s="198"/>
      <c r="AB16" s="198">
        <f t="shared" si="2"/>
        <v>1200000</v>
      </c>
      <c r="AC16" s="28" t="s">
        <v>136</v>
      </c>
      <c r="AD16" s="194"/>
      <c r="AE16" s="72">
        <v>20</v>
      </c>
      <c r="AF16" s="72" t="s">
        <v>132</v>
      </c>
      <c r="AG16" s="134">
        <v>295972</v>
      </c>
      <c r="AH16" s="134">
        <v>285580</v>
      </c>
      <c r="AI16" s="134">
        <v>135545</v>
      </c>
      <c r="AJ16" s="134">
        <v>44254</v>
      </c>
      <c r="AK16" s="134">
        <v>309146</v>
      </c>
      <c r="AL16" s="134">
        <v>92607</v>
      </c>
      <c r="AM16" s="134">
        <v>2145</v>
      </c>
      <c r="AN16" s="134">
        <v>12718</v>
      </c>
      <c r="AO16" s="134">
        <v>26</v>
      </c>
      <c r="AP16" s="134">
        <v>37</v>
      </c>
      <c r="AQ16" s="134">
        <v>0</v>
      </c>
      <c r="AR16" s="134">
        <v>0</v>
      </c>
      <c r="AS16" s="134">
        <v>44350</v>
      </c>
      <c r="AT16" s="134">
        <v>21944</v>
      </c>
      <c r="AU16" s="134">
        <v>75687</v>
      </c>
      <c r="AV16" s="134">
        <v>581552</v>
      </c>
      <c r="AW16" s="74">
        <v>45292</v>
      </c>
      <c r="AX16" s="74">
        <v>45657</v>
      </c>
      <c r="AY16" s="28" t="s">
        <v>133</v>
      </c>
    </row>
    <row r="17" spans="1:51" s="47" customFormat="1" ht="102" hidden="1" x14ac:dyDescent="0.2">
      <c r="A17" s="65">
        <v>4</v>
      </c>
      <c r="B17" s="66" t="s">
        <v>124</v>
      </c>
      <c r="C17" s="65">
        <v>45</v>
      </c>
      <c r="D17" s="65" t="s">
        <v>68</v>
      </c>
      <c r="E17" s="65">
        <v>4502</v>
      </c>
      <c r="F17" s="194" t="s">
        <v>125</v>
      </c>
      <c r="G17" s="28" t="s">
        <v>70</v>
      </c>
      <c r="H17" s="194" t="s">
        <v>71</v>
      </c>
      <c r="I17" s="28">
        <v>4599023</v>
      </c>
      <c r="J17" s="75" t="s">
        <v>126</v>
      </c>
      <c r="K17" s="131" t="s">
        <v>70</v>
      </c>
      <c r="L17" s="132" t="s">
        <v>73</v>
      </c>
      <c r="M17" s="131">
        <v>459902300</v>
      </c>
      <c r="N17" s="132" t="s">
        <v>74</v>
      </c>
      <c r="O17" s="131">
        <v>18</v>
      </c>
      <c r="P17" s="28"/>
      <c r="Q17" s="28">
        <f t="shared" si="0"/>
        <v>18</v>
      </c>
      <c r="R17" s="79">
        <v>2020003630008</v>
      </c>
      <c r="S17" s="194" t="s">
        <v>127</v>
      </c>
      <c r="T17" s="133">
        <f t="shared" si="1"/>
        <v>1</v>
      </c>
      <c r="U17" s="194" t="s">
        <v>128</v>
      </c>
      <c r="V17" s="194" t="s">
        <v>129</v>
      </c>
      <c r="W17" s="75" t="s">
        <v>140</v>
      </c>
      <c r="X17" s="198">
        <v>1200000</v>
      </c>
      <c r="Y17" s="198"/>
      <c r="Z17" s="198"/>
      <c r="AA17" s="198"/>
      <c r="AB17" s="198">
        <f t="shared" si="2"/>
        <v>1200000</v>
      </c>
      <c r="AC17" s="28" t="s">
        <v>136</v>
      </c>
      <c r="AD17" s="194"/>
      <c r="AE17" s="72">
        <v>20</v>
      </c>
      <c r="AF17" s="72" t="s">
        <v>132</v>
      </c>
      <c r="AG17" s="134">
        <v>295972</v>
      </c>
      <c r="AH17" s="134">
        <v>285580</v>
      </c>
      <c r="AI17" s="134">
        <v>135545</v>
      </c>
      <c r="AJ17" s="134">
        <v>44254</v>
      </c>
      <c r="AK17" s="134">
        <v>309146</v>
      </c>
      <c r="AL17" s="134">
        <v>92607</v>
      </c>
      <c r="AM17" s="134">
        <v>2145</v>
      </c>
      <c r="AN17" s="134">
        <v>12718</v>
      </c>
      <c r="AO17" s="134">
        <v>26</v>
      </c>
      <c r="AP17" s="134">
        <v>37</v>
      </c>
      <c r="AQ17" s="134">
        <v>0</v>
      </c>
      <c r="AR17" s="134">
        <v>0</v>
      </c>
      <c r="AS17" s="134">
        <v>44350</v>
      </c>
      <c r="AT17" s="134">
        <v>21944</v>
      </c>
      <c r="AU17" s="134">
        <v>75687</v>
      </c>
      <c r="AV17" s="134">
        <v>581552</v>
      </c>
      <c r="AW17" s="74">
        <v>45292</v>
      </c>
      <c r="AX17" s="74">
        <v>45657</v>
      </c>
      <c r="AY17" s="28" t="s">
        <v>133</v>
      </c>
    </row>
    <row r="18" spans="1:51" s="47" customFormat="1" ht="102" hidden="1" x14ac:dyDescent="0.2">
      <c r="A18" s="65">
        <v>4</v>
      </c>
      <c r="B18" s="66" t="s">
        <v>124</v>
      </c>
      <c r="C18" s="65">
        <v>45</v>
      </c>
      <c r="D18" s="65" t="s">
        <v>68</v>
      </c>
      <c r="E18" s="65">
        <v>4502</v>
      </c>
      <c r="F18" s="194" t="s">
        <v>125</v>
      </c>
      <c r="G18" s="28" t="s">
        <v>70</v>
      </c>
      <c r="H18" s="194" t="s">
        <v>71</v>
      </c>
      <c r="I18" s="28">
        <v>4599023</v>
      </c>
      <c r="J18" s="75" t="s">
        <v>126</v>
      </c>
      <c r="K18" s="131" t="s">
        <v>70</v>
      </c>
      <c r="L18" s="132" t="s">
        <v>73</v>
      </c>
      <c r="M18" s="131">
        <v>459902300</v>
      </c>
      <c r="N18" s="132" t="s">
        <v>74</v>
      </c>
      <c r="O18" s="131">
        <v>18</v>
      </c>
      <c r="P18" s="28"/>
      <c r="Q18" s="28">
        <f t="shared" si="0"/>
        <v>18</v>
      </c>
      <c r="R18" s="79">
        <v>2020003630008</v>
      </c>
      <c r="S18" s="194" t="s">
        <v>127</v>
      </c>
      <c r="T18" s="133">
        <f t="shared" si="1"/>
        <v>1</v>
      </c>
      <c r="U18" s="194" t="s">
        <v>128</v>
      </c>
      <c r="V18" s="194" t="s">
        <v>129</v>
      </c>
      <c r="W18" s="75" t="s">
        <v>141</v>
      </c>
      <c r="X18" s="198">
        <v>3300000</v>
      </c>
      <c r="Y18" s="198"/>
      <c r="Z18" s="198"/>
      <c r="AA18" s="198"/>
      <c r="AB18" s="198">
        <f t="shared" si="2"/>
        <v>3300000</v>
      </c>
      <c r="AC18" s="28" t="s">
        <v>136</v>
      </c>
      <c r="AD18" s="194"/>
      <c r="AE18" s="72">
        <v>20</v>
      </c>
      <c r="AF18" s="72" t="s">
        <v>132</v>
      </c>
      <c r="AG18" s="134">
        <v>295972</v>
      </c>
      <c r="AH18" s="134">
        <v>285580</v>
      </c>
      <c r="AI18" s="134">
        <v>135545</v>
      </c>
      <c r="AJ18" s="134">
        <v>44254</v>
      </c>
      <c r="AK18" s="134">
        <v>309146</v>
      </c>
      <c r="AL18" s="134">
        <v>92607</v>
      </c>
      <c r="AM18" s="134">
        <v>2145</v>
      </c>
      <c r="AN18" s="134">
        <v>12718</v>
      </c>
      <c r="AO18" s="134">
        <v>26</v>
      </c>
      <c r="AP18" s="134">
        <v>37</v>
      </c>
      <c r="AQ18" s="134">
        <v>0</v>
      </c>
      <c r="AR18" s="134">
        <v>0</v>
      </c>
      <c r="AS18" s="134">
        <v>44350</v>
      </c>
      <c r="AT18" s="134">
        <v>21944</v>
      </c>
      <c r="AU18" s="134">
        <v>75687</v>
      </c>
      <c r="AV18" s="134">
        <v>581552</v>
      </c>
      <c r="AW18" s="74">
        <v>45292</v>
      </c>
      <c r="AX18" s="74">
        <v>45657</v>
      </c>
      <c r="AY18" s="28" t="s">
        <v>133</v>
      </c>
    </row>
    <row r="19" spans="1:51" s="47" customFormat="1" ht="102" hidden="1" x14ac:dyDescent="0.2">
      <c r="A19" s="65">
        <v>4</v>
      </c>
      <c r="B19" s="66" t="s">
        <v>124</v>
      </c>
      <c r="C19" s="65">
        <v>45</v>
      </c>
      <c r="D19" s="65" t="s">
        <v>68</v>
      </c>
      <c r="E19" s="65">
        <v>4502</v>
      </c>
      <c r="F19" s="194" t="s">
        <v>125</v>
      </c>
      <c r="G19" s="28" t="s">
        <v>70</v>
      </c>
      <c r="H19" s="194" t="s">
        <v>71</v>
      </c>
      <c r="I19" s="28">
        <v>4599023</v>
      </c>
      <c r="J19" s="75" t="s">
        <v>126</v>
      </c>
      <c r="K19" s="131" t="s">
        <v>70</v>
      </c>
      <c r="L19" s="132" t="s">
        <v>73</v>
      </c>
      <c r="M19" s="131">
        <v>459902300</v>
      </c>
      <c r="N19" s="132" t="s">
        <v>74</v>
      </c>
      <c r="O19" s="131">
        <v>18</v>
      </c>
      <c r="P19" s="28"/>
      <c r="Q19" s="28">
        <f t="shared" si="0"/>
        <v>18</v>
      </c>
      <c r="R19" s="79">
        <v>2020003630008</v>
      </c>
      <c r="S19" s="194" t="s">
        <v>127</v>
      </c>
      <c r="T19" s="133">
        <f t="shared" si="1"/>
        <v>1</v>
      </c>
      <c r="U19" s="194" t="s">
        <v>128</v>
      </c>
      <c r="V19" s="194" t="s">
        <v>129</v>
      </c>
      <c r="W19" s="75" t="s">
        <v>142</v>
      </c>
      <c r="X19" s="198">
        <v>3300000</v>
      </c>
      <c r="Y19" s="198"/>
      <c r="Z19" s="198"/>
      <c r="AA19" s="198"/>
      <c r="AB19" s="198">
        <f t="shared" si="2"/>
        <v>3300000</v>
      </c>
      <c r="AC19" s="28" t="s">
        <v>136</v>
      </c>
      <c r="AD19" s="194"/>
      <c r="AE19" s="72">
        <v>20</v>
      </c>
      <c r="AF19" s="72" t="s">
        <v>132</v>
      </c>
      <c r="AG19" s="134">
        <v>295972</v>
      </c>
      <c r="AH19" s="134">
        <v>285580</v>
      </c>
      <c r="AI19" s="134">
        <v>135545</v>
      </c>
      <c r="AJ19" s="134">
        <v>44254</v>
      </c>
      <c r="AK19" s="134">
        <v>309146</v>
      </c>
      <c r="AL19" s="134">
        <v>92607</v>
      </c>
      <c r="AM19" s="134">
        <v>2145</v>
      </c>
      <c r="AN19" s="134">
        <v>12718</v>
      </c>
      <c r="AO19" s="134">
        <v>26</v>
      </c>
      <c r="AP19" s="134">
        <v>37</v>
      </c>
      <c r="AQ19" s="134">
        <v>0</v>
      </c>
      <c r="AR19" s="134">
        <v>0</v>
      </c>
      <c r="AS19" s="134">
        <v>44350</v>
      </c>
      <c r="AT19" s="134">
        <v>21944</v>
      </c>
      <c r="AU19" s="134">
        <v>75687</v>
      </c>
      <c r="AV19" s="134">
        <v>581552</v>
      </c>
      <c r="AW19" s="74">
        <v>45292</v>
      </c>
      <c r="AX19" s="74">
        <v>45657</v>
      </c>
      <c r="AY19" s="28" t="s">
        <v>133</v>
      </c>
    </row>
    <row r="20" spans="1:51" s="47" customFormat="1" ht="102" hidden="1" x14ac:dyDescent="0.2">
      <c r="A20" s="65">
        <v>4</v>
      </c>
      <c r="B20" s="66" t="s">
        <v>124</v>
      </c>
      <c r="C20" s="65">
        <v>45</v>
      </c>
      <c r="D20" s="65" t="s">
        <v>68</v>
      </c>
      <c r="E20" s="65">
        <v>4502</v>
      </c>
      <c r="F20" s="194" t="s">
        <v>125</v>
      </c>
      <c r="G20" s="28" t="s">
        <v>70</v>
      </c>
      <c r="H20" s="194" t="s">
        <v>71</v>
      </c>
      <c r="I20" s="28">
        <v>4599023</v>
      </c>
      <c r="J20" s="75" t="s">
        <v>126</v>
      </c>
      <c r="K20" s="131" t="s">
        <v>70</v>
      </c>
      <c r="L20" s="132" t="s">
        <v>73</v>
      </c>
      <c r="M20" s="131">
        <v>459902300</v>
      </c>
      <c r="N20" s="132" t="s">
        <v>74</v>
      </c>
      <c r="O20" s="131">
        <v>18</v>
      </c>
      <c r="P20" s="28"/>
      <c r="Q20" s="28">
        <f t="shared" si="0"/>
        <v>18</v>
      </c>
      <c r="R20" s="79">
        <v>2020003630008</v>
      </c>
      <c r="S20" s="194" t="s">
        <v>127</v>
      </c>
      <c r="T20" s="133">
        <f t="shared" si="1"/>
        <v>1</v>
      </c>
      <c r="U20" s="194" t="s">
        <v>128</v>
      </c>
      <c r="V20" s="194" t="s">
        <v>129</v>
      </c>
      <c r="W20" s="75" t="s">
        <v>143</v>
      </c>
      <c r="X20" s="198">
        <v>4400000</v>
      </c>
      <c r="Y20" s="198"/>
      <c r="Z20" s="198"/>
      <c r="AA20" s="198"/>
      <c r="AB20" s="198">
        <f t="shared" si="2"/>
        <v>4400000</v>
      </c>
      <c r="AC20" s="28" t="s">
        <v>136</v>
      </c>
      <c r="AD20" s="194"/>
      <c r="AE20" s="72">
        <v>20</v>
      </c>
      <c r="AF20" s="72" t="s">
        <v>132</v>
      </c>
      <c r="AG20" s="134">
        <v>295972</v>
      </c>
      <c r="AH20" s="134">
        <v>285580</v>
      </c>
      <c r="AI20" s="134">
        <v>135545</v>
      </c>
      <c r="AJ20" s="134">
        <v>44254</v>
      </c>
      <c r="AK20" s="134">
        <v>309146</v>
      </c>
      <c r="AL20" s="134">
        <v>92607</v>
      </c>
      <c r="AM20" s="134">
        <v>2145</v>
      </c>
      <c r="AN20" s="134">
        <v>12718</v>
      </c>
      <c r="AO20" s="134">
        <v>26</v>
      </c>
      <c r="AP20" s="134">
        <v>37</v>
      </c>
      <c r="AQ20" s="134">
        <v>0</v>
      </c>
      <c r="AR20" s="134">
        <v>0</v>
      </c>
      <c r="AS20" s="134">
        <v>44350</v>
      </c>
      <c r="AT20" s="134">
        <v>21944</v>
      </c>
      <c r="AU20" s="134">
        <v>75687</v>
      </c>
      <c r="AV20" s="134">
        <v>581552</v>
      </c>
      <c r="AW20" s="74">
        <v>45292</v>
      </c>
      <c r="AX20" s="74">
        <v>45657</v>
      </c>
      <c r="AY20" s="28" t="s">
        <v>133</v>
      </c>
    </row>
    <row r="21" spans="1:51" s="47" customFormat="1" ht="102" hidden="1" x14ac:dyDescent="0.2">
      <c r="A21" s="65">
        <v>4</v>
      </c>
      <c r="B21" s="66" t="s">
        <v>124</v>
      </c>
      <c r="C21" s="65">
        <v>45</v>
      </c>
      <c r="D21" s="65" t="s">
        <v>68</v>
      </c>
      <c r="E21" s="65">
        <v>4502</v>
      </c>
      <c r="F21" s="194" t="s">
        <v>125</v>
      </c>
      <c r="G21" s="28" t="s">
        <v>70</v>
      </c>
      <c r="H21" s="194" t="s">
        <v>71</v>
      </c>
      <c r="I21" s="28">
        <v>4599023</v>
      </c>
      <c r="J21" s="75" t="s">
        <v>126</v>
      </c>
      <c r="K21" s="131" t="s">
        <v>70</v>
      </c>
      <c r="L21" s="132" t="s">
        <v>73</v>
      </c>
      <c r="M21" s="131">
        <v>459902300</v>
      </c>
      <c r="N21" s="132" t="s">
        <v>74</v>
      </c>
      <c r="O21" s="131">
        <v>18</v>
      </c>
      <c r="P21" s="28"/>
      <c r="Q21" s="28">
        <f t="shared" si="0"/>
        <v>18</v>
      </c>
      <c r="R21" s="79">
        <v>2020003630008</v>
      </c>
      <c r="S21" s="194" t="s">
        <v>127</v>
      </c>
      <c r="T21" s="133">
        <f t="shared" si="1"/>
        <v>1</v>
      </c>
      <c r="U21" s="194" t="s">
        <v>128</v>
      </c>
      <c r="V21" s="194" t="s">
        <v>129</v>
      </c>
      <c r="W21" s="75" t="s">
        <v>144</v>
      </c>
      <c r="X21" s="198">
        <v>3300000</v>
      </c>
      <c r="Y21" s="198"/>
      <c r="Z21" s="198"/>
      <c r="AA21" s="198"/>
      <c r="AB21" s="198">
        <f t="shared" si="2"/>
        <v>3300000</v>
      </c>
      <c r="AC21" s="28" t="s">
        <v>136</v>
      </c>
      <c r="AD21" s="194"/>
      <c r="AE21" s="72">
        <v>20</v>
      </c>
      <c r="AF21" s="72" t="s">
        <v>132</v>
      </c>
      <c r="AG21" s="134">
        <v>295972</v>
      </c>
      <c r="AH21" s="134">
        <v>285580</v>
      </c>
      <c r="AI21" s="134">
        <v>135545</v>
      </c>
      <c r="AJ21" s="134">
        <v>44254</v>
      </c>
      <c r="AK21" s="134">
        <v>309146</v>
      </c>
      <c r="AL21" s="134">
        <v>92607</v>
      </c>
      <c r="AM21" s="134">
        <v>2145</v>
      </c>
      <c r="AN21" s="134">
        <v>12718</v>
      </c>
      <c r="AO21" s="134">
        <v>26</v>
      </c>
      <c r="AP21" s="134">
        <v>37</v>
      </c>
      <c r="AQ21" s="134">
        <v>0</v>
      </c>
      <c r="AR21" s="134">
        <v>0</v>
      </c>
      <c r="AS21" s="134">
        <v>44350</v>
      </c>
      <c r="AT21" s="134">
        <v>21944</v>
      </c>
      <c r="AU21" s="134">
        <v>75687</v>
      </c>
      <c r="AV21" s="134">
        <v>581552</v>
      </c>
      <c r="AW21" s="74">
        <v>45292</v>
      </c>
      <c r="AX21" s="74">
        <v>45657</v>
      </c>
      <c r="AY21" s="28" t="s">
        <v>133</v>
      </c>
    </row>
    <row r="22" spans="1:51" s="47" customFormat="1" ht="102" hidden="1" x14ac:dyDescent="0.2">
      <c r="A22" s="65">
        <v>4</v>
      </c>
      <c r="B22" s="66" t="s">
        <v>124</v>
      </c>
      <c r="C22" s="65">
        <v>45</v>
      </c>
      <c r="D22" s="65" t="s">
        <v>68</v>
      </c>
      <c r="E22" s="65">
        <v>4502</v>
      </c>
      <c r="F22" s="194" t="s">
        <v>125</v>
      </c>
      <c r="G22" s="28" t="s">
        <v>70</v>
      </c>
      <c r="H22" s="194" t="s">
        <v>71</v>
      </c>
      <c r="I22" s="28">
        <v>4599023</v>
      </c>
      <c r="J22" s="75" t="s">
        <v>126</v>
      </c>
      <c r="K22" s="131" t="s">
        <v>70</v>
      </c>
      <c r="L22" s="132" t="s">
        <v>73</v>
      </c>
      <c r="M22" s="131">
        <v>459902300</v>
      </c>
      <c r="N22" s="132" t="s">
        <v>74</v>
      </c>
      <c r="O22" s="131">
        <v>18</v>
      </c>
      <c r="P22" s="28"/>
      <c r="Q22" s="28">
        <f t="shared" si="0"/>
        <v>18</v>
      </c>
      <c r="R22" s="79">
        <v>2020003630008</v>
      </c>
      <c r="S22" s="194" t="s">
        <v>127</v>
      </c>
      <c r="T22" s="133">
        <f t="shared" si="1"/>
        <v>1</v>
      </c>
      <c r="U22" s="194" t="s">
        <v>128</v>
      </c>
      <c r="V22" s="194" t="s">
        <v>129</v>
      </c>
      <c r="W22" s="76" t="s">
        <v>145</v>
      </c>
      <c r="X22" s="198">
        <v>13200000</v>
      </c>
      <c r="Y22" s="198"/>
      <c r="Z22" s="198"/>
      <c r="AA22" s="198"/>
      <c r="AB22" s="198">
        <f t="shared" si="2"/>
        <v>13200000</v>
      </c>
      <c r="AC22" s="28" t="s">
        <v>136</v>
      </c>
      <c r="AD22" s="194"/>
      <c r="AE22" s="72">
        <v>20</v>
      </c>
      <c r="AF22" s="72" t="s">
        <v>132</v>
      </c>
      <c r="AG22" s="134">
        <v>295972</v>
      </c>
      <c r="AH22" s="134">
        <v>285580</v>
      </c>
      <c r="AI22" s="134">
        <v>135545</v>
      </c>
      <c r="AJ22" s="134">
        <v>44254</v>
      </c>
      <c r="AK22" s="134">
        <v>309146</v>
      </c>
      <c r="AL22" s="134">
        <v>92607</v>
      </c>
      <c r="AM22" s="134">
        <v>2145</v>
      </c>
      <c r="AN22" s="134">
        <v>12718</v>
      </c>
      <c r="AO22" s="134">
        <v>26</v>
      </c>
      <c r="AP22" s="134">
        <v>37</v>
      </c>
      <c r="AQ22" s="134">
        <v>0</v>
      </c>
      <c r="AR22" s="134">
        <v>0</v>
      </c>
      <c r="AS22" s="134">
        <v>44350</v>
      </c>
      <c r="AT22" s="134">
        <v>21944</v>
      </c>
      <c r="AU22" s="134">
        <v>75687</v>
      </c>
      <c r="AV22" s="134">
        <v>581552</v>
      </c>
      <c r="AW22" s="74">
        <v>45292</v>
      </c>
      <c r="AX22" s="74">
        <v>45657</v>
      </c>
      <c r="AY22" s="28" t="s">
        <v>133</v>
      </c>
    </row>
    <row r="23" spans="1:51" s="47" customFormat="1" ht="102" hidden="1" x14ac:dyDescent="0.2">
      <c r="A23" s="65">
        <v>4</v>
      </c>
      <c r="B23" s="66" t="s">
        <v>124</v>
      </c>
      <c r="C23" s="65">
        <v>45</v>
      </c>
      <c r="D23" s="65" t="s">
        <v>68</v>
      </c>
      <c r="E23" s="65">
        <v>4502</v>
      </c>
      <c r="F23" s="194" t="s">
        <v>125</v>
      </c>
      <c r="G23" s="28" t="s">
        <v>70</v>
      </c>
      <c r="H23" s="194" t="s">
        <v>71</v>
      </c>
      <c r="I23" s="28">
        <v>4599023</v>
      </c>
      <c r="J23" s="75" t="s">
        <v>126</v>
      </c>
      <c r="K23" s="131" t="s">
        <v>70</v>
      </c>
      <c r="L23" s="132" t="s">
        <v>73</v>
      </c>
      <c r="M23" s="131">
        <v>459902300</v>
      </c>
      <c r="N23" s="132" t="s">
        <v>74</v>
      </c>
      <c r="O23" s="131">
        <v>18</v>
      </c>
      <c r="P23" s="28"/>
      <c r="Q23" s="28">
        <f t="shared" si="0"/>
        <v>18</v>
      </c>
      <c r="R23" s="79">
        <v>2020003630008</v>
      </c>
      <c r="S23" s="194" t="s">
        <v>127</v>
      </c>
      <c r="T23" s="133">
        <f t="shared" si="1"/>
        <v>1</v>
      </c>
      <c r="U23" s="194" t="s">
        <v>128</v>
      </c>
      <c r="V23" s="194" t="s">
        <v>129</v>
      </c>
      <c r="W23" s="75" t="s">
        <v>146</v>
      </c>
      <c r="X23" s="198">
        <v>3300000</v>
      </c>
      <c r="Y23" s="198"/>
      <c r="Z23" s="198"/>
      <c r="AA23" s="198"/>
      <c r="AB23" s="198">
        <f t="shared" si="2"/>
        <v>3300000</v>
      </c>
      <c r="AC23" s="28" t="s">
        <v>136</v>
      </c>
      <c r="AD23" s="194"/>
      <c r="AE23" s="72">
        <v>20</v>
      </c>
      <c r="AF23" s="72" t="s">
        <v>132</v>
      </c>
      <c r="AG23" s="134">
        <v>295972</v>
      </c>
      <c r="AH23" s="134">
        <v>285580</v>
      </c>
      <c r="AI23" s="134">
        <v>135545</v>
      </c>
      <c r="AJ23" s="134">
        <v>44254</v>
      </c>
      <c r="AK23" s="134">
        <v>309146</v>
      </c>
      <c r="AL23" s="134">
        <v>92607</v>
      </c>
      <c r="AM23" s="134">
        <v>2145</v>
      </c>
      <c r="AN23" s="134">
        <v>12718</v>
      </c>
      <c r="AO23" s="134">
        <v>26</v>
      </c>
      <c r="AP23" s="134">
        <v>37</v>
      </c>
      <c r="AQ23" s="134">
        <v>0</v>
      </c>
      <c r="AR23" s="134">
        <v>0</v>
      </c>
      <c r="AS23" s="134">
        <v>44350</v>
      </c>
      <c r="AT23" s="134">
        <v>21944</v>
      </c>
      <c r="AU23" s="134">
        <v>75687</v>
      </c>
      <c r="AV23" s="134">
        <v>581552</v>
      </c>
      <c r="AW23" s="74">
        <v>45292</v>
      </c>
      <c r="AX23" s="74">
        <v>45657</v>
      </c>
      <c r="AY23" s="28" t="s">
        <v>133</v>
      </c>
    </row>
    <row r="24" spans="1:51" s="47" customFormat="1" ht="102" hidden="1" x14ac:dyDescent="0.2">
      <c r="A24" s="65">
        <v>4</v>
      </c>
      <c r="B24" s="66" t="s">
        <v>124</v>
      </c>
      <c r="C24" s="65">
        <v>45</v>
      </c>
      <c r="D24" s="65" t="s">
        <v>68</v>
      </c>
      <c r="E24" s="65">
        <v>4502</v>
      </c>
      <c r="F24" s="194" t="s">
        <v>125</v>
      </c>
      <c r="G24" s="28" t="s">
        <v>70</v>
      </c>
      <c r="H24" s="194" t="s">
        <v>71</v>
      </c>
      <c r="I24" s="28">
        <v>4599023</v>
      </c>
      <c r="J24" s="75" t="s">
        <v>126</v>
      </c>
      <c r="K24" s="131" t="s">
        <v>70</v>
      </c>
      <c r="L24" s="132" t="s">
        <v>73</v>
      </c>
      <c r="M24" s="131">
        <v>459902300</v>
      </c>
      <c r="N24" s="132" t="s">
        <v>74</v>
      </c>
      <c r="O24" s="131">
        <v>18</v>
      </c>
      <c r="P24" s="28"/>
      <c r="Q24" s="28">
        <f t="shared" si="0"/>
        <v>18</v>
      </c>
      <c r="R24" s="79">
        <v>2020003630008</v>
      </c>
      <c r="S24" s="194" t="s">
        <v>127</v>
      </c>
      <c r="T24" s="133">
        <f t="shared" si="1"/>
        <v>1</v>
      </c>
      <c r="U24" s="194" t="s">
        <v>128</v>
      </c>
      <c r="V24" s="194" t="s">
        <v>129</v>
      </c>
      <c r="W24" s="75" t="s">
        <v>147</v>
      </c>
      <c r="X24" s="198">
        <v>3300000</v>
      </c>
      <c r="Y24" s="198"/>
      <c r="Z24" s="198"/>
      <c r="AA24" s="198"/>
      <c r="AB24" s="198">
        <f t="shared" si="2"/>
        <v>3300000</v>
      </c>
      <c r="AC24" s="28" t="s">
        <v>136</v>
      </c>
      <c r="AD24" s="194"/>
      <c r="AE24" s="72">
        <v>20</v>
      </c>
      <c r="AF24" s="72" t="s">
        <v>132</v>
      </c>
      <c r="AG24" s="134">
        <v>295972</v>
      </c>
      <c r="AH24" s="134">
        <v>285580</v>
      </c>
      <c r="AI24" s="134">
        <v>135545</v>
      </c>
      <c r="AJ24" s="134">
        <v>44254</v>
      </c>
      <c r="AK24" s="134">
        <v>309146</v>
      </c>
      <c r="AL24" s="134">
        <v>92607</v>
      </c>
      <c r="AM24" s="134">
        <v>2145</v>
      </c>
      <c r="AN24" s="134">
        <v>12718</v>
      </c>
      <c r="AO24" s="134">
        <v>26</v>
      </c>
      <c r="AP24" s="134">
        <v>37</v>
      </c>
      <c r="AQ24" s="134">
        <v>0</v>
      </c>
      <c r="AR24" s="134">
        <v>0</v>
      </c>
      <c r="AS24" s="134">
        <v>44350</v>
      </c>
      <c r="AT24" s="134">
        <v>21944</v>
      </c>
      <c r="AU24" s="134">
        <v>75687</v>
      </c>
      <c r="AV24" s="134">
        <v>581552</v>
      </c>
      <c r="AW24" s="74">
        <v>45292</v>
      </c>
      <c r="AX24" s="74">
        <v>45657</v>
      </c>
      <c r="AY24" s="28" t="s">
        <v>133</v>
      </c>
    </row>
    <row r="25" spans="1:51" s="47" customFormat="1" ht="102" hidden="1" x14ac:dyDescent="0.2">
      <c r="A25" s="65">
        <v>4</v>
      </c>
      <c r="B25" s="66" t="s">
        <v>124</v>
      </c>
      <c r="C25" s="65">
        <v>45</v>
      </c>
      <c r="D25" s="65" t="s">
        <v>68</v>
      </c>
      <c r="E25" s="65">
        <v>4502</v>
      </c>
      <c r="F25" s="194" t="s">
        <v>125</v>
      </c>
      <c r="G25" s="28" t="s">
        <v>70</v>
      </c>
      <c r="H25" s="194" t="s">
        <v>71</v>
      </c>
      <c r="I25" s="28">
        <v>4599023</v>
      </c>
      <c r="J25" s="75" t="s">
        <v>126</v>
      </c>
      <c r="K25" s="131" t="s">
        <v>70</v>
      </c>
      <c r="L25" s="132" t="s">
        <v>73</v>
      </c>
      <c r="M25" s="131">
        <v>459902300</v>
      </c>
      <c r="N25" s="132" t="s">
        <v>74</v>
      </c>
      <c r="O25" s="131">
        <v>18</v>
      </c>
      <c r="P25" s="28"/>
      <c r="Q25" s="28">
        <f t="shared" si="0"/>
        <v>18</v>
      </c>
      <c r="R25" s="79">
        <v>2020003630008</v>
      </c>
      <c r="S25" s="194" t="s">
        <v>127</v>
      </c>
      <c r="T25" s="133">
        <f t="shared" si="1"/>
        <v>1</v>
      </c>
      <c r="U25" s="194" t="s">
        <v>128</v>
      </c>
      <c r="V25" s="194" t="s">
        <v>129</v>
      </c>
      <c r="W25" s="75" t="s">
        <v>148</v>
      </c>
      <c r="X25" s="198">
        <v>3300000</v>
      </c>
      <c r="Y25" s="198"/>
      <c r="Z25" s="198"/>
      <c r="AA25" s="198"/>
      <c r="AB25" s="198">
        <f t="shared" si="2"/>
        <v>3300000</v>
      </c>
      <c r="AC25" s="28" t="s">
        <v>136</v>
      </c>
      <c r="AD25" s="194"/>
      <c r="AE25" s="72">
        <v>20</v>
      </c>
      <c r="AF25" s="72" t="s">
        <v>132</v>
      </c>
      <c r="AG25" s="134">
        <v>295972</v>
      </c>
      <c r="AH25" s="134">
        <v>285580</v>
      </c>
      <c r="AI25" s="134">
        <v>135545</v>
      </c>
      <c r="AJ25" s="134">
        <v>44254</v>
      </c>
      <c r="AK25" s="134">
        <v>309146</v>
      </c>
      <c r="AL25" s="134">
        <v>92607</v>
      </c>
      <c r="AM25" s="134">
        <v>2145</v>
      </c>
      <c r="AN25" s="134">
        <v>12718</v>
      </c>
      <c r="AO25" s="134">
        <v>26</v>
      </c>
      <c r="AP25" s="134">
        <v>37</v>
      </c>
      <c r="AQ25" s="134">
        <v>0</v>
      </c>
      <c r="AR25" s="134">
        <v>0</v>
      </c>
      <c r="AS25" s="134">
        <v>44350</v>
      </c>
      <c r="AT25" s="134">
        <v>21944</v>
      </c>
      <c r="AU25" s="134">
        <v>75687</v>
      </c>
      <c r="AV25" s="134">
        <v>581552</v>
      </c>
      <c r="AW25" s="74">
        <v>45292</v>
      </c>
      <c r="AX25" s="74">
        <v>45657</v>
      </c>
      <c r="AY25" s="28" t="s">
        <v>133</v>
      </c>
    </row>
    <row r="26" spans="1:51" s="47" customFormat="1" ht="102" hidden="1" x14ac:dyDescent="0.2">
      <c r="A26" s="65">
        <v>4</v>
      </c>
      <c r="B26" s="66" t="s">
        <v>124</v>
      </c>
      <c r="C26" s="65">
        <v>45</v>
      </c>
      <c r="D26" s="65" t="s">
        <v>68</v>
      </c>
      <c r="E26" s="65">
        <v>4502</v>
      </c>
      <c r="F26" s="194" t="s">
        <v>125</v>
      </c>
      <c r="G26" s="28" t="s">
        <v>70</v>
      </c>
      <c r="H26" s="194" t="s">
        <v>71</v>
      </c>
      <c r="I26" s="28">
        <v>4599023</v>
      </c>
      <c r="J26" s="75" t="s">
        <v>126</v>
      </c>
      <c r="K26" s="131" t="s">
        <v>70</v>
      </c>
      <c r="L26" s="132" t="s">
        <v>73</v>
      </c>
      <c r="M26" s="131">
        <v>459902300</v>
      </c>
      <c r="N26" s="132" t="s">
        <v>74</v>
      </c>
      <c r="O26" s="131">
        <v>18</v>
      </c>
      <c r="P26" s="28"/>
      <c r="Q26" s="28">
        <f t="shared" si="0"/>
        <v>18</v>
      </c>
      <c r="R26" s="79">
        <v>2020003630008</v>
      </c>
      <c r="S26" s="194" t="s">
        <v>127</v>
      </c>
      <c r="T26" s="133">
        <f t="shared" si="1"/>
        <v>1</v>
      </c>
      <c r="U26" s="194" t="s">
        <v>128</v>
      </c>
      <c r="V26" s="194" t="s">
        <v>129</v>
      </c>
      <c r="W26" s="70" t="s">
        <v>149</v>
      </c>
      <c r="X26" s="198">
        <v>4400000</v>
      </c>
      <c r="Y26" s="198"/>
      <c r="Z26" s="198"/>
      <c r="AA26" s="198"/>
      <c r="AB26" s="198">
        <f t="shared" si="2"/>
        <v>4400000</v>
      </c>
      <c r="AC26" s="28" t="s">
        <v>136</v>
      </c>
      <c r="AD26" s="194"/>
      <c r="AE26" s="72">
        <v>20</v>
      </c>
      <c r="AF26" s="72" t="s">
        <v>132</v>
      </c>
      <c r="AG26" s="134">
        <v>295972</v>
      </c>
      <c r="AH26" s="134">
        <v>285580</v>
      </c>
      <c r="AI26" s="134">
        <v>135545</v>
      </c>
      <c r="AJ26" s="134">
        <v>44254</v>
      </c>
      <c r="AK26" s="134">
        <v>309146</v>
      </c>
      <c r="AL26" s="134">
        <v>92607</v>
      </c>
      <c r="AM26" s="134">
        <v>2145</v>
      </c>
      <c r="AN26" s="134">
        <v>12718</v>
      </c>
      <c r="AO26" s="134">
        <v>26</v>
      </c>
      <c r="AP26" s="134">
        <v>37</v>
      </c>
      <c r="AQ26" s="134">
        <v>0</v>
      </c>
      <c r="AR26" s="134">
        <v>0</v>
      </c>
      <c r="AS26" s="134">
        <v>44350</v>
      </c>
      <c r="AT26" s="134">
        <v>21944</v>
      </c>
      <c r="AU26" s="134">
        <v>75687</v>
      </c>
      <c r="AV26" s="134">
        <v>581552</v>
      </c>
      <c r="AW26" s="74">
        <v>45292</v>
      </c>
      <c r="AX26" s="74">
        <v>45657</v>
      </c>
      <c r="AY26" s="28" t="s">
        <v>133</v>
      </c>
    </row>
    <row r="27" spans="1:51" s="47" customFormat="1" ht="102" hidden="1" x14ac:dyDescent="0.2">
      <c r="A27" s="65">
        <v>4</v>
      </c>
      <c r="B27" s="66" t="s">
        <v>124</v>
      </c>
      <c r="C27" s="65">
        <v>45</v>
      </c>
      <c r="D27" s="65" t="s">
        <v>68</v>
      </c>
      <c r="E27" s="65">
        <v>4502</v>
      </c>
      <c r="F27" s="194" t="s">
        <v>125</v>
      </c>
      <c r="G27" s="28" t="s">
        <v>70</v>
      </c>
      <c r="H27" s="194" t="s">
        <v>71</v>
      </c>
      <c r="I27" s="28">
        <v>4599023</v>
      </c>
      <c r="J27" s="75" t="s">
        <v>126</v>
      </c>
      <c r="K27" s="131" t="s">
        <v>70</v>
      </c>
      <c r="L27" s="132" t="s">
        <v>73</v>
      </c>
      <c r="M27" s="131">
        <v>459902300</v>
      </c>
      <c r="N27" s="132" t="s">
        <v>74</v>
      </c>
      <c r="O27" s="131">
        <v>18</v>
      </c>
      <c r="P27" s="28"/>
      <c r="Q27" s="28">
        <f t="shared" si="0"/>
        <v>18</v>
      </c>
      <c r="R27" s="79">
        <v>2020003630008</v>
      </c>
      <c r="S27" s="194" t="s">
        <v>127</v>
      </c>
      <c r="T27" s="133">
        <f t="shared" si="1"/>
        <v>1</v>
      </c>
      <c r="U27" s="194" t="s">
        <v>128</v>
      </c>
      <c r="V27" s="194" t="s">
        <v>129</v>
      </c>
      <c r="W27" s="75" t="s">
        <v>150</v>
      </c>
      <c r="X27" s="198">
        <v>3300000</v>
      </c>
      <c r="Y27" s="198"/>
      <c r="Z27" s="198"/>
      <c r="AA27" s="198"/>
      <c r="AB27" s="198">
        <f t="shared" si="2"/>
        <v>3300000</v>
      </c>
      <c r="AC27" s="28" t="s">
        <v>136</v>
      </c>
      <c r="AD27" s="194"/>
      <c r="AE27" s="72">
        <v>20</v>
      </c>
      <c r="AF27" s="72" t="s">
        <v>132</v>
      </c>
      <c r="AG27" s="134">
        <v>295972</v>
      </c>
      <c r="AH27" s="134">
        <v>285580</v>
      </c>
      <c r="AI27" s="134">
        <v>135545</v>
      </c>
      <c r="AJ27" s="134">
        <v>44254</v>
      </c>
      <c r="AK27" s="134">
        <v>309146</v>
      </c>
      <c r="AL27" s="134">
        <v>92607</v>
      </c>
      <c r="AM27" s="134">
        <v>2145</v>
      </c>
      <c r="AN27" s="134">
        <v>12718</v>
      </c>
      <c r="AO27" s="134">
        <v>26</v>
      </c>
      <c r="AP27" s="134">
        <v>37</v>
      </c>
      <c r="AQ27" s="134">
        <v>0</v>
      </c>
      <c r="AR27" s="134">
        <v>0</v>
      </c>
      <c r="AS27" s="134">
        <v>44350</v>
      </c>
      <c r="AT27" s="134">
        <v>21944</v>
      </c>
      <c r="AU27" s="134">
        <v>75687</v>
      </c>
      <c r="AV27" s="134">
        <v>581552</v>
      </c>
      <c r="AW27" s="74">
        <v>45292</v>
      </c>
      <c r="AX27" s="74">
        <v>45657</v>
      </c>
      <c r="AY27" s="28" t="s">
        <v>133</v>
      </c>
    </row>
    <row r="28" spans="1:51" s="47" customFormat="1" ht="102" hidden="1" x14ac:dyDescent="0.2">
      <c r="A28" s="65">
        <v>4</v>
      </c>
      <c r="B28" s="66" t="s">
        <v>124</v>
      </c>
      <c r="C28" s="65">
        <v>45</v>
      </c>
      <c r="D28" s="65" t="s">
        <v>68</v>
      </c>
      <c r="E28" s="65">
        <v>4502</v>
      </c>
      <c r="F28" s="194" t="s">
        <v>125</v>
      </c>
      <c r="G28" s="28" t="s">
        <v>70</v>
      </c>
      <c r="H28" s="194" t="s">
        <v>71</v>
      </c>
      <c r="I28" s="28">
        <v>4599023</v>
      </c>
      <c r="J28" s="75" t="s">
        <v>126</v>
      </c>
      <c r="K28" s="131" t="s">
        <v>70</v>
      </c>
      <c r="L28" s="132" t="s">
        <v>73</v>
      </c>
      <c r="M28" s="131">
        <v>459902300</v>
      </c>
      <c r="N28" s="132" t="s">
        <v>74</v>
      </c>
      <c r="O28" s="131">
        <v>18</v>
      </c>
      <c r="P28" s="28"/>
      <c r="Q28" s="28">
        <f t="shared" si="0"/>
        <v>18</v>
      </c>
      <c r="R28" s="79">
        <v>2020003630008</v>
      </c>
      <c r="S28" s="194" t="s">
        <v>127</v>
      </c>
      <c r="T28" s="133">
        <f t="shared" si="1"/>
        <v>1</v>
      </c>
      <c r="U28" s="194" t="s">
        <v>128</v>
      </c>
      <c r="V28" s="194" t="s">
        <v>129</v>
      </c>
      <c r="W28" s="75" t="s">
        <v>151</v>
      </c>
      <c r="X28" s="198">
        <v>4400000</v>
      </c>
      <c r="Y28" s="198"/>
      <c r="Z28" s="198"/>
      <c r="AA28" s="198"/>
      <c r="AB28" s="198">
        <f t="shared" si="2"/>
        <v>4400000</v>
      </c>
      <c r="AC28" s="28" t="s">
        <v>136</v>
      </c>
      <c r="AD28" s="194"/>
      <c r="AE28" s="72">
        <v>20</v>
      </c>
      <c r="AF28" s="72" t="s">
        <v>132</v>
      </c>
      <c r="AG28" s="134">
        <v>295972</v>
      </c>
      <c r="AH28" s="134">
        <v>285580</v>
      </c>
      <c r="AI28" s="134">
        <v>135545</v>
      </c>
      <c r="AJ28" s="134">
        <v>44254</v>
      </c>
      <c r="AK28" s="134">
        <v>309146</v>
      </c>
      <c r="AL28" s="134">
        <v>92607</v>
      </c>
      <c r="AM28" s="134">
        <v>2145</v>
      </c>
      <c r="AN28" s="134">
        <v>12718</v>
      </c>
      <c r="AO28" s="134">
        <v>26</v>
      </c>
      <c r="AP28" s="134">
        <v>37</v>
      </c>
      <c r="AQ28" s="134">
        <v>0</v>
      </c>
      <c r="AR28" s="134">
        <v>0</v>
      </c>
      <c r="AS28" s="134">
        <v>44350</v>
      </c>
      <c r="AT28" s="134">
        <v>21944</v>
      </c>
      <c r="AU28" s="134">
        <v>75687</v>
      </c>
      <c r="AV28" s="134">
        <v>581552</v>
      </c>
      <c r="AW28" s="74">
        <v>45292</v>
      </c>
      <c r="AX28" s="74">
        <v>45657</v>
      </c>
      <c r="AY28" s="28" t="s">
        <v>133</v>
      </c>
    </row>
    <row r="29" spans="1:51" s="47" customFormat="1" ht="102" hidden="1" x14ac:dyDescent="0.2">
      <c r="A29" s="65">
        <v>4</v>
      </c>
      <c r="B29" s="66" t="s">
        <v>124</v>
      </c>
      <c r="C29" s="65">
        <v>45</v>
      </c>
      <c r="D29" s="65" t="s">
        <v>68</v>
      </c>
      <c r="E29" s="65">
        <v>4502</v>
      </c>
      <c r="F29" s="194" t="s">
        <v>125</v>
      </c>
      <c r="G29" s="28" t="s">
        <v>70</v>
      </c>
      <c r="H29" s="194" t="s">
        <v>71</v>
      </c>
      <c r="I29" s="28">
        <v>4599023</v>
      </c>
      <c r="J29" s="75" t="s">
        <v>126</v>
      </c>
      <c r="K29" s="131" t="s">
        <v>70</v>
      </c>
      <c r="L29" s="132" t="s">
        <v>73</v>
      </c>
      <c r="M29" s="131">
        <v>459902300</v>
      </c>
      <c r="N29" s="132" t="s">
        <v>74</v>
      </c>
      <c r="O29" s="131">
        <v>18</v>
      </c>
      <c r="P29" s="28"/>
      <c r="Q29" s="28">
        <f t="shared" si="0"/>
        <v>18</v>
      </c>
      <c r="R29" s="79">
        <v>2020003630008</v>
      </c>
      <c r="S29" s="194" t="s">
        <v>127</v>
      </c>
      <c r="T29" s="133">
        <f t="shared" si="1"/>
        <v>1</v>
      </c>
      <c r="U29" s="194" t="s">
        <v>128</v>
      </c>
      <c r="V29" s="194" t="s">
        <v>129</v>
      </c>
      <c r="W29" s="70" t="s">
        <v>152</v>
      </c>
      <c r="X29" s="198">
        <v>3300000</v>
      </c>
      <c r="Y29" s="198"/>
      <c r="Z29" s="198"/>
      <c r="AA29" s="198"/>
      <c r="AB29" s="198">
        <f t="shared" si="2"/>
        <v>3300000</v>
      </c>
      <c r="AC29" s="28" t="s">
        <v>136</v>
      </c>
      <c r="AD29" s="194"/>
      <c r="AE29" s="72">
        <v>20</v>
      </c>
      <c r="AF29" s="72" t="s">
        <v>132</v>
      </c>
      <c r="AG29" s="134">
        <v>295972</v>
      </c>
      <c r="AH29" s="134">
        <v>285580</v>
      </c>
      <c r="AI29" s="134">
        <v>135545</v>
      </c>
      <c r="AJ29" s="134">
        <v>44254</v>
      </c>
      <c r="AK29" s="134">
        <v>309146</v>
      </c>
      <c r="AL29" s="134">
        <v>92607</v>
      </c>
      <c r="AM29" s="134">
        <v>2145</v>
      </c>
      <c r="AN29" s="134">
        <v>12718</v>
      </c>
      <c r="AO29" s="134">
        <v>26</v>
      </c>
      <c r="AP29" s="134">
        <v>37</v>
      </c>
      <c r="AQ29" s="134">
        <v>0</v>
      </c>
      <c r="AR29" s="134">
        <v>0</v>
      </c>
      <c r="AS29" s="134">
        <v>44350</v>
      </c>
      <c r="AT29" s="134">
        <v>21944</v>
      </c>
      <c r="AU29" s="134">
        <v>75687</v>
      </c>
      <c r="AV29" s="134">
        <v>581552</v>
      </c>
      <c r="AW29" s="74">
        <v>45292</v>
      </c>
      <c r="AX29" s="74">
        <v>45657</v>
      </c>
      <c r="AY29" s="28" t="s">
        <v>133</v>
      </c>
    </row>
    <row r="30" spans="1:51" s="47" customFormat="1" ht="102" hidden="1" x14ac:dyDescent="0.2">
      <c r="A30" s="65">
        <v>4</v>
      </c>
      <c r="B30" s="66" t="s">
        <v>124</v>
      </c>
      <c r="C30" s="65">
        <v>45</v>
      </c>
      <c r="D30" s="65" t="s">
        <v>68</v>
      </c>
      <c r="E30" s="65">
        <v>4502</v>
      </c>
      <c r="F30" s="194" t="s">
        <v>125</v>
      </c>
      <c r="G30" s="28" t="s">
        <v>70</v>
      </c>
      <c r="H30" s="194" t="s">
        <v>71</v>
      </c>
      <c r="I30" s="28">
        <v>4599023</v>
      </c>
      <c r="J30" s="75" t="s">
        <v>126</v>
      </c>
      <c r="K30" s="131" t="s">
        <v>70</v>
      </c>
      <c r="L30" s="132" t="s">
        <v>73</v>
      </c>
      <c r="M30" s="131">
        <v>459902300</v>
      </c>
      <c r="N30" s="132" t="s">
        <v>74</v>
      </c>
      <c r="O30" s="131">
        <v>18</v>
      </c>
      <c r="P30" s="28"/>
      <c r="Q30" s="28">
        <f t="shared" si="0"/>
        <v>18</v>
      </c>
      <c r="R30" s="79">
        <v>2020003630008</v>
      </c>
      <c r="S30" s="194" t="s">
        <v>127</v>
      </c>
      <c r="T30" s="133">
        <f t="shared" si="1"/>
        <v>1</v>
      </c>
      <c r="U30" s="194" t="s">
        <v>128</v>
      </c>
      <c r="V30" s="194" t="s">
        <v>129</v>
      </c>
      <c r="W30" s="75" t="s">
        <v>153</v>
      </c>
      <c r="X30" s="198">
        <v>3300000</v>
      </c>
      <c r="Y30" s="198"/>
      <c r="Z30" s="198"/>
      <c r="AA30" s="198"/>
      <c r="AB30" s="198">
        <f t="shared" si="2"/>
        <v>3300000</v>
      </c>
      <c r="AC30" s="28" t="s">
        <v>136</v>
      </c>
      <c r="AD30" s="194"/>
      <c r="AE30" s="72">
        <v>20</v>
      </c>
      <c r="AF30" s="72" t="s">
        <v>132</v>
      </c>
      <c r="AG30" s="134">
        <v>295972</v>
      </c>
      <c r="AH30" s="134">
        <v>285580</v>
      </c>
      <c r="AI30" s="134">
        <v>135545</v>
      </c>
      <c r="AJ30" s="134">
        <v>44254</v>
      </c>
      <c r="AK30" s="134">
        <v>309146</v>
      </c>
      <c r="AL30" s="134">
        <v>92607</v>
      </c>
      <c r="AM30" s="134">
        <v>2145</v>
      </c>
      <c r="AN30" s="134">
        <v>12718</v>
      </c>
      <c r="AO30" s="134">
        <v>26</v>
      </c>
      <c r="AP30" s="134">
        <v>37</v>
      </c>
      <c r="AQ30" s="134">
        <v>0</v>
      </c>
      <c r="AR30" s="134">
        <v>0</v>
      </c>
      <c r="AS30" s="134">
        <v>44350</v>
      </c>
      <c r="AT30" s="134">
        <v>21944</v>
      </c>
      <c r="AU30" s="134">
        <v>75687</v>
      </c>
      <c r="AV30" s="134">
        <v>581552</v>
      </c>
      <c r="AW30" s="74">
        <v>45292</v>
      </c>
      <c r="AX30" s="74">
        <v>45657</v>
      </c>
      <c r="AY30" s="28" t="s">
        <v>133</v>
      </c>
    </row>
    <row r="31" spans="1:51" s="47" customFormat="1" ht="102" hidden="1" x14ac:dyDescent="0.2">
      <c r="A31" s="65">
        <v>4</v>
      </c>
      <c r="B31" s="66" t="s">
        <v>124</v>
      </c>
      <c r="C31" s="65">
        <v>45</v>
      </c>
      <c r="D31" s="65" t="s">
        <v>68</v>
      </c>
      <c r="E31" s="65">
        <v>4502</v>
      </c>
      <c r="F31" s="194" t="s">
        <v>125</v>
      </c>
      <c r="G31" s="28" t="s">
        <v>70</v>
      </c>
      <c r="H31" s="194" t="s">
        <v>71</v>
      </c>
      <c r="I31" s="28">
        <v>4599023</v>
      </c>
      <c r="J31" s="75" t="s">
        <v>126</v>
      </c>
      <c r="K31" s="131" t="s">
        <v>70</v>
      </c>
      <c r="L31" s="132" t="s">
        <v>73</v>
      </c>
      <c r="M31" s="131">
        <v>459902300</v>
      </c>
      <c r="N31" s="132" t="s">
        <v>74</v>
      </c>
      <c r="O31" s="131">
        <v>18</v>
      </c>
      <c r="P31" s="28"/>
      <c r="Q31" s="28">
        <f t="shared" si="0"/>
        <v>18</v>
      </c>
      <c r="R31" s="79">
        <v>2020003630008</v>
      </c>
      <c r="S31" s="194" t="s">
        <v>127</v>
      </c>
      <c r="T31" s="133">
        <f t="shared" si="1"/>
        <v>1</v>
      </c>
      <c r="U31" s="194" t="s">
        <v>128</v>
      </c>
      <c r="V31" s="194" t="s">
        <v>129</v>
      </c>
      <c r="W31" s="75" t="s">
        <v>154</v>
      </c>
      <c r="X31" s="198">
        <v>3300000</v>
      </c>
      <c r="Y31" s="198"/>
      <c r="Z31" s="198"/>
      <c r="AA31" s="198"/>
      <c r="AB31" s="198">
        <f t="shared" si="2"/>
        <v>3300000</v>
      </c>
      <c r="AC31" s="28" t="s">
        <v>136</v>
      </c>
      <c r="AD31" s="194"/>
      <c r="AE31" s="72">
        <v>20</v>
      </c>
      <c r="AF31" s="72" t="s">
        <v>132</v>
      </c>
      <c r="AG31" s="134">
        <v>295972</v>
      </c>
      <c r="AH31" s="134">
        <v>285580</v>
      </c>
      <c r="AI31" s="134">
        <v>135545</v>
      </c>
      <c r="AJ31" s="134">
        <v>44254</v>
      </c>
      <c r="AK31" s="134">
        <v>309146</v>
      </c>
      <c r="AL31" s="134">
        <v>92607</v>
      </c>
      <c r="AM31" s="134">
        <v>2145</v>
      </c>
      <c r="AN31" s="134">
        <v>12718</v>
      </c>
      <c r="AO31" s="134">
        <v>26</v>
      </c>
      <c r="AP31" s="134">
        <v>37</v>
      </c>
      <c r="AQ31" s="134">
        <v>0</v>
      </c>
      <c r="AR31" s="134">
        <v>0</v>
      </c>
      <c r="AS31" s="134">
        <v>44350</v>
      </c>
      <c r="AT31" s="134">
        <v>21944</v>
      </c>
      <c r="AU31" s="134">
        <v>75687</v>
      </c>
      <c r="AV31" s="134">
        <v>581552</v>
      </c>
      <c r="AW31" s="74">
        <v>45292</v>
      </c>
      <c r="AX31" s="74">
        <v>45657</v>
      </c>
      <c r="AY31" s="28" t="s">
        <v>133</v>
      </c>
    </row>
    <row r="32" spans="1:51" s="47" customFormat="1" ht="102" hidden="1" x14ac:dyDescent="0.2">
      <c r="A32" s="65">
        <v>4</v>
      </c>
      <c r="B32" s="66" t="s">
        <v>124</v>
      </c>
      <c r="C32" s="65">
        <v>45</v>
      </c>
      <c r="D32" s="65" t="s">
        <v>68</v>
      </c>
      <c r="E32" s="65">
        <v>4502</v>
      </c>
      <c r="F32" s="194" t="s">
        <v>125</v>
      </c>
      <c r="G32" s="28" t="s">
        <v>70</v>
      </c>
      <c r="H32" s="194" t="s">
        <v>71</v>
      </c>
      <c r="I32" s="28">
        <v>4599023</v>
      </c>
      <c r="J32" s="75" t="s">
        <v>126</v>
      </c>
      <c r="K32" s="131" t="s">
        <v>70</v>
      </c>
      <c r="L32" s="132" t="s">
        <v>73</v>
      </c>
      <c r="M32" s="131">
        <v>459902300</v>
      </c>
      <c r="N32" s="132" t="s">
        <v>74</v>
      </c>
      <c r="O32" s="131">
        <v>18</v>
      </c>
      <c r="P32" s="28"/>
      <c r="Q32" s="28">
        <f t="shared" si="0"/>
        <v>18</v>
      </c>
      <c r="R32" s="79">
        <v>2020003630008</v>
      </c>
      <c r="S32" s="194" t="s">
        <v>127</v>
      </c>
      <c r="T32" s="133">
        <f t="shared" si="1"/>
        <v>1</v>
      </c>
      <c r="U32" s="194" t="s">
        <v>128</v>
      </c>
      <c r="V32" s="194" t="s">
        <v>129</v>
      </c>
      <c r="W32" s="70" t="s">
        <v>155</v>
      </c>
      <c r="X32" s="198">
        <v>5500000</v>
      </c>
      <c r="Y32" s="198"/>
      <c r="Z32" s="198"/>
      <c r="AA32" s="198"/>
      <c r="AB32" s="198">
        <f t="shared" si="2"/>
        <v>5500000</v>
      </c>
      <c r="AC32" s="28" t="s">
        <v>136</v>
      </c>
      <c r="AD32" s="194"/>
      <c r="AE32" s="72">
        <v>20</v>
      </c>
      <c r="AF32" s="72" t="s">
        <v>132</v>
      </c>
      <c r="AG32" s="134">
        <v>295972</v>
      </c>
      <c r="AH32" s="134">
        <v>285580</v>
      </c>
      <c r="AI32" s="134">
        <v>135545</v>
      </c>
      <c r="AJ32" s="134">
        <v>44254</v>
      </c>
      <c r="AK32" s="134">
        <v>309146</v>
      </c>
      <c r="AL32" s="134">
        <v>92607</v>
      </c>
      <c r="AM32" s="134">
        <v>2145</v>
      </c>
      <c r="AN32" s="134">
        <v>12718</v>
      </c>
      <c r="AO32" s="134">
        <v>26</v>
      </c>
      <c r="AP32" s="134">
        <v>37</v>
      </c>
      <c r="AQ32" s="134">
        <v>0</v>
      </c>
      <c r="AR32" s="134">
        <v>0</v>
      </c>
      <c r="AS32" s="134">
        <v>44350</v>
      </c>
      <c r="AT32" s="134">
        <v>21944</v>
      </c>
      <c r="AU32" s="134">
        <v>75687</v>
      </c>
      <c r="AV32" s="134">
        <v>581552</v>
      </c>
      <c r="AW32" s="74">
        <v>45292</v>
      </c>
      <c r="AX32" s="74">
        <v>45657</v>
      </c>
      <c r="AY32" s="28" t="s">
        <v>133</v>
      </c>
    </row>
    <row r="33" spans="1:51" s="47" customFormat="1" ht="102" hidden="1" x14ac:dyDescent="0.2">
      <c r="A33" s="65">
        <v>4</v>
      </c>
      <c r="B33" s="66" t="s">
        <v>124</v>
      </c>
      <c r="C33" s="65">
        <v>45</v>
      </c>
      <c r="D33" s="65" t="s">
        <v>68</v>
      </c>
      <c r="E33" s="65">
        <v>4502</v>
      </c>
      <c r="F33" s="194" t="s">
        <v>125</v>
      </c>
      <c r="G33" s="28" t="s">
        <v>70</v>
      </c>
      <c r="H33" s="194" t="s">
        <v>71</v>
      </c>
      <c r="I33" s="28">
        <v>4599023</v>
      </c>
      <c r="J33" s="75" t="s">
        <v>126</v>
      </c>
      <c r="K33" s="131" t="s">
        <v>70</v>
      </c>
      <c r="L33" s="132" t="s">
        <v>73</v>
      </c>
      <c r="M33" s="131">
        <v>459902300</v>
      </c>
      <c r="N33" s="132" t="s">
        <v>74</v>
      </c>
      <c r="O33" s="131">
        <v>18</v>
      </c>
      <c r="P33" s="28"/>
      <c r="Q33" s="28">
        <f t="shared" si="0"/>
        <v>18</v>
      </c>
      <c r="R33" s="79">
        <v>2020003630008</v>
      </c>
      <c r="S33" s="194" t="s">
        <v>127</v>
      </c>
      <c r="T33" s="133">
        <f t="shared" si="1"/>
        <v>1</v>
      </c>
      <c r="U33" s="194" t="s">
        <v>128</v>
      </c>
      <c r="V33" s="194" t="s">
        <v>129</v>
      </c>
      <c r="W33" s="70" t="s">
        <v>156</v>
      </c>
      <c r="X33" s="198">
        <v>5500000</v>
      </c>
      <c r="Y33" s="198"/>
      <c r="Z33" s="198"/>
      <c r="AA33" s="198"/>
      <c r="AB33" s="198">
        <f t="shared" si="2"/>
        <v>5500000</v>
      </c>
      <c r="AC33" s="28" t="s">
        <v>136</v>
      </c>
      <c r="AD33" s="194"/>
      <c r="AE33" s="72">
        <v>20</v>
      </c>
      <c r="AF33" s="72" t="s">
        <v>132</v>
      </c>
      <c r="AG33" s="134">
        <v>295972</v>
      </c>
      <c r="AH33" s="134">
        <v>285580</v>
      </c>
      <c r="AI33" s="134">
        <v>135545</v>
      </c>
      <c r="AJ33" s="134">
        <v>44254</v>
      </c>
      <c r="AK33" s="134">
        <v>309146</v>
      </c>
      <c r="AL33" s="134">
        <v>92607</v>
      </c>
      <c r="AM33" s="134">
        <v>2145</v>
      </c>
      <c r="AN33" s="134">
        <v>12718</v>
      </c>
      <c r="AO33" s="134">
        <v>26</v>
      </c>
      <c r="AP33" s="134">
        <v>37</v>
      </c>
      <c r="AQ33" s="134">
        <v>0</v>
      </c>
      <c r="AR33" s="134">
        <v>0</v>
      </c>
      <c r="AS33" s="134">
        <v>44350</v>
      </c>
      <c r="AT33" s="134">
        <v>21944</v>
      </c>
      <c r="AU33" s="134">
        <v>75687</v>
      </c>
      <c r="AV33" s="134">
        <v>581552</v>
      </c>
      <c r="AW33" s="74">
        <v>45292</v>
      </c>
      <c r="AX33" s="74">
        <v>45657</v>
      </c>
      <c r="AY33" s="28" t="s">
        <v>133</v>
      </c>
    </row>
    <row r="34" spans="1:51" s="47" customFormat="1" ht="102" hidden="1" x14ac:dyDescent="0.2">
      <c r="A34" s="65">
        <v>4</v>
      </c>
      <c r="B34" s="66" t="s">
        <v>124</v>
      </c>
      <c r="C34" s="65">
        <v>45</v>
      </c>
      <c r="D34" s="65" t="s">
        <v>68</v>
      </c>
      <c r="E34" s="65">
        <v>4502</v>
      </c>
      <c r="F34" s="194" t="s">
        <v>125</v>
      </c>
      <c r="G34" s="28" t="s">
        <v>70</v>
      </c>
      <c r="H34" s="194" t="s">
        <v>71</v>
      </c>
      <c r="I34" s="28">
        <v>4599023</v>
      </c>
      <c r="J34" s="75" t="s">
        <v>126</v>
      </c>
      <c r="K34" s="131" t="s">
        <v>70</v>
      </c>
      <c r="L34" s="132" t="s">
        <v>73</v>
      </c>
      <c r="M34" s="131">
        <v>459902300</v>
      </c>
      <c r="N34" s="132" t="s">
        <v>74</v>
      </c>
      <c r="O34" s="131">
        <v>18</v>
      </c>
      <c r="P34" s="28"/>
      <c r="Q34" s="28">
        <f t="shared" si="0"/>
        <v>18</v>
      </c>
      <c r="R34" s="79">
        <v>2020003630008</v>
      </c>
      <c r="S34" s="194" t="s">
        <v>127</v>
      </c>
      <c r="T34" s="133">
        <f t="shared" si="1"/>
        <v>1</v>
      </c>
      <c r="U34" s="194" t="s">
        <v>128</v>
      </c>
      <c r="V34" s="194" t="s">
        <v>129</v>
      </c>
      <c r="W34" s="75" t="s">
        <v>157</v>
      </c>
      <c r="X34" s="198">
        <v>3300000</v>
      </c>
      <c r="Y34" s="198"/>
      <c r="Z34" s="198"/>
      <c r="AA34" s="198"/>
      <c r="AB34" s="198">
        <f t="shared" si="2"/>
        <v>3300000</v>
      </c>
      <c r="AC34" s="28" t="s">
        <v>136</v>
      </c>
      <c r="AD34" s="194"/>
      <c r="AE34" s="72">
        <v>20</v>
      </c>
      <c r="AF34" s="72" t="s">
        <v>132</v>
      </c>
      <c r="AG34" s="134">
        <v>295972</v>
      </c>
      <c r="AH34" s="134">
        <v>285580</v>
      </c>
      <c r="AI34" s="134">
        <v>135545</v>
      </c>
      <c r="AJ34" s="134">
        <v>44254</v>
      </c>
      <c r="AK34" s="134">
        <v>309146</v>
      </c>
      <c r="AL34" s="134">
        <v>92607</v>
      </c>
      <c r="AM34" s="134">
        <v>2145</v>
      </c>
      <c r="AN34" s="134">
        <v>12718</v>
      </c>
      <c r="AO34" s="134">
        <v>26</v>
      </c>
      <c r="AP34" s="134">
        <v>37</v>
      </c>
      <c r="AQ34" s="134">
        <v>0</v>
      </c>
      <c r="AR34" s="134">
        <v>0</v>
      </c>
      <c r="AS34" s="134">
        <v>44350</v>
      </c>
      <c r="AT34" s="134">
        <v>21944</v>
      </c>
      <c r="AU34" s="134">
        <v>75687</v>
      </c>
      <c r="AV34" s="134">
        <v>581552</v>
      </c>
      <c r="AW34" s="74">
        <v>45292</v>
      </c>
      <c r="AX34" s="74">
        <v>45657</v>
      </c>
      <c r="AY34" s="28" t="s">
        <v>133</v>
      </c>
    </row>
    <row r="35" spans="1:51" s="47" customFormat="1" ht="102" hidden="1" x14ac:dyDescent="0.2">
      <c r="A35" s="65">
        <v>4</v>
      </c>
      <c r="B35" s="66" t="s">
        <v>124</v>
      </c>
      <c r="C35" s="65">
        <v>45</v>
      </c>
      <c r="D35" s="65" t="s">
        <v>68</v>
      </c>
      <c r="E35" s="65">
        <v>4502</v>
      </c>
      <c r="F35" s="194" t="s">
        <v>125</v>
      </c>
      <c r="G35" s="28" t="s">
        <v>70</v>
      </c>
      <c r="H35" s="194" t="s">
        <v>71</v>
      </c>
      <c r="I35" s="28">
        <v>4599023</v>
      </c>
      <c r="J35" s="75" t="s">
        <v>126</v>
      </c>
      <c r="K35" s="131" t="s">
        <v>70</v>
      </c>
      <c r="L35" s="132" t="s">
        <v>73</v>
      </c>
      <c r="M35" s="131">
        <v>459902300</v>
      </c>
      <c r="N35" s="132" t="s">
        <v>74</v>
      </c>
      <c r="O35" s="131">
        <v>18</v>
      </c>
      <c r="P35" s="28"/>
      <c r="Q35" s="28">
        <f t="shared" si="0"/>
        <v>18</v>
      </c>
      <c r="R35" s="79">
        <v>2020003630008</v>
      </c>
      <c r="S35" s="194" t="s">
        <v>127</v>
      </c>
      <c r="T35" s="133">
        <f t="shared" si="1"/>
        <v>1</v>
      </c>
      <c r="U35" s="194" t="s">
        <v>128</v>
      </c>
      <c r="V35" s="194" t="s">
        <v>129</v>
      </c>
      <c r="W35" s="75" t="s">
        <v>158</v>
      </c>
      <c r="X35" s="198">
        <v>3300000</v>
      </c>
      <c r="Y35" s="198"/>
      <c r="Z35" s="198"/>
      <c r="AA35" s="198"/>
      <c r="AB35" s="198">
        <f t="shared" si="2"/>
        <v>3300000</v>
      </c>
      <c r="AC35" s="28" t="s">
        <v>136</v>
      </c>
      <c r="AD35" s="194"/>
      <c r="AE35" s="72">
        <v>20</v>
      </c>
      <c r="AF35" s="72" t="s">
        <v>132</v>
      </c>
      <c r="AG35" s="134">
        <v>295972</v>
      </c>
      <c r="AH35" s="134">
        <v>285580</v>
      </c>
      <c r="AI35" s="134">
        <v>135545</v>
      </c>
      <c r="AJ35" s="134">
        <v>44254</v>
      </c>
      <c r="AK35" s="134">
        <v>309146</v>
      </c>
      <c r="AL35" s="134">
        <v>92607</v>
      </c>
      <c r="AM35" s="134">
        <v>2145</v>
      </c>
      <c r="AN35" s="134">
        <v>12718</v>
      </c>
      <c r="AO35" s="134">
        <v>26</v>
      </c>
      <c r="AP35" s="134">
        <v>37</v>
      </c>
      <c r="AQ35" s="134">
        <v>0</v>
      </c>
      <c r="AR35" s="134">
        <v>0</v>
      </c>
      <c r="AS35" s="134">
        <v>44350</v>
      </c>
      <c r="AT35" s="134">
        <v>21944</v>
      </c>
      <c r="AU35" s="134">
        <v>75687</v>
      </c>
      <c r="AV35" s="134">
        <v>581552</v>
      </c>
      <c r="AW35" s="74">
        <v>45292</v>
      </c>
      <c r="AX35" s="74">
        <v>45657</v>
      </c>
      <c r="AY35" s="28" t="s">
        <v>133</v>
      </c>
    </row>
    <row r="36" spans="1:51" s="47" customFormat="1" ht="102" hidden="1" x14ac:dyDescent="0.2">
      <c r="A36" s="65">
        <v>4</v>
      </c>
      <c r="B36" s="66" t="s">
        <v>124</v>
      </c>
      <c r="C36" s="65">
        <v>45</v>
      </c>
      <c r="D36" s="65" t="s">
        <v>68</v>
      </c>
      <c r="E36" s="65">
        <v>4502</v>
      </c>
      <c r="F36" s="194" t="s">
        <v>125</v>
      </c>
      <c r="G36" s="28" t="s">
        <v>70</v>
      </c>
      <c r="H36" s="194" t="s">
        <v>71</v>
      </c>
      <c r="I36" s="28">
        <v>4599023</v>
      </c>
      <c r="J36" s="75" t="s">
        <v>126</v>
      </c>
      <c r="K36" s="131" t="s">
        <v>70</v>
      </c>
      <c r="L36" s="132" t="s">
        <v>73</v>
      </c>
      <c r="M36" s="131">
        <v>459902300</v>
      </c>
      <c r="N36" s="132" t="s">
        <v>74</v>
      </c>
      <c r="O36" s="131">
        <v>18</v>
      </c>
      <c r="P36" s="28"/>
      <c r="Q36" s="28">
        <f t="shared" si="0"/>
        <v>18</v>
      </c>
      <c r="R36" s="79">
        <v>2020003630008</v>
      </c>
      <c r="S36" s="194" t="s">
        <v>127</v>
      </c>
      <c r="T36" s="133">
        <f t="shared" si="1"/>
        <v>1</v>
      </c>
      <c r="U36" s="194" t="s">
        <v>128</v>
      </c>
      <c r="V36" s="194" t="s">
        <v>129</v>
      </c>
      <c r="W36" s="75" t="s">
        <v>159</v>
      </c>
      <c r="X36" s="198">
        <v>2400000</v>
      </c>
      <c r="Y36" s="198"/>
      <c r="Z36" s="198"/>
      <c r="AA36" s="198"/>
      <c r="AB36" s="198">
        <f t="shared" si="2"/>
        <v>2400000</v>
      </c>
      <c r="AC36" s="28" t="s">
        <v>136</v>
      </c>
      <c r="AD36" s="194"/>
      <c r="AE36" s="72">
        <v>20</v>
      </c>
      <c r="AF36" s="72" t="s">
        <v>132</v>
      </c>
      <c r="AG36" s="134">
        <v>295972</v>
      </c>
      <c r="AH36" s="134">
        <v>285580</v>
      </c>
      <c r="AI36" s="134">
        <v>135545</v>
      </c>
      <c r="AJ36" s="134">
        <v>44254</v>
      </c>
      <c r="AK36" s="134">
        <v>309146</v>
      </c>
      <c r="AL36" s="134">
        <v>92607</v>
      </c>
      <c r="AM36" s="134">
        <v>2145</v>
      </c>
      <c r="AN36" s="134">
        <v>12718</v>
      </c>
      <c r="AO36" s="134">
        <v>26</v>
      </c>
      <c r="AP36" s="134">
        <v>37</v>
      </c>
      <c r="AQ36" s="134">
        <v>0</v>
      </c>
      <c r="AR36" s="134">
        <v>0</v>
      </c>
      <c r="AS36" s="134">
        <v>44350</v>
      </c>
      <c r="AT36" s="134">
        <v>21944</v>
      </c>
      <c r="AU36" s="134">
        <v>75687</v>
      </c>
      <c r="AV36" s="134">
        <v>581552</v>
      </c>
      <c r="AW36" s="74">
        <v>45292</v>
      </c>
      <c r="AX36" s="74">
        <v>45657</v>
      </c>
      <c r="AY36" s="28" t="s">
        <v>133</v>
      </c>
    </row>
    <row r="37" spans="1:51" s="47" customFormat="1" ht="102" hidden="1" x14ac:dyDescent="0.2">
      <c r="A37" s="65">
        <v>4</v>
      </c>
      <c r="B37" s="66" t="s">
        <v>124</v>
      </c>
      <c r="C37" s="65">
        <v>45</v>
      </c>
      <c r="D37" s="65" t="s">
        <v>68</v>
      </c>
      <c r="E37" s="65">
        <v>4502</v>
      </c>
      <c r="F37" s="194" t="s">
        <v>125</v>
      </c>
      <c r="G37" s="28" t="s">
        <v>70</v>
      </c>
      <c r="H37" s="194" t="s">
        <v>71</v>
      </c>
      <c r="I37" s="28">
        <v>4599023</v>
      </c>
      <c r="J37" s="75" t="s">
        <v>126</v>
      </c>
      <c r="K37" s="131" t="s">
        <v>70</v>
      </c>
      <c r="L37" s="132" t="s">
        <v>73</v>
      </c>
      <c r="M37" s="131">
        <v>459902300</v>
      </c>
      <c r="N37" s="132" t="s">
        <v>74</v>
      </c>
      <c r="O37" s="131">
        <v>18</v>
      </c>
      <c r="P37" s="28"/>
      <c r="Q37" s="28">
        <f t="shared" si="0"/>
        <v>18</v>
      </c>
      <c r="R37" s="79">
        <v>2020003630008</v>
      </c>
      <c r="S37" s="194" t="s">
        <v>127</v>
      </c>
      <c r="T37" s="133">
        <f t="shared" si="1"/>
        <v>1</v>
      </c>
      <c r="U37" s="194" t="s">
        <v>128</v>
      </c>
      <c r="V37" s="194" t="s">
        <v>129</v>
      </c>
      <c r="W37" s="75" t="s">
        <v>160</v>
      </c>
      <c r="X37" s="198">
        <v>4200000</v>
      </c>
      <c r="Y37" s="198"/>
      <c r="Z37" s="198"/>
      <c r="AA37" s="198"/>
      <c r="AB37" s="198">
        <f t="shared" si="2"/>
        <v>4200000</v>
      </c>
      <c r="AC37" s="28" t="s">
        <v>136</v>
      </c>
      <c r="AD37" s="194"/>
      <c r="AE37" s="72">
        <v>20</v>
      </c>
      <c r="AF37" s="72" t="s">
        <v>132</v>
      </c>
      <c r="AG37" s="134">
        <v>295972</v>
      </c>
      <c r="AH37" s="134">
        <v>285580</v>
      </c>
      <c r="AI37" s="134">
        <v>135545</v>
      </c>
      <c r="AJ37" s="134">
        <v>44254</v>
      </c>
      <c r="AK37" s="134">
        <v>309146</v>
      </c>
      <c r="AL37" s="134">
        <v>92607</v>
      </c>
      <c r="AM37" s="134">
        <v>2145</v>
      </c>
      <c r="AN37" s="134">
        <v>12718</v>
      </c>
      <c r="AO37" s="134">
        <v>26</v>
      </c>
      <c r="AP37" s="134">
        <v>37</v>
      </c>
      <c r="AQ37" s="134">
        <v>0</v>
      </c>
      <c r="AR37" s="134">
        <v>0</v>
      </c>
      <c r="AS37" s="134">
        <v>44350</v>
      </c>
      <c r="AT37" s="134">
        <v>21944</v>
      </c>
      <c r="AU37" s="134">
        <v>75687</v>
      </c>
      <c r="AV37" s="134">
        <v>581552</v>
      </c>
      <c r="AW37" s="74">
        <v>45292</v>
      </c>
      <c r="AX37" s="74">
        <v>45657</v>
      </c>
      <c r="AY37" s="28" t="s">
        <v>133</v>
      </c>
    </row>
    <row r="38" spans="1:51" s="47" customFormat="1" ht="114.75" hidden="1" x14ac:dyDescent="0.2">
      <c r="A38" s="65">
        <v>4</v>
      </c>
      <c r="B38" s="66" t="s">
        <v>124</v>
      </c>
      <c r="C38" s="65">
        <v>45</v>
      </c>
      <c r="D38" s="65" t="s">
        <v>68</v>
      </c>
      <c r="E38" s="65">
        <v>4502</v>
      </c>
      <c r="F38" s="194" t="s">
        <v>125</v>
      </c>
      <c r="G38" s="28" t="s">
        <v>70</v>
      </c>
      <c r="H38" s="194" t="s">
        <v>161</v>
      </c>
      <c r="I38" s="28">
        <v>4502001</v>
      </c>
      <c r="J38" s="75" t="s">
        <v>162</v>
      </c>
      <c r="K38" s="28" t="s">
        <v>70</v>
      </c>
      <c r="L38" s="76" t="s">
        <v>163</v>
      </c>
      <c r="M38" s="28">
        <v>450200100</v>
      </c>
      <c r="N38" s="76" t="s">
        <v>164</v>
      </c>
      <c r="O38" s="28">
        <v>1</v>
      </c>
      <c r="P38" s="28"/>
      <c r="Q38" s="28">
        <f>SUM(O38:P38)</f>
        <v>1</v>
      </c>
      <c r="R38" s="79">
        <v>2020003630042</v>
      </c>
      <c r="S38" s="194" t="s">
        <v>165</v>
      </c>
      <c r="T38" s="133">
        <f>SUM($X$38:$X$44)/SUM($X$38:$X$44)</f>
        <v>1</v>
      </c>
      <c r="U38" s="194" t="s">
        <v>166</v>
      </c>
      <c r="V38" s="194" t="s">
        <v>167</v>
      </c>
      <c r="W38" s="76" t="s">
        <v>168</v>
      </c>
      <c r="X38" s="198">
        <v>25000000</v>
      </c>
      <c r="Y38" s="198"/>
      <c r="Z38" s="198"/>
      <c r="AA38" s="198"/>
      <c r="AB38" s="198">
        <f t="shared" si="2"/>
        <v>25000000</v>
      </c>
      <c r="AC38" s="135" t="s">
        <v>169</v>
      </c>
      <c r="AD38" s="194"/>
      <c r="AE38" s="72">
        <v>20</v>
      </c>
      <c r="AF38" s="72" t="s">
        <v>132</v>
      </c>
      <c r="AG38" s="134">
        <v>295972</v>
      </c>
      <c r="AH38" s="134">
        <v>285580</v>
      </c>
      <c r="AI38" s="134">
        <v>135545</v>
      </c>
      <c r="AJ38" s="134">
        <v>44254</v>
      </c>
      <c r="AK38" s="134">
        <v>309146</v>
      </c>
      <c r="AL38" s="134">
        <v>92607</v>
      </c>
      <c r="AM38" s="134">
        <v>2145</v>
      </c>
      <c r="AN38" s="134">
        <v>12718</v>
      </c>
      <c r="AO38" s="134">
        <v>26</v>
      </c>
      <c r="AP38" s="134">
        <v>37</v>
      </c>
      <c r="AQ38" s="134">
        <v>0</v>
      </c>
      <c r="AR38" s="134">
        <v>0</v>
      </c>
      <c r="AS38" s="134">
        <v>44350</v>
      </c>
      <c r="AT38" s="134">
        <v>21944</v>
      </c>
      <c r="AU38" s="134">
        <v>75687</v>
      </c>
      <c r="AV38" s="134">
        <v>581552</v>
      </c>
      <c r="AW38" s="74">
        <v>45292</v>
      </c>
      <c r="AX38" s="74">
        <v>45657</v>
      </c>
      <c r="AY38" s="28" t="s">
        <v>133</v>
      </c>
    </row>
    <row r="39" spans="1:51" s="47" customFormat="1" ht="114.75" hidden="1" x14ac:dyDescent="0.2">
      <c r="A39" s="65">
        <v>4</v>
      </c>
      <c r="B39" s="66" t="s">
        <v>124</v>
      </c>
      <c r="C39" s="65">
        <v>45</v>
      </c>
      <c r="D39" s="65" t="s">
        <v>68</v>
      </c>
      <c r="E39" s="65">
        <v>4502</v>
      </c>
      <c r="F39" s="194" t="s">
        <v>125</v>
      </c>
      <c r="G39" s="28" t="s">
        <v>70</v>
      </c>
      <c r="H39" s="194" t="s">
        <v>161</v>
      </c>
      <c r="I39" s="28">
        <v>4502001</v>
      </c>
      <c r="J39" s="75" t="s">
        <v>162</v>
      </c>
      <c r="K39" s="28" t="s">
        <v>70</v>
      </c>
      <c r="L39" s="76" t="s">
        <v>163</v>
      </c>
      <c r="M39" s="28">
        <v>450200100</v>
      </c>
      <c r="N39" s="76" t="s">
        <v>164</v>
      </c>
      <c r="O39" s="28">
        <v>1</v>
      </c>
      <c r="P39" s="28"/>
      <c r="Q39" s="28">
        <f t="shared" ref="Q39:Q69" si="3">SUM(O39:P39)</f>
        <v>1</v>
      </c>
      <c r="R39" s="79">
        <v>2020003630042</v>
      </c>
      <c r="S39" s="194" t="s">
        <v>165</v>
      </c>
      <c r="T39" s="133">
        <f t="shared" ref="T39:T44" si="4">SUM($X$38:$X$44)/SUM($X$38:$X$44)</f>
        <v>1</v>
      </c>
      <c r="U39" s="194" t="s">
        <v>166</v>
      </c>
      <c r="V39" s="194" t="s">
        <v>167</v>
      </c>
      <c r="W39" s="76" t="s">
        <v>170</v>
      </c>
      <c r="X39" s="198">
        <v>45000000</v>
      </c>
      <c r="Y39" s="198"/>
      <c r="Z39" s="198"/>
      <c r="AA39" s="198"/>
      <c r="AB39" s="198">
        <f t="shared" si="2"/>
        <v>45000000</v>
      </c>
      <c r="AC39" s="135" t="s">
        <v>169</v>
      </c>
      <c r="AD39" s="194"/>
      <c r="AE39" s="72">
        <v>20</v>
      </c>
      <c r="AF39" s="72" t="s">
        <v>132</v>
      </c>
      <c r="AG39" s="134">
        <v>295972</v>
      </c>
      <c r="AH39" s="134">
        <v>285580</v>
      </c>
      <c r="AI39" s="134">
        <v>135545</v>
      </c>
      <c r="AJ39" s="134">
        <v>44254</v>
      </c>
      <c r="AK39" s="134">
        <v>309146</v>
      </c>
      <c r="AL39" s="134">
        <v>92607</v>
      </c>
      <c r="AM39" s="134">
        <v>2145</v>
      </c>
      <c r="AN39" s="134">
        <v>12718</v>
      </c>
      <c r="AO39" s="134">
        <v>26</v>
      </c>
      <c r="AP39" s="134">
        <v>37</v>
      </c>
      <c r="AQ39" s="134">
        <v>0</v>
      </c>
      <c r="AR39" s="134">
        <v>0</v>
      </c>
      <c r="AS39" s="134">
        <v>44350</v>
      </c>
      <c r="AT39" s="134">
        <v>21944</v>
      </c>
      <c r="AU39" s="134">
        <v>75687</v>
      </c>
      <c r="AV39" s="134">
        <v>581552</v>
      </c>
      <c r="AW39" s="74">
        <v>45292</v>
      </c>
      <c r="AX39" s="74">
        <v>45657</v>
      </c>
      <c r="AY39" s="28" t="s">
        <v>133</v>
      </c>
    </row>
    <row r="40" spans="1:51" s="47" customFormat="1" ht="114.75" hidden="1" x14ac:dyDescent="0.2">
      <c r="A40" s="65">
        <v>4</v>
      </c>
      <c r="B40" s="66" t="s">
        <v>124</v>
      </c>
      <c r="C40" s="65">
        <v>45</v>
      </c>
      <c r="D40" s="65" t="s">
        <v>68</v>
      </c>
      <c r="E40" s="65">
        <v>4502</v>
      </c>
      <c r="F40" s="194" t="s">
        <v>125</v>
      </c>
      <c r="G40" s="28" t="s">
        <v>70</v>
      </c>
      <c r="H40" s="194" t="s">
        <v>161</v>
      </c>
      <c r="I40" s="28">
        <v>4502001</v>
      </c>
      <c r="J40" s="75" t="s">
        <v>162</v>
      </c>
      <c r="K40" s="28" t="s">
        <v>70</v>
      </c>
      <c r="L40" s="76" t="s">
        <v>163</v>
      </c>
      <c r="M40" s="28">
        <v>450200100</v>
      </c>
      <c r="N40" s="76" t="s">
        <v>164</v>
      </c>
      <c r="O40" s="28">
        <v>1</v>
      </c>
      <c r="P40" s="28"/>
      <c r="Q40" s="28">
        <f t="shared" si="3"/>
        <v>1</v>
      </c>
      <c r="R40" s="79">
        <v>2020003630042</v>
      </c>
      <c r="S40" s="194" t="s">
        <v>165</v>
      </c>
      <c r="T40" s="133">
        <f t="shared" si="4"/>
        <v>1</v>
      </c>
      <c r="U40" s="194" t="s">
        <v>166</v>
      </c>
      <c r="V40" s="194" t="s">
        <v>167</v>
      </c>
      <c r="W40" s="76" t="s">
        <v>171</v>
      </c>
      <c r="X40" s="198">
        <v>15000000</v>
      </c>
      <c r="Y40" s="198"/>
      <c r="Z40" s="198"/>
      <c r="AA40" s="198"/>
      <c r="AB40" s="198">
        <f t="shared" si="2"/>
        <v>15000000</v>
      </c>
      <c r="AC40" s="135" t="s">
        <v>169</v>
      </c>
      <c r="AD40" s="194"/>
      <c r="AE40" s="72">
        <v>20</v>
      </c>
      <c r="AF40" s="72" t="s">
        <v>172</v>
      </c>
      <c r="AG40" s="136">
        <v>295972</v>
      </c>
      <c r="AH40" s="136">
        <v>285580</v>
      </c>
      <c r="AI40" s="136">
        <v>135545</v>
      </c>
      <c r="AJ40" s="136">
        <v>44254</v>
      </c>
      <c r="AK40" s="136">
        <v>309146</v>
      </c>
      <c r="AL40" s="136">
        <v>92607</v>
      </c>
      <c r="AM40" s="136">
        <v>2145</v>
      </c>
      <c r="AN40" s="136">
        <v>12718</v>
      </c>
      <c r="AO40" s="136">
        <v>26</v>
      </c>
      <c r="AP40" s="136">
        <v>37</v>
      </c>
      <c r="AQ40" s="136">
        <v>0</v>
      </c>
      <c r="AR40" s="136">
        <v>0</v>
      </c>
      <c r="AS40" s="136">
        <v>44350</v>
      </c>
      <c r="AT40" s="136">
        <v>21944</v>
      </c>
      <c r="AU40" s="136">
        <v>75687</v>
      </c>
      <c r="AV40" s="136">
        <v>581552</v>
      </c>
      <c r="AW40" s="74">
        <v>45292</v>
      </c>
      <c r="AX40" s="74">
        <v>45657</v>
      </c>
      <c r="AY40" s="28" t="s">
        <v>133</v>
      </c>
    </row>
    <row r="41" spans="1:51" s="47" customFormat="1" ht="114.75" hidden="1" x14ac:dyDescent="0.2">
      <c r="A41" s="65">
        <v>4</v>
      </c>
      <c r="B41" s="66" t="s">
        <v>124</v>
      </c>
      <c r="C41" s="65">
        <v>45</v>
      </c>
      <c r="D41" s="65" t="s">
        <v>68</v>
      </c>
      <c r="E41" s="65">
        <v>4502</v>
      </c>
      <c r="F41" s="194" t="s">
        <v>125</v>
      </c>
      <c r="G41" s="28" t="s">
        <v>70</v>
      </c>
      <c r="H41" s="194" t="s">
        <v>161</v>
      </c>
      <c r="I41" s="28">
        <v>4502001</v>
      </c>
      <c r="J41" s="75" t="s">
        <v>162</v>
      </c>
      <c r="K41" s="28" t="s">
        <v>70</v>
      </c>
      <c r="L41" s="76" t="s">
        <v>163</v>
      </c>
      <c r="M41" s="28">
        <v>450200100</v>
      </c>
      <c r="N41" s="76" t="s">
        <v>164</v>
      </c>
      <c r="O41" s="28">
        <v>1</v>
      </c>
      <c r="P41" s="28"/>
      <c r="Q41" s="28">
        <f t="shared" si="3"/>
        <v>1</v>
      </c>
      <c r="R41" s="79">
        <v>2020003630042</v>
      </c>
      <c r="S41" s="194" t="s">
        <v>165</v>
      </c>
      <c r="T41" s="133">
        <f t="shared" si="4"/>
        <v>1</v>
      </c>
      <c r="U41" s="194" t="s">
        <v>166</v>
      </c>
      <c r="V41" s="194" t="s">
        <v>167</v>
      </c>
      <c r="W41" s="76" t="s">
        <v>173</v>
      </c>
      <c r="X41" s="198">
        <v>30000000</v>
      </c>
      <c r="Y41" s="198"/>
      <c r="Z41" s="198"/>
      <c r="AA41" s="198"/>
      <c r="AB41" s="198">
        <f t="shared" si="2"/>
        <v>30000000</v>
      </c>
      <c r="AC41" s="135" t="s">
        <v>169</v>
      </c>
      <c r="AD41" s="194"/>
      <c r="AE41" s="72">
        <v>20</v>
      </c>
      <c r="AF41" s="72" t="s">
        <v>172</v>
      </c>
      <c r="AG41" s="136">
        <v>295972</v>
      </c>
      <c r="AH41" s="136">
        <v>285580</v>
      </c>
      <c r="AI41" s="136">
        <v>135545</v>
      </c>
      <c r="AJ41" s="136">
        <v>44254</v>
      </c>
      <c r="AK41" s="136">
        <v>309146</v>
      </c>
      <c r="AL41" s="136">
        <v>92607</v>
      </c>
      <c r="AM41" s="136">
        <v>2145</v>
      </c>
      <c r="AN41" s="136">
        <v>12718</v>
      </c>
      <c r="AO41" s="136">
        <v>26</v>
      </c>
      <c r="AP41" s="136">
        <v>37</v>
      </c>
      <c r="AQ41" s="136">
        <v>0</v>
      </c>
      <c r="AR41" s="136">
        <v>0</v>
      </c>
      <c r="AS41" s="136">
        <v>44350</v>
      </c>
      <c r="AT41" s="136">
        <v>21944</v>
      </c>
      <c r="AU41" s="136">
        <v>75687</v>
      </c>
      <c r="AV41" s="136">
        <v>581552</v>
      </c>
      <c r="AW41" s="74">
        <v>45292</v>
      </c>
      <c r="AX41" s="74">
        <v>45657</v>
      </c>
      <c r="AY41" s="28" t="s">
        <v>133</v>
      </c>
    </row>
    <row r="42" spans="1:51" s="47" customFormat="1" ht="114.75" hidden="1" x14ac:dyDescent="0.2">
      <c r="A42" s="65">
        <v>4</v>
      </c>
      <c r="B42" s="66" t="s">
        <v>124</v>
      </c>
      <c r="C42" s="65">
        <v>45</v>
      </c>
      <c r="D42" s="65" t="s">
        <v>68</v>
      </c>
      <c r="E42" s="65">
        <v>4502</v>
      </c>
      <c r="F42" s="194" t="s">
        <v>125</v>
      </c>
      <c r="G42" s="28" t="s">
        <v>70</v>
      </c>
      <c r="H42" s="194" t="s">
        <v>161</v>
      </c>
      <c r="I42" s="28">
        <v>4502001</v>
      </c>
      <c r="J42" s="75" t="s">
        <v>162</v>
      </c>
      <c r="K42" s="28" t="s">
        <v>70</v>
      </c>
      <c r="L42" s="76" t="s">
        <v>163</v>
      </c>
      <c r="M42" s="28">
        <v>450200100</v>
      </c>
      <c r="N42" s="76" t="s">
        <v>164</v>
      </c>
      <c r="O42" s="28">
        <v>1</v>
      </c>
      <c r="P42" s="28"/>
      <c r="Q42" s="28">
        <f t="shared" si="3"/>
        <v>1</v>
      </c>
      <c r="R42" s="79">
        <v>2020003630042</v>
      </c>
      <c r="S42" s="194" t="s">
        <v>165</v>
      </c>
      <c r="T42" s="133">
        <f t="shared" si="4"/>
        <v>1</v>
      </c>
      <c r="U42" s="194" t="s">
        <v>166</v>
      </c>
      <c r="V42" s="194" t="s">
        <v>167</v>
      </c>
      <c r="W42" s="76" t="s">
        <v>174</v>
      </c>
      <c r="X42" s="198">
        <v>15000000</v>
      </c>
      <c r="Y42" s="198"/>
      <c r="Z42" s="198"/>
      <c r="AA42" s="198"/>
      <c r="AB42" s="198">
        <f t="shared" si="2"/>
        <v>15000000</v>
      </c>
      <c r="AC42" s="135" t="s">
        <v>175</v>
      </c>
      <c r="AD42" s="194"/>
      <c r="AE42" s="72">
        <v>20</v>
      </c>
      <c r="AF42" s="72" t="s">
        <v>172</v>
      </c>
      <c r="AG42" s="136">
        <v>295972</v>
      </c>
      <c r="AH42" s="136">
        <v>285580</v>
      </c>
      <c r="AI42" s="136">
        <v>135545</v>
      </c>
      <c r="AJ42" s="136">
        <v>44254</v>
      </c>
      <c r="AK42" s="136">
        <v>309146</v>
      </c>
      <c r="AL42" s="136">
        <v>92607</v>
      </c>
      <c r="AM42" s="136">
        <v>2145</v>
      </c>
      <c r="AN42" s="136">
        <v>12718</v>
      </c>
      <c r="AO42" s="136">
        <v>26</v>
      </c>
      <c r="AP42" s="136">
        <v>37</v>
      </c>
      <c r="AQ42" s="136">
        <v>0</v>
      </c>
      <c r="AR42" s="136">
        <v>0</v>
      </c>
      <c r="AS42" s="136">
        <v>44350</v>
      </c>
      <c r="AT42" s="136">
        <v>21944</v>
      </c>
      <c r="AU42" s="136">
        <v>75687</v>
      </c>
      <c r="AV42" s="136">
        <v>581552</v>
      </c>
      <c r="AW42" s="74">
        <v>45292</v>
      </c>
      <c r="AX42" s="74">
        <v>45657</v>
      </c>
      <c r="AY42" s="28" t="s">
        <v>133</v>
      </c>
    </row>
    <row r="43" spans="1:51" s="47" customFormat="1" ht="114.75" hidden="1" x14ac:dyDescent="0.2">
      <c r="A43" s="65">
        <v>4</v>
      </c>
      <c r="B43" s="66" t="s">
        <v>124</v>
      </c>
      <c r="C43" s="65">
        <v>45</v>
      </c>
      <c r="D43" s="65" t="s">
        <v>68</v>
      </c>
      <c r="E43" s="65">
        <v>4502</v>
      </c>
      <c r="F43" s="194" t="s">
        <v>125</v>
      </c>
      <c r="G43" s="28" t="s">
        <v>70</v>
      </c>
      <c r="H43" s="194" t="s">
        <v>161</v>
      </c>
      <c r="I43" s="28">
        <v>4502001</v>
      </c>
      <c r="J43" s="75" t="s">
        <v>162</v>
      </c>
      <c r="K43" s="28" t="s">
        <v>70</v>
      </c>
      <c r="L43" s="76" t="s">
        <v>163</v>
      </c>
      <c r="M43" s="28">
        <v>450200100</v>
      </c>
      <c r="N43" s="76" t="s">
        <v>164</v>
      </c>
      <c r="O43" s="28">
        <v>1</v>
      </c>
      <c r="P43" s="28"/>
      <c r="Q43" s="28">
        <f t="shared" si="3"/>
        <v>1</v>
      </c>
      <c r="R43" s="79">
        <v>2020003630042</v>
      </c>
      <c r="S43" s="194" t="s">
        <v>165</v>
      </c>
      <c r="T43" s="133">
        <f t="shared" si="4"/>
        <v>1</v>
      </c>
      <c r="U43" s="194" t="s">
        <v>166</v>
      </c>
      <c r="V43" s="194" t="s">
        <v>167</v>
      </c>
      <c r="W43" s="76" t="s">
        <v>176</v>
      </c>
      <c r="X43" s="198">
        <v>35000000</v>
      </c>
      <c r="Y43" s="198"/>
      <c r="Z43" s="198"/>
      <c r="AA43" s="198"/>
      <c r="AB43" s="198">
        <f t="shared" si="2"/>
        <v>35000000</v>
      </c>
      <c r="AC43" s="135" t="s">
        <v>177</v>
      </c>
      <c r="AD43" s="194"/>
      <c r="AE43" s="72">
        <v>20</v>
      </c>
      <c r="AF43" s="72" t="s">
        <v>172</v>
      </c>
      <c r="AG43" s="136">
        <v>295972</v>
      </c>
      <c r="AH43" s="136">
        <v>285580</v>
      </c>
      <c r="AI43" s="136">
        <v>135545</v>
      </c>
      <c r="AJ43" s="136">
        <v>44254</v>
      </c>
      <c r="AK43" s="136">
        <v>309146</v>
      </c>
      <c r="AL43" s="136">
        <v>92607</v>
      </c>
      <c r="AM43" s="136">
        <v>2145</v>
      </c>
      <c r="AN43" s="136">
        <v>12718</v>
      </c>
      <c r="AO43" s="136">
        <v>26</v>
      </c>
      <c r="AP43" s="136">
        <v>37</v>
      </c>
      <c r="AQ43" s="136">
        <v>0</v>
      </c>
      <c r="AR43" s="136">
        <v>0</v>
      </c>
      <c r="AS43" s="136">
        <v>44350</v>
      </c>
      <c r="AT43" s="136">
        <v>21944</v>
      </c>
      <c r="AU43" s="136">
        <v>75687</v>
      </c>
      <c r="AV43" s="136">
        <v>581552</v>
      </c>
      <c r="AW43" s="74">
        <v>45292</v>
      </c>
      <c r="AX43" s="74">
        <v>45657</v>
      </c>
      <c r="AY43" s="28" t="s">
        <v>133</v>
      </c>
    </row>
    <row r="44" spans="1:51" s="47" customFormat="1" ht="114.75" hidden="1" x14ac:dyDescent="0.2">
      <c r="A44" s="65">
        <v>4</v>
      </c>
      <c r="B44" s="66" t="s">
        <v>124</v>
      </c>
      <c r="C44" s="65">
        <v>45</v>
      </c>
      <c r="D44" s="65" t="s">
        <v>68</v>
      </c>
      <c r="E44" s="65">
        <v>4502</v>
      </c>
      <c r="F44" s="194" t="s">
        <v>125</v>
      </c>
      <c r="G44" s="28" t="s">
        <v>70</v>
      </c>
      <c r="H44" s="194" t="s">
        <v>161</v>
      </c>
      <c r="I44" s="28">
        <v>4502001</v>
      </c>
      <c r="J44" s="75" t="s">
        <v>162</v>
      </c>
      <c r="K44" s="28" t="s">
        <v>70</v>
      </c>
      <c r="L44" s="76" t="s">
        <v>163</v>
      </c>
      <c r="M44" s="28">
        <v>450200100</v>
      </c>
      <c r="N44" s="76" t="s">
        <v>164</v>
      </c>
      <c r="O44" s="28">
        <v>1</v>
      </c>
      <c r="P44" s="28"/>
      <c r="Q44" s="28">
        <f t="shared" si="3"/>
        <v>1</v>
      </c>
      <c r="R44" s="79">
        <v>2020003630042</v>
      </c>
      <c r="S44" s="194" t="s">
        <v>165</v>
      </c>
      <c r="T44" s="133">
        <f t="shared" si="4"/>
        <v>1</v>
      </c>
      <c r="U44" s="194" t="s">
        <v>166</v>
      </c>
      <c r="V44" s="194" t="s">
        <v>167</v>
      </c>
      <c r="W44" s="76" t="s">
        <v>176</v>
      </c>
      <c r="X44" s="198">
        <v>35000000</v>
      </c>
      <c r="Y44" s="198"/>
      <c r="Z44" s="198"/>
      <c r="AA44" s="198"/>
      <c r="AB44" s="198">
        <f t="shared" si="2"/>
        <v>35000000</v>
      </c>
      <c r="AC44" s="135" t="s">
        <v>175</v>
      </c>
      <c r="AD44" s="194"/>
      <c r="AE44" s="72">
        <v>20</v>
      </c>
      <c r="AF44" s="72" t="s">
        <v>172</v>
      </c>
      <c r="AG44" s="136">
        <v>295972</v>
      </c>
      <c r="AH44" s="136">
        <v>285580</v>
      </c>
      <c r="AI44" s="136">
        <v>135545</v>
      </c>
      <c r="AJ44" s="136">
        <v>44254</v>
      </c>
      <c r="AK44" s="136">
        <v>309146</v>
      </c>
      <c r="AL44" s="136">
        <v>92607</v>
      </c>
      <c r="AM44" s="136">
        <v>2145</v>
      </c>
      <c r="AN44" s="136">
        <v>12718</v>
      </c>
      <c r="AO44" s="136">
        <v>26</v>
      </c>
      <c r="AP44" s="136">
        <v>37</v>
      </c>
      <c r="AQ44" s="136">
        <v>0</v>
      </c>
      <c r="AR44" s="136">
        <v>0</v>
      </c>
      <c r="AS44" s="136">
        <v>44350</v>
      </c>
      <c r="AT44" s="136">
        <v>21944</v>
      </c>
      <c r="AU44" s="136">
        <v>75687</v>
      </c>
      <c r="AV44" s="136">
        <v>581552</v>
      </c>
      <c r="AW44" s="74">
        <v>45292</v>
      </c>
      <c r="AX44" s="74">
        <v>45657</v>
      </c>
      <c r="AY44" s="28" t="s">
        <v>133</v>
      </c>
    </row>
    <row r="45" spans="1:51" s="47" customFormat="1" ht="136.5" hidden="1" customHeight="1" x14ac:dyDescent="0.2">
      <c r="A45" s="65">
        <v>4</v>
      </c>
      <c r="B45" s="66" t="s">
        <v>124</v>
      </c>
      <c r="C45" s="65">
        <v>45</v>
      </c>
      <c r="D45" s="65" t="s">
        <v>68</v>
      </c>
      <c r="E45" s="65">
        <v>4599</v>
      </c>
      <c r="F45" s="195" t="s">
        <v>178</v>
      </c>
      <c r="G45" s="28" t="s">
        <v>70</v>
      </c>
      <c r="H45" s="195" t="s">
        <v>179</v>
      </c>
      <c r="I45" s="28">
        <v>4599018</v>
      </c>
      <c r="J45" s="75" t="s">
        <v>180</v>
      </c>
      <c r="K45" s="28" t="s">
        <v>70</v>
      </c>
      <c r="L45" s="76" t="s">
        <v>181</v>
      </c>
      <c r="M45" s="28">
        <v>459901800</v>
      </c>
      <c r="N45" s="76" t="s">
        <v>182</v>
      </c>
      <c r="O45" s="28">
        <v>5</v>
      </c>
      <c r="P45" s="28"/>
      <c r="Q45" s="28">
        <f t="shared" si="3"/>
        <v>5</v>
      </c>
      <c r="R45" s="79">
        <v>2020003630044</v>
      </c>
      <c r="S45" s="195" t="s">
        <v>183</v>
      </c>
      <c r="T45" s="137">
        <f t="shared" ref="T45:T50" si="5">SUM($X$45:$X$50)/SUM($X$45:$X$50)</f>
        <v>1</v>
      </c>
      <c r="U45" s="195" t="s">
        <v>184</v>
      </c>
      <c r="V45" s="195" t="s">
        <v>185</v>
      </c>
      <c r="W45" s="138" t="s">
        <v>186</v>
      </c>
      <c r="X45" s="198">
        <v>23000000</v>
      </c>
      <c r="Y45" s="198"/>
      <c r="Z45" s="198"/>
      <c r="AA45" s="198"/>
      <c r="AB45" s="198">
        <f t="shared" si="2"/>
        <v>23000000</v>
      </c>
      <c r="AC45" s="135" t="s">
        <v>187</v>
      </c>
      <c r="AD45" s="195"/>
      <c r="AE45" s="72">
        <v>20</v>
      </c>
      <c r="AF45" s="72" t="s">
        <v>132</v>
      </c>
      <c r="AG45" s="134">
        <v>295972</v>
      </c>
      <c r="AH45" s="134">
        <v>285580</v>
      </c>
      <c r="AI45" s="134">
        <v>135545</v>
      </c>
      <c r="AJ45" s="134">
        <v>44254</v>
      </c>
      <c r="AK45" s="134">
        <v>309146</v>
      </c>
      <c r="AL45" s="134">
        <v>92607</v>
      </c>
      <c r="AM45" s="134">
        <v>2145</v>
      </c>
      <c r="AN45" s="134">
        <v>12718</v>
      </c>
      <c r="AO45" s="134">
        <v>26</v>
      </c>
      <c r="AP45" s="134">
        <v>37</v>
      </c>
      <c r="AQ45" s="134">
        <v>0</v>
      </c>
      <c r="AR45" s="134">
        <v>0</v>
      </c>
      <c r="AS45" s="134">
        <v>44350</v>
      </c>
      <c r="AT45" s="134">
        <v>21944</v>
      </c>
      <c r="AU45" s="134">
        <v>75687</v>
      </c>
      <c r="AV45" s="134">
        <v>581552</v>
      </c>
      <c r="AW45" s="74">
        <v>45292</v>
      </c>
      <c r="AX45" s="74">
        <v>45657</v>
      </c>
      <c r="AY45" s="28" t="s">
        <v>133</v>
      </c>
    </row>
    <row r="46" spans="1:51" s="47" customFormat="1" ht="139.5" hidden="1" customHeight="1" x14ac:dyDescent="0.2">
      <c r="A46" s="65">
        <v>4</v>
      </c>
      <c r="B46" s="66" t="s">
        <v>124</v>
      </c>
      <c r="C46" s="65">
        <v>45</v>
      </c>
      <c r="D46" s="65" t="s">
        <v>68</v>
      </c>
      <c r="E46" s="65">
        <v>4599</v>
      </c>
      <c r="F46" s="195" t="s">
        <v>178</v>
      </c>
      <c r="G46" s="28" t="s">
        <v>70</v>
      </c>
      <c r="H46" s="195" t="s">
        <v>179</v>
      </c>
      <c r="I46" s="28">
        <v>4599018</v>
      </c>
      <c r="J46" s="75" t="s">
        <v>180</v>
      </c>
      <c r="K46" s="28" t="s">
        <v>70</v>
      </c>
      <c r="L46" s="76" t="s">
        <v>181</v>
      </c>
      <c r="M46" s="28">
        <v>459901800</v>
      </c>
      <c r="N46" s="76" t="s">
        <v>182</v>
      </c>
      <c r="O46" s="28">
        <v>5</v>
      </c>
      <c r="P46" s="28"/>
      <c r="Q46" s="28">
        <f>SUM(O46:P46)</f>
        <v>5</v>
      </c>
      <c r="R46" s="79">
        <v>2020003630044</v>
      </c>
      <c r="S46" s="195" t="s">
        <v>183</v>
      </c>
      <c r="T46" s="137">
        <f t="shared" si="5"/>
        <v>1</v>
      </c>
      <c r="U46" s="195" t="s">
        <v>184</v>
      </c>
      <c r="V46" s="195" t="s">
        <v>185</v>
      </c>
      <c r="W46" s="138" t="s">
        <v>188</v>
      </c>
      <c r="X46" s="198">
        <v>23000000</v>
      </c>
      <c r="Y46" s="198"/>
      <c r="Z46" s="198"/>
      <c r="AA46" s="198"/>
      <c r="AB46" s="198">
        <f t="shared" si="2"/>
        <v>23000000</v>
      </c>
      <c r="AC46" s="135" t="s">
        <v>187</v>
      </c>
      <c r="AD46" s="195"/>
      <c r="AE46" s="72">
        <v>20</v>
      </c>
      <c r="AF46" s="72" t="s">
        <v>132</v>
      </c>
      <c r="AG46" s="139">
        <v>295972</v>
      </c>
      <c r="AH46" s="139">
        <v>285580</v>
      </c>
      <c r="AI46" s="139">
        <v>135545</v>
      </c>
      <c r="AJ46" s="139">
        <v>44254</v>
      </c>
      <c r="AK46" s="139">
        <v>309146</v>
      </c>
      <c r="AL46" s="139">
        <v>92607</v>
      </c>
      <c r="AM46" s="139">
        <v>2145</v>
      </c>
      <c r="AN46" s="139">
        <v>12718</v>
      </c>
      <c r="AO46" s="139">
        <v>26</v>
      </c>
      <c r="AP46" s="139">
        <v>37</v>
      </c>
      <c r="AQ46" s="139">
        <v>0</v>
      </c>
      <c r="AR46" s="139">
        <v>0</v>
      </c>
      <c r="AS46" s="139">
        <v>44350</v>
      </c>
      <c r="AT46" s="139">
        <v>21944</v>
      </c>
      <c r="AU46" s="139">
        <v>75687</v>
      </c>
      <c r="AV46" s="139">
        <v>581552</v>
      </c>
      <c r="AW46" s="74">
        <v>45292</v>
      </c>
      <c r="AX46" s="74">
        <v>45657</v>
      </c>
      <c r="AY46" s="28" t="s">
        <v>133</v>
      </c>
    </row>
    <row r="47" spans="1:51" s="47" customFormat="1" ht="132.75" hidden="1" customHeight="1" x14ac:dyDescent="0.2">
      <c r="A47" s="65">
        <v>4</v>
      </c>
      <c r="B47" s="66" t="s">
        <v>124</v>
      </c>
      <c r="C47" s="65">
        <v>45</v>
      </c>
      <c r="D47" s="65" t="s">
        <v>68</v>
      </c>
      <c r="E47" s="65">
        <v>4599</v>
      </c>
      <c r="F47" s="195" t="s">
        <v>178</v>
      </c>
      <c r="G47" s="28" t="s">
        <v>70</v>
      </c>
      <c r="H47" s="195" t="s">
        <v>179</v>
      </c>
      <c r="I47" s="28">
        <v>4599018</v>
      </c>
      <c r="J47" s="75" t="s">
        <v>180</v>
      </c>
      <c r="K47" s="28" t="s">
        <v>70</v>
      </c>
      <c r="L47" s="76" t="s">
        <v>181</v>
      </c>
      <c r="M47" s="28">
        <v>459901800</v>
      </c>
      <c r="N47" s="76" t="s">
        <v>182</v>
      </c>
      <c r="O47" s="28">
        <v>5</v>
      </c>
      <c r="P47" s="28"/>
      <c r="Q47" s="28">
        <f t="shared" si="3"/>
        <v>5</v>
      </c>
      <c r="R47" s="79">
        <v>2020003630044</v>
      </c>
      <c r="S47" s="195" t="s">
        <v>183</v>
      </c>
      <c r="T47" s="137">
        <f t="shared" si="5"/>
        <v>1</v>
      </c>
      <c r="U47" s="195" t="s">
        <v>184</v>
      </c>
      <c r="V47" s="195" t="s">
        <v>185</v>
      </c>
      <c r="W47" s="140" t="s">
        <v>189</v>
      </c>
      <c r="X47" s="198">
        <v>24000000</v>
      </c>
      <c r="Y47" s="198"/>
      <c r="Z47" s="198"/>
      <c r="AA47" s="198"/>
      <c r="AB47" s="198">
        <f t="shared" si="2"/>
        <v>24000000</v>
      </c>
      <c r="AC47" s="135" t="s">
        <v>187</v>
      </c>
      <c r="AD47" s="195"/>
      <c r="AE47" s="72">
        <v>20</v>
      </c>
      <c r="AF47" s="72" t="s">
        <v>132</v>
      </c>
      <c r="AG47" s="139">
        <v>295972</v>
      </c>
      <c r="AH47" s="139">
        <v>285580</v>
      </c>
      <c r="AI47" s="139">
        <v>135545</v>
      </c>
      <c r="AJ47" s="139">
        <v>44254</v>
      </c>
      <c r="AK47" s="139">
        <v>309146</v>
      </c>
      <c r="AL47" s="139">
        <v>92607</v>
      </c>
      <c r="AM47" s="139">
        <v>2145</v>
      </c>
      <c r="AN47" s="139">
        <v>12718</v>
      </c>
      <c r="AO47" s="139">
        <v>26</v>
      </c>
      <c r="AP47" s="139">
        <v>37</v>
      </c>
      <c r="AQ47" s="139">
        <v>0</v>
      </c>
      <c r="AR47" s="139">
        <v>0</v>
      </c>
      <c r="AS47" s="139">
        <v>44350</v>
      </c>
      <c r="AT47" s="139">
        <v>21944</v>
      </c>
      <c r="AU47" s="139">
        <v>75687</v>
      </c>
      <c r="AV47" s="139">
        <v>581552</v>
      </c>
      <c r="AW47" s="74">
        <v>45292</v>
      </c>
      <c r="AX47" s="74">
        <v>45657</v>
      </c>
      <c r="AY47" s="28" t="s">
        <v>133</v>
      </c>
    </row>
    <row r="48" spans="1:51" s="47" customFormat="1" ht="139.5" hidden="1" customHeight="1" x14ac:dyDescent="0.2">
      <c r="A48" s="65">
        <v>4</v>
      </c>
      <c r="B48" s="66" t="s">
        <v>124</v>
      </c>
      <c r="C48" s="65">
        <v>45</v>
      </c>
      <c r="D48" s="65" t="s">
        <v>68</v>
      </c>
      <c r="E48" s="65">
        <v>4599</v>
      </c>
      <c r="F48" s="195" t="s">
        <v>178</v>
      </c>
      <c r="G48" s="28" t="s">
        <v>70</v>
      </c>
      <c r="H48" s="195" t="s">
        <v>179</v>
      </c>
      <c r="I48" s="28">
        <v>4599018</v>
      </c>
      <c r="J48" s="75" t="s">
        <v>180</v>
      </c>
      <c r="K48" s="28" t="s">
        <v>70</v>
      </c>
      <c r="L48" s="76" t="s">
        <v>181</v>
      </c>
      <c r="M48" s="28">
        <v>459901800</v>
      </c>
      <c r="N48" s="76" t="s">
        <v>182</v>
      </c>
      <c r="O48" s="28">
        <v>5</v>
      </c>
      <c r="P48" s="28"/>
      <c r="Q48" s="28">
        <f t="shared" si="3"/>
        <v>5</v>
      </c>
      <c r="R48" s="79">
        <v>2020003630044</v>
      </c>
      <c r="S48" s="195" t="s">
        <v>183</v>
      </c>
      <c r="T48" s="137">
        <f t="shared" si="5"/>
        <v>1</v>
      </c>
      <c r="U48" s="195" t="s">
        <v>184</v>
      </c>
      <c r="V48" s="195" t="s">
        <v>185</v>
      </c>
      <c r="W48" s="140" t="s">
        <v>190</v>
      </c>
      <c r="X48" s="198">
        <v>30000000</v>
      </c>
      <c r="Y48" s="198"/>
      <c r="Z48" s="198"/>
      <c r="AA48" s="198"/>
      <c r="AB48" s="198">
        <f t="shared" si="2"/>
        <v>30000000</v>
      </c>
      <c r="AC48" s="135" t="s">
        <v>191</v>
      </c>
      <c r="AD48" s="195"/>
      <c r="AE48" s="72">
        <v>20</v>
      </c>
      <c r="AF48" s="72" t="s">
        <v>132</v>
      </c>
      <c r="AG48" s="134">
        <v>295972</v>
      </c>
      <c r="AH48" s="134">
        <v>285580</v>
      </c>
      <c r="AI48" s="134">
        <v>135545</v>
      </c>
      <c r="AJ48" s="134">
        <v>44254</v>
      </c>
      <c r="AK48" s="134">
        <v>309146</v>
      </c>
      <c r="AL48" s="134">
        <v>92607</v>
      </c>
      <c r="AM48" s="134">
        <v>2145</v>
      </c>
      <c r="AN48" s="134">
        <v>12718</v>
      </c>
      <c r="AO48" s="134">
        <v>26</v>
      </c>
      <c r="AP48" s="134">
        <v>37</v>
      </c>
      <c r="AQ48" s="134">
        <v>0</v>
      </c>
      <c r="AR48" s="134">
        <v>0</v>
      </c>
      <c r="AS48" s="134">
        <v>44350</v>
      </c>
      <c r="AT48" s="134">
        <v>21944</v>
      </c>
      <c r="AU48" s="134">
        <v>75687</v>
      </c>
      <c r="AV48" s="134">
        <v>581552</v>
      </c>
      <c r="AW48" s="74">
        <v>45292</v>
      </c>
      <c r="AX48" s="74">
        <v>45657</v>
      </c>
      <c r="AY48" s="28" t="s">
        <v>133</v>
      </c>
    </row>
    <row r="49" spans="1:51" s="47" customFormat="1" ht="134.25" hidden="1" customHeight="1" x14ac:dyDescent="0.2">
      <c r="A49" s="65">
        <v>4</v>
      </c>
      <c r="B49" s="66" t="s">
        <v>124</v>
      </c>
      <c r="C49" s="65">
        <v>45</v>
      </c>
      <c r="D49" s="65" t="s">
        <v>68</v>
      </c>
      <c r="E49" s="65">
        <v>4599</v>
      </c>
      <c r="F49" s="195" t="s">
        <v>178</v>
      </c>
      <c r="G49" s="28" t="s">
        <v>70</v>
      </c>
      <c r="H49" s="195" t="s">
        <v>179</v>
      </c>
      <c r="I49" s="28">
        <v>4599018</v>
      </c>
      <c r="J49" s="75" t="s">
        <v>180</v>
      </c>
      <c r="K49" s="28" t="s">
        <v>70</v>
      </c>
      <c r="L49" s="76" t="s">
        <v>181</v>
      </c>
      <c r="M49" s="28">
        <v>459901800</v>
      </c>
      <c r="N49" s="76" t="s">
        <v>182</v>
      </c>
      <c r="O49" s="28">
        <v>5</v>
      </c>
      <c r="P49" s="28"/>
      <c r="Q49" s="28">
        <f>SUM(O49:P49)</f>
        <v>5</v>
      </c>
      <c r="R49" s="79">
        <v>2020003630044</v>
      </c>
      <c r="S49" s="195" t="s">
        <v>183</v>
      </c>
      <c r="T49" s="137">
        <f t="shared" si="5"/>
        <v>1</v>
      </c>
      <c r="U49" s="195" t="s">
        <v>184</v>
      </c>
      <c r="V49" s="195" t="s">
        <v>185</v>
      </c>
      <c r="W49" s="140" t="s">
        <v>192</v>
      </c>
      <c r="X49" s="198">
        <v>50000000</v>
      </c>
      <c r="Y49" s="198"/>
      <c r="Z49" s="198"/>
      <c r="AA49" s="198"/>
      <c r="AB49" s="198">
        <f t="shared" si="2"/>
        <v>50000000</v>
      </c>
      <c r="AC49" s="135" t="s">
        <v>191</v>
      </c>
      <c r="AD49" s="195"/>
      <c r="AE49" s="72">
        <v>20</v>
      </c>
      <c r="AF49" s="72" t="s">
        <v>132</v>
      </c>
      <c r="AG49" s="139">
        <v>295972</v>
      </c>
      <c r="AH49" s="139">
        <v>285580</v>
      </c>
      <c r="AI49" s="139">
        <v>135545</v>
      </c>
      <c r="AJ49" s="139">
        <v>44254</v>
      </c>
      <c r="AK49" s="139">
        <v>309146</v>
      </c>
      <c r="AL49" s="139">
        <v>92607</v>
      </c>
      <c r="AM49" s="139">
        <v>2145</v>
      </c>
      <c r="AN49" s="139">
        <v>12718</v>
      </c>
      <c r="AO49" s="139">
        <v>26</v>
      </c>
      <c r="AP49" s="139">
        <v>37</v>
      </c>
      <c r="AQ49" s="139">
        <v>0</v>
      </c>
      <c r="AR49" s="139">
        <v>0</v>
      </c>
      <c r="AS49" s="139">
        <v>44350</v>
      </c>
      <c r="AT49" s="139">
        <v>21944</v>
      </c>
      <c r="AU49" s="139">
        <v>75687</v>
      </c>
      <c r="AV49" s="139">
        <v>581552</v>
      </c>
      <c r="AW49" s="74">
        <v>45292</v>
      </c>
      <c r="AX49" s="74">
        <v>45657</v>
      </c>
      <c r="AY49" s="28" t="s">
        <v>133</v>
      </c>
    </row>
    <row r="50" spans="1:51" s="47" customFormat="1" ht="145.5" hidden="1" customHeight="1" x14ac:dyDescent="0.2">
      <c r="A50" s="65">
        <v>4</v>
      </c>
      <c r="B50" s="66" t="s">
        <v>124</v>
      </c>
      <c r="C50" s="65">
        <v>45</v>
      </c>
      <c r="D50" s="65" t="s">
        <v>68</v>
      </c>
      <c r="E50" s="65">
        <v>4599</v>
      </c>
      <c r="F50" s="195" t="s">
        <v>178</v>
      </c>
      <c r="G50" s="28" t="s">
        <v>70</v>
      </c>
      <c r="H50" s="195" t="s">
        <v>179</v>
      </c>
      <c r="I50" s="28">
        <v>4599018</v>
      </c>
      <c r="J50" s="75" t="s">
        <v>180</v>
      </c>
      <c r="K50" s="28" t="s">
        <v>70</v>
      </c>
      <c r="L50" s="76" t="s">
        <v>181</v>
      </c>
      <c r="M50" s="28">
        <v>459901800</v>
      </c>
      <c r="N50" s="76" t="s">
        <v>182</v>
      </c>
      <c r="O50" s="28">
        <v>5</v>
      </c>
      <c r="P50" s="28"/>
      <c r="Q50" s="28">
        <f t="shared" si="3"/>
        <v>5</v>
      </c>
      <c r="R50" s="79">
        <v>2020003630044</v>
      </c>
      <c r="S50" s="195" t="s">
        <v>183</v>
      </c>
      <c r="T50" s="137">
        <f t="shared" si="5"/>
        <v>1</v>
      </c>
      <c r="U50" s="195" t="s">
        <v>184</v>
      </c>
      <c r="V50" s="195" t="s">
        <v>185</v>
      </c>
      <c r="W50" s="76" t="s">
        <v>193</v>
      </c>
      <c r="X50" s="198">
        <v>20000000</v>
      </c>
      <c r="Y50" s="198"/>
      <c r="Z50" s="198"/>
      <c r="AA50" s="198"/>
      <c r="AB50" s="198">
        <f t="shared" si="2"/>
        <v>20000000</v>
      </c>
      <c r="AC50" s="135" t="s">
        <v>187</v>
      </c>
      <c r="AD50" s="195"/>
      <c r="AE50" s="72">
        <v>20</v>
      </c>
      <c r="AF50" s="72" t="s">
        <v>132</v>
      </c>
      <c r="AG50" s="134">
        <v>295972</v>
      </c>
      <c r="AH50" s="134">
        <v>285580</v>
      </c>
      <c r="AI50" s="134">
        <v>135545</v>
      </c>
      <c r="AJ50" s="134">
        <v>44254</v>
      </c>
      <c r="AK50" s="134">
        <v>309146</v>
      </c>
      <c r="AL50" s="134">
        <v>92607</v>
      </c>
      <c r="AM50" s="134">
        <v>2145</v>
      </c>
      <c r="AN50" s="134">
        <v>12718</v>
      </c>
      <c r="AO50" s="134">
        <v>26</v>
      </c>
      <c r="AP50" s="134">
        <v>37</v>
      </c>
      <c r="AQ50" s="134">
        <v>0</v>
      </c>
      <c r="AR50" s="134">
        <v>0</v>
      </c>
      <c r="AS50" s="134">
        <v>44350</v>
      </c>
      <c r="AT50" s="134">
        <v>21944</v>
      </c>
      <c r="AU50" s="134">
        <v>75687</v>
      </c>
      <c r="AV50" s="134">
        <v>581552</v>
      </c>
      <c r="AW50" s="74">
        <v>45292</v>
      </c>
      <c r="AX50" s="74">
        <v>45657</v>
      </c>
      <c r="AY50" s="28" t="s">
        <v>133</v>
      </c>
    </row>
    <row r="51" spans="1:51" s="47" customFormat="1" ht="153" hidden="1" x14ac:dyDescent="0.2">
      <c r="A51" s="65">
        <v>4</v>
      </c>
      <c r="B51" s="66" t="s">
        <v>124</v>
      </c>
      <c r="C51" s="65">
        <v>45</v>
      </c>
      <c r="D51" s="65" t="s">
        <v>68</v>
      </c>
      <c r="E51" s="65">
        <v>4599</v>
      </c>
      <c r="F51" s="195" t="s">
        <v>178</v>
      </c>
      <c r="G51" s="28" t="s">
        <v>70</v>
      </c>
      <c r="H51" s="195" t="s">
        <v>194</v>
      </c>
      <c r="I51" s="28">
        <v>4599025</v>
      </c>
      <c r="J51" s="75" t="s">
        <v>195</v>
      </c>
      <c r="K51" s="28" t="s">
        <v>70</v>
      </c>
      <c r="L51" s="76" t="s">
        <v>196</v>
      </c>
      <c r="M51" s="28">
        <v>459902500</v>
      </c>
      <c r="N51" s="76" t="s">
        <v>197</v>
      </c>
      <c r="O51" s="28">
        <v>1</v>
      </c>
      <c r="P51" s="28"/>
      <c r="Q51" s="28">
        <f t="shared" si="3"/>
        <v>1</v>
      </c>
      <c r="R51" s="79">
        <v>2020003630045</v>
      </c>
      <c r="S51" s="195" t="s">
        <v>198</v>
      </c>
      <c r="T51" s="141">
        <f>SUM($X$51:$X$53)/SUM($X$51:$X$53)</f>
        <v>1</v>
      </c>
      <c r="U51" s="195" t="s">
        <v>199</v>
      </c>
      <c r="V51" s="195" t="s">
        <v>200</v>
      </c>
      <c r="W51" s="142" t="s">
        <v>201</v>
      </c>
      <c r="X51" s="199">
        <v>39000000</v>
      </c>
      <c r="Y51" s="199"/>
      <c r="Z51" s="199"/>
      <c r="AA51" s="199"/>
      <c r="AB51" s="198">
        <f t="shared" si="2"/>
        <v>39000000</v>
      </c>
      <c r="AC51" s="135" t="s">
        <v>202</v>
      </c>
      <c r="AD51" s="195"/>
      <c r="AE51" s="72">
        <v>20</v>
      </c>
      <c r="AF51" s="72" t="s">
        <v>203</v>
      </c>
      <c r="AG51" s="143">
        <v>295972</v>
      </c>
      <c r="AH51" s="143">
        <v>285580</v>
      </c>
      <c r="AI51" s="143">
        <v>135545</v>
      </c>
      <c r="AJ51" s="143">
        <v>44254</v>
      </c>
      <c r="AK51" s="143">
        <v>309146</v>
      </c>
      <c r="AL51" s="143">
        <v>92607</v>
      </c>
      <c r="AM51" s="143">
        <v>2145</v>
      </c>
      <c r="AN51" s="143">
        <v>12718</v>
      </c>
      <c r="AO51" s="143">
        <v>26</v>
      </c>
      <c r="AP51" s="143">
        <v>37</v>
      </c>
      <c r="AQ51" s="143">
        <v>0</v>
      </c>
      <c r="AR51" s="143">
        <v>0</v>
      </c>
      <c r="AS51" s="143">
        <v>44350</v>
      </c>
      <c r="AT51" s="143">
        <v>21944</v>
      </c>
      <c r="AU51" s="143">
        <v>75687</v>
      </c>
      <c r="AV51" s="143">
        <v>581552</v>
      </c>
      <c r="AW51" s="74">
        <v>45292</v>
      </c>
      <c r="AX51" s="74">
        <v>45657</v>
      </c>
      <c r="AY51" s="28" t="s">
        <v>133</v>
      </c>
    </row>
    <row r="52" spans="1:51" s="47" customFormat="1" ht="140.25" hidden="1" x14ac:dyDescent="0.2">
      <c r="A52" s="65">
        <v>4</v>
      </c>
      <c r="B52" s="66" t="s">
        <v>124</v>
      </c>
      <c r="C52" s="65">
        <v>45</v>
      </c>
      <c r="D52" s="65" t="s">
        <v>68</v>
      </c>
      <c r="E52" s="65">
        <v>4599</v>
      </c>
      <c r="F52" s="195" t="s">
        <v>178</v>
      </c>
      <c r="G52" s="28" t="s">
        <v>70</v>
      </c>
      <c r="H52" s="195" t="s">
        <v>194</v>
      </c>
      <c r="I52" s="28">
        <v>4599025</v>
      </c>
      <c r="J52" s="75" t="s">
        <v>195</v>
      </c>
      <c r="K52" s="28" t="s">
        <v>70</v>
      </c>
      <c r="L52" s="76" t="s">
        <v>196</v>
      </c>
      <c r="M52" s="28">
        <v>459902500</v>
      </c>
      <c r="N52" s="76" t="s">
        <v>197</v>
      </c>
      <c r="O52" s="28">
        <v>1</v>
      </c>
      <c r="P52" s="28"/>
      <c r="Q52" s="28">
        <f t="shared" si="3"/>
        <v>1</v>
      </c>
      <c r="R52" s="79">
        <v>2020003630045</v>
      </c>
      <c r="S52" s="195" t="s">
        <v>198</v>
      </c>
      <c r="T52" s="141">
        <f>SUM($X$51:$X$53)/SUM($X$51:$X$53)</f>
        <v>1</v>
      </c>
      <c r="U52" s="195" t="s">
        <v>199</v>
      </c>
      <c r="V52" s="195" t="s">
        <v>200</v>
      </c>
      <c r="W52" s="142" t="s">
        <v>204</v>
      </c>
      <c r="X52" s="198">
        <v>35000000</v>
      </c>
      <c r="Y52" s="198"/>
      <c r="Z52" s="198"/>
      <c r="AA52" s="198"/>
      <c r="AB52" s="198">
        <f t="shared" si="2"/>
        <v>35000000</v>
      </c>
      <c r="AC52" s="135" t="s">
        <v>202</v>
      </c>
      <c r="AD52" s="195"/>
      <c r="AE52" s="72">
        <v>20</v>
      </c>
      <c r="AF52" s="72" t="s">
        <v>203</v>
      </c>
      <c r="AG52" s="143">
        <v>295972</v>
      </c>
      <c r="AH52" s="143">
        <v>285580</v>
      </c>
      <c r="AI52" s="143">
        <v>135545</v>
      </c>
      <c r="AJ52" s="143">
        <v>44254</v>
      </c>
      <c r="AK52" s="143">
        <v>309146</v>
      </c>
      <c r="AL52" s="143">
        <v>92607</v>
      </c>
      <c r="AM52" s="143">
        <v>2145</v>
      </c>
      <c r="AN52" s="143">
        <v>12718</v>
      </c>
      <c r="AO52" s="143">
        <v>26</v>
      </c>
      <c r="AP52" s="143">
        <v>37</v>
      </c>
      <c r="AQ52" s="143">
        <v>0</v>
      </c>
      <c r="AR52" s="143">
        <v>0</v>
      </c>
      <c r="AS52" s="143">
        <v>44350</v>
      </c>
      <c r="AT52" s="143">
        <v>21944</v>
      </c>
      <c r="AU52" s="143">
        <v>75687</v>
      </c>
      <c r="AV52" s="143">
        <v>581552</v>
      </c>
      <c r="AW52" s="74">
        <v>45292</v>
      </c>
      <c r="AX52" s="74">
        <v>45657</v>
      </c>
      <c r="AY52" s="28" t="s">
        <v>133</v>
      </c>
    </row>
    <row r="53" spans="1:51" s="47" customFormat="1" ht="140.25" hidden="1" x14ac:dyDescent="0.2">
      <c r="A53" s="65">
        <v>4</v>
      </c>
      <c r="B53" s="66" t="s">
        <v>124</v>
      </c>
      <c r="C53" s="65">
        <v>45</v>
      </c>
      <c r="D53" s="65" t="s">
        <v>68</v>
      </c>
      <c r="E53" s="65">
        <v>4599</v>
      </c>
      <c r="F53" s="195" t="s">
        <v>178</v>
      </c>
      <c r="G53" s="28" t="s">
        <v>70</v>
      </c>
      <c r="H53" s="195" t="s">
        <v>194</v>
      </c>
      <c r="I53" s="28">
        <v>4599025</v>
      </c>
      <c r="J53" s="75" t="s">
        <v>195</v>
      </c>
      <c r="K53" s="28" t="s">
        <v>70</v>
      </c>
      <c r="L53" s="76" t="s">
        <v>196</v>
      </c>
      <c r="M53" s="28">
        <v>459902500</v>
      </c>
      <c r="N53" s="76" t="s">
        <v>197</v>
      </c>
      <c r="O53" s="28">
        <v>1</v>
      </c>
      <c r="P53" s="28"/>
      <c r="Q53" s="28">
        <f>SUM(O53:P53)</f>
        <v>1</v>
      </c>
      <c r="R53" s="79">
        <v>2020003630045</v>
      </c>
      <c r="S53" s="195" t="s">
        <v>198</v>
      </c>
      <c r="T53" s="141">
        <f>SUM($X$51:$X$53)/SUM($X$51:$X$53)</f>
        <v>1</v>
      </c>
      <c r="U53" s="195" t="s">
        <v>199</v>
      </c>
      <c r="V53" s="195" t="s">
        <v>200</v>
      </c>
      <c r="W53" s="142" t="s">
        <v>205</v>
      </c>
      <c r="X53" s="198">
        <v>32000000</v>
      </c>
      <c r="Y53" s="198"/>
      <c r="Z53" s="198"/>
      <c r="AA53" s="198"/>
      <c r="AB53" s="198">
        <f t="shared" si="2"/>
        <v>32000000</v>
      </c>
      <c r="AC53" s="135" t="s">
        <v>202</v>
      </c>
      <c r="AD53" s="195"/>
      <c r="AE53" s="72">
        <v>20</v>
      </c>
      <c r="AF53" s="72" t="s">
        <v>203</v>
      </c>
      <c r="AG53" s="144">
        <v>295972</v>
      </c>
      <c r="AH53" s="144">
        <v>285580</v>
      </c>
      <c r="AI53" s="144">
        <v>135545</v>
      </c>
      <c r="AJ53" s="144">
        <v>44254</v>
      </c>
      <c r="AK53" s="144">
        <v>309146</v>
      </c>
      <c r="AL53" s="144">
        <v>92607</v>
      </c>
      <c r="AM53" s="144">
        <v>2145</v>
      </c>
      <c r="AN53" s="144">
        <v>12718</v>
      </c>
      <c r="AO53" s="144">
        <v>26</v>
      </c>
      <c r="AP53" s="144">
        <v>37</v>
      </c>
      <c r="AQ53" s="144">
        <v>0</v>
      </c>
      <c r="AR53" s="144">
        <v>0</v>
      </c>
      <c r="AS53" s="144">
        <v>44350</v>
      </c>
      <c r="AT53" s="144">
        <v>21944</v>
      </c>
      <c r="AU53" s="144">
        <v>75687</v>
      </c>
      <c r="AV53" s="144">
        <v>581552</v>
      </c>
      <c r="AW53" s="74">
        <v>45292</v>
      </c>
      <c r="AX53" s="74">
        <v>45657</v>
      </c>
      <c r="AY53" s="28" t="s">
        <v>133</v>
      </c>
    </row>
    <row r="54" spans="1:51" s="47" customFormat="1" ht="165.75" hidden="1" x14ac:dyDescent="0.2">
      <c r="A54" s="65">
        <v>4</v>
      </c>
      <c r="B54" s="66" t="s">
        <v>124</v>
      </c>
      <c r="C54" s="65">
        <v>45</v>
      </c>
      <c r="D54" s="65" t="s">
        <v>68</v>
      </c>
      <c r="E54" s="65">
        <v>4599</v>
      </c>
      <c r="F54" s="195" t="s">
        <v>178</v>
      </c>
      <c r="G54" s="28" t="s">
        <v>70</v>
      </c>
      <c r="H54" s="195" t="s">
        <v>206</v>
      </c>
      <c r="I54" s="32">
        <v>4599025</v>
      </c>
      <c r="J54" s="67" t="s">
        <v>207</v>
      </c>
      <c r="K54" s="28" t="s">
        <v>70</v>
      </c>
      <c r="L54" s="68" t="s">
        <v>208</v>
      </c>
      <c r="M54" s="32">
        <v>459902500</v>
      </c>
      <c r="N54" s="68" t="s">
        <v>197</v>
      </c>
      <c r="O54" s="28">
        <v>1</v>
      </c>
      <c r="P54" s="32"/>
      <c r="Q54" s="28">
        <f t="shared" ref="Q54:Q63" si="6">SUM(O54:P54)</f>
        <v>1</v>
      </c>
      <c r="R54" s="69">
        <v>2020003630046</v>
      </c>
      <c r="S54" s="195" t="s">
        <v>209</v>
      </c>
      <c r="T54" s="106">
        <f>SUM($X$54:$X$63)/SUM($X$54:$X$63)</f>
        <v>1</v>
      </c>
      <c r="U54" s="195" t="s">
        <v>210</v>
      </c>
      <c r="V54" s="195" t="s">
        <v>211</v>
      </c>
      <c r="W54" s="191" t="s">
        <v>212</v>
      </c>
      <c r="X54" s="71">
        <v>60600000</v>
      </c>
      <c r="Y54" s="658"/>
      <c r="Z54" s="658"/>
      <c r="AA54" s="658"/>
      <c r="AB54" s="658">
        <f t="shared" ref="AB54:AB63" si="7">X54-Y54+Z54-AA54</f>
        <v>60600000</v>
      </c>
      <c r="AC54" s="107" t="s">
        <v>213</v>
      </c>
      <c r="AD54" s="195"/>
      <c r="AE54" s="72">
        <v>20</v>
      </c>
      <c r="AF54" s="72" t="s">
        <v>203</v>
      </c>
      <c r="AG54" s="73">
        <v>295972</v>
      </c>
      <c r="AH54" s="73">
        <v>285580</v>
      </c>
      <c r="AI54" s="73">
        <v>135545</v>
      </c>
      <c r="AJ54" s="73">
        <v>44254</v>
      </c>
      <c r="AK54" s="73">
        <v>309146</v>
      </c>
      <c r="AL54" s="73">
        <v>92607</v>
      </c>
      <c r="AM54" s="73">
        <v>2145</v>
      </c>
      <c r="AN54" s="73">
        <v>12718</v>
      </c>
      <c r="AO54" s="73">
        <v>26</v>
      </c>
      <c r="AP54" s="73">
        <v>37</v>
      </c>
      <c r="AQ54" s="73">
        <v>0</v>
      </c>
      <c r="AR54" s="73">
        <v>0</v>
      </c>
      <c r="AS54" s="73">
        <v>44350</v>
      </c>
      <c r="AT54" s="73">
        <v>21944</v>
      </c>
      <c r="AU54" s="73">
        <v>75687</v>
      </c>
      <c r="AV54" s="73">
        <v>581552</v>
      </c>
      <c r="AW54" s="74">
        <v>45292</v>
      </c>
      <c r="AX54" s="74">
        <v>45657</v>
      </c>
      <c r="AY54" s="32" t="s">
        <v>133</v>
      </c>
    </row>
    <row r="55" spans="1:51" s="47" customFormat="1" ht="178.5" hidden="1" x14ac:dyDescent="0.2">
      <c r="A55" s="65">
        <v>4</v>
      </c>
      <c r="B55" s="66" t="s">
        <v>124</v>
      </c>
      <c r="C55" s="65">
        <v>45</v>
      </c>
      <c r="D55" s="65" t="s">
        <v>68</v>
      </c>
      <c r="E55" s="65">
        <v>4599</v>
      </c>
      <c r="F55" s="195" t="s">
        <v>178</v>
      </c>
      <c r="G55" s="28" t="s">
        <v>70</v>
      </c>
      <c r="H55" s="195" t="s">
        <v>206</v>
      </c>
      <c r="I55" s="28">
        <v>4599025</v>
      </c>
      <c r="J55" s="67" t="s">
        <v>207</v>
      </c>
      <c r="K55" s="28" t="s">
        <v>70</v>
      </c>
      <c r="L55" s="68" t="s">
        <v>208</v>
      </c>
      <c r="M55" s="28">
        <v>459902500</v>
      </c>
      <c r="N55" s="68" t="s">
        <v>197</v>
      </c>
      <c r="O55" s="28">
        <v>1</v>
      </c>
      <c r="P55" s="32"/>
      <c r="Q55" s="28">
        <f t="shared" si="6"/>
        <v>1</v>
      </c>
      <c r="R55" s="69">
        <v>2020003630046</v>
      </c>
      <c r="S55" s="195" t="s">
        <v>209</v>
      </c>
      <c r="T55" s="106">
        <f t="shared" ref="T55:T63" si="8">SUM($X$54:$X$63)/SUM($X$54:$X$63)</f>
        <v>1</v>
      </c>
      <c r="U55" s="195" t="s">
        <v>210</v>
      </c>
      <c r="V55" s="195" t="s">
        <v>211</v>
      </c>
      <c r="W55" s="191" t="s">
        <v>214</v>
      </c>
      <c r="X55" s="71">
        <v>94500000</v>
      </c>
      <c r="Y55" s="658"/>
      <c r="Z55" s="658"/>
      <c r="AA55" s="658"/>
      <c r="AB55" s="658">
        <f t="shared" si="7"/>
        <v>94500000</v>
      </c>
      <c r="AC55" s="107" t="s">
        <v>213</v>
      </c>
      <c r="AD55" s="195"/>
      <c r="AE55" s="72">
        <v>20</v>
      </c>
      <c r="AF55" s="72" t="s">
        <v>203</v>
      </c>
      <c r="AG55" s="73">
        <v>295972</v>
      </c>
      <c r="AH55" s="73">
        <v>285580</v>
      </c>
      <c r="AI55" s="73">
        <v>135545</v>
      </c>
      <c r="AJ55" s="73">
        <v>44254</v>
      </c>
      <c r="AK55" s="73">
        <v>309146</v>
      </c>
      <c r="AL55" s="73">
        <v>92607</v>
      </c>
      <c r="AM55" s="73">
        <v>2145</v>
      </c>
      <c r="AN55" s="73">
        <v>12718</v>
      </c>
      <c r="AO55" s="73">
        <v>26</v>
      </c>
      <c r="AP55" s="73">
        <v>37</v>
      </c>
      <c r="AQ55" s="73">
        <v>0</v>
      </c>
      <c r="AR55" s="73">
        <v>0</v>
      </c>
      <c r="AS55" s="73">
        <v>44350</v>
      </c>
      <c r="AT55" s="73">
        <v>21944</v>
      </c>
      <c r="AU55" s="73">
        <v>75687</v>
      </c>
      <c r="AV55" s="73">
        <v>581552</v>
      </c>
      <c r="AW55" s="74">
        <v>45292</v>
      </c>
      <c r="AX55" s="74">
        <v>45657</v>
      </c>
      <c r="AY55" s="32" t="s">
        <v>133</v>
      </c>
    </row>
    <row r="56" spans="1:51" s="47" customFormat="1" ht="165.75" hidden="1" x14ac:dyDescent="0.2">
      <c r="A56" s="65">
        <v>4</v>
      </c>
      <c r="B56" s="66" t="s">
        <v>124</v>
      </c>
      <c r="C56" s="65">
        <v>45</v>
      </c>
      <c r="D56" s="65" t="s">
        <v>68</v>
      </c>
      <c r="E56" s="65">
        <v>4599</v>
      </c>
      <c r="F56" s="195" t="s">
        <v>178</v>
      </c>
      <c r="G56" s="28" t="s">
        <v>70</v>
      </c>
      <c r="H56" s="195" t="s">
        <v>206</v>
      </c>
      <c r="I56" s="32">
        <v>4599025</v>
      </c>
      <c r="J56" s="67" t="s">
        <v>207</v>
      </c>
      <c r="K56" s="28" t="s">
        <v>70</v>
      </c>
      <c r="L56" s="68" t="s">
        <v>208</v>
      </c>
      <c r="M56" s="32">
        <v>459902500</v>
      </c>
      <c r="N56" s="68" t="s">
        <v>197</v>
      </c>
      <c r="O56" s="28">
        <v>1</v>
      </c>
      <c r="P56" s="32"/>
      <c r="Q56" s="28">
        <f t="shared" si="6"/>
        <v>1</v>
      </c>
      <c r="R56" s="69">
        <v>2020003630046</v>
      </c>
      <c r="S56" s="195" t="s">
        <v>209</v>
      </c>
      <c r="T56" s="106">
        <f t="shared" si="8"/>
        <v>1</v>
      </c>
      <c r="U56" s="195" t="s">
        <v>210</v>
      </c>
      <c r="V56" s="195" t="s">
        <v>211</v>
      </c>
      <c r="W56" s="191" t="s">
        <v>215</v>
      </c>
      <c r="X56" s="71">
        <v>35340000</v>
      </c>
      <c r="Y56" s="658"/>
      <c r="Z56" s="658"/>
      <c r="AA56" s="658"/>
      <c r="AB56" s="658">
        <f t="shared" si="7"/>
        <v>35340000</v>
      </c>
      <c r="AC56" s="107" t="s">
        <v>213</v>
      </c>
      <c r="AD56" s="195"/>
      <c r="AE56" s="72">
        <v>20</v>
      </c>
      <c r="AF56" s="72" t="s">
        <v>203</v>
      </c>
      <c r="AG56" s="73">
        <v>295972</v>
      </c>
      <c r="AH56" s="73">
        <v>285580</v>
      </c>
      <c r="AI56" s="73">
        <v>135545</v>
      </c>
      <c r="AJ56" s="73">
        <v>44254</v>
      </c>
      <c r="AK56" s="73">
        <v>309146</v>
      </c>
      <c r="AL56" s="73">
        <v>92607</v>
      </c>
      <c r="AM56" s="73">
        <v>2145</v>
      </c>
      <c r="AN56" s="73">
        <v>12718</v>
      </c>
      <c r="AO56" s="73">
        <v>26</v>
      </c>
      <c r="AP56" s="73">
        <v>37</v>
      </c>
      <c r="AQ56" s="73">
        <v>0</v>
      </c>
      <c r="AR56" s="73">
        <v>0</v>
      </c>
      <c r="AS56" s="73">
        <v>44350</v>
      </c>
      <c r="AT56" s="73">
        <v>21944</v>
      </c>
      <c r="AU56" s="73">
        <v>75687</v>
      </c>
      <c r="AV56" s="73">
        <v>581552</v>
      </c>
      <c r="AW56" s="74">
        <v>45292</v>
      </c>
      <c r="AX56" s="74">
        <v>45657</v>
      </c>
      <c r="AY56" s="32" t="s">
        <v>133</v>
      </c>
    </row>
    <row r="57" spans="1:51" s="47" customFormat="1" ht="140.25" hidden="1" customHeight="1" x14ac:dyDescent="0.2">
      <c r="A57" s="65">
        <v>4</v>
      </c>
      <c r="B57" s="66" t="s">
        <v>124</v>
      </c>
      <c r="C57" s="65">
        <v>45</v>
      </c>
      <c r="D57" s="65" t="s">
        <v>68</v>
      </c>
      <c r="E57" s="65">
        <v>4599</v>
      </c>
      <c r="F57" s="195" t="s">
        <v>178</v>
      </c>
      <c r="G57" s="28" t="s">
        <v>70</v>
      </c>
      <c r="H57" s="195" t="s">
        <v>206</v>
      </c>
      <c r="I57" s="28">
        <v>4599025</v>
      </c>
      <c r="J57" s="67" t="s">
        <v>207</v>
      </c>
      <c r="K57" s="28" t="s">
        <v>70</v>
      </c>
      <c r="L57" s="68" t="s">
        <v>208</v>
      </c>
      <c r="M57" s="28">
        <v>459902500</v>
      </c>
      <c r="N57" s="68" t="s">
        <v>197</v>
      </c>
      <c r="O57" s="28">
        <v>1</v>
      </c>
      <c r="P57" s="32"/>
      <c r="Q57" s="28">
        <f t="shared" si="6"/>
        <v>1</v>
      </c>
      <c r="R57" s="69">
        <v>2020003630046</v>
      </c>
      <c r="S57" s="195" t="s">
        <v>209</v>
      </c>
      <c r="T57" s="106">
        <f t="shared" si="8"/>
        <v>1</v>
      </c>
      <c r="U57" s="195" t="s">
        <v>210</v>
      </c>
      <c r="V57" s="195" t="s">
        <v>211</v>
      </c>
      <c r="W57" s="192" t="s">
        <v>216</v>
      </c>
      <c r="X57" s="71">
        <v>63000000</v>
      </c>
      <c r="Y57" s="658">
        <f>5553150+5627179+5646150</f>
        <v>16826479</v>
      </c>
      <c r="Z57" s="658"/>
      <c r="AA57" s="658"/>
      <c r="AB57" s="658">
        <f t="shared" si="7"/>
        <v>46173521</v>
      </c>
      <c r="AC57" s="107" t="s">
        <v>213</v>
      </c>
      <c r="AD57" s="195"/>
      <c r="AE57" s="72">
        <v>20</v>
      </c>
      <c r="AF57" s="72" t="s">
        <v>203</v>
      </c>
      <c r="AG57" s="73">
        <v>295972</v>
      </c>
      <c r="AH57" s="73">
        <v>285580</v>
      </c>
      <c r="AI57" s="73">
        <v>135545</v>
      </c>
      <c r="AJ57" s="73">
        <v>44254</v>
      </c>
      <c r="AK57" s="73">
        <v>309146</v>
      </c>
      <c r="AL57" s="73">
        <v>92607</v>
      </c>
      <c r="AM57" s="73">
        <v>2145</v>
      </c>
      <c r="AN57" s="73">
        <v>12718</v>
      </c>
      <c r="AO57" s="73">
        <v>26</v>
      </c>
      <c r="AP57" s="73">
        <v>37</v>
      </c>
      <c r="AQ57" s="73">
        <v>0</v>
      </c>
      <c r="AR57" s="73">
        <v>0</v>
      </c>
      <c r="AS57" s="73">
        <v>44350</v>
      </c>
      <c r="AT57" s="73">
        <v>21944</v>
      </c>
      <c r="AU57" s="73">
        <v>75687</v>
      </c>
      <c r="AV57" s="73">
        <v>581552</v>
      </c>
      <c r="AW57" s="74">
        <v>45292</v>
      </c>
      <c r="AX57" s="74">
        <v>45657</v>
      </c>
      <c r="AY57" s="32" t="s">
        <v>133</v>
      </c>
    </row>
    <row r="58" spans="1:51" s="47" customFormat="1" ht="165.75" hidden="1" x14ac:dyDescent="0.2">
      <c r="A58" s="65">
        <v>4</v>
      </c>
      <c r="B58" s="66" t="s">
        <v>124</v>
      </c>
      <c r="C58" s="65">
        <v>45</v>
      </c>
      <c r="D58" s="65" t="s">
        <v>68</v>
      </c>
      <c r="E58" s="65">
        <v>4599</v>
      </c>
      <c r="F58" s="195" t="s">
        <v>178</v>
      </c>
      <c r="G58" s="28" t="s">
        <v>70</v>
      </c>
      <c r="H58" s="195" t="s">
        <v>206</v>
      </c>
      <c r="I58" s="32">
        <v>4599025</v>
      </c>
      <c r="J58" s="67" t="s">
        <v>207</v>
      </c>
      <c r="K58" s="28" t="s">
        <v>70</v>
      </c>
      <c r="L58" s="68" t="s">
        <v>208</v>
      </c>
      <c r="M58" s="32">
        <v>459902500</v>
      </c>
      <c r="N58" s="68" t="s">
        <v>197</v>
      </c>
      <c r="O58" s="28">
        <v>1</v>
      </c>
      <c r="P58" s="32"/>
      <c r="Q58" s="28">
        <f t="shared" si="6"/>
        <v>1</v>
      </c>
      <c r="R58" s="69">
        <v>2020003630046</v>
      </c>
      <c r="S58" s="195" t="s">
        <v>209</v>
      </c>
      <c r="T58" s="106">
        <f t="shared" si="8"/>
        <v>1</v>
      </c>
      <c r="U58" s="195" t="s">
        <v>210</v>
      </c>
      <c r="V58" s="195" t="s">
        <v>211</v>
      </c>
      <c r="W58" s="193" t="s">
        <v>217</v>
      </c>
      <c r="X58" s="71">
        <v>37000000</v>
      </c>
      <c r="Y58" s="658">
        <f>8325000+3868150+3842179+3861150</f>
        <v>19896479</v>
      </c>
      <c r="Z58" s="658"/>
      <c r="AA58" s="658"/>
      <c r="AB58" s="658">
        <f t="shared" si="7"/>
        <v>17103521</v>
      </c>
      <c r="AC58" s="107" t="s">
        <v>213</v>
      </c>
      <c r="AD58" s="195"/>
      <c r="AE58" s="72">
        <v>20</v>
      </c>
      <c r="AF58" s="72" t="s">
        <v>203</v>
      </c>
      <c r="AG58" s="73">
        <v>295972</v>
      </c>
      <c r="AH58" s="73">
        <v>285580</v>
      </c>
      <c r="AI58" s="73">
        <v>135545</v>
      </c>
      <c r="AJ58" s="73">
        <v>44254</v>
      </c>
      <c r="AK58" s="73">
        <v>309146</v>
      </c>
      <c r="AL58" s="73">
        <v>92607</v>
      </c>
      <c r="AM58" s="73">
        <v>2145</v>
      </c>
      <c r="AN58" s="73">
        <v>12718</v>
      </c>
      <c r="AO58" s="73">
        <v>26</v>
      </c>
      <c r="AP58" s="73">
        <v>37</v>
      </c>
      <c r="AQ58" s="73">
        <v>0</v>
      </c>
      <c r="AR58" s="73">
        <v>0</v>
      </c>
      <c r="AS58" s="73">
        <v>44350</v>
      </c>
      <c r="AT58" s="73">
        <v>21944</v>
      </c>
      <c r="AU58" s="73">
        <v>75687</v>
      </c>
      <c r="AV58" s="73">
        <v>581552</v>
      </c>
      <c r="AW58" s="74">
        <v>45292</v>
      </c>
      <c r="AX58" s="74">
        <v>45657</v>
      </c>
      <c r="AY58" s="32" t="s">
        <v>133</v>
      </c>
    </row>
    <row r="59" spans="1:51" s="47" customFormat="1" ht="165.75" hidden="1" x14ac:dyDescent="0.2">
      <c r="A59" s="65">
        <v>4</v>
      </c>
      <c r="B59" s="66" t="s">
        <v>124</v>
      </c>
      <c r="C59" s="65">
        <v>45</v>
      </c>
      <c r="D59" s="65" t="s">
        <v>68</v>
      </c>
      <c r="E59" s="65">
        <v>4599</v>
      </c>
      <c r="F59" s="195" t="s">
        <v>178</v>
      </c>
      <c r="G59" s="28" t="s">
        <v>70</v>
      </c>
      <c r="H59" s="195" t="s">
        <v>206</v>
      </c>
      <c r="I59" s="28">
        <v>4599025</v>
      </c>
      <c r="J59" s="67" t="s">
        <v>207</v>
      </c>
      <c r="K59" s="28" t="s">
        <v>70</v>
      </c>
      <c r="L59" s="68" t="s">
        <v>208</v>
      </c>
      <c r="M59" s="28">
        <v>459902500</v>
      </c>
      <c r="N59" s="68" t="s">
        <v>197</v>
      </c>
      <c r="O59" s="28">
        <v>1</v>
      </c>
      <c r="P59" s="32"/>
      <c r="Q59" s="28">
        <f t="shared" si="6"/>
        <v>1</v>
      </c>
      <c r="R59" s="69">
        <v>2020003630046</v>
      </c>
      <c r="S59" s="195" t="s">
        <v>209</v>
      </c>
      <c r="T59" s="106">
        <f t="shared" si="8"/>
        <v>1</v>
      </c>
      <c r="U59" s="195" t="s">
        <v>210</v>
      </c>
      <c r="V59" s="195" t="s">
        <v>211</v>
      </c>
      <c r="W59" s="193" t="s">
        <v>218</v>
      </c>
      <c r="X59" s="71">
        <v>28860000</v>
      </c>
      <c r="Y59" s="658">
        <f>1110000+3683150+3657179+3676150</f>
        <v>12126479</v>
      </c>
      <c r="Z59" s="658"/>
      <c r="AA59" s="658"/>
      <c r="AB59" s="658">
        <f t="shared" si="7"/>
        <v>16733521</v>
      </c>
      <c r="AC59" s="107" t="s">
        <v>213</v>
      </c>
      <c r="AD59" s="195"/>
      <c r="AE59" s="72">
        <v>20</v>
      </c>
      <c r="AF59" s="72" t="s">
        <v>203</v>
      </c>
      <c r="AG59" s="73">
        <v>295972</v>
      </c>
      <c r="AH59" s="73">
        <v>285580</v>
      </c>
      <c r="AI59" s="73">
        <v>135545</v>
      </c>
      <c r="AJ59" s="73">
        <v>44254</v>
      </c>
      <c r="AK59" s="73">
        <v>309146</v>
      </c>
      <c r="AL59" s="73">
        <v>92607</v>
      </c>
      <c r="AM59" s="73">
        <v>2145</v>
      </c>
      <c r="AN59" s="73">
        <v>12718</v>
      </c>
      <c r="AO59" s="73">
        <v>26</v>
      </c>
      <c r="AP59" s="73">
        <v>37</v>
      </c>
      <c r="AQ59" s="73">
        <v>0</v>
      </c>
      <c r="AR59" s="73">
        <v>0</v>
      </c>
      <c r="AS59" s="73">
        <v>44350</v>
      </c>
      <c r="AT59" s="73">
        <v>21944</v>
      </c>
      <c r="AU59" s="73">
        <v>75687</v>
      </c>
      <c r="AV59" s="73">
        <v>581552</v>
      </c>
      <c r="AW59" s="74">
        <v>45292</v>
      </c>
      <c r="AX59" s="74">
        <v>45657</v>
      </c>
      <c r="AY59" s="32" t="s">
        <v>133</v>
      </c>
    </row>
    <row r="60" spans="1:51" s="47" customFormat="1" ht="165.75" hidden="1" x14ac:dyDescent="0.2">
      <c r="A60" s="65">
        <v>4</v>
      </c>
      <c r="B60" s="66" t="s">
        <v>124</v>
      </c>
      <c r="C60" s="65">
        <v>45</v>
      </c>
      <c r="D60" s="65" t="s">
        <v>68</v>
      </c>
      <c r="E60" s="65">
        <v>4599</v>
      </c>
      <c r="F60" s="195" t="s">
        <v>178</v>
      </c>
      <c r="G60" s="28" t="s">
        <v>70</v>
      </c>
      <c r="H60" s="195" t="s">
        <v>206</v>
      </c>
      <c r="I60" s="32">
        <v>4599025</v>
      </c>
      <c r="J60" s="67" t="s">
        <v>207</v>
      </c>
      <c r="K60" s="28" t="s">
        <v>70</v>
      </c>
      <c r="L60" s="68" t="s">
        <v>208</v>
      </c>
      <c r="M60" s="32">
        <v>459902500</v>
      </c>
      <c r="N60" s="68" t="s">
        <v>197</v>
      </c>
      <c r="O60" s="28">
        <v>1</v>
      </c>
      <c r="P60" s="32"/>
      <c r="Q60" s="28">
        <f t="shared" si="6"/>
        <v>1</v>
      </c>
      <c r="R60" s="69">
        <v>2020003630046</v>
      </c>
      <c r="S60" s="195" t="s">
        <v>209</v>
      </c>
      <c r="T60" s="106">
        <f t="shared" si="8"/>
        <v>1</v>
      </c>
      <c r="U60" s="195" t="s">
        <v>210</v>
      </c>
      <c r="V60" s="195" t="s">
        <v>211</v>
      </c>
      <c r="W60" s="191" t="s">
        <v>219</v>
      </c>
      <c r="X60" s="71">
        <v>27195000</v>
      </c>
      <c r="Y60" s="658">
        <f>5365000+908150+697177</f>
        <v>6970327</v>
      </c>
      <c r="Z60" s="658"/>
      <c r="AA60" s="658"/>
      <c r="AB60" s="658">
        <f t="shared" si="7"/>
        <v>20224673</v>
      </c>
      <c r="AC60" s="107" t="s">
        <v>213</v>
      </c>
      <c r="AD60" s="195"/>
      <c r="AE60" s="72">
        <v>20</v>
      </c>
      <c r="AF60" s="72" t="s">
        <v>203</v>
      </c>
      <c r="AG60" s="73">
        <v>295972</v>
      </c>
      <c r="AH60" s="73">
        <v>285580</v>
      </c>
      <c r="AI60" s="73">
        <v>135545</v>
      </c>
      <c r="AJ60" s="73">
        <v>44254</v>
      </c>
      <c r="AK60" s="73">
        <v>309146</v>
      </c>
      <c r="AL60" s="73">
        <v>92607</v>
      </c>
      <c r="AM60" s="73">
        <v>2145</v>
      </c>
      <c r="AN60" s="73">
        <v>12718</v>
      </c>
      <c r="AO60" s="73">
        <v>26</v>
      </c>
      <c r="AP60" s="73">
        <v>37</v>
      </c>
      <c r="AQ60" s="73">
        <v>0</v>
      </c>
      <c r="AR60" s="73">
        <v>0</v>
      </c>
      <c r="AS60" s="73">
        <v>44350</v>
      </c>
      <c r="AT60" s="73">
        <v>21944</v>
      </c>
      <c r="AU60" s="73">
        <v>75687</v>
      </c>
      <c r="AV60" s="73">
        <v>581552</v>
      </c>
      <c r="AW60" s="74">
        <v>45292</v>
      </c>
      <c r="AX60" s="74">
        <v>45657</v>
      </c>
      <c r="AY60" s="32" t="s">
        <v>133</v>
      </c>
    </row>
    <row r="61" spans="1:51" s="47" customFormat="1" ht="165.75" hidden="1" x14ac:dyDescent="0.2">
      <c r="A61" s="65">
        <v>4</v>
      </c>
      <c r="B61" s="66" t="s">
        <v>124</v>
      </c>
      <c r="C61" s="65">
        <v>45</v>
      </c>
      <c r="D61" s="65" t="s">
        <v>68</v>
      </c>
      <c r="E61" s="65">
        <v>4599</v>
      </c>
      <c r="F61" s="195" t="s">
        <v>178</v>
      </c>
      <c r="G61" s="28" t="s">
        <v>70</v>
      </c>
      <c r="H61" s="195" t="s">
        <v>206</v>
      </c>
      <c r="I61" s="28">
        <v>4599025</v>
      </c>
      <c r="J61" s="67" t="s">
        <v>207</v>
      </c>
      <c r="K61" s="28" t="s">
        <v>70</v>
      </c>
      <c r="L61" s="68" t="s">
        <v>208</v>
      </c>
      <c r="M61" s="28">
        <v>459902500</v>
      </c>
      <c r="N61" s="68" t="s">
        <v>197</v>
      </c>
      <c r="O61" s="28">
        <v>1</v>
      </c>
      <c r="P61" s="32"/>
      <c r="Q61" s="28">
        <f t="shared" si="6"/>
        <v>1</v>
      </c>
      <c r="R61" s="69">
        <v>2020003630046</v>
      </c>
      <c r="S61" s="195" t="s">
        <v>209</v>
      </c>
      <c r="T61" s="106">
        <f t="shared" si="8"/>
        <v>1</v>
      </c>
      <c r="U61" s="195" t="s">
        <v>210</v>
      </c>
      <c r="V61" s="195" t="s">
        <v>211</v>
      </c>
      <c r="W61" s="34" t="s">
        <v>220</v>
      </c>
      <c r="X61" s="71">
        <v>9600000</v>
      </c>
      <c r="Y61" s="658">
        <v>936150</v>
      </c>
      <c r="Z61" s="658"/>
      <c r="AA61" s="658"/>
      <c r="AB61" s="658">
        <f t="shared" si="7"/>
        <v>8663850</v>
      </c>
      <c r="AC61" s="107" t="s">
        <v>213</v>
      </c>
      <c r="AD61" s="195"/>
      <c r="AE61" s="72">
        <v>20</v>
      </c>
      <c r="AF61" s="72" t="s">
        <v>203</v>
      </c>
      <c r="AG61" s="73">
        <v>295972</v>
      </c>
      <c r="AH61" s="73">
        <v>285580</v>
      </c>
      <c r="AI61" s="73">
        <v>135545</v>
      </c>
      <c r="AJ61" s="73">
        <v>44254</v>
      </c>
      <c r="AK61" s="73">
        <v>309146</v>
      </c>
      <c r="AL61" s="73">
        <v>92607</v>
      </c>
      <c r="AM61" s="73">
        <v>2145</v>
      </c>
      <c r="AN61" s="73">
        <v>12718</v>
      </c>
      <c r="AO61" s="73">
        <v>26</v>
      </c>
      <c r="AP61" s="73">
        <v>37</v>
      </c>
      <c r="AQ61" s="73">
        <v>0</v>
      </c>
      <c r="AR61" s="73">
        <v>0</v>
      </c>
      <c r="AS61" s="73">
        <v>44350</v>
      </c>
      <c r="AT61" s="73">
        <v>21944</v>
      </c>
      <c r="AU61" s="73">
        <v>75687</v>
      </c>
      <c r="AV61" s="73">
        <v>581552</v>
      </c>
      <c r="AW61" s="74">
        <v>45292</v>
      </c>
      <c r="AX61" s="74">
        <v>45657</v>
      </c>
      <c r="AY61" s="32" t="s">
        <v>133</v>
      </c>
    </row>
    <row r="62" spans="1:51" s="47" customFormat="1" ht="204" hidden="1" x14ac:dyDescent="0.2">
      <c r="A62" s="65">
        <v>4</v>
      </c>
      <c r="B62" s="66" t="s">
        <v>124</v>
      </c>
      <c r="C62" s="65">
        <v>45</v>
      </c>
      <c r="D62" s="65" t="s">
        <v>68</v>
      </c>
      <c r="E62" s="65">
        <v>4599</v>
      </c>
      <c r="F62" s="195" t="s">
        <v>178</v>
      </c>
      <c r="G62" s="28" t="s">
        <v>70</v>
      </c>
      <c r="H62" s="195" t="s">
        <v>206</v>
      </c>
      <c r="I62" s="32">
        <v>4599025</v>
      </c>
      <c r="J62" s="67" t="s">
        <v>207</v>
      </c>
      <c r="K62" s="28" t="s">
        <v>70</v>
      </c>
      <c r="L62" s="68" t="s">
        <v>208</v>
      </c>
      <c r="M62" s="32">
        <v>459902500</v>
      </c>
      <c r="N62" s="68" t="s">
        <v>197</v>
      </c>
      <c r="O62" s="28">
        <v>1</v>
      </c>
      <c r="P62" s="32"/>
      <c r="Q62" s="28">
        <f t="shared" si="6"/>
        <v>1</v>
      </c>
      <c r="R62" s="69">
        <v>2020003630046</v>
      </c>
      <c r="S62" s="195" t="s">
        <v>209</v>
      </c>
      <c r="T62" s="106">
        <f t="shared" si="8"/>
        <v>1</v>
      </c>
      <c r="U62" s="195" t="s">
        <v>210</v>
      </c>
      <c r="V62" s="195" t="s">
        <v>211</v>
      </c>
      <c r="W62" s="34" t="s">
        <v>221</v>
      </c>
      <c r="X62" s="71">
        <v>5550000</v>
      </c>
      <c r="Y62" s="658"/>
      <c r="Z62" s="658"/>
      <c r="AA62" s="658"/>
      <c r="AB62" s="658">
        <f t="shared" si="7"/>
        <v>5550000</v>
      </c>
      <c r="AC62" s="107" t="s">
        <v>213</v>
      </c>
      <c r="AD62" s="195"/>
      <c r="AE62" s="72">
        <v>20</v>
      </c>
      <c r="AF62" s="72" t="s">
        <v>203</v>
      </c>
      <c r="AG62" s="73">
        <v>295972</v>
      </c>
      <c r="AH62" s="73">
        <v>285580</v>
      </c>
      <c r="AI62" s="73">
        <v>135545</v>
      </c>
      <c r="AJ62" s="73">
        <v>44254</v>
      </c>
      <c r="AK62" s="73">
        <v>309146</v>
      </c>
      <c r="AL62" s="73">
        <v>92607</v>
      </c>
      <c r="AM62" s="73">
        <v>2145</v>
      </c>
      <c r="AN62" s="73">
        <v>12718</v>
      </c>
      <c r="AO62" s="73">
        <v>26</v>
      </c>
      <c r="AP62" s="73">
        <v>37</v>
      </c>
      <c r="AQ62" s="73">
        <v>0</v>
      </c>
      <c r="AR62" s="73">
        <v>0</v>
      </c>
      <c r="AS62" s="73">
        <v>44350</v>
      </c>
      <c r="AT62" s="73">
        <v>21944</v>
      </c>
      <c r="AU62" s="73">
        <v>75687</v>
      </c>
      <c r="AV62" s="73">
        <v>581552</v>
      </c>
      <c r="AW62" s="74">
        <v>45292</v>
      </c>
      <c r="AX62" s="74">
        <v>45657</v>
      </c>
      <c r="AY62" s="32" t="s">
        <v>133</v>
      </c>
    </row>
    <row r="63" spans="1:51" s="47" customFormat="1" ht="165.75" hidden="1" x14ac:dyDescent="0.2">
      <c r="A63" s="65">
        <v>4</v>
      </c>
      <c r="B63" s="66" t="s">
        <v>124</v>
      </c>
      <c r="C63" s="65">
        <v>45</v>
      </c>
      <c r="D63" s="65" t="s">
        <v>68</v>
      </c>
      <c r="E63" s="65">
        <v>4599</v>
      </c>
      <c r="F63" s="195" t="s">
        <v>178</v>
      </c>
      <c r="G63" s="28" t="s">
        <v>70</v>
      </c>
      <c r="H63" s="195" t="s">
        <v>206</v>
      </c>
      <c r="I63" s="28">
        <v>4599025</v>
      </c>
      <c r="J63" s="67" t="s">
        <v>207</v>
      </c>
      <c r="K63" s="28" t="s">
        <v>70</v>
      </c>
      <c r="L63" s="68" t="s">
        <v>208</v>
      </c>
      <c r="M63" s="28">
        <v>459902500</v>
      </c>
      <c r="N63" s="68" t="s">
        <v>197</v>
      </c>
      <c r="O63" s="28">
        <v>1</v>
      </c>
      <c r="P63" s="32"/>
      <c r="Q63" s="28">
        <f t="shared" si="6"/>
        <v>1</v>
      </c>
      <c r="R63" s="69">
        <v>2020003630046</v>
      </c>
      <c r="S63" s="195" t="s">
        <v>209</v>
      </c>
      <c r="T63" s="106">
        <f t="shared" si="8"/>
        <v>1</v>
      </c>
      <c r="U63" s="195" t="s">
        <v>210</v>
      </c>
      <c r="V63" s="195" t="s">
        <v>211</v>
      </c>
      <c r="W63" s="34" t="s">
        <v>222</v>
      </c>
      <c r="X63" s="71">
        <v>13601787</v>
      </c>
      <c r="Y63" s="658">
        <f>1887400+2176286+1880400</f>
        <v>5944086</v>
      </c>
      <c r="Z63" s="658"/>
      <c r="AA63" s="658"/>
      <c r="AB63" s="658">
        <f t="shared" si="7"/>
        <v>7657701</v>
      </c>
      <c r="AC63" s="107" t="s">
        <v>213</v>
      </c>
      <c r="AD63" s="195"/>
      <c r="AE63" s="72">
        <v>20</v>
      </c>
      <c r="AF63" s="72" t="s">
        <v>203</v>
      </c>
      <c r="AG63" s="73">
        <v>295972</v>
      </c>
      <c r="AH63" s="73">
        <v>285580</v>
      </c>
      <c r="AI63" s="73">
        <v>135545</v>
      </c>
      <c r="AJ63" s="73">
        <v>44254</v>
      </c>
      <c r="AK63" s="73">
        <v>309146</v>
      </c>
      <c r="AL63" s="73">
        <v>92607</v>
      </c>
      <c r="AM63" s="73">
        <v>2145</v>
      </c>
      <c r="AN63" s="73">
        <v>12718</v>
      </c>
      <c r="AO63" s="73">
        <v>26</v>
      </c>
      <c r="AP63" s="73">
        <v>37</v>
      </c>
      <c r="AQ63" s="73">
        <v>0</v>
      </c>
      <c r="AR63" s="73">
        <v>0</v>
      </c>
      <c r="AS63" s="73">
        <v>44350</v>
      </c>
      <c r="AT63" s="73">
        <v>21944</v>
      </c>
      <c r="AU63" s="73">
        <v>75687</v>
      </c>
      <c r="AV63" s="73">
        <v>581552</v>
      </c>
      <c r="AW63" s="74">
        <v>45292</v>
      </c>
      <c r="AX63" s="74">
        <v>45657</v>
      </c>
      <c r="AY63" s="32" t="s">
        <v>133</v>
      </c>
    </row>
    <row r="64" spans="1:51" s="47" customFormat="1" ht="102" hidden="1" x14ac:dyDescent="0.2">
      <c r="A64" s="65">
        <v>4</v>
      </c>
      <c r="B64" s="66" t="s">
        <v>124</v>
      </c>
      <c r="C64" s="145">
        <v>45</v>
      </c>
      <c r="D64" s="145" t="s">
        <v>68</v>
      </c>
      <c r="E64" s="145">
        <v>4599</v>
      </c>
      <c r="F64" s="196" t="s">
        <v>178</v>
      </c>
      <c r="G64" s="32" t="s">
        <v>70</v>
      </c>
      <c r="H64" s="196" t="s">
        <v>223</v>
      </c>
      <c r="I64" s="32">
        <v>4599031</v>
      </c>
      <c r="J64" s="67" t="s">
        <v>224</v>
      </c>
      <c r="K64" s="32" t="s">
        <v>70</v>
      </c>
      <c r="L64" s="68" t="s">
        <v>225</v>
      </c>
      <c r="M64" s="32">
        <v>459903101</v>
      </c>
      <c r="N64" s="68" t="s">
        <v>226</v>
      </c>
      <c r="O64" s="32">
        <v>12</v>
      </c>
      <c r="P64" s="32"/>
      <c r="Q64" s="28">
        <f t="shared" si="3"/>
        <v>12</v>
      </c>
      <c r="R64" s="69">
        <v>2020003630047</v>
      </c>
      <c r="S64" s="196" t="s">
        <v>227</v>
      </c>
      <c r="T64" s="146">
        <f t="shared" ref="T64:T69" si="9">X64/SUM($X$64:$X$69)</f>
        <v>0.19580419580419581</v>
      </c>
      <c r="U64" s="196" t="s">
        <v>228</v>
      </c>
      <c r="V64" s="196" t="s">
        <v>229</v>
      </c>
      <c r="W64" s="138" t="s">
        <v>230</v>
      </c>
      <c r="X64" s="200">
        <v>56000000</v>
      </c>
      <c r="Y64" s="200"/>
      <c r="Z64" s="200"/>
      <c r="AA64" s="200"/>
      <c r="AB64" s="658">
        <f t="shared" ref="AB64:AB85" si="10">X64-Y64+Z64-AA64</f>
        <v>56000000</v>
      </c>
      <c r="AC64" s="135" t="s">
        <v>231</v>
      </c>
      <c r="AD64" s="196"/>
      <c r="AE64" s="72">
        <v>20</v>
      </c>
      <c r="AF64" s="72" t="s">
        <v>203</v>
      </c>
      <c r="AG64" s="73">
        <v>295972</v>
      </c>
      <c r="AH64" s="73">
        <v>285580</v>
      </c>
      <c r="AI64" s="73">
        <v>135545</v>
      </c>
      <c r="AJ64" s="73">
        <v>44254</v>
      </c>
      <c r="AK64" s="73">
        <v>309146</v>
      </c>
      <c r="AL64" s="73">
        <v>92607</v>
      </c>
      <c r="AM64" s="73">
        <v>2145</v>
      </c>
      <c r="AN64" s="73">
        <v>12718</v>
      </c>
      <c r="AO64" s="73">
        <v>26</v>
      </c>
      <c r="AP64" s="73">
        <v>37</v>
      </c>
      <c r="AQ64" s="73">
        <v>0</v>
      </c>
      <c r="AR64" s="73">
        <v>0</v>
      </c>
      <c r="AS64" s="73">
        <v>44350</v>
      </c>
      <c r="AT64" s="73">
        <v>21944</v>
      </c>
      <c r="AU64" s="73">
        <v>75687</v>
      </c>
      <c r="AV64" s="73">
        <v>581552</v>
      </c>
      <c r="AW64" s="74">
        <v>45292</v>
      </c>
      <c r="AX64" s="74">
        <v>45657</v>
      </c>
      <c r="AY64" s="32" t="s">
        <v>133</v>
      </c>
    </row>
    <row r="65" spans="1:51" s="47" customFormat="1" ht="127.5" hidden="1" x14ac:dyDescent="0.2">
      <c r="A65" s="65">
        <v>4</v>
      </c>
      <c r="B65" s="66" t="s">
        <v>124</v>
      </c>
      <c r="C65" s="78">
        <v>45</v>
      </c>
      <c r="D65" s="78" t="s">
        <v>68</v>
      </c>
      <c r="E65" s="78">
        <v>4599</v>
      </c>
      <c r="F65" s="197" t="s">
        <v>178</v>
      </c>
      <c r="G65" s="23" t="s">
        <v>70</v>
      </c>
      <c r="H65" s="197" t="s">
        <v>232</v>
      </c>
      <c r="I65" s="23">
        <v>4599031</v>
      </c>
      <c r="J65" s="147" t="s">
        <v>224</v>
      </c>
      <c r="K65" s="23" t="s">
        <v>70</v>
      </c>
      <c r="L65" s="148" t="s">
        <v>233</v>
      </c>
      <c r="M65" s="23">
        <v>459903101</v>
      </c>
      <c r="N65" s="148" t="s">
        <v>226</v>
      </c>
      <c r="O65" s="23">
        <v>12</v>
      </c>
      <c r="P65" s="23"/>
      <c r="Q65" s="28">
        <f t="shared" si="3"/>
        <v>12</v>
      </c>
      <c r="R65" s="24">
        <v>2020003630047</v>
      </c>
      <c r="S65" s="197" t="s">
        <v>227</v>
      </c>
      <c r="T65" s="146">
        <f t="shared" si="9"/>
        <v>0.16083916083916083</v>
      </c>
      <c r="U65" s="197" t="s">
        <v>228</v>
      </c>
      <c r="V65" s="197" t="s">
        <v>229</v>
      </c>
      <c r="W65" s="140" t="s">
        <v>234</v>
      </c>
      <c r="X65" s="200">
        <v>46000000</v>
      </c>
      <c r="Y65" s="200"/>
      <c r="Z65" s="200"/>
      <c r="AA65" s="200"/>
      <c r="AB65" s="658">
        <f t="shared" si="10"/>
        <v>46000000</v>
      </c>
      <c r="AC65" s="135" t="s">
        <v>231</v>
      </c>
      <c r="AD65" s="197"/>
      <c r="AE65" s="72">
        <v>20</v>
      </c>
      <c r="AF65" s="72" t="s">
        <v>203</v>
      </c>
      <c r="AG65" s="149">
        <v>295972</v>
      </c>
      <c r="AH65" s="149">
        <v>285580</v>
      </c>
      <c r="AI65" s="149">
        <v>135545</v>
      </c>
      <c r="AJ65" s="149">
        <v>44254</v>
      </c>
      <c r="AK65" s="149">
        <v>309146</v>
      </c>
      <c r="AL65" s="149">
        <v>92607</v>
      </c>
      <c r="AM65" s="149">
        <v>2145</v>
      </c>
      <c r="AN65" s="149">
        <v>12718</v>
      </c>
      <c r="AO65" s="149">
        <v>26</v>
      </c>
      <c r="AP65" s="149">
        <v>37</v>
      </c>
      <c r="AQ65" s="149">
        <v>0</v>
      </c>
      <c r="AR65" s="149">
        <v>0</v>
      </c>
      <c r="AS65" s="149">
        <v>44350</v>
      </c>
      <c r="AT65" s="149">
        <v>21944</v>
      </c>
      <c r="AU65" s="149">
        <v>75687</v>
      </c>
      <c r="AV65" s="149">
        <v>581552</v>
      </c>
      <c r="AW65" s="74">
        <v>45292</v>
      </c>
      <c r="AX65" s="74">
        <v>45657</v>
      </c>
      <c r="AY65" s="23" t="s">
        <v>133</v>
      </c>
    </row>
    <row r="66" spans="1:51" s="47" customFormat="1" ht="102" hidden="1" x14ac:dyDescent="0.2">
      <c r="A66" s="65">
        <v>4</v>
      </c>
      <c r="B66" s="66" t="s">
        <v>124</v>
      </c>
      <c r="C66" s="78">
        <v>45</v>
      </c>
      <c r="D66" s="78" t="s">
        <v>68</v>
      </c>
      <c r="E66" s="78">
        <v>4599</v>
      </c>
      <c r="F66" s="197" t="s">
        <v>178</v>
      </c>
      <c r="G66" s="23" t="s">
        <v>70</v>
      </c>
      <c r="H66" s="197" t="s">
        <v>235</v>
      </c>
      <c r="I66" s="23">
        <v>4599031</v>
      </c>
      <c r="J66" s="147" t="s">
        <v>224</v>
      </c>
      <c r="K66" s="23" t="s">
        <v>70</v>
      </c>
      <c r="L66" s="148" t="s">
        <v>233</v>
      </c>
      <c r="M66" s="23">
        <v>459903101</v>
      </c>
      <c r="N66" s="148" t="s">
        <v>226</v>
      </c>
      <c r="O66" s="23">
        <v>12</v>
      </c>
      <c r="P66" s="23"/>
      <c r="Q66" s="28">
        <f t="shared" si="3"/>
        <v>12</v>
      </c>
      <c r="R66" s="24">
        <v>2020003630047</v>
      </c>
      <c r="S66" s="197" t="s">
        <v>227</v>
      </c>
      <c r="T66" s="146">
        <f t="shared" si="9"/>
        <v>0.16083916083916083</v>
      </c>
      <c r="U66" s="197" t="s">
        <v>228</v>
      </c>
      <c r="V66" s="197" t="s">
        <v>229</v>
      </c>
      <c r="W66" s="140" t="s">
        <v>236</v>
      </c>
      <c r="X66" s="200">
        <v>46000000</v>
      </c>
      <c r="Y66" s="200"/>
      <c r="Z66" s="200"/>
      <c r="AA66" s="200"/>
      <c r="AB66" s="658">
        <f t="shared" si="10"/>
        <v>46000000</v>
      </c>
      <c r="AC66" s="135" t="s">
        <v>231</v>
      </c>
      <c r="AD66" s="197"/>
      <c r="AE66" s="72">
        <v>20</v>
      </c>
      <c r="AF66" s="72" t="s">
        <v>203</v>
      </c>
      <c r="AG66" s="149">
        <v>295972</v>
      </c>
      <c r="AH66" s="149">
        <v>285580</v>
      </c>
      <c r="AI66" s="149">
        <v>135545</v>
      </c>
      <c r="AJ66" s="149">
        <v>44254</v>
      </c>
      <c r="AK66" s="149">
        <v>309146</v>
      </c>
      <c r="AL66" s="149">
        <v>92607</v>
      </c>
      <c r="AM66" s="149">
        <v>2145</v>
      </c>
      <c r="AN66" s="149">
        <v>12718</v>
      </c>
      <c r="AO66" s="149">
        <v>26</v>
      </c>
      <c r="AP66" s="149">
        <v>37</v>
      </c>
      <c r="AQ66" s="149">
        <v>0</v>
      </c>
      <c r="AR66" s="149">
        <v>0</v>
      </c>
      <c r="AS66" s="149">
        <v>44350</v>
      </c>
      <c r="AT66" s="149">
        <v>21944</v>
      </c>
      <c r="AU66" s="149">
        <v>75687</v>
      </c>
      <c r="AV66" s="149">
        <v>581552</v>
      </c>
      <c r="AW66" s="74">
        <v>45292</v>
      </c>
      <c r="AX66" s="74">
        <v>45657</v>
      </c>
      <c r="AY66" s="23" t="s">
        <v>133</v>
      </c>
    </row>
    <row r="67" spans="1:51" s="47" customFormat="1" ht="409.5" hidden="1" x14ac:dyDescent="0.2">
      <c r="A67" s="78">
        <v>4</v>
      </c>
      <c r="B67" s="66" t="s">
        <v>124</v>
      </c>
      <c r="C67" s="78">
        <v>45</v>
      </c>
      <c r="D67" s="78" t="s">
        <v>68</v>
      </c>
      <c r="E67" s="78">
        <v>4599</v>
      </c>
      <c r="F67" s="197" t="s">
        <v>178</v>
      </c>
      <c r="G67" s="23" t="s">
        <v>70</v>
      </c>
      <c r="H67" s="197" t="s">
        <v>237</v>
      </c>
      <c r="I67" s="23">
        <v>4599031</v>
      </c>
      <c r="J67" s="147" t="s">
        <v>224</v>
      </c>
      <c r="K67" s="23" t="s">
        <v>70</v>
      </c>
      <c r="L67" s="148" t="s">
        <v>233</v>
      </c>
      <c r="M67" s="23">
        <v>459903101</v>
      </c>
      <c r="N67" s="148" t="s">
        <v>226</v>
      </c>
      <c r="O67" s="23">
        <v>12</v>
      </c>
      <c r="P67" s="23"/>
      <c r="Q67" s="28">
        <f t="shared" si="3"/>
        <v>12</v>
      </c>
      <c r="R67" s="24">
        <v>2020003630047</v>
      </c>
      <c r="S67" s="197" t="s">
        <v>227</v>
      </c>
      <c r="T67" s="146">
        <f t="shared" si="9"/>
        <v>0.16083916083916083</v>
      </c>
      <c r="U67" s="197" t="s">
        <v>228</v>
      </c>
      <c r="V67" s="197" t="s">
        <v>229</v>
      </c>
      <c r="W67" s="140" t="s">
        <v>238</v>
      </c>
      <c r="X67" s="200">
        <v>46000000</v>
      </c>
      <c r="Y67" s="200"/>
      <c r="Z67" s="200"/>
      <c r="AA67" s="200"/>
      <c r="AB67" s="658">
        <f t="shared" si="10"/>
        <v>46000000</v>
      </c>
      <c r="AC67" s="135" t="s">
        <v>231</v>
      </c>
      <c r="AD67" s="197"/>
      <c r="AE67" s="72">
        <v>20</v>
      </c>
      <c r="AF67" s="72" t="s">
        <v>203</v>
      </c>
      <c r="AG67" s="149">
        <v>295972</v>
      </c>
      <c r="AH67" s="149">
        <v>285580</v>
      </c>
      <c r="AI67" s="149">
        <v>135545</v>
      </c>
      <c r="AJ67" s="149">
        <v>44254</v>
      </c>
      <c r="AK67" s="149">
        <v>309146</v>
      </c>
      <c r="AL67" s="149">
        <v>92607</v>
      </c>
      <c r="AM67" s="149">
        <v>2145</v>
      </c>
      <c r="AN67" s="149">
        <v>12718</v>
      </c>
      <c r="AO67" s="149">
        <v>26</v>
      </c>
      <c r="AP67" s="149">
        <v>37</v>
      </c>
      <c r="AQ67" s="149">
        <v>0</v>
      </c>
      <c r="AR67" s="149">
        <v>0</v>
      </c>
      <c r="AS67" s="149">
        <v>44350</v>
      </c>
      <c r="AT67" s="149">
        <v>21944</v>
      </c>
      <c r="AU67" s="149">
        <v>75687</v>
      </c>
      <c r="AV67" s="149">
        <v>581552</v>
      </c>
      <c r="AW67" s="74">
        <v>45292</v>
      </c>
      <c r="AX67" s="74">
        <v>45657</v>
      </c>
      <c r="AY67" s="23" t="s">
        <v>133</v>
      </c>
    </row>
    <row r="68" spans="1:51" s="47" customFormat="1" ht="293.25" hidden="1" x14ac:dyDescent="0.2">
      <c r="A68" s="78">
        <v>4</v>
      </c>
      <c r="B68" s="66" t="s">
        <v>124</v>
      </c>
      <c r="C68" s="78">
        <v>45</v>
      </c>
      <c r="D68" s="78" t="s">
        <v>68</v>
      </c>
      <c r="E68" s="78">
        <v>4599</v>
      </c>
      <c r="F68" s="197" t="s">
        <v>178</v>
      </c>
      <c r="G68" s="23" t="s">
        <v>70</v>
      </c>
      <c r="H68" s="197" t="s">
        <v>239</v>
      </c>
      <c r="I68" s="23">
        <v>4599031</v>
      </c>
      <c r="J68" s="147" t="s">
        <v>224</v>
      </c>
      <c r="K68" s="23" t="s">
        <v>70</v>
      </c>
      <c r="L68" s="148" t="s">
        <v>233</v>
      </c>
      <c r="M68" s="23">
        <v>459903101</v>
      </c>
      <c r="N68" s="148" t="s">
        <v>226</v>
      </c>
      <c r="O68" s="23">
        <v>12</v>
      </c>
      <c r="P68" s="23"/>
      <c r="Q68" s="28">
        <f t="shared" si="3"/>
        <v>12</v>
      </c>
      <c r="R68" s="24">
        <v>2020003630047</v>
      </c>
      <c r="S68" s="197" t="s">
        <v>227</v>
      </c>
      <c r="T68" s="146">
        <f t="shared" si="9"/>
        <v>0.16083916083916083</v>
      </c>
      <c r="U68" s="197" t="s">
        <v>228</v>
      </c>
      <c r="V68" s="197" t="s">
        <v>229</v>
      </c>
      <c r="W68" s="746" t="s">
        <v>240</v>
      </c>
      <c r="X68" s="200">
        <v>46000000</v>
      </c>
      <c r="Y68" s="200"/>
      <c r="Z68" s="200"/>
      <c r="AA68" s="200"/>
      <c r="AB68" s="658">
        <f t="shared" si="10"/>
        <v>46000000</v>
      </c>
      <c r="AC68" s="135" t="s">
        <v>231</v>
      </c>
      <c r="AD68" s="197"/>
      <c r="AE68" s="72">
        <v>20</v>
      </c>
      <c r="AF68" s="72" t="s">
        <v>203</v>
      </c>
      <c r="AG68" s="149">
        <v>295972</v>
      </c>
      <c r="AH68" s="149">
        <v>285580</v>
      </c>
      <c r="AI68" s="149">
        <v>135545</v>
      </c>
      <c r="AJ68" s="149">
        <v>44254</v>
      </c>
      <c r="AK68" s="149">
        <v>309146</v>
      </c>
      <c r="AL68" s="149">
        <v>92607</v>
      </c>
      <c r="AM68" s="149">
        <v>2145</v>
      </c>
      <c r="AN68" s="149">
        <v>12718</v>
      </c>
      <c r="AO68" s="149">
        <v>26</v>
      </c>
      <c r="AP68" s="149">
        <v>37</v>
      </c>
      <c r="AQ68" s="149">
        <v>0</v>
      </c>
      <c r="AR68" s="149">
        <v>0</v>
      </c>
      <c r="AS68" s="149">
        <v>44350</v>
      </c>
      <c r="AT68" s="149">
        <v>21944</v>
      </c>
      <c r="AU68" s="149">
        <v>75687</v>
      </c>
      <c r="AV68" s="149">
        <v>581552</v>
      </c>
      <c r="AW68" s="74">
        <v>45292</v>
      </c>
      <c r="AX68" s="74">
        <v>45657</v>
      </c>
      <c r="AY68" s="23" t="s">
        <v>133</v>
      </c>
    </row>
    <row r="69" spans="1:51" s="47" customFormat="1" ht="102" hidden="1" x14ac:dyDescent="0.2">
      <c r="A69" s="78">
        <v>4</v>
      </c>
      <c r="B69" s="66" t="s">
        <v>124</v>
      </c>
      <c r="C69" s="78">
        <v>45</v>
      </c>
      <c r="D69" s="78" t="s">
        <v>68</v>
      </c>
      <c r="E69" s="78">
        <v>4599</v>
      </c>
      <c r="F69" s="197" t="s">
        <v>178</v>
      </c>
      <c r="G69" s="23" t="s">
        <v>70</v>
      </c>
      <c r="H69" s="197" t="s">
        <v>241</v>
      </c>
      <c r="I69" s="23">
        <v>4599031</v>
      </c>
      <c r="J69" s="147" t="s">
        <v>224</v>
      </c>
      <c r="K69" s="23" t="s">
        <v>70</v>
      </c>
      <c r="L69" s="148" t="s">
        <v>233</v>
      </c>
      <c r="M69" s="23">
        <v>459903101</v>
      </c>
      <c r="N69" s="148" t="s">
        <v>226</v>
      </c>
      <c r="O69" s="23">
        <v>12</v>
      </c>
      <c r="P69" s="23"/>
      <c r="Q69" s="28">
        <f t="shared" si="3"/>
        <v>12</v>
      </c>
      <c r="R69" s="24">
        <v>2020003630047</v>
      </c>
      <c r="S69" s="197" t="s">
        <v>227</v>
      </c>
      <c r="T69" s="146">
        <f t="shared" si="9"/>
        <v>0.16083916083916083</v>
      </c>
      <c r="U69" s="197" t="s">
        <v>228</v>
      </c>
      <c r="V69" s="197" t="s">
        <v>229</v>
      </c>
      <c r="W69" s="27" t="s">
        <v>242</v>
      </c>
      <c r="X69" s="200">
        <v>46000000</v>
      </c>
      <c r="Y69" s="200"/>
      <c r="Z69" s="200"/>
      <c r="AA69" s="200"/>
      <c r="AB69" s="658">
        <f t="shared" si="10"/>
        <v>46000000</v>
      </c>
      <c r="AC69" s="135" t="s">
        <v>231</v>
      </c>
      <c r="AD69" s="197"/>
      <c r="AE69" s="72">
        <v>20</v>
      </c>
      <c r="AF69" s="72" t="s">
        <v>203</v>
      </c>
      <c r="AG69" s="149">
        <v>295972</v>
      </c>
      <c r="AH69" s="149">
        <v>285580</v>
      </c>
      <c r="AI69" s="149">
        <v>135545</v>
      </c>
      <c r="AJ69" s="149">
        <v>44254</v>
      </c>
      <c r="AK69" s="149">
        <v>309146</v>
      </c>
      <c r="AL69" s="149">
        <v>92607</v>
      </c>
      <c r="AM69" s="149">
        <v>2145</v>
      </c>
      <c r="AN69" s="149">
        <v>12718</v>
      </c>
      <c r="AO69" s="149">
        <v>26</v>
      </c>
      <c r="AP69" s="149">
        <v>37</v>
      </c>
      <c r="AQ69" s="149">
        <v>0</v>
      </c>
      <c r="AR69" s="149">
        <v>0</v>
      </c>
      <c r="AS69" s="149">
        <v>44350</v>
      </c>
      <c r="AT69" s="149">
        <v>21944</v>
      </c>
      <c r="AU69" s="149">
        <v>75687</v>
      </c>
      <c r="AV69" s="149">
        <v>581552</v>
      </c>
      <c r="AW69" s="74">
        <v>45292</v>
      </c>
      <c r="AX69" s="74">
        <v>45657</v>
      </c>
      <c r="AY69" s="23" t="s">
        <v>133</v>
      </c>
    </row>
    <row r="70" spans="1:51" s="47" customFormat="1" ht="102" x14ac:dyDescent="0.2">
      <c r="A70" s="79">
        <v>4</v>
      </c>
      <c r="B70" s="880" t="s">
        <v>124</v>
      </c>
      <c r="C70" s="79">
        <v>45</v>
      </c>
      <c r="D70" s="79" t="s">
        <v>68</v>
      </c>
      <c r="E70" s="78">
        <v>4599</v>
      </c>
      <c r="F70" s="197" t="s">
        <v>178</v>
      </c>
      <c r="G70" s="79">
        <v>4599018</v>
      </c>
      <c r="H70" s="197" t="s">
        <v>243</v>
      </c>
      <c r="I70" s="79">
        <v>4599018</v>
      </c>
      <c r="J70" s="880" t="s">
        <v>243</v>
      </c>
      <c r="K70" s="79">
        <v>459901800</v>
      </c>
      <c r="L70" s="880" t="s">
        <v>244</v>
      </c>
      <c r="M70" s="79">
        <v>459901800</v>
      </c>
      <c r="N70" s="880" t="s">
        <v>244</v>
      </c>
      <c r="O70" s="79" t="s">
        <v>245</v>
      </c>
      <c r="P70" s="79"/>
      <c r="Q70" s="79" t="s">
        <v>245</v>
      </c>
      <c r="R70" s="79">
        <v>2023003630007</v>
      </c>
      <c r="S70" s="197" t="s">
        <v>246</v>
      </c>
      <c r="T70" s="208">
        <v>0</v>
      </c>
      <c r="U70" s="197" t="s">
        <v>247</v>
      </c>
      <c r="V70" s="197" t="s">
        <v>248</v>
      </c>
      <c r="W70" s="885" t="s">
        <v>249</v>
      </c>
      <c r="X70" s="739">
        <f>18000000-18000000</f>
        <v>0</v>
      </c>
      <c r="Y70" s="198"/>
      <c r="Z70" s="198"/>
      <c r="AA70" s="198"/>
      <c r="AB70" s="658">
        <f t="shared" si="10"/>
        <v>0</v>
      </c>
      <c r="AC70" s="135" t="s">
        <v>250</v>
      </c>
      <c r="AD70" s="197"/>
      <c r="AE70" s="72">
        <v>20</v>
      </c>
      <c r="AF70" s="72" t="s">
        <v>203</v>
      </c>
      <c r="AG70" s="149">
        <v>295972</v>
      </c>
      <c r="AH70" s="149">
        <v>285580</v>
      </c>
      <c r="AI70" s="149">
        <v>135545</v>
      </c>
      <c r="AJ70" s="149">
        <v>44254</v>
      </c>
      <c r="AK70" s="149">
        <v>309146</v>
      </c>
      <c r="AL70" s="149">
        <v>92607</v>
      </c>
      <c r="AM70" s="149">
        <v>2145</v>
      </c>
      <c r="AN70" s="149">
        <v>12718</v>
      </c>
      <c r="AO70" s="149">
        <v>26</v>
      </c>
      <c r="AP70" s="149">
        <v>37</v>
      </c>
      <c r="AQ70" s="149">
        <v>0</v>
      </c>
      <c r="AR70" s="149">
        <v>0</v>
      </c>
      <c r="AS70" s="149">
        <v>44350</v>
      </c>
      <c r="AT70" s="149">
        <v>21944</v>
      </c>
      <c r="AU70" s="149">
        <v>75687</v>
      </c>
      <c r="AV70" s="149">
        <v>581552</v>
      </c>
      <c r="AW70" s="74">
        <v>45292</v>
      </c>
      <c r="AX70" s="74">
        <v>45657</v>
      </c>
      <c r="AY70" s="23" t="s">
        <v>133</v>
      </c>
    </row>
    <row r="71" spans="1:51" s="47" customFormat="1" ht="102" x14ac:dyDescent="0.2">
      <c r="A71" s="79">
        <v>4</v>
      </c>
      <c r="B71" s="880" t="s">
        <v>124</v>
      </c>
      <c r="C71" s="79">
        <v>45</v>
      </c>
      <c r="D71" s="79" t="s">
        <v>68</v>
      </c>
      <c r="E71" s="78">
        <v>4599</v>
      </c>
      <c r="F71" s="197" t="s">
        <v>178</v>
      </c>
      <c r="G71" s="79">
        <v>4599018</v>
      </c>
      <c r="H71" s="197" t="s">
        <v>243</v>
      </c>
      <c r="I71" s="79">
        <v>4599018</v>
      </c>
      <c r="J71" s="880" t="s">
        <v>243</v>
      </c>
      <c r="K71" s="79">
        <v>459901800</v>
      </c>
      <c r="L71" s="880" t="s">
        <v>244</v>
      </c>
      <c r="M71" s="79">
        <v>459901800</v>
      </c>
      <c r="N71" s="880" t="s">
        <v>244</v>
      </c>
      <c r="O71" s="79" t="s">
        <v>245</v>
      </c>
      <c r="P71" s="79"/>
      <c r="Q71" s="79" t="s">
        <v>245</v>
      </c>
      <c r="R71" s="79">
        <v>2023003630007</v>
      </c>
      <c r="S71" s="197" t="s">
        <v>246</v>
      </c>
      <c r="T71" s="208">
        <v>0</v>
      </c>
      <c r="U71" s="197" t="s">
        <v>247</v>
      </c>
      <c r="V71" s="197" t="s">
        <v>248</v>
      </c>
      <c r="W71" s="885" t="s">
        <v>251</v>
      </c>
      <c r="X71" s="198">
        <f>9000000-9000000</f>
        <v>0</v>
      </c>
      <c r="Y71" s="198"/>
      <c r="Z71" s="198"/>
      <c r="AA71" s="198"/>
      <c r="AB71" s="658">
        <f t="shared" si="10"/>
        <v>0</v>
      </c>
      <c r="AC71" s="135" t="s">
        <v>250</v>
      </c>
      <c r="AD71" s="197"/>
      <c r="AE71" s="72">
        <v>20</v>
      </c>
      <c r="AF71" s="72" t="s">
        <v>203</v>
      </c>
      <c r="AG71" s="149">
        <v>295972</v>
      </c>
      <c r="AH71" s="149">
        <v>285580</v>
      </c>
      <c r="AI71" s="149">
        <v>135545</v>
      </c>
      <c r="AJ71" s="149">
        <v>44254</v>
      </c>
      <c r="AK71" s="149">
        <v>309146</v>
      </c>
      <c r="AL71" s="149">
        <v>92607</v>
      </c>
      <c r="AM71" s="149">
        <v>2145</v>
      </c>
      <c r="AN71" s="149">
        <v>12718</v>
      </c>
      <c r="AO71" s="149">
        <v>26</v>
      </c>
      <c r="AP71" s="149">
        <v>37</v>
      </c>
      <c r="AQ71" s="149">
        <v>0</v>
      </c>
      <c r="AR71" s="149">
        <v>0</v>
      </c>
      <c r="AS71" s="149">
        <v>44350</v>
      </c>
      <c r="AT71" s="149">
        <v>21944</v>
      </c>
      <c r="AU71" s="149">
        <v>75687</v>
      </c>
      <c r="AV71" s="149">
        <v>581552</v>
      </c>
      <c r="AW71" s="74">
        <v>45292</v>
      </c>
      <c r="AX71" s="74">
        <v>45657</v>
      </c>
      <c r="AY71" s="23" t="s">
        <v>133</v>
      </c>
    </row>
    <row r="72" spans="1:51" s="47" customFormat="1" ht="102" x14ac:dyDescent="0.2">
      <c r="A72" s="79">
        <v>4</v>
      </c>
      <c r="B72" s="880" t="s">
        <v>124</v>
      </c>
      <c r="C72" s="79">
        <v>45</v>
      </c>
      <c r="D72" s="79" t="s">
        <v>68</v>
      </c>
      <c r="E72" s="78">
        <v>4599</v>
      </c>
      <c r="F72" s="197" t="s">
        <v>178</v>
      </c>
      <c r="G72" s="79">
        <v>4599018</v>
      </c>
      <c r="H72" s="197" t="s">
        <v>243</v>
      </c>
      <c r="I72" s="79">
        <v>4599018</v>
      </c>
      <c r="J72" s="880" t="s">
        <v>243</v>
      </c>
      <c r="K72" s="79">
        <v>459901800</v>
      </c>
      <c r="L72" s="880" t="s">
        <v>244</v>
      </c>
      <c r="M72" s="79">
        <v>459901800</v>
      </c>
      <c r="N72" s="880" t="s">
        <v>244</v>
      </c>
      <c r="O72" s="79" t="s">
        <v>245</v>
      </c>
      <c r="P72" s="79"/>
      <c r="Q72" s="79" t="s">
        <v>245</v>
      </c>
      <c r="R72" s="79">
        <v>2023003630007</v>
      </c>
      <c r="S72" s="197" t="s">
        <v>246</v>
      </c>
      <c r="T72" s="208">
        <v>0</v>
      </c>
      <c r="U72" s="197" t="s">
        <v>247</v>
      </c>
      <c r="V72" s="197" t="s">
        <v>248</v>
      </c>
      <c r="W72" s="885" t="s">
        <v>252</v>
      </c>
      <c r="X72" s="198">
        <f>17000000-17000000</f>
        <v>0</v>
      </c>
      <c r="Y72" s="198"/>
      <c r="Z72" s="198"/>
      <c r="AA72" s="198"/>
      <c r="AB72" s="658">
        <f t="shared" si="10"/>
        <v>0</v>
      </c>
      <c r="AC72" s="135" t="s">
        <v>250</v>
      </c>
      <c r="AD72" s="197"/>
      <c r="AE72" s="72">
        <v>20</v>
      </c>
      <c r="AF72" s="72" t="s">
        <v>203</v>
      </c>
      <c r="AG72" s="149">
        <v>295972</v>
      </c>
      <c r="AH72" s="149">
        <v>285580</v>
      </c>
      <c r="AI72" s="149">
        <v>135545</v>
      </c>
      <c r="AJ72" s="149">
        <v>44254</v>
      </c>
      <c r="AK72" s="149">
        <v>309146</v>
      </c>
      <c r="AL72" s="149">
        <v>92607</v>
      </c>
      <c r="AM72" s="149">
        <v>2145</v>
      </c>
      <c r="AN72" s="149">
        <v>12718</v>
      </c>
      <c r="AO72" s="149">
        <v>26</v>
      </c>
      <c r="AP72" s="149">
        <v>37</v>
      </c>
      <c r="AQ72" s="149">
        <v>0</v>
      </c>
      <c r="AR72" s="149">
        <v>0</v>
      </c>
      <c r="AS72" s="149">
        <v>44350</v>
      </c>
      <c r="AT72" s="149">
        <v>21944</v>
      </c>
      <c r="AU72" s="149">
        <v>75687</v>
      </c>
      <c r="AV72" s="149">
        <v>581552</v>
      </c>
      <c r="AW72" s="74">
        <v>45292</v>
      </c>
      <c r="AX72" s="74">
        <v>45657</v>
      </c>
      <c r="AY72" s="23" t="s">
        <v>133</v>
      </c>
    </row>
    <row r="73" spans="1:51" s="47" customFormat="1" ht="102" x14ac:dyDescent="0.2">
      <c r="A73" s="79">
        <v>4</v>
      </c>
      <c r="B73" s="880" t="s">
        <v>124</v>
      </c>
      <c r="C73" s="79">
        <v>45</v>
      </c>
      <c r="D73" s="79" t="s">
        <v>68</v>
      </c>
      <c r="E73" s="78">
        <v>4599</v>
      </c>
      <c r="F73" s="197" t="s">
        <v>178</v>
      </c>
      <c r="G73" s="79">
        <v>4599018</v>
      </c>
      <c r="H73" s="197" t="s">
        <v>243</v>
      </c>
      <c r="I73" s="79">
        <v>4599018</v>
      </c>
      <c r="J73" s="880" t="s">
        <v>243</v>
      </c>
      <c r="K73" s="79">
        <v>459901800</v>
      </c>
      <c r="L73" s="880" t="s">
        <v>244</v>
      </c>
      <c r="M73" s="79">
        <v>459901800</v>
      </c>
      <c r="N73" s="880" t="s">
        <v>244</v>
      </c>
      <c r="O73" s="79" t="s">
        <v>245</v>
      </c>
      <c r="P73" s="79"/>
      <c r="Q73" s="79" t="s">
        <v>245</v>
      </c>
      <c r="R73" s="79">
        <v>2023003630007</v>
      </c>
      <c r="S73" s="197" t="s">
        <v>246</v>
      </c>
      <c r="T73" s="208">
        <v>0</v>
      </c>
      <c r="U73" s="197" t="s">
        <v>247</v>
      </c>
      <c r="V73" s="197" t="s">
        <v>248</v>
      </c>
      <c r="W73" s="885" t="s">
        <v>253</v>
      </c>
      <c r="X73" s="198">
        <f>2000000-2000000</f>
        <v>0</v>
      </c>
      <c r="Y73" s="198"/>
      <c r="Z73" s="198"/>
      <c r="AA73" s="198"/>
      <c r="AB73" s="658">
        <f t="shared" si="10"/>
        <v>0</v>
      </c>
      <c r="AC73" s="135" t="s">
        <v>250</v>
      </c>
      <c r="AD73" s="197"/>
      <c r="AE73" s="72">
        <v>20</v>
      </c>
      <c r="AF73" s="72" t="s">
        <v>203</v>
      </c>
      <c r="AG73" s="149">
        <v>295972</v>
      </c>
      <c r="AH73" s="149">
        <v>285580</v>
      </c>
      <c r="AI73" s="149">
        <v>135545</v>
      </c>
      <c r="AJ73" s="149">
        <v>44254</v>
      </c>
      <c r="AK73" s="149">
        <v>309146</v>
      </c>
      <c r="AL73" s="149">
        <v>92607</v>
      </c>
      <c r="AM73" s="149">
        <v>2145</v>
      </c>
      <c r="AN73" s="149">
        <v>12718</v>
      </c>
      <c r="AO73" s="149">
        <v>26</v>
      </c>
      <c r="AP73" s="149">
        <v>37</v>
      </c>
      <c r="AQ73" s="149">
        <v>0</v>
      </c>
      <c r="AR73" s="149">
        <v>0</v>
      </c>
      <c r="AS73" s="149">
        <v>44350</v>
      </c>
      <c r="AT73" s="149">
        <v>21944</v>
      </c>
      <c r="AU73" s="149">
        <v>75687</v>
      </c>
      <c r="AV73" s="149">
        <v>581552</v>
      </c>
      <c r="AW73" s="74">
        <v>45292</v>
      </c>
      <c r="AX73" s="74">
        <v>45657</v>
      </c>
      <c r="AY73" s="23" t="s">
        <v>133</v>
      </c>
    </row>
    <row r="74" spans="1:51" s="47" customFormat="1" ht="102" x14ac:dyDescent="0.2">
      <c r="A74" s="79">
        <v>4</v>
      </c>
      <c r="B74" s="880" t="s">
        <v>124</v>
      </c>
      <c r="C74" s="79">
        <v>45</v>
      </c>
      <c r="D74" s="79" t="s">
        <v>68</v>
      </c>
      <c r="E74" s="78">
        <v>4599</v>
      </c>
      <c r="F74" s="197" t="s">
        <v>178</v>
      </c>
      <c r="G74" s="79">
        <v>4599018</v>
      </c>
      <c r="H74" s="197" t="s">
        <v>243</v>
      </c>
      <c r="I74" s="79">
        <v>4599018</v>
      </c>
      <c r="J74" s="880" t="s">
        <v>243</v>
      </c>
      <c r="K74" s="79">
        <v>459901800</v>
      </c>
      <c r="L74" s="880" t="s">
        <v>244</v>
      </c>
      <c r="M74" s="79">
        <v>459901800</v>
      </c>
      <c r="N74" s="880" t="s">
        <v>244</v>
      </c>
      <c r="O74" s="79" t="s">
        <v>245</v>
      </c>
      <c r="P74" s="79"/>
      <c r="Q74" s="79" t="s">
        <v>245</v>
      </c>
      <c r="R74" s="79">
        <v>2023003630007</v>
      </c>
      <c r="S74" s="197" t="s">
        <v>246</v>
      </c>
      <c r="T74" s="208">
        <v>0</v>
      </c>
      <c r="U74" s="197" t="s">
        <v>247</v>
      </c>
      <c r="V74" s="197" t="s">
        <v>248</v>
      </c>
      <c r="W74" s="885" t="s">
        <v>254</v>
      </c>
      <c r="X74" s="198">
        <f>8000000-8000000</f>
        <v>0</v>
      </c>
      <c r="Y74" s="198"/>
      <c r="Z74" s="198"/>
      <c r="AA74" s="198"/>
      <c r="AB74" s="658">
        <f t="shared" si="10"/>
        <v>0</v>
      </c>
      <c r="AC74" s="135" t="s">
        <v>250</v>
      </c>
      <c r="AD74" s="197"/>
      <c r="AE74" s="72">
        <v>20</v>
      </c>
      <c r="AF74" s="72" t="s">
        <v>203</v>
      </c>
      <c r="AG74" s="149">
        <v>295972</v>
      </c>
      <c r="AH74" s="149">
        <v>285580</v>
      </c>
      <c r="AI74" s="149">
        <v>135545</v>
      </c>
      <c r="AJ74" s="149">
        <v>44254</v>
      </c>
      <c r="AK74" s="149">
        <v>309146</v>
      </c>
      <c r="AL74" s="149">
        <v>92607</v>
      </c>
      <c r="AM74" s="149">
        <v>2145</v>
      </c>
      <c r="AN74" s="149">
        <v>12718</v>
      </c>
      <c r="AO74" s="149">
        <v>26</v>
      </c>
      <c r="AP74" s="149">
        <v>37</v>
      </c>
      <c r="AQ74" s="149">
        <v>0</v>
      </c>
      <c r="AR74" s="149">
        <v>0</v>
      </c>
      <c r="AS74" s="149">
        <v>44350</v>
      </c>
      <c r="AT74" s="149">
        <v>21944</v>
      </c>
      <c r="AU74" s="149">
        <v>75687</v>
      </c>
      <c r="AV74" s="149">
        <v>581552</v>
      </c>
      <c r="AW74" s="74">
        <v>45292</v>
      </c>
      <c r="AX74" s="74">
        <v>45657</v>
      </c>
      <c r="AY74" s="23" t="s">
        <v>133</v>
      </c>
    </row>
    <row r="75" spans="1:51" s="47" customFormat="1" ht="102" x14ac:dyDescent="0.2">
      <c r="A75" s="79">
        <v>4</v>
      </c>
      <c r="B75" s="880" t="s">
        <v>124</v>
      </c>
      <c r="C75" s="79">
        <v>45</v>
      </c>
      <c r="D75" s="79" t="s">
        <v>68</v>
      </c>
      <c r="E75" s="78">
        <v>4599</v>
      </c>
      <c r="F75" s="197" t="s">
        <v>178</v>
      </c>
      <c r="G75" s="79">
        <v>4599018</v>
      </c>
      <c r="H75" s="197" t="s">
        <v>243</v>
      </c>
      <c r="I75" s="79">
        <v>4599018</v>
      </c>
      <c r="J75" s="880" t="s">
        <v>243</v>
      </c>
      <c r="K75" s="79">
        <v>459901800</v>
      </c>
      <c r="L75" s="880" t="s">
        <v>244</v>
      </c>
      <c r="M75" s="79">
        <v>459901800</v>
      </c>
      <c r="N75" s="880" t="s">
        <v>244</v>
      </c>
      <c r="O75" s="79" t="s">
        <v>245</v>
      </c>
      <c r="P75" s="79"/>
      <c r="Q75" s="79" t="s">
        <v>245</v>
      </c>
      <c r="R75" s="79">
        <v>2023003630007</v>
      </c>
      <c r="S75" s="197" t="s">
        <v>246</v>
      </c>
      <c r="T75" s="208">
        <v>0</v>
      </c>
      <c r="U75" s="197" t="s">
        <v>247</v>
      </c>
      <c r="V75" s="197" t="s">
        <v>248</v>
      </c>
      <c r="W75" s="885" t="s">
        <v>255</v>
      </c>
      <c r="X75" s="198">
        <f>20000000-20000000</f>
        <v>0</v>
      </c>
      <c r="Y75" s="198"/>
      <c r="Z75" s="198"/>
      <c r="AA75" s="198"/>
      <c r="AB75" s="658">
        <f t="shared" si="10"/>
        <v>0</v>
      </c>
      <c r="AC75" s="135" t="s">
        <v>250</v>
      </c>
      <c r="AD75" s="197"/>
      <c r="AE75" s="72">
        <v>20</v>
      </c>
      <c r="AF75" s="72" t="s">
        <v>203</v>
      </c>
      <c r="AG75" s="149">
        <v>295972</v>
      </c>
      <c r="AH75" s="149">
        <v>285580</v>
      </c>
      <c r="AI75" s="149">
        <v>135545</v>
      </c>
      <c r="AJ75" s="149">
        <v>44254</v>
      </c>
      <c r="AK75" s="149">
        <v>309146</v>
      </c>
      <c r="AL75" s="149">
        <v>92607</v>
      </c>
      <c r="AM75" s="149">
        <v>2145</v>
      </c>
      <c r="AN75" s="149">
        <v>12718</v>
      </c>
      <c r="AO75" s="149">
        <v>26</v>
      </c>
      <c r="AP75" s="149">
        <v>37</v>
      </c>
      <c r="AQ75" s="149">
        <v>0</v>
      </c>
      <c r="AR75" s="149">
        <v>0</v>
      </c>
      <c r="AS75" s="149">
        <v>44350</v>
      </c>
      <c r="AT75" s="149">
        <v>21944</v>
      </c>
      <c r="AU75" s="149">
        <v>75687</v>
      </c>
      <c r="AV75" s="149">
        <v>581552</v>
      </c>
      <c r="AW75" s="74">
        <v>45292</v>
      </c>
      <c r="AX75" s="74">
        <v>45657</v>
      </c>
      <c r="AY75" s="23" t="s">
        <v>133</v>
      </c>
    </row>
    <row r="76" spans="1:51" s="47" customFormat="1" ht="102" x14ac:dyDescent="0.2">
      <c r="A76" s="79">
        <v>4</v>
      </c>
      <c r="B76" s="880" t="s">
        <v>124</v>
      </c>
      <c r="C76" s="79">
        <v>45</v>
      </c>
      <c r="D76" s="79" t="s">
        <v>68</v>
      </c>
      <c r="E76" s="78">
        <v>4599</v>
      </c>
      <c r="F76" s="197" t="s">
        <v>178</v>
      </c>
      <c r="G76" s="79">
        <v>4599018</v>
      </c>
      <c r="H76" s="197" t="s">
        <v>243</v>
      </c>
      <c r="I76" s="79">
        <v>4599018</v>
      </c>
      <c r="J76" s="880" t="s">
        <v>243</v>
      </c>
      <c r="K76" s="79">
        <v>459901800</v>
      </c>
      <c r="L76" s="880" t="s">
        <v>244</v>
      </c>
      <c r="M76" s="79">
        <v>459901800</v>
      </c>
      <c r="N76" s="880" t="s">
        <v>244</v>
      </c>
      <c r="O76" s="79" t="s">
        <v>245</v>
      </c>
      <c r="P76" s="79"/>
      <c r="Q76" s="79" t="s">
        <v>245</v>
      </c>
      <c r="R76" s="79">
        <v>2023003630007</v>
      </c>
      <c r="S76" s="197" t="s">
        <v>246</v>
      </c>
      <c r="T76" s="208">
        <v>0</v>
      </c>
      <c r="U76" s="197" t="s">
        <v>247</v>
      </c>
      <c r="V76" s="197" t="s">
        <v>248</v>
      </c>
      <c r="W76" s="885" t="s">
        <v>256</v>
      </c>
      <c r="X76" s="198">
        <f>20000000-20000000</f>
        <v>0</v>
      </c>
      <c r="Y76" s="198"/>
      <c r="Z76" s="198"/>
      <c r="AA76" s="198"/>
      <c r="AB76" s="658">
        <f t="shared" si="10"/>
        <v>0</v>
      </c>
      <c r="AC76" s="135" t="s">
        <v>250</v>
      </c>
      <c r="AD76" s="197"/>
      <c r="AE76" s="72">
        <v>20</v>
      </c>
      <c r="AF76" s="72" t="s">
        <v>203</v>
      </c>
      <c r="AG76" s="149">
        <v>295972</v>
      </c>
      <c r="AH76" s="149">
        <v>285580</v>
      </c>
      <c r="AI76" s="149">
        <v>135545</v>
      </c>
      <c r="AJ76" s="149">
        <v>44254</v>
      </c>
      <c r="AK76" s="149">
        <v>309146</v>
      </c>
      <c r="AL76" s="149">
        <v>92607</v>
      </c>
      <c r="AM76" s="149">
        <v>2145</v>
      </c>
      <c r="AN76" s="149">
        <v>12718</v>
      </c>
      <c r="AO76" s="149">
        <v>26</v>
      </c>
      <c r="AP76" s="149">
        <v>37</v>
      </c>
      <c r="AQ76" s="149">
        <v>0</v>
      </c>
      <c r="AR76" s="149">
        <v>0</v>
      </c>
      <c r="AS76" s="149">
        <v>44350</v>
      </c>
      <c r="AT76" s="149">
        <v>21944</v>
      </c>
      <c r="AU76" s="149">
        <v>75687</v>
      </c>
      <c r="AV76" s="149">
        <v>581552</v>
      </c>
      <c r="AW76" s="74">
        <v>45292</v>
      </c>
      <c r="AX76" s="74">
        <v>45657</v>
      </c>
      <c r="AY76" s="23" t="s">
        <v>133</v>
      </c>
    </row>
    <row r="77" spans="1:51" s="47" customFormat="1" ht="102" x14ac:dyDescent="0.2">
      <c r="A77" s="79">
        <v>4</v>
      </c>
      <c r="B77" s="880" t="s">
        <v>124</v>
      </c>
      <c r="C77" s="79">
        <v>45</v>
      </c>
      <c r="D77" s="79" t="s">
        <v>68</v>
      </c>
      <c r="E77" s="78">
        <v>4599</v>
      </c>
      <c r="F77" s="197" t="s">
        <v>178</v>
      </c>
      <c r="G77" s="79">
        <v>4599018</v>
      </c>
      <c r="H77" s="197" t="s">
        <v>243</v>
      </c>
      <c r="I77" s="79">
        <v>4599018</v>
      </c>
      <c r="J77" s="880" t="s">
        <v>243</v>
      </c>
      <c r="K77" s="79">
        <v>459901800</v>
      </c>
      <c r="L77" s="880" t="s">
        <v>244</v>
      </c>
      <c r="M77" s="79">
        <v>459901800</v>
      </c>
      <c r="N77" s="880" t="s">
        <v>244</v>
      </c>
      <c r="O77" s="79" t="s">
        <v>245</v>
      </c>
      <c r="P77" s="79"/>
      <c r="Q77" s="79" t="s">
        <v>245</v>
      </c>
      <c r="R77" s="79">
        <v>2023003630007</v>
      </c>
      <c r="S77" s="197" t="s">
        <v>246</v>
      </c>
      <c r="T77" s="208">
        <v>0</v>
      </c>
      <c r="U77" s="197" t="s">
        <v>247</v>
      </c>
      <c r="V77" s="197" t="s">
        <v>248</v>
      </c>
      <c r="W77" s="885" t="s">
        <v>257</v>
      </c>
      <c r="X77" s="198">
        <f>50000000-50000000</f>
        <v>0</v>
      </c>
      <c r="Y77" s="198"/>
      <c r="Z77" s="198"/>
      <c r="AA77" s="198"/>
      <c r="AB77" s="658">
        <f t="shared" si="10"/>
        <v>0</v>
      </c>
      <c r="AC77" s="135" t="s">
        <v>250</v>
      </c>
      <c r="AD77" s="197"/>
      <c r="AE77" s="72">
        <v>20</v>
      </c>
      <c r="AF77" s="72" t="s">
        <v>203</v>
      </c>
      <c r="AG77" s="149">
        <v>295972</v>
      </c>
      <c r="AH77" s="149">
        <v>285580</v>
      </c>
      <c r="AI77" s="149">
        <v>135545</v>
      </c>
      <c r="AJ77" s="149">
        <v>44254</v>
      </c>
      <c r="AK77" s="149">
        <v>309146</v>
      </c>
      <c r="AL77" s="149">
        <v>92607</v>
      </c>
      <c r="AM77" s="149">
        <v>2145</v>
      </c>
      <c r="AN77" s="149">
        <v>12718</v>
      </c>
      <c r="AO77" s="149">
        <v>26</v>
      </c>
      <c r="AP77" s="149">
        <v>37</v>
      </c>
      <c r="AQ77" s="149">
        <v>0</v>
      </c>
      <c r="AR77" s="149">
        <v>0</v>
      </c>
      <c r="AS77" s="149">
        <v>44350</v>
      </c>
      <c r="AT77" s="149">
        <v>21944</v>
      </c>
      <c r="AU77" s="149">
        <v>75687</v>
      </c>
      <c r="AV77" s="149">
        <v>581552</v>
      </c>
      <c r="AW77" s="74">
        <v>45292</v>
      </c>
      <c r="AX77" s="74">
        <v>45657</v>
      </c>
      <c r="AY77" s="23" t="s">
        <v>133</v>
      </c>
    </row>
    <row r="78" spans="1:51" s="47" customFormat="1" ht="102" x14ac:dyDescent="0.2">
      <c r="A78" s="79">
        <v>4</v>
      </c>
      <c r="B78" s="880" t="s">
        <v>124</v>
      </c>
      <c r="C78" s="79">
        <v>45</v>
      </c>
      <c r="D78" s="79" t="s">
        <v>68</v>
      </c>
      <c r="E78" s="78">
        <v>4599</v>
      </c>
      <c r="F78" s="197" t="s">
        <v>178</v>
      </c>
      <c r="G78" s="79">
        <v>4599018</v>
      </c>
      <c r="H78" s="197" t="s">
        <v>243</v>
      </c>
      <c r="I78" s="79">
        <v>4599018</v>
      </c>
      <c r="J78" s="880" t="s">
        <v>243</v>
      </c>
      <c r="K78" s="79">
        <v>459901800</v>
      </c>
      <c r="L78" s="880" t="s">
        <v>244</v>
      </c>
      <c r="M78" s="79">
        <v>459901800</v>
      </c>
      <c r="N78" s="880" t="s">
        <v>244</v>
      </c>
      <c r="O78" s="79" t="s">
        <v>245</v>
      </c>
      <c r="P78" s="79"/>
      <c r="Q78" s="79" t="s">
        <v>245</v>
      </c>
      <c r="R78" s="79">
        <v>2023003630007</v>
      </c>
      <c r="S78" s="197" t="s">
        <v>246</v>
      </c>
      <c r="T78" s="208">
        <v>0</v>
      </c>
      <c r="U78" s="197" t="s">
        <v>247</v>
      </c>
      <c r="V78" s="197" t="s">
        <v>248</v>
      </c>
      <c r="W78" s="885" t="s">
        <v>258</v>
      </c>
      <c r="X78" s="198">
        <f>24000000-24000000</f>
        <v>0</v>
      </c>
      <c r="Y78" s="198"/>
      <c r="Z78" s="198"/>
      <c r="AA78" s="198"/>
      <c r="AB78" s="658">
        <f t="shared" si="10"/>
        <v>0</v>
      </c>
      <c r="AC78" s="135" t="s">
        <v>250</v>
      </c>
      <c r="AD78" s="197"/>
      <c r="AE78" s="72">
        <v>20</v>
      </c>
      <c r="AF78" s="72" t="s">
        <v>203</v>
      </c>
      <c r="AG78" s="149">
        <v>295972</v>
      </c>
      <c r="AH78" s="149">
        <v>285580</v>
      </c>
      <c r="AI78" s="149">
        <v>135545</v>
      </c>
      <c r="AJ78" s="149">
        <v>44254</v>
      </c>
      <c r="AK78" s="149">
        <v>309146</v>
      </c>
      <c r="AL78" s="149">
        <v>92607</v>
      </c>
      <c r="AM78" s="149">
        <v>2145</v>
      </c>
      <c r="AN78" s="149">
        <v>12718</v>
      </c>
      <c r="AO78" s="149">
        <v>26</v>
      </c>
      <c r="AP78" s="149">
        <v>37</v>
      </c>
      <c r="AQ78" s="149">
        <v>0</v>
      </c>
      <c r="AR78" s="149">
        <v>0</v>
      </c>
      <c r="AS78" s="149">
        <v>44350</v>
      </c>
      <c r="AT78" s="149">
        <v>21944</v>
      </c>
      <c r="AU78" s="149">
        <v>75687</v>
      </c>
      <c r="AV78" s="149">
        <v>581552</v>
      </c>
      <c r="AW78" s="74">
        <v>45292</v>
      </c>
      <c r="AX78" s="74">
        <v>45657</v>
      </c>
      <c r="AY78" s="23" t="s">
        <v>133</v>
      </c>
    </row>
    <row r="79" spans="1:51" s="47" customFormat="1" ht="102" x14ac:dyDescent="0.2">
      <c r="A79" s="79">
        <v>4</v>
      </c>
      <c r="B79" s="880" t="s">
        <v>124</v>
      </c>
      <c r="C79" s="79">
        <v>45</v>
      </c>
      <c r="D79" s="79" t="s">
        <v>68</v>
      </c>
      <c r="E79" s="78">
        <v>4599</v>
      </c>
      <c r="F79" s="197" t="s">
        <v>178</v>
      </c>
      <c r="G79" s="79">
        <v>4599018</v>
      </c>
      <c r="H79" s="197" t="s">
        <v>243</v>
      </c>
      <c r="I79" s="79">
        <v>4599018</v>
      </c>
      <c r="J79" s="880" t="s">
        <v>243</v>
      </c>
      <c r="K79" s="79">
        <v>459901800</v>
      </c>
      <c r="L79" s="880" t="s">
        <v>244</v>
      </c>
      <c r="M79" s="79">
        <v>459901800</v>
      </c>
      <c r="N79" s="880" t="s">
        <v>244</v>
      </c>
      <c r="O79" s="79" t="s">
        <v>245</v>
      </c>
      <c r="P79" s="79"/>
      <c r="Q79" s="79" t="s">
        <v>245</v>
      </c>
      <c r="R79" s="79">
        <v>2023003630007</v>
      </c>
      <c r="S79" s="197" t="s">
        <v>246</v>
      </c>
      <c r="T79" s="208">
        <v>0</v>
      </c>
      <c r="U79" s="197" t="s">
        <v>247</v>
      </c>
      <c r="V79" s="197" t="s">
        <v>248</v>
      </c>
      <c r="W79" s="885" t="s">
        <v>259</v>
      </c>
      <c r="X79" s="198">
        <f>6000000-6000000</f>
        <v>0</v>
      </c>
      <c r="Y79" s="198"/>
      <c r="Z79" s="198"/>
      <c r="AA79" s="198"/>
      <c r="AB79" s="658">
        <f t="shared" si="10"/>
        <v>0</v>
      </c>
      <c r="AC79" s="135" t="s">
        <v>250</v>
      </c>
      <c r="AD79" s="197"/>
      <c r="AE79" s="72">
        <v>20</v>
      </c>
      <c r="AF79" s="72" t="s">
        <v>203</v>
      </c>
      <c r="AG79" s="149">
        <v>295972</v>
      </c>
      <c r="AH79" s="149">
        <v>285580</v>
      </c>
      <c r="AI79" s="149">
        <v>135545</v>
      </c>
      <c r="AJ79" s="149">
        <v>44254</v>
      </c>
      <c r="AK79" s="149">
        <v>309146</v>
      </c>
      <c r="AL79" s="149">
        <v>92607</v>
      </c>
      <c r="AM79" s="149">
        <v>2145</v>
      </c>
      <c r="AN79" s="149">
        <v>12718</v>
      </c>
      <c r="AO79" s="149">
        <v>26</v>
      </c>
      <c r="AP79" s="149">
        <v>37</v>
      </c>
      <c r="AQ79" s="149">
        <v>0</v>
      </c>
      <c r="AR79" s="149">
        <v>0</v>
      </c>
      <c r="AS79" s="149">
        <v>44350</v>
      </c>
      <c r="AT79" s="149">
        <v>21944</v>
      </c>
      <c r="AU79" s="149">
        <v>75687</v>
      </c>
      <c r="AV79" s="149">
        <v>581552</v>
      </c>
      <c r="AW79" s="74">
        <v>45292</v>
      </c>
      <c r="AX79" s="74">
        <v>45657</v>
      </c>
      <c r="AY79" s="23" t="s">
        <v>133</v>
      </c>
    </row>
    <row r="80" spans="1:51" s="47" customFormat="1" ht="102" x14ac:dyDescent="0.2">
      <c r="A80" s="79">
        <v>4</v>
      </c>
      <c r="B80" s="880" t="s">
        <v>124</v>
      </c>
      <c r="C80" s="79">
        <v>45</v>
      </c>
      <c r="D80" s="79" t="s">
        <v>68</v>
      </c>
      <c r="E80" s="78">
        <v>4599</v>
      </c>
      <c r="F80" s="197" t="s">
        <v>178</v>
      </c>
      <c r="G80" s="79">
        <v>4599018</v>
      </c>
      <c r="H80" s="197" t="s">
        <v>243</v>
      </c>
      <c r="I80" s="79">
        <v>4599018</v>
      </c>
      <c r="J80" s="880" t="s">
        <v>243</v>
      </c>
      <c r="K80" s="79">
        <v>459901800</v>
      </c>
      <c r="L80" s="880" t="s">
        <v>244</v>
      </c>
      <c r="M80" s="79">
        <v>459901800</v>
      </c>
      <c r="N80" s="880" t="s">
        <v>244</v>
      </c>
      <c r="O80" s="79" t="s">
        <v>245</v>
      </c>
      <c r="P80" s="79"/>
      <c r="Q80" s="79" t="s">
        <v>245</v>
      </c>
      <c r="R80" s="79">
        <v>2023003630007</v>
      </c>
      <c r="S80" s="197" t="s">
        <v>246</v>
      </c>
      <c r="T80" s="208">
        <v>0</v>
      </c>
      <c r="U80" s="197" t="s">
        <v>247</v>
      </c>
      <c r="V80" s="197" t="s">
        <v>248</v>
      </c>
      <c r="W80" s="885" t="s">
        <v>260</v>
      </c>
      <c r="X80" s="198">
        <f>15000000-15000000</f>
        <v>0</v>
      </c>
      <c r="Y80" s="198"/>
      <c r="Z80" s="198"/>
      <c r="AA80" s="198"/>
      <c r="AB80" s="658">
        <f t="shared" si="10"/>
        <v>0</v>
      </c>
      <c r="AC80" s="135" t="s">
        <v>250</v>
      </c>
      <c r="AD80" s="197"/>
      <c r="AE80" s="72">
        <v>20</v>
      </c>
      <c r="AF80" s="72" t="s">
        <v>203</v>
      </c>
      <c r="AG80" s="149">
        <v>295972</v>
      </c>
      <c r="AH80" s="149">
        <v>285580</v>
      </c>
      <c r="AI80" s="149">
        <v>135545</v>
      </c>
      <c r="AJ80" s="149">
        <v>44254</v>
      </c>
      <c r="AK80" s="149">
        <v>309146</v>
      </c>
      <c r="AL80" s="149">
        <v>92607</v>
      </c>
      <c r="AM80" s="149">
        <v>2145</v>
      </c>
      <c r="AN80" s="149">
        <v>12718</v>
      </c>
      <c r="AO80" s="149">
        <v>26</v>
      </c>
      <c r="AP80" s="149">
        <v>37</v>
      </c>
      <c r="AQ80" s="149">
        <v>0</v>
      </c>
      <c r="AR80" s="149">
        <v>0</v>
      </c>
      <c r="AS80" s="149">
        <v>44350</v>
      </c>
      <c r="AT80" s="149">
        <v>21944</v>
      </c>
      <c r="AU80" s="149">
        <v>75687</v>
      </c>
      <c r="AV80" s="149">
        <v>581552</v>
      </c>
      <c r="AW80" s="74">
        <v>45292</v>
      </c>
      <c r="AX80" s="74">
        <v>45657</v>
      </c>
      <c r="AY80" s="23" t="s">
        <v>133</v>
      </c>
    </row>
    <row r="81" spans="1:51" customFormat="1" ht="102" x14ac:dyDescent="0.25">
      <c r="A81" s="79">
        <v>4</v>
      </c>
      <c r="B81" s="880" t="s">
        <v>124</v>
      </c>
      <c r="C81" s="79">
        <v>45</v>
      </c>
      <c r="D81" s="79" t="s">
        <v>68</v>
      </c>
      <c r="E81" s="78">
        <v>4599</v>
      </c>
      <c r="F81" s="197" t="s">
        <v>178</v>
      </c>
      <c r="G81" s="79">
        <v>4599018</v>
      </c>
      <c r="H81" s="197" t="s">
        <v>243</v>
      </c>
      <c r="I81" s="79">
        <v>4599018</v>
      </c>
      <c r="J81" s="880" t="s">
        <v>243</v>
      </c>
      <c r="K81" s="79">
        <v>459901800</v>
      </c>
      <c r="L81" s="880" t="s">
        <v>244</v>
      </c>
      <c r="M81" s="79">
        <v>459901800</v>
      </c>
      <c r="N81" s="880" t="s">
        <v>244</v>
      </c>
      <c r="O81" s="79" t="s">
        <v>245</v>
      </c>
      <c r="P81" s="79"/>
      <c r="Q81" s="79" t="s">
        <v>245</v>
      </c>
      <c r="R81" s="79">
        <v>2023003630007</v>
      </c>
      <c r="S81" s="197" t="s">
        <v>246</v>
      </c>
      <c r="T81" s="208">
        <v>0</v>
      </c>
      <c r="U81" s="197" t="s">
        <v>247</v>
      </c>
      <c r="V81" s="197" t="s">
        <v>248</v>
      </c>
      <c r="W81" s="886" t="s">
        <v>261</v>
      </c>
      <c r="X81" s="201">
        <f>14200000-14200000</f>
        <v>0</v>
      </c>
      <c r="Y81" s="201"/>
      <c r="Z81" s="201"/>
      <c r="AA81" s="201"/>
      <c r="AB81" s="658">
        <f t="shared" si="10"/>
        <v>0</v>
      </c>
      <c r="AC81" s="135" t="s">
        <v>250</v>
      </c>
      <c r="AD81" s="197"/>
      <c r="AE81" s="72">
        <v>20</v>
      </c>
      <c r="AF81" s="72" t="s">
        <v>203</v>
      </c>
      <c r="AG81" s="149">
        <v>295972</v>
      </c>
      <c r="AH81" s="149">
        <v>285580</v>
      </c>
      <c r="AI81" s="149">
        <v>135545</v>
      </c>
      <c r="AJ81" s="149">
        <v>44254</v>
      </c>
      <c r="AK81" s="149">
        <v>309146</v>
      </c>
      <c r="AL81" s="149">
        <v>92607</v>
      </c>
      <c r="AM81" s="149">
        <v>2145</v>
      </c>
      <c r="AN81" s="149">
        <v>12718</v>
      </c>
      <c r="AO81" s="149">
        <v>26</v>
      </c>
      <c r="AP81" s="149">
        <v>37</v>
      </c>
      <c r="AQ81" s="149">
        <v>0</v>
      </c>
      <c r="AR81" s="149">
        <v>0</v>
      </c>
      <c r="AS81" s="149">
        <v>44350</v>
      </c>
      <c r="AT81" s="149">
        <v>21944</v>
      </c>
      <c r="AU81" s="149">
        <v>75687</v>
      </c>
      <c r="AV81" s="149">
        <v>581552</v>
      </c>
      <c r="AW81" s="74">
        <v>45292</v>
      </c>
      <c r="AX81" s="74">
        <v>45657</v>
      </c>
      <c r="AY81" s="23" t="s">
        <v>133</v>
      </c>
    </row>
    <row r="82" spans="1:51" customFormat="1" ht="102" x14ac:dyDescent="0.25">
      <c r="A82" s="79">
        <v>4</v>
      </c>
      <c r="B82" s="880" t="s">
        <v>124</v>
      </c>
      <c r="C82" s="79">
        <v>45</v>
      </c>
      <c r="D82" s="79" t="s">
        <v>68</v>
      </c>
      <c r="E82" s="78">
        <v>4599</v>
      </c>
      <c r="F82" s="197" t="s">
        <v>178</v>
      </c>
      <c r="G82" s="79">
        <v>4599018</v>
      </c>
      <c r="H82" s="197" t="s">
        <v>243</v>
      </c>
      <c r="I82" s="79">
        <v>4599018</v>
      </c>
      <c r="J82" s="880" t="s">
        <v>243</v>
      </c>
      <c r="K82" s="79">
        <v>459901800</v>
      </c>
      <c r="L82" s="880" t="s">
        <v>244</v>
      </c>
      <c r="M82" s="79">
        <v>459901800</v>
      </c>
      <c r="N82" s="880" t="s">
        <v>244</v>
      </c>
      <c r="O82" s="79" t="s">
        <v>245</v>
      </c>
      <c r="P82" s="79"/>
      <c r="Q82" s="79" t="s">
        <v>245</v>
      </c>
      <c r="R82" s="79">
        <v>2023003630007</v>
      </c>
      <c r="S82" s="197" t="s">
        <v>246</v>
      </c>
      <c r="T82" s="208">
        <v>0</v>
      </c>
      <c r="U82" s="197" t="s">
        <v>247</v>
      </c>
      <c r="V82" s="197" t="s">
        <v>248</v>
      </c>
      <c r="W82" s="886" t="s">
        <v>262</v>
      </c>
      <c r="X82" s="201">
        <f>66500000-24500000</f>
        <v>42000000</v>
      </c>
      <c r="Y82" s="201">
        <v>42000000</v>
      </c>
      <c r="Z82" s="201"/>
      <c r="AA82" s="201"/>
      <c r="AB82" s="658">
        <f t="shared" si="10"/>
        <v>0</v>
      </c>
      <c r="AC82" s="135" t="s">
        <v>263</v>
      </c>
      <c r="AD82" s="197"/>
      <c r="AE82" s="72">
        <v>20</v>
      </c>
      <c r="AF82" s="72" t="s">
        <v>203</v>
      </c>
      <c r="AG82" s="149">
        <v>295972</v>
      </c>
      <c r="AH82" s="149">
        <v>285580</v>
      </c>
      <c r="AI82" s="149">
        <v>135545</v>
      </c>
      <c r="AJ82" s="149">
        <v>44254</v>
      </c>
      <c r="AK82" s="149">
        <v>309146</v>
      </c>
      <c r="AL82" s="149">
        <v>92607</v>
      </c>
      <c r="AM82" s="149">
        <v>2145</v>
      </c>
      <c r="AN82" s="149">
        <v>12718</v>
      </c>
      <c r="AO82" s="149">
        <v>26</v>
      </c>
      <c r="AP82" s="149">
        <v>37</v>
      </c>
      <c r="AQ82" s="149">
        <v>0</v>
      </c>
      <c r="AR82" s="149">
        <v>0</v>
      </c>
      <c r="AS82" s="149">
        <v>44350</v>
      </c>
      <c r="AT82" s="149">
        <v>21944</v>
      </c>
      <c r="AU82" s="149">
        <v>75687</v>
      </c>
      <c r="AV82" s="149">
        <v>581552</v>
      </c>
      <c r="AW82" s="74">
        <v>45292</v>
      </c>
      <c r="AX82" s="74">
        <v>45657</v>
      </c>
      <c r="AY82" s="23" t="s">
        <v>133</v>
      </c>
    </row>
    <row r="83" spans="1:51" customFormat="1" ht="102" x14ac:dyDescent="0.25">
      <c r="A83" s="79">
        <v>4</v>
      </c>
      <c r="B83" s="880" t="s">
        <v>124</v>
      </c>
      <c r="C83" s="79">
        <v>45</v>
      </c>
      <c r="D83" s="79" t="s">
        <v>68</v>
      </c>
      <c r="E83" s="78">
        <v>4599</v>
      </c>
      <c r="F83" s="197" t="s">
        <v>178</v>
      </c>
      <c r="G83" s="79">
        <v>4599018</v>
      </c>
      <c r="H83" s="197" t="s">
        <v>243</v>
      </c>
      <c r="I83" s="79">
        <v>4599018</v>
      </c>
      <c r="J83" s="880" t="s">
        <v>243</v>
      </c>
      <c r="K83" s="79">
        <v>459901800</v>
      </c>
      <c r="L83" s="880" t="s">
        <v>244</v>
      </c>
      <c r="M83" s="79">
        <v>459901800</v>
      </c>
      <c r="N83" s="880" t="s">
        <v>244</v>
      </c>
      <c r="O83" s="79" t="s">
        <v>245</v>
      </c>
      <c r="P83" s="79"/>
      <c r="Q83" s="79" t="s">
        <v>245</v>
      </c>
      <c r="R83" s="79">
        <v>2023003630007</v>
      </c>
      <c r="S83" s="197" t="s">
        <v>246</v>
      </c>
      <c r="T83" s="208">
        <v>0</v>
      </c>
      <c r="U83" s="197" t="s">
        <v>247</v>
      </c>
      <c r="V83" s="197" t="s">
        <v>248</v>
      </c>
      <c r="W83" s="886" t="s">
        <v>264</v>
      </c>
      <c r="X83" s="201">
        <f>300000-300000</f>
        <v>0</v>
      </c>
      <c r="Y83" s="201"/>
      <c r="Z83" s="201"/>
      <c r="AA83" s="201"/>
      <c r="AB83" s="658">
        <f t="shared" si="10"/>
        <v>0</v>
      </c>
      <c r="AC83" s="135" t="s">
        <v>265</v>
      </c>
      <c r="AD83" s="197"/>
      <c r="AE83" s="72">
        <v>20</v>
      </c>
      <c r="AF83" s="72" t="s">
        <v>203</v>
      </c>
      <c r="AG83" s="149">
        <v>295972</v>
      </c>
      <c r="AH83" s="149">
        <v>285580</v>
      </c>
      <c r="AI83" s="149">
        <v>135545</v>
      </c>
      <c r="AJ83" s="149">
        <v>44254</v>
      </c>
      <c r="AK83" s="149">
        <v>309146</v>
      </c>
      <c r="AL83" s="149">
        <v>92607</v>
      </c>
      <c r="AM83" s="149">
        <v>2145</v>
      </c>
      <c r="AN83" s="149">
        <v>12718</v>
      </c>
      <c r="AO83" s="149">
        <v>26</v>
      </c>
      <c r="AP83" s="149">
        <v>37</v>
      </c>
      <c r="AQ83" s="149">
        <v>0</v>
      </c>
      <c r="AR83" s="149">
        <v>0</v>
      </c>
      <c r="AS83" s="149">
        <v>44350</v>
      </c>
      <c r="AT83" s="149">
        <v>21944</v>
      </c>
      <c r="AU83" s="149">
        <v>75687</v>
      </c>
      <c r="AV83" s="149">
        <v>581552</v>
      </c>
      <c r="AW83" s="74">
        <v>45292</v>
      </c>
      <c r="AX83" s="74">
        <v>45657</v>
      </c>
      <c r="AY83" s="23" t="s">
        <v>133</v>
      </c>
    </row>
    <row r="84" spans="1:51" customFormat="1" ht="165" x14ac:dyDescent="0.25">
      <c r="A84" s="79">
        <v>4</v>
      </c>
      <c r="B84" s="880" t="s">
        <v>124</v>
      </c>
      <c r="C84" s="79">
        <v>45</v>
      </c>
      <c r="D84" s="79" t="s">
        <v>68</v>
      </c>
      <c r="E84" s="78">
        <v>4599</v>
      </c>
      <c r="F84" s="197" t="s">
        <v>178</v>
      </c>
      <c r="G84" s="79">
        <v>4599018</v>
      </c>
      <c r="H84" s="197" t="s">
        <v>243</v>
      </c>
      <c r="I84" s="79">
        <v>4599018</v>
      </c>
      <c r="J84" s="880" t="s">
        <v>243</v>
      </c>
      <c r="K84" s="79">
        <v>459901800</v>
      </c>
      <c r="L84" s="880" t="s">
        <v>244</v>
      </c>
      <c r="M84" s="79">
        <v>459901800</v>
      </c>
      <c r="N84" s="880" t="s">
        <v>244</v>
      </c>
      <c r="O84" s="79" t="s">
        <v>245</v>
      </c>
      <c r="P84" s="79"/>
      <c r="Q84" s="79" t="s">
        <v>245</v>
      </c>
      <c r="R84" s="79">
        <v>2023003630007</v>
      </c>
      <c r="S84" s="197" t="s">
        <v>246</v>
      </c>
      <c r="T84" s="208">
        <f t="shared" ref="T84:T90" si="11">SUM($X$84:$X$89)/SUM($X$84:$X$89)</f>
        <v>1</v>
      </c>
      <c r="U84" s="197" t="s">
        <v>247</v>
      </c>
      <c r="V84" s="197" t="s">
        <v>248</v>
      </c>
      <c r="W84" s="887" t="s">
        <v>266</v>
      </c>
      <c r="X84" s="722">
        <v>47150000</v>
      </c>
      <c r="Y84" s="201">
        <f>7700000+5000000+4300000+4300000+5950000</f>
        <v>27250000</v>
      </c>
      <c r="Z84" s="201"/>
      <c r="AA84" s="201"/>
      <c r="AB84" s="658">
        <f t="shared" si="10"/>
        <v>19900000</v>
      </c>
      <c r="AC84" s="135" t="s">
        <v>250</v>
      </c>
      <c r="AD84" s="197"/>
      <c r="AE84" s="72">
        <v>20</v>
      </c>
      <c r="AF84" s="72" t="s">
        <v>203</v>
      </c>
      <c r="AG84" s="723">
        <v>295972</v>
      </c>
      <c r="AH84" s="723">
        <v>285580</v>
      </c>
      <c r="AI84" s="723">
        <v>135545</v>
      </c>
      <c r="AJ84" s="723">
        <v>44254</v>
      </c>
      <c r="AK84" s="723">
        <v>309146</v>
      </c>
      <c r="AL84" s="723">
        <v>92607</v>
      </c>
      <c r="AM84" s="723">
        <v>2145</v>
      </c>
      <c r="AN84" s="723">
        <v>12718</v>
      </c>
      <c r="AO84" s="723">
        <v>26</v>
      </c>
      <c r="AP84" s="723">
        <v>37</v>
      </c>
      <c r="AQ84" s="723">
        <v>0</v>
      </c>
      <c r="AR84" s="723">
        <v>0</v>
      </c>
      <c r="AS84" s="723">
        <v>44350</v>
      </c>
      <c r="AT84" s="723">
        <v>21944</v>
      </c>
      <c r="AU84" s="723">
        <v>75687</v>
      </c>
      <c r="AV84" s="723">
        <v>581552</v>
      </c>
      <c r="AW84" s="74">
        <v>45292</v>
      </c>
      <c r="AX84" s="74">
        <v>45657</v>
      </c>
      <c r="AY84" s="23" t="s">
        <v>133</v>
      </c>
    </row>
    <row r="85" spans="1:51" customFormat="1" ht="180" x14ac:dyDescent="0.25">
      <c r="A85" s="79">
        <v>4</v>
      </c>
      <c r="B85" s="880" t="s">
        <v>124</v>
      </c>
      <c r="C85" s="79">
        <v>45</v>
      </c>
      <c r="D85" s="79" t="s">
        <v>68</v>
      </c>
      <c r="E85" s="78">
        <v>4599</v>
      </c>
      <c r="F85" s="197" t="s">
        <v>178</v>
      </c>
      <c r="G85" s="79">
        <v>4599018</v>
      </c>
      <c r="H85" s="197" t="s">
        <v>243</v>
      </c>
      <c r="I85" s="79">
        <v>4599018</v>
      </c>
      <c r="J85" s="880" t="s">
        <v>243</v>
      </c>
      <c r="K85" s="79">
        <v>459901800</v>
      </c>
      <c r="L85" s="880" t="s">
        <v>244</v>
      </c>
      <c r="M85" s="79">
        <v>459901800</v>
      </c>
      <c r="N85" s="880" t="s">
        <v>244</v>
      </c>
      <c r="O85" s="79" t="s">
        <v>245</v>
      </c>
      <c r="P85" s="79"/>
      <c r="Q85" s="79" t="s">
        <v>245</v>
      </c>
      <c r="R85" s="79">
        <v>2023003630007</v>
      </c>
      <c r="S85" s="197" t="s">
        <v>246</v>
      </c>
      <c r="T85" s="208">
        <f t="shared" si="11"/>
        <v>1</v>
      </c>
      <c r="U85" s="197" t="s">
        <v>247</v>
      </c>
      <c r="V85" s="197" t="s">
        <v>248</v>
      </c>
      <c r="W85" s="887" t="s">
        <v>267</v>
      </c>
      <c r="X85" s="722">
        <v>73150000</v>
      </c>
      <c r="Y85" s="201">
        <f>4000000+8000000+8600000+8600000+4300000+10000000</f>
        <v>43500000</v>
      </c>
      <c r="Z85" s="201"/>
      <c r="AA85" s="201"/>
      <c r="AB85" s="658">
        <f t="shared" si="10"/>
        <v>29650000</v>
      </c>
      <c r="AC85" s="135" t="s">
        <v>250</v>
      </c>
      <c r="AD85" s="197"/>
      <c r="AE85" s="72">
        <v>20</v>
      </c>
      <c r="AF85" s="72" t="s">
        <v>203</v>
      </c>
      <c r="AG85" s="723">
        <v>295972</v>
      </c>
      <c r="AH85" s="723">
        <v>285580</v>
      </c>
      <c r="AI85" s="723">
        <v>135545</v>
      </c>
      <c r="AJ85" s="723">
        <v>44254</v>
      </c>
      <c r="AK85" s="723">
        <v>309146</v>
      </c>
      <c r="AL85" s="723">
        <v>92607</v>
      </c>
      <c r="AM85" s="723">
        <v>2145</v>
      </c>
      <c r="AN85" s="723">
        <v>12718</v>
      </c>
      <c r="AO85" s="723">
        <v>26</v>
      </c>
      <c r="AP85" s="723">
        <v>37</v>
      </c>
      <c r="AQ85" s="723">
        <v>0</v>
      </c>
      <c r="AR85" s="723">
        <v>0</v>
      </c>
      <c r="AS85" s="723">
        <v>44350</v>
      </c>
      <c r="AT85" s="723">
        <v>21944</v>
      </c>
      <c r="AU85" s="723">
        <v>75687</v>
      </c>
      <c r="AV85" s="723">
        <v>581552</v>
      </c>
      <c r="AW85" s="74">
        <v>45292</v>
      </c>
      <c r="AX85" s="74">
        <v>45657</v>
      </c>
      <c r="AY85" s="23" t="s">
        <v>133</v>
      </c>
    </row>
    <row r="86" spans="1:51" customFormat="1" ht="225" x14ac:dyDescent="0.25">
      <c r="A86" s="79">
        <v>4</v>
      </c>
      <c r="B86" s="880" t="s">
        <v>124</v>
      </c>
      <c r="C86" s="79">
        <v>45</v>
      </c>
      <c r="D86" s="79" t="s">
        <v>68</v>
      </c>
      <c r="E86" s="78">
        <v>4599</v>
      </c>
      <c r="F86" s="197" t="s">
        <v>178</v>
      </c>
      <c r="G86" s="79">
        <v>4599018</v>
      </c>
      <c r="H86" s="197" t="s">
        <v>243</v>
      </c>
      <c r="I86" s="79">
        <v>4599018</v>
      </c>
      <c r="J86" s="880" t="s">
        <v>243</v>
      </c>
      <c r="K86" s="79">
        <v>459901800</v>
      </c>
      <c r="L86" s="880" t="s">
        <v>244</v>
      </c>
      <c r="M86" s="79">
        <v>459901800</v>
      </c>
      <c r="N86" s="880" t="s">
        <v>244</v>
      </c>
      <c r="O86" s="79" t="s">
        <v>245</v>
      </c>
      <c r="P86" s="79"/>
      <c r="Q86" s="79" t="s">
        <v>245</v>
      </c>
      <c r="R86" s="79">
        <v>2023003630007</v>
      </c>
      <c r="S86" s="197" t="s">
        <v>246</v>
      </c>
      <c r="T86" s="208">
        <f t="shared" si="11"/>
        <v>1</v>
      </c>
      <c r="U86" s="197" t="s">
        <v>247</v>
      </c>
      <c r="V86" s="197" t="s">
        <v>248</v>
      </c>
      <c r="W86" s="887" t="s">
        <v>268</v>
      </c>
      <c r="X86" s="738">
        <f>34400000-8600000+8600000</f>
        <v>34400000</v>
      </c>
      <c r="Y86" s="201">
        <f>4300000+4300000+8600000+4300000</f>
        <v>21500000</v>
      </c>
      <c r="Z86" s="201"/>
      <c r="AA86" s="201"/>
      <c r="AB86" s="201">
        <f>X86-Y86+Z86-AA86</f>
        <v>12900000</v>
      </c>
      <c r="AC86" s="135" t="s">
        <v>250</v>
      </c>
      <c r="AD86" s="197"/>
      <c r="AE86" s="72">
        <v>20</v>
      </c>
      <c r="AF86" s="72" t="s">
        <v>203</v>
      </c>
      <c r="AG86" s="723">
        <v>295972</v>
      </c>
      <c r="AH86" s="723">
        <v>285580</v>
      </c>
      <c r="AI86" s="723">
        <v>135545</v>
      </c>
      <c r="AJ86" s="723">
        <v>44254</v>
      </c>
      <c r="AK86" s="723">
        <v>309146</v>
      </c>
      <c r="AL86" s="723">
        <v>92607</v>
      </c>
      <c r="AM86" s="723">
        <v>2145</v>
      </c>
      <c r="AN86" s="723">
        <v>12718</v>
      </c>
      <c r="AO86" s="723">
        <v>26</v>
      </c>
      <c r="AP86" s="723">
        <v>37</v>
      </c>
      <c r="AQ86" s="723">
        <v>0</v>
      </c>
      <c r="AR86" s="723">
        <v>0</v>
      </c>
      <c r="AS86" s="723">
        <v>44350</v>
      </c>
      <c r="AT86" s="723">
        <v>21944</v>
      </c>
      <c r="AU86" s="723">
        <v>75687</v>
      </c>
      <c r="AV86" s="723">
        <v>581552</v>
      </c>
      <c r="AW86" s="74">
        <v>45292</v>
      </c>
      <c r="AX86" s="74">
        <v>45657</v>
      </c>
      <c r="AY86" s="23" t="s">
        <v>133</v>
      </c>
    </row>
    <row r="87" spans="1:51" customFormat="1" ht="129.75" customHeight="1" x14ac:dyDescent="0.25">
      <c r="A87" s="79">
        <v>4</v>
      </c>
      <c r="B87" s="880" t="s">
        <v>124</v>
      </c>
      <c r="C87" s="79">
        <v>45</v>
      </c>
      <c r="D87" s="79" t="s">
        <v>68</v>
      </c>
      <c r="E87" s="78">
        <v>4599</v>
      </c>
      <c r="F87" s="197" t="s">
        <v>178</v>
      </c>
      <c r="G87" s="79">
        <v>4599018</v>
      </c>
      <c r="H87" s="197" t="s">
        <v>243</v>
      </c>
      <c r="I87" s="79">
        <v>4599018</v>
      </c>
      <c r="J87" s="880" t="s">
        <v>243</v>
      </c>
      <c r="K87" s="79">
        <v>459901800</v>
      </c>
      <c r="L87" s="880" t="s">
        <v>244</v>
      </c>
      <c r="M87" s="79">
        <v>459901800</v>
      </c>
      <c r="N87" s="880" t="s">
        <v>244</v>
      </c>
      <c r="O87" s="79" t="s">
        <v>245</v>
      </c>
      <c r="P87" s="79"/>
      <c r="Q87" s="79" t="s">
        <v>245</v>
      </c>
      <c r="R87" s="79">
        <v>2023003630007</v>
      </c>
      <c r="S87" s="197" t="s">
        <v>246</v>
      </c>
      <c r="T87" s="208">
        <f t="shared" si="11"/>
        <v>1</v>
      </c>
      <c r="U87" s="197" t="s">
        <v>247</v>
      </c>
      <c r="V87" s="197" t="s">
        <v>248</v>
      </c>
      <c r="W87" s="887" t="s">
        <v>269</v>
      </c>
      <c r="X87" s="722">
        <v>4300000</v>
      </c>
      <c r="Y87" s="201">
        <f>4300000</f>
        <v>4300000</v>
      </c>
      <c r="Z87" s="201"/>
      <c r="AA87" s="201"/>
      <c r="AB87" s="201">
        <f>X87-Y87+Z87-AA87</f>
        <v>0</v>
      </c>
      <c r="AC87" s="135" t="s">
        <v>250</v>
      </c>
      <c r="AD87" s="197"/>
      <c r="AE87" s="72">
        <v>20</v>
      </c>
      <c r="AF87" s="72" t="s">
        <v>203</v>
      </c>
      <c r="AG87" s="723">
        <v>295972</v>
      </c>
      <c r="AH87" s="723">
        <v>285580</v>
      </c>
      <c r="AI87" s="723">
        <v>135545</v>
      </c>
      <c r="AJ87" s="723">
        <v>44254</v>
      </c>
      <c r="AK87" s="723">
        <v>309146</v>
      </c>
      <c r="AL87" s="723">
        <v>92607</v>
      </c>
      <c r="AM87" s="723">
        <v>2145</v>
      </c>
      <c r="AN87" s="723">
        <v>12718</v>
      </c>
      <c r="AO87" s="723">
        <v>26</v>
      </c>
      <c r="AP87" s="723">
        <v>37</v>
      </c>
      <c r="AQ87" s="723">
        <v>0</v>
      </c>
      <c r="AR87" s="723">
        <v>0</v>
      </c>
      <c r="AS87" s="723">
        <v>44350</v>
      </c>
      <c r="AT87" s="723">
        <v>21944</v>
      </c>
      <c r="AU87" s="723">
        <v>75687</v>
      </c>
      <c r="AV87" s="723">
        <v>581552</v>
      </c>
      <c r="AW87" s="74">
        <v>45292</v>
      </c>
      <c r="AX87" s="74">
        <v>45657</v>
      </c>
      <c r="AY87" s="23" t="s">
        <v>133</v>
      </c>
    </row>
    <row r="88" spans="1:51" customFormat="1" ht="120" x14ac:dyDescent="0.25">
      <c r="A88" s="79">
        <v>4</v>
      </c>
      <c r="B88" s="880" t="s">
        <v>124</v>
      </c>
      <c r="C88" s="79">
        <v>45</v>
      </c>
      <c r="D88" s="79" t="s">
        <v>68</v>
      </c>
      <c r="E88" s="78">
        <v>4599</v>
      </c>
      <c r="F88" s="197" t="s">
        <v>178</v>
      </c>
      <c r="G88" s="79">
        <v>4599018</v>
      </c>
      <c r="H88" s="197" t="s">
        <v>243</v>
      </c>
      <c r="I88" s="79">
        <v>4599018</v>
      </c>
      <c r="J88" s="880" t="s">
        <v>243</v>
      </c>
      <c r="K88" s="79">
        <v>459901800</v>
      </c>
      <c r="L88" s="880" t="s">
        <v>244</v>
      </c>
      <c r="M88" s="79">
        <v>459901800</v>
      </c>
      <c r="N88" s="880" t="s">
        <v>244</v>
      </c>
      <c r="O88" s="79" t="s">
        <v>245</v>
      </c>
      <c r="P88" s="79"/>
      <c r="Q88" s="79" t="s">
        <v>245</v>
      </c>
      <c r="R88" s="79">
        <v>2023003630007</v>
      </c>
      <c r="S88" s="197" t="s">
        <v>246</v>
      </c>
      <c r="T88" s="208">
        <f t="shared" si="11"/>
        <v>1</v>
      </c>
      <c r="U88" s="197" t="s">
        <v>247</v>
      </c>
      <c r="V88" s="197" t="s">
        <v>248</v>
      </c>
      <c r="W88" s="887" t="s">
        <v>270</v>
      </c>
      <c r="X88" s="738">
        <f>31450000-6200000+6200000</f>
        <v>31450000</v>
      </c>
      <c r="Y88" s="201">
        <f>3300000+3300000+6450000+3850000</f>
        <v>16900000</v>
      </c>
      <c r="Z88" s="201"/>
      <c r="AA88" s="201"/>
      <c r="AB88" s="201">
        <f>X88-Y88+Z88-AA88</f>
        <v>14550000</v>
      </c>
      <c r="AC88" s="135" t="s">
        <v>250</v>
      </c>
      <c r="AD88" s="197"/>
      <c r="AE88" s="72">
        <v>20</v>
      </c>
      <c r="AF88" s="72" t="s">
        <v>203</v>
      </c>
      <c r="AG88" s="723">
        <v>295972</v>
      </c>
      <c r="AH88" s="723">
        <v>285580</v>
      </c>
      <c r="AI88" s="723">
        <v>135545</v>
      </c>
      <c r="AJ88" s="723">
        <v>44254</v>
      </c>
      <c r="AK88" s="723">
        <v>309146</v>
      </c>
      <c r="AL88" s="723">
        <v>92607</v>
      </c>
      <c r="AM88" s="723">
        <v>2145</v>
      </c>
      <c r="AN88" s="723">
        <v>12718</v>
      </c>
      <c r="AO88" s="723">
        <v>26</v>
      </c>
      <c r="AP88" s="723">
        <v>37</v>
      </c>
      <c r="AQ88" s="723">
        <v>0</v>
      </c>
      <c r="AR88" s="723">
        <v>0</v>
      </c>
      <c r="AS88" s="723">
        <v>44350</v>
      </c>
      <c r="AT88" s="723">
        <v>21944</v>
      </c>
      <c r="AU88" s="723">
        <v>75687</v>
      </c>
      <c r="AV88" s="723">
        <v>581552</v>
      </c>
      <c r="AW88" s="74">
        <v>45292</v>
      </c>
      <c r="AX88" s="74">
        <v>45657</v>
      </c>
      <c r="AY88" s="23" t="s">
        <v>133</v>
      </c>
    </row>
    <row r="89" spans="1:51" customFormat="1" ht="105" x14ac:dyDescent="0.25">
      <c r="A89" s="79">
        <v>4</v>
      </c>
      <c r="B89" s="880" t="s">
        <v>124</v>
      </c>
      <c r="C89" s="79">
        <v>45</v>
      </c>
      <c r="D89" s="79" t="s">
        <v>68</v>
      </c>
      <c r="E89" s="78">
        <v>4599</v>
      </c>
      <c r="F89" s="197" t="s">
        <v>178</v>
      </c>
      <c r="G89" s="79">
        <v>4599018</v>
      </c>
      <c r="H89" s="197" t="s">
        <v>243</v>
      </c>
      <c r="I89" s="79">
        <v>4599018</v>
      </c>
      <c r="J89" s="880" t="s">
        <v>243</v>
      </c>
      <c r="K89" s="79">
        <v>459901800</v>
      </c>
      <c r="L89" s="880" t="s">
        <v>244</v>
      </c>
      <c r="M89" s="79">
        <v>459901800</v>
      </c>
      <c r="N89" s="880" t="s">
        <v>244</v>
      </c>
      <c r="O89" s="79" t="s">
        <v>245</v>
      </c>
      <c r="P89" s="79"/>
      <c r="Q89" s="79" t="s">
        <v>245</v>
      </c>
      <c r="R89" s="79">
        <v>2023003630007</v>
      </c>
      <c r="S89" s="197" t="s">
        <v>246</v>
      </c>
      <c r="T89" s="208">
        <f t="shared" si="11"/>
        <v>1</v>
      </c>
      <c r="U89" s="197" t="s">
        <v>247</v>
      </c>
      <c r="V89" s="197" t="s">
        <v>248</v>
      </c>
      <c r="W89" s="887" t="s">
        <v>271</v>
      </c>
      <c r="X89" s="722">
        <v>27550000</v>
      </c>
      <c r="Y89" s="201">
        <f>3150000+3150000+3150000+4400000+2500000</f>
        <v>16350000</v>
      </c>
      <c r="Z89" s="201"/>
      <c r="AA89" s="201"/>
      <c r="AB89" s="201">
        <f>X89-Y89+Z89-AA89</f>
        <v>11200000</v>
      </c>
      <c r="AC89" s="135" t="s">
        <v>250</v>
      </c>
      <c r="AD89" s="197"/>
      <c r="AE89" s="72">
        <v>20</v>
      </c>
      <c r="AF89" s="72" t="s">
        <v>203</v>
      </c>
      <c r="AG89" s="723">
        <v>295972</v>
      </c>
      <c r="AH89" s="723">
        <v>285580</v>
      </c>
      <c r="AI89" s="723">
        <v>135545</v>
      </c>
      <c r="AJ89" s="723">
        <v>44254</v>
      </c>
      <c r="AK89" s="723">
        <v>309146</v>
      </c>
      <c r="AL89" s="723">
        <v>92607</v>
      </c>
      <c r="AM89" s="723">
        <v>2145</v>
      </c>
      <c r="AN89" s="723">
        <v>12718</v>
      </c>
      <c r="AO89" s="723">
        <v>26</v>
      </c>
      <c r="AP89" s="723">
        <v>37</v>
      </c>
      <c r="AQ89" s="723">
        <v>0</v>
      </c>
      <c r="AR89" s="723">
        <v>0</v>
      </c>
      <c r="AS89" s="723">
        <v>44350</v>
      </c>
      <c r="AT89" s="723">
        <v>21944</v>
      </c>
      <c r="AU89" s="723">
        <v>75687</v>
      </c>
      <c r="AV89" s="723">
        <v>581552</v>
      </c>
      <c r="AW89" s="74">
        <v>45292</v>
      </c>
      <c r="AX89" s="74">
        <v>45657</v>
      </c>
      <c r="AY89" s="23" t="s">
        <v>133</v>
      </c>
    </row>
    <row r="90" spans="1:51" customFormat="1" ht="102" x14ac:dyDescent="0.25">
      <c r="A90" s="79">
        <v>4</v>
      </c>
      <c r="B90" s="880" t="s">
        <v>124</v>
      </c>
      <c r="C90" s="79">
        <v>45</v>
      </c>
      <c r="D90" s="79" t="s">
        <v>68</v>
      </c>
      <c r="E90" s="78">
        <v>4599</v>
      </c>
      <c r="F90" s="197" t="s">
        <v>178</v>
      </c>
      <c r="G90" s="79">
        <v>4599018</v>
      </c>
      <c r="H90" s="197" t="s">
        <v>243</v>
      </c>
      <c r="I90" s="79">
        <v>4599018</v>
      </c>
      <c r="J90" s="880" t="s">
        <v>243</v>
      </c>
      <c r="K90" s="79">
        <v>459901800</v>
      </c>
      <c r="L90" s="880" t="s">
        <v>244</v>
      </c>
      <c r="M90" s="79">
        <v>459901800</v>
      </c>
      <c r="N90" s="880" t="s">
        <v>244</v>
      </c>
      <c r="O90" s="79" t="s">
        <v>245</v>
      </c>
      <c r="P90" s="79"/>
      <c r="Q90" s="79" t="s">
        <v>245</v>
      </c>
      <c r="R90" s="79">
        <v>2023003630007</v>
      </c>
      <c r="S90" s="197" t="s">
        <v>246</v>
      </c>
      <c r="T90" s="208">
        <f t="shared" si="11"/>
        <v>1</v>
      </c>
      <c r="U90" s="197" t="s">
        <v>247</v>
      </c>
      <c r="V90" s="197" t="s">
        <v>248</v>
      </c>
      <c r="W90" s="887" t="s">
        <v>272</v>
      </c>
      <c r="X90" s="745">
        <v>10000000</v>
      </c>
      <c r="Y90" s="201"/>
      <c r="Z90" s="201"/>
      <c r="AA90" s="201"/>
      <c r="AB90" s="201">
        <f>X90-Y90+Z90-AA90</f>
        <v>10000000</v>
      </c>
      <c r="AC90" s="135" t="s">
        <v>265</v>
      </c>
      <c r="AD90" s="197"/>
      <c r="AE90" s="72">
        <v>20</v>
      </c>
      <c r="AF90" s="72" t="s">
        <v>203</v>
      </c>
      <c r="AG90" s="723">
        <v>295972</v>
      </c>
      <c r="AH90" s="723">
        <v>285580</v>
      </c>
      <c r="AI90" s="723">
        <v>135545</v>
      </c>
      <c r="AJ90" s="723">
        <v>44254</v>
      </c>
      <c r="AK90" s="723">
        <v>309146</v>
      </c>
      <c r="AL90" s="723">
        <v>92607</v>
      </c>
      <c r="AM90" s="723">
        <v>2145</v>
      </c>
      <c r="AN90" s="723">
        <v>12718</v>
      </c>
      <c r="AO90" s="723">
        <v>26</v>
      </c>
      <c r="AP90" s="723">
        <v>37</v>
      </c>
      <c r="AQ90" s="723">
        <v>0</v>
      </c>
      <c r="AR90" s="723">
        <v>0</v>
      </c>
      <c r="AS90" s="723">
        <v>44350</v>
      </c>
      <c r="AT90" s="723">
        <v>21944</v>
      </c>
      <c r="AU90" s="723">
        <v>75687</v>
      </c>
      <c r="AV90" s="723">
        <v>581552</v>
      </c>
      <c r="AW90" s="74">
        <v>45292</v>
      </c>
      <c r="AX90" s="74">
        <v>45657</v>
      </c>
      <c r="AY90" s="23" t="s">
        <v>133</v>
      </c>
    </row>
    <row r="91" spans="1:51" customFormat="1" ht="15" hidden="1" x14ac:dyDescent="0.25">
      <c r="A91" s="39"/>
      <c r="B91" s="56"/>
      <c r="C91" s="40"/>
      <c r="D91" s="40"/>
      <c r="E91" s="40"/>
      <c r="F91" s="56"/>
      <c r="G91" s="62"/>
      <c r="H91" s="56"/>
      <c r="I91" s="62"/>
      <c r="J91" s="56"/>
      <c r="K91" s="62"/>
      <c r="L91" s="56"/>
      <c r="M91" s="62"/>
      <c r="N91" s="56"/>
      <c r="O91" s="62"/>
      <c r="P91" s="62"/>
      <c r="Q91" s="62"/>
      <c r="R91" s="62"/>
      <c r="S91" s="56"/>
      <c r="T91" s="56"/>
      <c r="U91" s="56"/>
      <c r="V91" s="56"/>
      <c r="W91" s="57" t="s">
        <v>25</v>
      </c>
      <c r="X91" s="150">
        <f>SUM(X11:X90)</f>
        <v>1499246787</v>
      </c>
      <c r="Y91" s="150">
        <f>SUM(Y11:Y90)</f>
        <v>234500000</v>
      </c>
      <c r="Z91" s="150">
        <f>SUM(Z11:Z90)</f>
        <v>0</v>
      </c>
      <c r="AA91" s="150">
        <f>SUM(AA11:AA90)</f>
        <v>0</v>
      </c>
      <c r="AB91" s="150">
        <f>SUM(AB11:AB90)</f>
        <v>1264746787</v>
      </c>
      <c r="AC91" s="56"/>
      <c r="AD91" s="56"/>
      <c r="AE91" s="56"/>
      <c r="AF91" s="56"/>
      <c r="AG91" s="56"/>
      <c r="AH91" s="56"/>
      <c r="AI91" s="56"/>
      <c r="AJ91" s="56"/>
      <c r="AK91" s="56"/>
      <c r="AL91" s="56"/>
      <c r="AM91" s="56"/>
      <c r="AN91" s="56"/>
      <c r="AO91" s="56"/>
      <c r="AP91" s="56"/>
      <c r="AQ91" s="56"/>
      <c r="AR91" s="56"/>
      <c r="AS91" s="56"/>
      <c r="AT91" s="56"/>
      <c r="AU91" s="56"/>
      <c r="AV91" s="56"/>
      <c r="AW91" s="56"/>
      <c r="AX91" s="56"/>
      <c r="AY91" s="58"/>
    </row>
    <row r="92" spans="1:51" customFormat="1" ht="15" hidden="1" x14ac:dyDescent="0.25">
      <c r="A92" s="1"/>
      <c r="C92" s="1"/>
      <c r="D92" s="1"/>
      <c r="E92" s="1"/>
      <c r="G92" s="64"/>
      <c r="I92" s="64"/>
      <c r="K92" s="64"/>
      <c r="M92" s="64"/>
      <c r="O92" s="64"/>
      <c r="P92" s="64"/>
      <c r="Q92" s="64"/>
      <c r="R92" s="64"/>
      <c r="X92" s="748"/>
      <c r="Y92" s="748">
        <f>SUM(Y57:Y63)+16000000</f>
        <v>78700000</v>
      </c>
      <c r="Z92" s="748">
        <f>SUM(Z57:Z63)</f>
        <v>0</v>
      </c>
      <c r="AA92" s="748">
        <f>SUM(AA57:AA63)</f>
        <v>0</v>
      </c>
      <c r="AB92" s="748">
        <f>SUM(AB57:AB63)-16000000</f>
        <v>106106787</v>
      </c>
    </row>
    <row r="93" spans="1:51" s="44" customFormat="1" ht="31.5" customHeight="1" x14ac:dyDescent="0.2">
      <c r="A93" s="42"/>
      <c r="B93" s="881"/>
      <c r="C93" s="42"/>
      <c r="D93" s="42"/>
      <c r="E93" s="42"/>
      <c r="F93" s="881"/>
      <c r="G93" s="63"/>
      <c r="H93" s="881"/>
      <c r="I93" s="63"/>
      <c r="J93" s="881"/>
      <c r="K93" s="63"/>
      <c r="L93" s="881"/>
      <c r="M93" s="63"/>
      <c r="N93" s="881"/>
      <c r="O93" s="63"/>
      <c r="P93" s="63"/>
      <c r="Q93" s="63"/>
      <c r="R93" s="63"/>
      <c r="S93" s="881"/>
      <c r="T93" s="63"/>
      <c r="U93" s="881"/>
      <c r="V93" s="881"/>
      <c r="W93" s="881"/>
      <c r="X93" s="737"/>
      <c r="Y93" s="776"/>
      <c r="Z93" s="776"/>
      <c r="AD93" s="48"/>
      <c r="AE93" s="48"/>
      <c r="AF93" s="48"/>
    </row>
    <row r="94" spans="1:51" s="44" customFormat="1" ht="32.25" customHeight="1" x14ac:dyDescent="0.25">
      <c r="A94" s="42"/>
      <c r="B94" s="881"/>
      <c r="C94" s="42"/>
      <c r="D94" s="42"/>
      <c r="E94" s="42"/>
      <c r="F94" s="881"/>
      <c r="G94" s="63"/>
      <c r="H94" s="881"/>
      <c r="I94" s="63"/>
      <c r="J94" s="881"/>
      <c r="K94" s="63"/>
      <c r="L94" s="881"/>
      <c r="M94" s="63"/>
      <c r="N94" s="881"/>
      <c r="O94" s="1014" t="s">
        <v>273</v>
      </c>
      <c r="P94" s="1014"/>
      <c r="Q94" s="1014"/>
      <c r="R94" s="1014"/>
      <c r="S94" s="1015"/>
      <c r="T94" s="63"/>
      <c r="U94" s="881"/>
      <c r="V94" s="881"/>
      <c r="W94" s="881"/>
      <c r="X94" s="737">
        <f>SUBTOTAL(9,X11:X91)</f>
        <v>270000000</v>
      </c>
      <c r="Y94" s="777"/>
      <c r="AD94" s="48"/>
      <c r="AE94" s="48"/>
      <c r="AF94" s="48"/>
    </row>
    <row r="95" spans="1:51" s="44" customFormat="1" ht="14.25" x14ac:dyDescent="0.2">
      <c r="A95" s="42"/>
      <c r="B95" s="881"/>
      <c r="C95" s="42"/>
      <c r="D95" s="42"/>
      <c r="E95" s="42"/>
      <c r="F95" s="881"/>
      <c r="G95" s="63"/>
      <c r="H95" s="881"/>
      <c r="I95" s="63"/>
      <c r="J95" s="881"/>
      <c r="K95" s="63"/>
      <c r="L95" s="881"/>
      <c r="M95" s="63"/>
      <c r="N95" s="881"/>
      <c r="O95" s="63"/>
      <c r="P95" s="63"/>
      <c r="Q95" s="63"/>
      <c r="R95" s="63"/>
      <c r="S95" s="881"/>
      <c r="T95" s="63"/>
      <c r="U95" s="881"/>
      <c r="V95" s="881"/>
      <c r="W95" s="881"/>
      <c r="X95" s="737"/>
      <c r="Z95" s="776"/>
      <c r="AD95" s="48"/>
      <c r="AE95" s="48"/>
      <c r="AF95" s="48"/>
    </row>
    <row r="96" spans="1:51" s="44" customFormat="1" ht="14.25" x14ac:dyDescent="0.2">
      <c r="A96" s="42"/>
      <c r="B96" s="881"/>
      <c r="C96" s="42"/>
      <c r="D96" s="42"/>
      <c r="E96" s="42"/>
      <c r="F96" s="881"/>
      <c r="G96" s="63"/>
      <c r="H96" s="881"/>
      <c r="I96" s="63"/>
      <c r="J96" s="881"/>
      <c r="K96" s="63"/>
      <c r="L96" s="881"/>
      <c r="M96" s="63"/>
      <c r="N96" s="881"/>
      <c r="O96" s="63"/>
      <c r="P96" s="63"/>
      <c r="Q96" s="63"/>
      <c r="R96" s="63"/>
      <c r="S96" s="881"/>
      <c r="T96" s="63"/>
      <c r="U96" s="881"/>
      <c r="V96" s="881"/>
      <c r="W96" s="881"/>
      <c r="AD96" s="48"/>
      <c r="AE96" s="48"/>
      <c r="AF96" s="48"/>
    </row>
    <row r="97" spans="1:32" s="44" customFormat="1" ht="14.25" x14ac:dyDescent="0.2">
      <c r="A97" s="42"/>
      <c r="B97" s="881"/>
      <c r="C97" s="42"/>
      <c r="D97" s="42"/>
      <c r="E97" s="42"/>
      <c r="F97" s="881"/>
      <c r="G97" s="63"/>
      <c r="H97" s="881"/>
      <c r="I97" s="63"/>
      <c r="J97" s="881"/>
      <c r="K97" s="63"/>
      <c r="L97" s="881"/>
      <c r="M97" s="63"/>
      <c r="N97" s="881"/>
      <c r="O97" s="63"/>
      <c r="P97" s="63"/>
      <c r="Q97" s="63"/>
      <c r="R97" s="63"/>
      <c r="S97" s="881"/>
      <c r="T97" s="63"/>
      <c r="U97" s="881"/>
      <c r="V97" s="881"/>
      <c r="W97" s="881"/>
      <c r="AD97" s="48"/>
      <c r="AE97" s="48"/>
      <c r="AF97" s="48"/>
    </row>
    <row r="98" spans="1:32" s="44" customFormat="1" ht="15" x14ac:dyDescent="0.2">
      <c r="A98" s="42"/>
      <c r="B98" s="881"/>
      <c r="C98" s="42"/>
      <c r="D98" s="42"/>
      <c r="E98" s="42"/>
      <c r="F98" s="881"/>
      <c r="G98" s="63"/>
      <c r="H98" s="881"/>
      <c r="I98" s="1005"/>
      <c r="J98" s="1012"/>
      <c r="K98" s="1006"/>
      <c r="L98" s="1013"/>
      <c r="M98" s="1006"/>
      <c r="N98" s="1013"/>
      <c r="O98" s="63"/>
      <c r="P98" s="63"/>
      <c r="Q98" s="63"/>
      <c r="R98" s="63"/>
      <c r="S98" s="881"/>
      <c r="T98" s="63"/>
      <c r="U98" s="881"/>
      <c r="V98" s="881"/>
      <c r="W98" s="881"/>
      <c r="AD98" s="48"/>
      <c r="AE98" s="48"/>
      <c r="AF98" s="48"/>
    </row>
    <row r="99" spans="1:32" s="44" customFormat="1" ht="15" x14ac:dyDescent="0.2">
      <c r="A99" s="42"/>
      <c r="B99" s="881"/>
      <c r="C99" s="42"/>
      <c r="D99" s="42"/>
      <c r="E99" s="42"/>
      <c r="F99" s="881"/>
      <c r="G99" s="63"/>
      <c r="H99" s="881"/>
      <c r="I99" s="1005"/>
      <c r="J99" s="1012"/>
      <c r="K99" s="1006"/>
      <c r="L99" s="1013"/>
      <c r="M99" s="1005"/>
      <c r="N99" s="1012"/>
      <c r="O99" s="63"/>
      <c r="P99" s="63"/>
      <c r="Q99" s="63"/>
      <c r="R99" s="63"/>
      <c r="S99" s="881"/>
      <c r="T99" s="63"/>
      <c r="U99" s="881"/>
      <c r="V99" s="881"/>
      <c r="W99" s="881"/>
      <c r="AD99" s="48"/>
      <c r="AE99" s="48"/>
      <c r="AF99" s="48"/>
    </row>
    <row r="100" spans="1:32" s="44" customFormat="1" ht="15" x14ac:dyDescent="0.2">
      <c r="A100" s="42"/>
      <c r="B100" s="881"/>
      <c r="C100" s="42"/>
      <c r="D100" s="42"/>
      <c r="E100" s="42"/>
      <c r="F100" s="881"/>
      <c r="G100" s="63"/>
      <c r="H100" s="881"/>
      <c r="I100" s="1005"/>
      <c r="J100" s="1012"/>
      <c r="K100" s="1006"/>
      <c r="L100" s="1013"/>
      <c r="M100" s="1005"/>
      <c r="N100" s="1012"/>
      <c r="O100" s="63"/>
      <c r="P100" s="63"/>
      <c r="Q100" s="63"/>
      <c r="R100" s="63"/>
      <c r="S100" s="881"/>
      <c r="T100" s="63"/>
      <c r="U100" s="881"/>
      <c r="V100" s="881"/>
      <c r="W100" s="881"/>
      <c r="AD100" s="48"/>
      <c r="AE100" s="48"/>
      <c r="AF100" s="48"/>
    </row>
    <row r="101" spans="1:32" customFormat="1" ht="15" x14ac:dyDescent="0.25">
      <c r="A101" s="1"/>
      <c r="B101" s="882"/>
      <c r="C101" s="1"/>
      <c r="D101" s="1"/>
      <c r="E101" s="1"/>
      <c r="F101" s="882"/>
      <c r="G101" s="64"/>
      <c r="H101" s="882"/>
      <c r="I101" s="64"/>
      <c r="J101" s="882"/>
      <c r="K101" s="64"/>
      <c r="L101" s="882"/>
      <c r="M101" s="64"/>
      <c r="N101" s="882"/>
      <c r="O101" s="64"/>
      <c r="P101" s="64"/>
      <c r="Q101" s="64"/>
      <c r="R101" s="64"/>
      <c r="S101" s="882"/>
      <c r="T101" s="64"/>
      <c r="U101" s="882"/>
      <c r="V101" s="882"/>
      <c r="W101" s="882"/>
    </row>
  </sheetData>
  <autoFilter ref="A10:AY92" xr:uid="{3F8DDA2F-5093-4195-8A2B-DAE749AD04A5}">
    <filterColumn colId="17">
      <filters>
        <filter val="2023003630007"/>
      </filters>
    </filterColumn>
  </autoFilter>
  <mergeCells count="32">
    <mergeCell ref="AY8:AY10"/>
    <mergeCell ref="AC9:AF9"/>
    <mergeCell ref="AG9:AH9"/>
    <mergeCell ref="AI9:AL9"/>
    <mergeCell ref="AM9:AR9"/>
    <mergeCell ref="AS9:AU9"/>
    <mergeCell ref="AV9:AV10"/>
    <mergeCell ref="R8:X9"/>
    <mergeCell ref="AG8:AV8"/>
    <mergeCell ref="AW8:AW10"/>
    <mergeCell ref="AX8:AX10"/>
    <mergeCell ref="A1:B7"/>
    <mergeCell ref="C1:AW1"/>
    <mergeCell ref="C2:AW4"/>
    <mergeCell ref="C5:AW5"/>
    <mergeCell ref="C6:AW6"/>
    <mergeCell ref="O8:Q9"/>
    <mergeCell ref="A8:B9"/>
    <mergeCell ref="C8:D9"/>
    <mergeCell ref="E8:F9"/>
    <mergeCell ref="G8:J9"/>
    <mergeCell ref="K8:N9"/>
    <mergeCell ref="I100:J100"/>
    <mergeCell ref="K100:L100"/>
    <mergeCell ref="M100:N100"/>
    <mergeCell ref="O94:S94"/>
    <mergeCell ref="I98:J98"/>
    <mergeCell ref="K98:L98"/>
    <mergeCell ref="M98:N98"/>
    <mergeCell ref="I99:J99"/>
    <mergeCell ref="K99:L99"/>
    <mergeCell ref="M99:N99"/>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BQ33"/>
  <sheetViews>
    <sheetView showGridLines="0" topLeftCell="A7" zoomScale="50" zoomScaleNormal="50" workbookViewId="0">
      <pane ySplit="4" topLeftCell="A11" activePane="bottomLeft" state="frozen"/>
      <selection pane="bottomLeft" activeCell="M15" sqref="M15"/>
    </sheetView>
  </sheetViews>
  <sheetFormatPr baseColWidth="10" defaultColWidth="11.42578125" defaultRowHeight="12.75" x14ac:dyDescent="0.2"/>
  <cols>
    <col min="1" max="1" width="10.28515625" style="895" customWidth="1"/>
    <col min="2" max="2" width="20.140625" style="890" customWidth="1"/>
    <col min="3" max="3" width="11.42578125" style="895"/>
    <col min="4" max="4" width="11.42578125" style="890"/>
    <col min="5" max="5" width="11.42578125" style="895"/>
    <col min="6" max="6" width="20.28515625" style="890" customWidth="1"/>
    <col min="7" max="7" width="11.42578125" style="895"/>
    <col min="8" max="8" width="24.5703125" style="890" customWidth="1"/>
    <col min="9" max="9" width="19.140625" style="895" customWidth="1"/>
    <col min="10" max="10" width="21.140625" style="890" customWidth="1"/>
    <col min="11" max="11" width="16.140625" style="895" customWidth="1"/>
    <col min="12" max="12" width="24.140625" style="890" customWidth="1"/>
    <col min="13" max="13" width="16.28515625" style="895" customWidth="1"/>
    <col min="14" max="14" width="21.5703125" style="890" customWidth="1"/>
    <col min="15" max="17" width="11.42578125" style="81"/>
    <col min="18" max="18" width="19.42578125" style="895" customWidth="1"/>
    <col min="19" max="19" width="32.85546875" style="890" customWidth="1"/>
    <col min="20" max="20" width="15.140625" style="895" customWidth="1"/>
    <col min="21" max="21" width="51.28515625" style="890" customWidth="1"/>
    <col min="22" max="22" width="31.85546875" style="890" customWidth="1"/>
    <col min="23" max="23" width="47.42578125" style="890" customWidth="1"/>
    <col min="24" max="24" width="37.7109375" style="81" customWidth="1"/>
    <col min="25" max="25" width="32.42578125" style="81" customWidth="1"/>
    <col min="26" max="26" width="27.7109375" style="81" customWidth="1"/>
    <col min="27" max="27" width="31.28515625" style="81" customWidth="1"/>
    <col min="28" max="28" width="32.5703125" style="81" customWidth="1"/>
    <col min="29" max="29" width="42" style="81" customWidth="1"/>
    <col min="30" max="30" width="24.7109375" style="81" customWidth="1"/>
    <col min="31" max="31" width="11.42578125" style="81"/>
    <col min="32" max="32" width="17.85546875" style="81" customWidth="1"/>
    <col min="33" max="33" width="10.7109375" style="81" customWidth="1"/>
    <col min="34" max="34" width="12.7109375" style="81" customWidth="1"/>
    <col min="35" max="35" width="9.28515625" style="81" customWidth="1"/>
    <col min="36" max="36" width="11.7109375" style="81" customWidth="1"/>
    <col min="37" max="37" width="9.42578125" style="81" customWidth="1"/>
    <col min="38" max="38" width="8.5703125" style="81" customWidth="1"/>
    <col min="39" max="39" width="11.7109375" style="81" customWidth="1"/>
    <col min="40" max="40" width="8.7109375" style="81" customWidth="1"/>
    <col min="41" max="41" width="6.7109375" style="81" customWidth="1"/>
    <col min="42" max="42" width="6.42578125" style="81" customWidth="1"/>
    <col min="43" max="43" width="6.28515625" style="81" customWidth="1"/>
    <col min="44" max="44" width="6.5703125" style="81" customWidth="1"/>
    <col min="45" max="45" width="12.140625" style="81" customWidth="1"/>
    <col min="46" max="46" width="9.42578125" style="81" customWidth="1"/>
    <col min="47" max="47" width="7.5703125" style="81" customWidth="1"/>
    <col min="48" max="48" width="14.7109375" style="81" customWidth="1"/>
    <col min="49" max="49" width="14.28515625" style="81" customWidth="1"/>
    <col min="50" max="50" width="14.42578125" style="81" customWidth="1"/>
    <col min="51" max="51" width="15.140625" style="81" customWidth="1"/>
    <col min="52" max="16384" width="11.42578125" style="108"/>
  </cols>
  <sheetData>
    <row r="1" spans="1:69" x14ac:dyDescent="0.2">
      <c r="A1" s="1073"/>
      <c r="B1" s="1073"/>
      <c r="C1" s="1074" t="s">
        <v>0</v>
      </c>
      <c r="D1" s="1074"/>
      <c r="E1" s="1074"/>
      <c r="F1" s="1074"/>
      <c r="G1" s="1074"/>
      <c r="H1" s="1074"/>
      <c r="I1" s="1074"/>
      <c r="J1" s="1074"/>
      <c r="K1" s="1074"/>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1074"/>
      <c r="AO1" s="1074"/>
      <c r="AP1" s="1074"/>
      <c r="AQ1" s="1074"/>
      <c r="AR1" s="1074"/>
      <c r="AS1" s="1074"/>
      <c r="AT1" s="1074"/>
      <c r="AU1" s="1074"/>
      <c r="AV1" s="1074"/>
      <c r="AW1" s="1074"/>
    </row>
    <row r="2" spans="1:69" s="45" customFormat="1" x14ac:dyDescent="0.2">
      <c r="A2" s="1073"/>
      <c r="B2" s="1073"/>
      <c r="C2" s="980" t="s">
        <v>274</v>
      </c>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2"/>
      <c r="AX2" s="2" t="s">
        <v>2</v>
      </c>
      <c r="AY2" s="2" t="s">
        <v>3</v>
      </c>
      <c r="AZ2" s="3"/>
      <c r="BA2" s="3"/>
      <c r="BB2" s="3"/>
      <c r="BC2" s="3"/>
      <c r="BD2" s="3"/>
      <c r="BE2" s="3"/>
      <c r="BF2" s="3"/>
      <c r="BG2" s="3"/>
      <c r="BH2" s="3"/>
      <c r="BI2" s="3"/>
      <c r="BJ2" s="3"/>
      <c r="BK2" s="3"/>
      <c r="BL2" s="3"/>
      <c r="BM2" s="3"/>
      <c r="BN2" s="3"/>
      <c r="BO2" s="3"/>
      <c r="BP2" s="3"/>
      <c r="BQ2" s="3"/>
    </row>
    <row r="3" spans="1:69" s="45" customFormat="1" x14ac:dyDescent="0.2">
      <c r="A3" s="1073"/>
      <c r="B3" s="1073"/>
      <c r="C3" s="983"/>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5"/>
      <c r="AX3" s="2" t="s">
        <v>4</v>
      </c>
      <c r="AY3" s="49">
        <v>11</v>
      </c>
      <c r="AZ3" s="3"/>
      <c r="BA3" s="3"/>
      <c r="BB3" s="3"/>
      <c r="BC3" s="3"/>
      <c r="BD3" s="3"/>
      <c r="BE3" s="3"/>
      <c r="BF3" s="3"/>
      <c r="BG3" s="3"/>
      <c r="BH3" s="3"/>
      <c r="BI3" s="3"/>
      <c r="BJ3" s="3"/>
      <c r="BK3" s="3"/>
      <c r="BL3" s="3"/>
      <c r="BM3" s="3"/>
      <c r="BN3" s="3"/>
      <c r="BO3" s="3"/>
      <c r="BP3" s="3"/>
      <c r="BQ3" s="3"/>
    </row>
    <row r="4" spans="1:69" s="45" customFormat="1" ht="7.5" customHeight="1" x14ac:dyDescent="0.2">
      <c r="A4" s="1073"/>
      <c r="B4" s="1073"/>
      <c r="C4" s="986"/>
      <c r="D4" s="987"/>
      <c r="E4" s="987"/>
      <c r="F4" s="987"/>
      <c r="G4" s="987"/>
      <c r="H4" s="987"/>
      <c r="I4" s="987"/>
      <c r="J4" s="987"/>
      <c r="K4" s="987"/>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c r="AT4" s="987"/>
      <c r="AU4" s="987"/>
      <c r="AV4" s="987"/>
      <c r="AW4" s="988"/>
      <c r="AX4" s="2" t="s">
        <v>5</v>
      </c>
      <c r="AY4" s="50">
        <v>44714</v>
      </c>
      <c r="AZ4" s="3"/>
      <c r="BA4" s="3"/>
      <c r="BB4" s="3"/>
      <c r="BC4" s="3"/>
      <c r="BD4" s="3"/>
      <c r="BE4" s="3"/>
      <c r="BF4" s="3"/>
      <c r="BG4" s="3"/>
      <c r="BH4" s="3"/>
      <c r="BI4" s="3"/>
      <c r="BJ4" s="3"/>
      <c r="BK4" s="3"/>
      <c r="BL4" s="3"/>
      <c r="BM4" s="3"/>
      <c r="BN4" s="3"/>
      <c r="BO4" s="3"/>
      <c r="BP4" s="3"/>
      <c r="BQ4" s="3"/>
    </row>
    <row r="5" spans="1:69" s="45" customFormat="1" x14ac:dyDescent="0.2">
      <c r="A5" s="1073"/>
      <c r="B5" s="1073"/>
      <c r="C5" s="989"/>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1"/>
      <c r="AX5" s="2" t="s">
        <v>6</v>
      </c>
      <c r="AY5" s="7" t="s">
        <v>7</v>
      </c>
      <c r="AZ5" s="3"/>
      <c r="BA5" s="3"/>
      <c r="BB5" s="3"/>
      <c r="BC5" s="3"/>
      <c r="BD5" s="3"/>
      <c r="BE5" s="3"/>
      <c r="BF5" s="3"/>
      <c r="BG5" s="3"/>
      <c r="BH5" s="3"/>
      <c r="BI5" s="3"/>
      <c r="BJ5" s="3"/>
      <c r="BK5" s="3"/>
      <c r="BL5" s="3"/>
      <c r="BM5" s="3"/>
      <c r="BN5" s="3"/>
      <c r="BO5" s="3"/>
      <c r="BP5" s="3"/>
      <c r="BQ5" s="3"/>
    </row>
    <row r="6" spans="1:69" s="45" customFormat="1" x14ac:dyDescent="0.2">
      <c r="A6" s="1073"/>
      <c r="B6" s="1073"/>
      <c r="C6" s="992" t="s">
        <v>275</v>
      </c>
      <c r="D6" s="993"/>
      <c r="E6" s="993"/>
      <c r="F6" s="993"/>
      <c r="G6" s="993"/>
      <c r="H6" s="993"/>
      <c r="I6" s="993"/>
      <c r="J6" s="993"/>
      <c r="K6" s="993"/>
      <c r="L6" s="993"/>
      <c r="M6" s="993"/>
      <c r="N6" s="993"/>
      <c r="O6" s="993"/>
      <c r="P6" s="993"/>
      <c r="Q6" s="993"/>
      <c r="R6" s="993"/>
      <c r="S6" s="993"/>
      <c r="T6" s="993"/>
      <c r="U6" s="993"/>
      <c r="V6" s="993"/>
      <c r="W6" s="993"/>
      <c r="X6" s="993"/>
      <c r="Y6" s="993"/>
      <c r="Z6" s="993"/>
      <c r="AA6" s="993"/>
      <c r="AB6" s="993"/>
      <c r="AC6" s="993"/>
      <c r="AD6" s="993"/>
      <c r="AE6" s="993"/>
      <c r="AF6" s="993"/>
      <c r="AG6" s="993"/>
      <c r="AH6" s="993"/>
      <c r="AI6" s="993"/>
      <c r="AJ6" s="993"/>
      <c r="AK6" s="993"/>
      <c r="AL6" s="993"/>
      <c r="AM6" s="993"/>
      <c r="AN6" s="993"/>
      <c r="AO6" s="993"/>
      <c r="AP6" s="993"/>
      <c r="AQ6" s="993"/>
      <c r="AR6" s="993"/>
      <c r="AS6" s="993"/>
      <c r="AT6" s="993"/>
      <c r="AU6" s="993"/>
      <c r="AV6" s="993"/>
      <c r="AW6" s="993"/>
      <c r="AX6" s="52"/>
      <c r="AY6" s="53"/>
      <c r="AZ6" s="3"/>
      <c r="BA6" s="3"/>
      <c r="BB6" s="3"/>
      <c r="BC6" s="3"/>
      <c r="BD6" s="3"/>
      <c r="BE6" s="3"/>
      <c r="BF6" s="3"/>
      <c r="BG6" s="3"/>
      <c r="BH6" s="3"/>
      <c r="BI6" s="3"/>
      <c r="BJ6" s="3"/>
      <c r="BK6" s="3"/>
      <c r="BL6" s="3"/>
      <c r="BM6" s="3"/>
      <c r="BN6" s="3"/>
      <c r="BO6" s="3"/>
      <c r="BP6" s="3"/>
      <c r="BQ6" s="3"/>
    </row>
    <row r="7" spans="1:69" s="45" customFormat="1" x14ac:dyDescent="0.2">
      <c r="A7" s="1074"/>
      <c r="B7" s="1074"/>
      <c r="C7" s="10"/>
      <c r="D7" s="891"/>
      <c r="E7" s="10"/>
      <c r="F7" s="891"/>
      <c r="G7" s="10"/>
      <c r="H7" s="891"/>
      <c r="I7" s="10"/>
      <c r="J7" s="891"/>
      <c r="K7" s="10"/>
      <c r="L7" s="891"/>
      <c r="M7" s="10"/>
      <c r="N7" s="891"/>
      <c r="O7" s="54"/>
      <c r="P7" s="54"/>
      <c r="Q7" s="54"/>
      <c r="R7" s="10"/>
      <c r="S7" s="891"/>
      <c r="T7" s="10"/>
      <c r="U7" s="891"/>
      <c r="V7" s="891"/>
      <c r="W7" s="891"/>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5"/>
      <c r="AZ7" s="3"/>
      <c r="BA7" s="3"/>
      <c r="BB7" s="3"/>
      <c r="BC7" s="3"/>
      <c r="BD7" s="3"/>
      <c r="BE7" s="3"/>
      <c r="BF7" s="3"/>
      <c r="BG7" s="3"/>
      <c r="BH7" s="3"/>
      <c r="BI7" s="3"/>
      <c r="BJ7" s="3"/>
      <c r="BK7" s="3"/>
      <c r="BL7" s="3"/>
      <c r="BM7" s="3"/>
      <c r="BN7" s="3"/>
      <c r="BO7" s="3"/>
      <c r="BP7" s="3"/>
      <c r="BQ7" s="3"/>
    </row>
    <row r="8" spans="1:69" x14ac:dyDescent="0.2">
      <c r="A8" s="966" t="s">
        <v>9</v>
      </c>
      <c r="B8" s="967"/>
      <c r="C8" s="966" t="s">
        <v>10</v>
      </c>
      <c r="D8" s="967"/>
      <c r="E8" s="966" t="s">
        <v>11</v>
      </c>
      <c r="F8" s="967"/>
      <c r="G8" s="966" t="s">
        <v>12</v>
      </c>
      <c r="H8" s="970"/>
      <c r="I8" s="970"/>
      <c r="J8" s="967"/>
      <c r="K8" s="1067" t="s">
        <v>13</v>
      </c>
      <c r="L8" s="1068"/>
      <c r="M8" s="1068"/>
      <c r="N8" s="1069"/>
      <c r="O8" s="1067" t="s">
        <v>14</v>
      </c>
      <c r="P8" s="1068"/>
      <c r="Q8" s="1069"/>
      <c r="R8" s="1008" t="s">
        <v>15</v>
      </c>
      <c r="S8" s="1008"/>
      <c r="T8" s="1008"/>
      <c r="U8" s="1008"/>
      <c r="V8" s="1008"/>
      <c r="W8" s="1008"/>
      <c r="X8" s="1008"/>
      <c r="Y8" s="281"/>
      <c r="Z8" s="281"/>
      <c r="AA8" s="281"/>
      <c r="AB8" s="281"/>
      <c r="AC8" s="82"/>
      <c r="AD8" s="82"/>
      <c r="AE8" s="82"/>
      <c r="AF8" s="83"/>
      <c r="AG8" s="1002" t="s">
        <v>16</v>
      </c>
      <c r="AH8" s="1003"/>
      <c r="AI8" s="1003"/>
      <c r="AJ8" s="1003"/>
      <c r="AK8" s="1003"/>
      <c r="AL8" s="1003"/>
      <c r="AM8" s="1003"/>
      <c r="AN8" s="1003"/>
      <c r="AO8" s="1003"/>
      <c r="AP8" s="1003"/>
      <c r="AQ8" s="1003"/>
      <c r="AR8" s="1003"/>
      <c r="AS8" s="1003"/>
      <c r="AT8" s="1003"/>
      <c r="AU8" s="1003"/>
      <c r="AV8" s="1004"/>
      <c r="AW8" s="994" t="s">
        <v>17</v>
      </c>
      <c r="AX8" s="994" t="s">
        <v>18</v>
      </c>
      <c r="AY8" s="994" t="s">
        <v>19</v>
      </c>
    </row>
    <row r="9" spans="1:69" s="46" customFormat="1" x14ac:dyDescent="0.2">
      <c r="A9" s="968"/>
      <c r="B9" s="969"/>
      <c r="C9" s="968"/>
      <c r="D9" s="969"/>
      <c r="E9" s="968"/>
      <c r="F9" s="969"/>
      <c r="G9" s="968"/>
      <c r="H9" s="971"/>
      <c r="I9" s="971"/>
      <c r="J9" s="969"/>
      <c r="K9" s="1070"/>
      <c r="L9" s="1071"/>
      <c r="M9" s="1071"/>
      <c r="N9" s="1072"/>
      <c r="O9" s="1070"/>
      <c r="P9" s="1071"/>
      <c r="Q9" s="1072"/>
      <c r="R9" s="1009"/>
      <c r="S9" s="1009"/>
      <c r="T9" s="1009"/>
      <c r="U9" s="1009"/>
      <c r="V9" s="1009"/>
      <c r="W9" s="1009"/>
      <c r="X9" s="1009"/>
      <c r="Y9" s="282"/>
      <c r="Z9" s="282"/>
      <c r="AA9" s="282"/>
      <c r="AB9" s="282"/>
      <c r="AC9" s="997" t="s">
        <v>20</v>
      </c>
      <c r="AD9" s="997"/>
      <c r="AE9" s="997"/>
      <c r="AF9" s="997"/>
      <c r="AG9" s="997" t="s">
        <v>21</v>
      </c>
      <c r="AH9" s="1075"/>
      <c r="AI9" s="999" t="s">
        <v>22</v>
      </c>
      <c r="AJ9" s="1075"/>
      <c r="AK9" s="1075"/>
      <c r="AL9" s="1075"/>
      <c r="AM9" s="1000" t="s">
        <v>23</v>
      </c>
      <c r="AN9" s="1075"/>
      <c r="AO9" s="1075"/>
      <c r="AP9" s="1075"/>
      <c r="AQ9" s="1075"/>
      <c r="AR9" s="1075"/>
      <c r="AS9" s="999" t="s">
        <v>24</v>
      </c>
      <c r="AT9" s="1075"/>
      <c r="AU9" s="1075"/>
      <c r="AV9" s="1001" t="s">
        <v>25</v>
      </c>
      <c r="AW9" s="995"/>
      <c r="AX9" s="995"/>
      <c r="AY9" s="995"/>
      <c r="AZ9" s="14"/>
      <c r="BA9" s="14"/>
      <c r="BB9" s="14"/>
      <c r="BC9" s="14"/>
      <c r="BD9" s="14"/>
      <c r="BE9" s="14"/>
      <c r="BF9" s="14"/>
      <c r="BG9" s="14"/>
      <c r="BH9" s="14"/>
      <c r="BI9" s="14"/>
      <c r="BJ9" s="14"/>
      <c r="BK9" s="14"/>
      <c r="BL9" s="14"/>
      <c r="BM9" s="14"/>
      <c r="BN9" s="14"/>
    </row>
    <row r="10" spans="1:69" s="47" customFormat="1" ht="78.75" customHeight="1" x14ac:dyDescent="0.2">
      <c r="A10" s="16" t="s">
        <v>26</v>
      </c>
      <c r="B10" s="877" t="s">
        <v>27</v>
      </c>
      <c r="C10" s="16" t="s">
        <v>26</v>
      </c>
      <c r="D10" s="877" t="s">
        <v>27</v>
      </c>
      <c r="E10" s="17" t="s">
        <v>26</v>
      </c>
      <c r="F10" s="877" t="s">
        <v>27</v>
      </c>
      <c r="G10" s="18" t="s">
        <v>28</v>
      </c>
      <c r="H10" s="878" t="s">
        <v>29</v>
      </c>
      <c r="I10" s="18" t="s">
        <v>30</v>
      </c>
      <c r="J10" s="878" t="s">
        <v>31</v>
      </c>
      <c r="K10" s="18" t="s">
        <v>28</v>
      </c>
      <c r="L10" s="878" t="s">
        <v>32</v>
      </c>
      <c r="M10" s="18" t="s">
        <v>33</v>
      </c>
      <c r="N10" s="878" t="s">
        <v>34</v>
      </c>
      <c r="O10" s="18" t="s">
        <v>35</v>
      </c>
      <c r="P10" s="18" t="s">
        <v>36</v>
      </c>
      <c r="Q10" s="18" t="s">
        <v>37</v>
      </c>
      <c r="R10" s="17" t="s">
        <v>38</v>
      </c>
      <c r="S10" s="877" t="s">
        <v>39</v>
      </c>
      <c r="T10" s="19" t="s">
        <v>40</v>
      </c>
      <c r="U10" s="877" t="s">
        <v>41</v>
      </c>
      <c r="V10" s="877" t="s">
        <v>42</v>
      </c>
      <c r="W10" s="877" t="s">
        <v>43</v>
      </c>
      <c r="X10" s="20" t="s">
        <v>44</v>
      </c>
      <c r="Y10" s="660" t="s">
        <v>45</v>
      </c>
      <c r="Z10" s="659" t="s">
        <v>46</v>
      </c>
      <c r="AA10" s="659" t="s">
        <v>47</v>
      </c>
      <c r="AB10" s="660" t="s">
        <v>48</v>
      </c>
      <c r="AC10" s="16" t="s">
        <v>49</v>
      </c>
      <c r="AD10" s="17" t="s">
        <v>50</v>
      </c>
      <c r="AE10" s="17" t="s">
        <v>51</v>
      </c>
      <c r="AF10" s="17" t="s">
        <v>52</v>
      </c>
      <c r="AG10" s="21" t="s">
        <v>53</v>
      </c>
      <c r="AH10" s="22" t="s">
        <v>54</v>
      </c>
      <c r="AI10" s="21" t="s">
        <v>55</v>
      </c>
      <c r="AJ10" s="21" t="s">
        <v>56</v>
      </c>
      <c r="AK10" s="21" t="s">
        <v>57</v>
      </c>
      <c r="AL10" s="21" t="s">
        <v>58</v>
      </c>
      <c r="AM10" s="21" t="s">
        <v>59</v>
      </c>
      <c r="AN10" s="21" t="s">
        <v>60</v>
      </c>
      <c r="AO10" s="21" t="s">
        <v>61</v>
      </c>
      <c r="AP10" s="21" t="s">
        <v>62</v>
      </c>
      <c r="AQ10" s="21" t="s">
        <v>63</v>
      </c>
      <c r="AR10" s="21" t="s">
        <v>64</v>
      </c>
      <c r="AS10" s="21" t="s">
        <v>65</v>
      </c>
      <c r="AT10" s="21" t="s">
        <v>66</v>
      </c>
      <c r="AU10" s="21" t="s">
        <v>67</v>
      </c>
      <c r="AV10" s="1001"/>
      <c r="AW10" s="996"/>
      <c r="AX10" s="996"/>
      <c r="AY10" s="996"/>
      <c r="AZ10" s="14"/>
      <c r="BA10" s="14"/>
      <c r="BB10" s="14"/>
      <c r="BC10" s="14"/>
      <c r="BD10" s="14"/>
      <c r="BE10" s="14"/>
      <c r="BF10" s="14"/>
      <c r="BG10" s="14"/>
      <c r="BH10" s="14"/>
      <c r="BI10" s="14"/>
      <c r="BJ10" s="14"/>
      <c r="BK10" s="14"/>
      <c r="BL10" s="14"/>
      <c r="BM10" s="14"/>
      <c r="BN10" s="14"/>
    </row>
    <row r="11" spans="1:69" ht="117.75" customHeight="1" x14ac:dyDescent="0.2">
      <c r="A11" s="65">
        <v>4</v>
      </c>
      <c r="B11" s="880" t="s">
        <v>124</v>
      </c>
      <c r="C11" s="28">
        <v>45</v>
      </c>
      <c r="D11" s="34" t="s">
        <v>68</v>
      </c>
      <c r="E11" s="28">
        <v>4599</v>
      </c>
      <c r="F11" s="34" t="s">
        <v>276</v>
      </c>
      <c r="G11" s="28" t="s">
        <v>70</v>
      </c>
      <c r="H11" s="475" t="s">
        <v>277</v>
      </c>
      <c r="I11" s="28">
        <v>4599002</v>
      </c>
      <c r="J11" s="475" t="s">
        <v>90</v>
      </c>
      <c r="K11" s="28" t="s">
        <v>70</v>
      </c>
      <c r="L11" s="329" t="s">
        <v>278</v>
      </c>
      <c r="M11" s="28">
        <v>459900201</v>
      </c>
      <c r="N11" s="329" t="s">
        <v>279</v>
      </c>
      <c r="O11" s="28">
        <v>1</v>
      </c>
      <c r="P11" s="476"/>
      <c r="Q11" s="476">
        <v>1</v>
      </c>
      <c r="R11" s="24">
        <v>2020003630048</v>
      </c>
      <c r="S11" s="329" t="s">
        <v>280</v>
      </c>
      <c r="T11" s="25">
        <f>SUM($X$11:$X$22)/SUM($X$11:$X$22)</f>
        <v>1</v>
      </c>
      <c r="U11" s="329" t="s">
        <v>281</v>
      </c>
      <c r="V11" s="329" t="s">
        <v>282</v>
      </c>
      <c r="W11" s="329" t="s">
        <v>283</v>
      </c>
      <c r="X11" s="477">
        <v>739011623</v>
      </c>
      <c r="Y11" s="477">
        <f>15000000</f>
        <v>15000000</v>
      </c>
      <c r="Z11" s="477"/>
      <c r="AA11" s="477"/>
      <c r="AB11" s="477">
        <f>X11-Y11+Z11-AA11</f>
        <v>724011623</v>
      </c>
      <c r="AC11" s="65" t="s">
        <v>284</v>
      </c>
      <c r="AD11" s="204"/>
      <c r="AE11" s="24">
        <v>20</v>
      </c>
      <c r="AF11" s="23" t="s">
        <v>132</v>
      </c>
      <c r="AG11" s="37">
        <v>295972</v>
      </c>
      <c r="AH11" s="37">
        <v>285580</v>
      </c>
      <c r="AI11" s="478">
        <v>135545</v>
      </c>
      <c r="AJ11" s="478">
        <v>44254</v>
      </c>
      <c r="AK11" s="478">
        <v>309146</v>
      </c>
      <c r="AL11" s="478">
        <v>92607</v>
      </c>
      <c r="AM11" s="478">
        <v>2145</v>
      </c>
      <c r="AN11" s="478">
        <v>12718</v>
      </c>
      <c r="AO11" s="478">
        <v>26</v>
      </c>
      <c r="AP11" s="478">
        <v>37</v>
      </c>
      <c r="AQ11" s="478" t="s">
        <v>285</v>
      </c>
      <c r="AR11" s="478" t="s">
        <v>285</v>
      </c>
      <c r="AS11" s="478">
        <v>44350</v>
      </c>
      <c r="AT11" s="478">
        <v>21944</v>
      </c>
      <c r="AU11" s="478">
        <v>75687</v>
      </c>
      <c r="AV11" s="37">
        <f t="shared" ref="AV11:AV18" si="0">AG11+AH11</f>
        <v>581552</v>
      </c>
      <c r="AW11" s="31">
        <v>45293</v>
      </c>
      <c r="AX11" s="31">
        <v>45657</v>
      </c>
      <c r="AY11" s="23" t="s">
        <v>286</v>
      </c>
    </row>
    <row r="12" spans="1:69" ht="121.5" customHeight="1" x14ac:dyDescent="0.2">
      <c r="A12" s="65">
        <v>4</v>
      </c>
      <c r="B12" s="880" t="s">
        <v>124</v>
      </c>
      <c r="C12" s="28">
        <v>45</v>
      </c>
      <c r="D12" s="34" t="s">
        <v>68</v>
      </c>
      <c r="E12" s="28">
        <v>4599</v>
      </c>
      <c r="F12" s="34" t="s">
        <v>276</v>
      </c>
      <c r="G12" s="28" t="s">
        <v>70</v>
      </c>
      <c r="H12" s="475" t="s">
        <v>277</v>
      </c>
      <c r="I12" s="28">
        <v>4599002</v>
      </c>
      <c r="J12" s="475" t="s">
        <v>90</v>
      </c>
      <c r="K12" s="28" t="s">
        <v>70</v>
      </c>
      <c r="L12" s="329" t="s">
        <v>278</v>
      </c>
      <c r="M12" s="28">
        <v>459900201</v>
      </c>
      <c r="N12" s="329" t="s">
        <v>279</v>
      </c>
      <c r="O12" s="28">
        <v>1</v>
      </c>
      <c r="P12" s="476"/>
      <c r="Q12" s="476">
        <v>1</v>
      </c>
      <c r="R12" s="24">
        <v>2020003630048</v>
      </c>
      <c r="S12" s="329" t="s">
        <v>280</v>
      </c>
      <c r="T12" s="25">
        <f t="shared" ref="T12:T22" si="1">SUM($X$11:$X$22)/SUM($X$11:$X$22)</f>
        <v>1</v>
      </c>
      <c r="U12" s="329" t="s">
        <v>281</v>
      </c>
      <c r="V12" s="329" t="s">
        <v>282</v>
      </c>
      <c r="W12" s="329" t="s">
        <v>283</v>
      </c>
      <c r="X12" s="477">
        <v>11000000</v>
      </c>
      <c r="Y12" s="477"/>
      <c r="Z12" s="477"/>
      <c r="AA12" s="477"/>
      <c r="AB12" s="477">
        <f t="shared" ref="AB12:AB22" si="2">X12-Y12+Z12-AA12</f>
        <v>11000000</v>
      </c>
      <c r="AC12" s="65" t="s">
        <v>287</v>
      </c>
      <c r="AD12" s="204"/>
      <c r="AE12" s="24">
        <v>56</v>
      </c>
      <c r="AF12" s="23" t="s">
        <v>288</v>
      </c>
      <c r="AG12" s="37">
        <v>295972</v>
      </c>
      <c r="AH12" s="37">
        <v>285580</v>
      </c>
      <c r="AI12" s="478">
        <v>135545</v>
      </c>
      <c r="AJ12" s="478">
        <v>44254</v>
      </c>
      <c r="AK12" s="478">
        <v>309146</v>
      </c>
      <c r="AL12" s="478">
        <v>92607</v>
      </c>
      <c r="AM12" s="478">
        <v>2145</v>
      </c>
      <c r="AN12" s="478">
        <v>12718</v>
      </c>
      <c r="AO12" s="478">
        <v>26</v>
      </c>
      <c r="AP12" s="478">
        <v>37</v>
      </c>
      <c r="AQ12" s="478" t="s">
        <v>285</v>
      </c>
      <c r="AR12" s="478" t="s">
        <v>285</v>
      </c>
      <c r="AS12" s="478">
        <v>44350</v>
      </c>
      <c r="AT12" s="478">
        <v>21944</v>
      </c>
      <c r="AU12" s="478">
        <v>75687</v>
      </c>
      <c r="AV12" s="37">
        <f t="shared" si="0"/>
        <v>581552</v>
      </c>
      <c r="AW12" s="31">
        <v>45293</v>
      </c>
      <c r="AX12" s="31">
        <v>45657</v>
      </c>
      <c r="AY12" s="23" t="s">
        <v>286</v>
      </c>
    </row>
    <row r="13" spans="1:69" ht="124.5" customHeight="1" x14ac:dyDescent="0.2">
      <c r="A13" s="65">
        <v>4</v>
      </c>
      <c r="B13" s="880" t="s">
        <v>124</v>
      </c>
      <c r="C13" s="28">
        <v>45</v>
      </c>
      <c r="D13" s="34" t="s">
        <v>68</v>
      </c>
      <c r="E13" s="28">
        <v>4599</v>
      </c>
      <c r="F13" s="34" t="s">
        <v>276</v>
      </c>
      <c r="G13" s="28" t="s">
        <v>70</v>
      </c>
      <c r="H13" s="475" t="s">
        <v>277</v>
      </c>
      <c r="I13" s="28">
        <v>4599002</v>
      </c>
      <c r="J13" s="475" t="s">
        <v>90</v>
      </c>
      <c r="K13" s="28" t="s">
        <v>70</v>
      </c>
      <c r="L13" s="329" t="s">
        <v>278</v>
      </c>
      <c r="M13" s="28">
        <v>459900201</v>
      </c>
      <c r="N13" s="329" t="s">
        <v>279</v>
      </c>
      <c r="O13" s="28">
        <v>1</v>
      </c>
      <c r="P13" s="476"/>
      <c r="Q13" s="476">
        <v>1</v>
      </c>
      <c r="R13" s="24">
        <v>2020003630048</v>
      </c>
      <c r="S13" s="329" t="s">
        <v>280</v>
      </c>
      <c r="T13" s="25">
        <f t="shared" si="1"/>
        <v>1</v>
      </c>
      <c r="U13" s="329" t="s">
        <v>281</v>
      </c>
      <c r="V13" s="329" t="s">
        <v>282</v>
      </c>
      <c r="W13" s="329" t="s">
        <v>283</v>
      </c>
      <c r="X13" s="477">
        <v>5000000</v>
      </c>
      <c r="Y13" s="477"/>
      <c r="Z13" s="477"/>
      <c r="AA13" s="477"/>
      <c r="AB13" s="477">
        <f t="shared" si="2"/>
        <v>5000000</v>
      </c>
      <c r="AC13" s="65" t="s">
        <v>289</v>
      </c>
      <c r="AD13" s="204"/>
      <c r="AE13" s="24">
        <v>20</v>
      </c>
      <c r="AF13" s="23" t="s">
        <v>132</v>
      </c>
      <c r="AG13" s="37">
        <v>295972</v>
      </c>
      <c r="AH13" s="37">
        <v>285580</v>
      </c>
      <c r="AI13" s="478">
        <v>135545</v>
      </c>
      <c r="AJ13" s="478">
        <v>44254</v>
      </c>
      <c r="AK13" s="478">
        <v>309146</v>
      </c>
      <c r="AL13" s="478">
        <v>92607</v>
      </c>
      <c r="AM13" s="478">
        <v>2145</v>
      </c>
      <c r="AN13" s="478">
        <v>12718</v>
      </c>
      <c r="AO13" s="478">
        <v>26</v>
      </c>
      <c r="AP13" s="478">
        <v>37</v>
      </c>
      <c r="AQ13" s="478" t="s">
        <v>285</v>
      </c>
      <c r="AR13" s="478" t="s">
        <v>285</v>
      </c>
      <c r="AS13" s="478">
        <v>44350</v>
      </c>
      <c r="AT13" s="478">
        <v>21944</v>
      </c>
      <c r="AU13" s="478">
        <v>75687</v>
      </c>
      <c r="AV13" s="37">
        <f t="shared" si="0"/>
        <v>581552</v>
      </c>
      <c r="AW13" s="31">
        <v>45293</v>
      </c>
      <c r="AX13" s="31">
        <v>45657</v>
      </c>
      <c r="AY13" s="23" t="s">
        <v>286</v>
      </c>
    </row>
    <row r="14" spans="1:69" ht="124.5" customHeight="1" x14ac:dyDescent="0.2">
      <c r="A14" s="65">
        <v>4</v>
      </c>
      <c r="B14" s="880" t="s">
        <v>124</v>
      </c>
      <c r="C14" s="28">
        <v>45</v>
      </c>
      <c r="D14" s="34" t="s">
        <v>68</v>
      </c>
      <c r="E14" s="28">
        <v>4599</v>
      </c>
      <c r="F14" s="34" t="s">
        <v>276</v>
      </c>
      <c r="G14" s="28" t="s">
        <v>70</v>
      </c>
      <c r="H14" s="475" t="s">
        <v>277</v>
      </c>
      <c r="I14" s="28">
        <v>4599002</v>
      </c>
      <c r="J14" s="475" t="s">
        <v>90</v>
      </c>
      <c r="K14" s="28" t="s">
        <v>70</v>
      </c>
      <c r="L14" s="329" t="s">
        <v>278</v>
      </c>
      <c r="M14" s="28">
        <v>459900201</v>
      </c>
      <c r="N14" s="329" t="s">
        <v>279</v>
      </c>
      <c r="O14" s="28">
        <v>1</v>
      </c>
      <c r="P14" s="476"/>
      <c r="Q14" s="476">
        <v>1</v>
      </c>
      <c r="R14" s="24">
        <v>2020003630048</v>
      </c>
      <c r="S14" s="329" t="s">
        <v>280</v>
      </c>
      <c r="T14" s="25">
        <f t="shared" si="1"/>
        <v>1</v>
      </c>
      <c r="U14" s="329" t="s">
        <v>281</v>
      </c>
      <c r="V14" s="329" t="s">
        <v>282</v>
      </c>
      <c r="W14" s="329" t="s">
        <v>283</v>
      </c>
      <c r="X14" s="477">
        <v>5000000</v>
      </c>
      <c r="Y14" s="477"/>
      <c r="Z14" s="477"/>
      <c r="AA14" s="477"/>
      <c r="AB14" s="477">
        <f t="shared" si="2"/>
        <v>5000000</v>
      </c>
      <c r="AC14" s="65" t="s">
        <v>290</v>
      </c>
      <c r="AD14" s="204"/>
      <c r="AE14" s="24">
        <v>56</v>
      </c>
      <c r="AF14" s="23" t="s">
        <v>288</v>
      </c>
      <c r="AG14" s="37">
        <v>295972</v>
      </c>
      <c r="AH14" s="37">
        <v>285580</v>
      </c>
      <c r="AI14" s="478">
        <v>135545</v>
      </c>
      <c r="AJ14" s="478">
        <v>44254</v>
      </c>
      <c r="AK14" s="478">
        <v>309146</v>
      </c>
      <c r="AL14" s="478">
        <v>92607</v>
      </c>
      <c r="AM14" s="478">
        <v>2145</v>
      </c>
      <c r="AN14" s="478">
        <v>12718</v>
      </c>
      <c r="AO14" s="478">
        <v>26</v>
      </c>
      <c r="AP14" s="478">
        <v>37</v>
      </c>
      <c r="AQ14" s="478" t="s">
        <v>285</v>
      </c>
      <c r="AR14" s="478" t="s">
        <v>285</v>
      </c>
      <c r="AS14" s="478">
        <v>44350</v>
      </c>
      <c r="AT14" s="478">
        <v>21944</v>
      </c>
      <c r="AU14" s="478">
        <v>75687</v>
      </c>
      <c r="AV14" s="37">
        <f t="shared" si="0"/>
        <v>581552</v>
      </c>
      <c r="AW14" s="31">
        <v>45293</v>
      </c>
      <c r="AX14" s="31">
        <v>45657</v>
      </c>
      <c r="AY14" s="23" t="s">
        <v>286</v>
      </c>
    </row>
    <row r="15" spans="1:69" ht="124.5" customHeight="1" x14ac:dyDescent="0.2">
      <c r="A15" s="65">
        <v>4</v>
      </c>
      <c r="B15" s="880" t="s">
        <v>124</v>
      </c>
      <c r="C15" s="28">
        <v>45</v>
      </c>
      <c r="D15" s="34" t="s">
        <v>68</v>
      </c>
      <c r="E15" s="28">
        <v>4599</v>
      </c>
      <c r="F15" s="34" t="s">
        <v>276</v>
      </c>
      <c r="G15" s="28" t="s">
        <v>70</v>
      </c>
      <c r="H15" s="475" t="s">
        <v>277</v>
      </c>
      <c r="I15" s="28">
        <v>4599002</v>
      </c>
      <c r="J15" s="475" t="s">
        <v>90</v>
      </c>
      <c r="K15" s="28" t="s">
        <v>70</v>
      </c>
      <c r="L15" s="329" t="s">
        <v>278</v>
      </c>
      <c r="M15" s="28">
        <v>459900201</v>
      </c>
      <c r="N15" s="329" t="s">
        <v>279</v>
      </c>
      <c r="O15" s="28">
        <v>1</v>
      </c>
      <c r="P15" s="476"/>
      <c r="Q15" s="476">
        <v>1</v>
      </c>
      <c r="R15" s="24">
        <v>2020003630048</v>
      </c>
      <c r="S15" s="329" t="s">
        <v>280</v>
      </c>
      <c r="T15" s="25">
        <f t="shared" si="1"/>
        <v>1</v>
      </c>
      <c r="U15" s="329" t="s">
        <v>281</v>
      </c>
      <c r="V15" s="329" t="s">
        <v>282</v>
      </c>
      <c r="W15" s="329" t="s">
        <v>283</v>
      </c>
      <c r="X15" s="477">
        <v>1142488377</v>
      </c>
      <c r="Y15" s="477">
        <f>60000000</f>
        <v>60000000</v>
      </c>
      <c r="Z15" s="477"/>
      <c r="AA15" s="477"/>
      <c r="AB15" s="477">
        <f t="shared" si="2"/>
        <v>1082488377</v>
      </c>
      <c r="AC15" s="65" t="s">
        <v>291</v>
      </c>
      <c r="AD15" s="204"/>
      <c r="AE15" s="24">
        <v>20</v>
      </c>
      <c r="AF15" s="23" t="s">
        <v>132</v>
      </c>
      <c r="AG15" s="37">
        <v>295972</v>
      </c>
      <c r="AH15" s="37">
        <v>285580</v>
      </c>
      <c r="AI15" s="478">
        <v>135545</v>
      </c>
      <c r="AJ15" s="478">
        <v>44254</v>
      </c>
      <c r="AK15" s="478">
        <v>309146</v>
      </c>
      <c r="AL15" s="478">
        <v>92607</v>
      </c>
      <c r="AM15" s="478">
        <v>2145</v>
      </c>
      <c r="AN15" s="478">
        <v>12718</v>
      </c>
      <c r="AO15" s="478">
        <v>26</v>
      </c>
      <c r="AP15" s="478">
        <v>37</v>
      </c>
      <c r="AQ15" s="478" t="s">
        <v>285</v>
      </c>
      <c r="AR15" s="478" t="s">
        <v>285</v>
      </c>
      <c r="AS15" s="478">
        <v>44350</v>
      </c>
      <c r="AT15" s="478">
        <v>21944</v>
      </c>
      <c r="AU15" s="478">
        <v>75687</v>
      </c>
      <c r="AV15" s="37">
        <f t="shared" si="0"/>
        <v>581552</v>
      </c>
      <c r="AW15" s="31">
        <v>45293</v>
      </c>
      <c r="AX15" s="31">
        <v>45657</v>
      </c>
      <c r="AY15" s="23" t="s">
        <v>286</v>
      </c>
    </row>
    <row r="16" spans="1:69" ht="124.5" customHeight="1" x14ac:dyDescent="0.2">
      <c r="A16" s="65">
        <v>4</v>
      </c>
      <c r="B16" s="880" t="s">
        <v>124</v>
      </c>
      <c r="C16" s="28">
        <v>45</v>
      </c>
      <c r="D16" s="34" t="s">
        <v>68</v>
      </c>
      <c r="E16" s="28">
        <v>4599</v>
      </c>
      <c r="F16" s="34" t="s">
        <v>276</v>
      </c>
      <c r="G16" s="28" t="s">
        <v>70</v>
      </c>
      <c r="H16" s="475" t="s">
        <v>277</v>
      </c>
      <c r="I16" s="28">
        <v>4599002</v>
      </c>
      <c r="J16" s="475" t="s">
        <v>90</v>
      </c>
      <c r="K16" s="28" t="s">
        <v>70</v>
      </c>
      <c r="L16" s="329" t="s">
        <v>278</v>
      </c>
      <c r="M16" s="28">
        <v>459900201</v>
      </c>
      <c r="N16" s="329" t="s">
        <v>279</v>
      </c>
      <c r="O16" s="28">
        <v>1</v>
      </c>
      <c r="P16" s="476"/>
      <c r="Q16" s="476">
        <v>1</v>
      </c>
      <c r="R16" s="24">
        <v>2020003630048</v>
      </c>
      <c r="S16" s="329" t="s">
        <v>280</v>
      </c>
      <c r="T16" s="25">
        <f t="shared" si="1"/>
        <v>1</v>
      </c>
      <c r="U16" s="329" t="s">
        <v>281</v>
      </c>
      <c r="V16" s="329" t="s">
        <v>282</v>
      </c>
      <c r="W16" s="329" t="s">
        <v>283</v>
      </c>
      <c r="X16" s="477">
        <v>7500000</v>
      </c>
      <c r="Y16" s="477"/>
      <c r="Z16" s="477"/>
      <c r="AA16" s="477"/>
      <c r="AB16" s="477">
        <f t="shared" si="2"/>
        <v>7500000</v>
      </c>
      <c r="AC16" s="65" t="s">
        <v>292</v>
      </c>
      <c r="AD16" s="204"/>
      <c r="AE16" s="24">
        <v>56</v>
      </c>
      <c r="AF16" s="23" t="s">
        <v>288</v>
      </c>
      <c r="AG16" s="37">
        <v>295972</v>
      </c>
      <c r="AH16" s="37">
        <v>285580</v>
      </c>
      <c r="AI16" s="478">
        <v>135545</v>
      </c>
      <c r="AJ16" s="478">
        <v>44254</v>
      </c>
      <c r="AK16" s="478">
        <v>309146</v>
      </c>
      <c r="AL16" s="478">
        <v>92607</v>
      </c>
      <c r="AM16" s="478">
        <v>2145</v>
      </c>
      <c r="AN16" s="478">
        <v>12718</v>
      </c>
      <c r="AO16" s="478">
        <v>26</v>
      </c>
      <c r="AP16" s="478">
        <v>37</v>
      </c>
      <c r="AQ16" s="478" t="s">
        <v>285</v>
      </c>
      <c r="AR16" s="478" t="s">
        <v>285</v>
      </c>
      <c r="AS16" s="478">
        <v>44350</v>
      </c>
      <c r="AT16" s="478">
        <v>21944</v>
      </c>
      <c r="AU16" s="478">
        <v>75687</v>
      </c>
      <c r="AV16" s="37">
        <f t="shared" si="0"/>
        <v>581552</v>
      </c>
      <c r="AW16" s="31">
        <v>45293</v>
      </c>
      <c r="AX16" s="31">
        <v>45657</v>
      </c>
      <c r="AY16" s="23" t="s">
        <v>286</v>
      </c>
    </row>
    <row r="17" spans="1:51" ht="124.5" customHeight="1" x14ac:dyDescent="0.2">
      <c r="A17" s="65">
        <v>4</v>
      </c>
      <c r="B17" s="880" t="s">
        <v>124</v>
      </c>
      <c r="C17" s="28">
        <v>45</v>
      </c>
      <c r="D17" s="34" t="s">
        <v>68</v>
      </c>
      <c r="E17" s="28">
        <v>4599</v>
      </c>
      <c r="F17" s="34" t="s">
        <v>276</v>
      </c>
      <c r="G17" s="28" t="s">
        <v>70</v>
      </c>
      <c r="H17" s="475" t="s">
        <v>277</v>
      </c>
      <c r="I17" s="28">
        <v>4599002</v>
      </c>
      <c r="J17" s="475" t="s">
        <v>90</v>
      </c>
      <c r="K17" s="28" t="s">
        <v>70</v>
      </c>
      <c r="L17" s="329" t="s">
        <v>278</v>
      </c>
      <c r="M17" s="28">
        <v>459900201</v>
      </c>
      <c r="N17" s="329" t="s">
        <v>279</v>
      </c>
      <c r="O17" s="28">
        <v>1</v>
      </c>
      <c r="P17" s="476"/>
      <c r="Q17" s="476">
        <v>1</v>
      </c>
      <c r="R17" s="24">
        <v>2020003630048</v>
      </c>
      <c r="S17" s="329" t="s">
        <v>280</v>
      </c>
      <c r="T17" s="25">
        <f t="shared" si="1"/>
        <v>1</v>
      </c>
      <c r="U17" s="329" t="s">
        <v>281</v>
      </c>
      <c r="V17" s="329" t="s">
        <v>282</v>
      </c>
      <c r="W17" s="329" t="s">
        <v>283</v>
      </c>
      <c r="X17" s="477">
        <v>609019633.35000002</v>
      </c>
      <c r="Y17" s="477">
        <f>8600000+14800000+17200000+14800000+14800000+14800000+14800000+14800000+14800000+14800000+17200000+7200000+6540000+8000000+11100000+12900000</f>
        <v>207140000</v>
      </c>
      <c r="Z17" s="477"/>
      <c r="AA17" s="477"/>
      <c r="AB17" s="477">
        <f>X17-Y17+Z17-AA17</f>
        <v>401879633.35000002</v>
      </c>
      <c r="AC17" s="65" t="s">
        <v>293</v>
      </c>
      <c r="AD17" s="204"/>
      <c r="AE17" s="24">
        <v>20</v>
      </c>
      <c r="AF17" s="23" t="s">
        <v>132</v>
      </c>
      <c r="AG17" s="37">
        <v>295972</v>
      </c>
      <c r="AH17" s="37">
        <v>285580</v>
      </c>
      <c r="AI17" s="478">
        <v>135545</v>
      </c>
      <c r="AJ17" s="478">
        <v>44254</v>
      </c>
      <c r="AK17" s="478">
        <v>309146</v>
      </c>
      <c r="AL17" s="478">
        <v>92607</v>
      </c>
      <c r="AM17" s="478">
        <v>2145</v>
      </c>
      <c r="AN17" s="478">
        <v>12718</v>
      </c>
      <c r="AO17" s="478">
        <v>26</v>
      </c>
      <c r="AP17" s="478">
        <v>37</v>
      </c>
      <c r="AQ17" s="478" t="s">
        <v>285</v>
      </c>
      <c r="AR17" s="478" t="s">
        <v>285</v>
      </c>
      <c r="AS17" s="478">
        <v>44350</v>
      </c>
      <c r="AT17" s="478">
        <v>21944</v>
      </c>
      <c r="AU17" s="478">
        <v>75687</v>
      </c>
      <c r="AV17" s="37">
        <f t="shared" si="0"/>
        <v>581552</v>
      </c>
      <c r="AW17" s="31">
        <v>45293</v>
      </c>
      <c r="AX17" s="31">
        <v>45657</v>
      </c>
      <c r="AY17" s="23" t="s">
        <v>286</v>
      </c>
    </row>
    <row r="18" spans="1:51" ht="124.5" customHeight="1" x14ac:dyDescent="0.2">
      <c r="A18" s="65">
        <v>4</v>
      </c>
      <c r="B18" s="880" t="s">
        <v>124</v>
      </c>
      <c r="C18" s="28">
        <v>45</v>
      </c>
      <c r="D18" s="34" t="s">
        <v>68</v>
      </c>
      <c r="E18" s="28">
        <v>4599</v>
      </c>
      <c r="F18" s="34" t="s">
        <v>276</v>
      </c>
      <c r="G18" s="28" t="s">
        <v>70</v>
      </c>
      <c r="H18" s="475" t="s">
        <v>277</v>
      </c>
      <c r="I18" s="28">
        <v>4599002</v>
      </c>
      <c r="J18" s="475" t="s">
        <v>90</v>
      </c>
      <c r="K18" s="28" t="s">
        <v>70</v>
      </c>
      <c r="L18" s="329" t="s">
        <v>278</v>
      </c>
      <c r="M18" s="28">
        <v>459900201</v>
      </c>
      <c r="N18" s="329" t="s">
        <v>279</v>
      </c>
      <c r="O18" s="28">
        <v>1</v>
      </c>
      <c r="P18" s="476"/>
      <c r="Q18" s="476">
        <v>1</v>
      </c>
      <c r="R18" s="24">
        <v>2020003630048</v>
      </c>
      <c r="S18" s="329" t="s">
        <v>280</v>
      </c>
      <c r="T18" s="25">
        <f t="shared" si="1"/>
        <v>1</v>
      </c>
      <c r="U18" s="329" t="s">
        <v>281</v>
      </c>
      <c r="V18" s="329" t="s">
        <v>282</v>
      </c>
      <c r="W18" s="329" t="s">
        <v>283</v>
      </c>
      <c r="X18" s="477">
        <v>457000000</v>
      </c>
      <c r="Y18" s="477"/>
      <c r="Z18" s="477"/>
      <c r="AA18" s="477"/>
      <c r="AB18" s="477">
        <f t="shared" si="2"/>
        <v>457000000</v>
      </c>
      <c r="AC18" s="65" t="s">
        <v>294</v>
      </c>
      <c r="AD18" s="204"/>
      <c r="AE18" s="24">
        <v>56</v>
      </c>
      <c r="AF18" s="23" t="s">
        <v>288</v>
      </c>
      <c r="AG18" s="37">
        <v>295972</v>
      </c>
      <c r="AH18" s="37">
        <v>285580</v>
      </c>
      <c r="AI18" s="478">
        <v>135545</v>
      </c>
      <c r="AJ18" s="478">
        <v>44254</v>
      </c>
      <c r="AK18" s="478">
        <v>309146</v>
      </c>
      <c r="AL18" s="478">
        <v>92607</v>
      </c>
      <c r="AM18" s="478">
        <v>2145</v>
      </c>
      <c r="AN18" s="478">
        <v>12718</v>
      </c>
      <c r="AO18" s="478">
        <v>26</v>
      </c>
      <c r="AP18" s="478">
        <v>37</v>
      </c>
      <c r="AQ18" s="478" t="s">
        <v>285</v>
      </c>
      <c r="AR18" s="478" t="s">
        <v>285</v>
      </c>
      <c r="AS18" s="478">
        <v>44350</v>
      </c>
      <c r="AT18" s="478">
        <v>21944</v>
      </c>
      <c r="AU18" s="478">
        <v>75687</v>
      </c>
      <c r="AV18" s="37">
        <f t="shared" si="0"/>
        <v>581552</v>
      </c>
      <c r="AW18" s="31">
        <v>45293</v>
      </c>
      <c r="AX18" s="31">
        <v>45657</v>
      </c>
      <c r="AY18" s="23" t="s">
        <v>286</v>
      </c>
    </row>
    <row r="19" spans="1:51" ht="153.75" customHeight="1" x14ac:dyDescent="0.2">
      <c r="A19" s="65">
        <v>4</v>
      </c>
      <c r="B19" s="880" t="s">
        <v>124</v>
      </c>
      <c r="C19" s="28">
        <v>45</v>
      </c>
      <c r="D19" s="34" t="s">
        <v>68</v>
      </c>
      <c r="E19" s="28">
        <v>4599</v>
      </c>
      <c r="F19" s="34" t="s">
        <v>276</v>
      </c>
      <c r="G19" s="28" t="s">
        <v>70</v>
      </c>
      <c r="H19" s="475" t="s">
        <v>277</v>
      </c>
      <c r="I19" s="28">
        <v>4599002</v>
      </c>
      <c r="J19" s="475" t="s">
        <v>90</v>
      </c>
      <c r="K19" s="28" t="s">
        <v>70</v>
      </c>
      <c r="L19" s="329" t="s">
        <v>278</v>
      </c>
      <c r="M19" s="28">
        <v>459900201</v>
      </c>
      <c r="N19" s="329" t="s">
        <v>279</v>
      </c>
      <c r="O19" s="28">
        <v>1</v>
      </c>
      <c r="P19" s="476"/>
      <c r="Q19" s="476">
        <v>1</v>
      </c>
      <c r="R19" s="24">
        <v>2020003630048</v>
      </c>
      <c r="S19" s="329" t="s">
        <v>280</v>
      </c>
      <c r="T19" s="25">
        <f t="shared" si="1"/>
        <v>1</v>
      </c>
      <c r="U19" s="329" t="s">
        <v>281</v>
      </c>
      <c r="V19" s="329" t="s">
        <v>282</v>
      </c>
      <c r="W19" s="329" t="s">
        <v>295</v>
      </c>
      <c r="X19" s="477">
        <v>12548200</v>
      </c>
      <c r="Y19" s="477"/>
      <c r="Z19" s="477"/>
      <c r="AA19" s="477"/>
      <c r="AB19" s="477">
        <f t="shared" si="2"/>
        <v>12548200</v>
      </c>
      <c r="AC19" s="65" t="s">
        <v>284</v>
      </c>
      <c r="AD19" s="204"/>
      <c r="AE19" s="24">
        <v>20</v>
      </c>
      <c r="AF19" s="23" t="s">
        <v>132</v>
      </c>
      <c r="AG19" s="37">
        <v>295972</v>
      </c>
      <c r="AH19" s="37">
        <v>285580</v>
      </c>
      <c r="AI19" s="478">
        <v>135545</v>
      </c>
      <c r="AJ19" s="478">
        <v>44254</v>
      </c>
      <c r="AK19" s="478">
        <v>309146</v>
      </c>
      <c r="AL19" s="478">
        <v>92607</v>
      </c>
      <c r="AM19" s="478">
        <v>2145</v>
      </c>
      <c r="AN19" s="478">
        <v>12718</v>
      </c>
      <c r="AO19" s="478">
        <v>26</v>
      </c>
      <c r="AP19" s="478">
        <v>37</v>
      </c>
      <c r="AQ19" s="478" t="s">
        <v>285</v>
      </c>
      <c r="AR19" s="478" t="s">
        <v>285</v>
      </c>
      <c r="AS19" s="478">
        <v>44350</v>
      </c>
      <c r="AT19" s="478">
        <v>21944</v>
      </c>
      <c r="AU19" s="478">
        <v>75687</v>
      </c>
      <c r="AV19" s="37">
        <f>AG19+AH19</f>
        <v>581552</v>
      </c>
      <c r="AW19" s="31">
        <v>45293</v>
      </c>
      <c r="AX19" s="31">
        <v>45657</v>
      </c>
      <c r="AY19" s="23" t="s">
        <v>286</v>
      </c>
    </row>
    <row r="20" spans="1:51" ht="153.75" customHeight="1" x14ac:dyDescent="0.2">
      <c r="A20" s="65">
        <v>4</v>
      </c>
      <c r="B20" s="880" t="s">
        <v>124</v>
      </c>
      <c r="C20" s="28">
        <v>45</v>
      </c>
      <c r="D20" s="34" t="s">
        <v>68</v>
      </c>
      <c r="E20" s="28">
        <v>4599</v>
      </c>
      <c r="F20" s="34" t="s">
        <v>276</v>
      </c>
      <c r="G20" s="28" t="s">
        <v>70</v>
      </c>
      <c r="H20" s="475" t="s">
        <v>277</v>
      </c>
      <c r="I20" s="28">
        <v>4599002</v>
      </c>
      <c r="J20" s="475" t="s">
        <v>90</v>
      </c>
      <c r="K20" s="28" t="s">
        <v>70</v>
      </c>
      <c r="L20" s="329" t="s">
        <v>278</v>
      </c>
      <c r="M20" s="28">
        <v>459900201</v>
      </c>
      <c r="N20" s="329" t="s">
        <v>279</v>
      </c>
      <c r="O20" s="28">
        <v>1</v>
      </c>
      <c r="P20" s="476"/>
      <c r="Q20" s="476">
        <v>1</v>
      </c>
      <c r="R20" s="24">
        <v>2020003630048</v>
      </c>
      <c r="S20" s="329" t="s">
        <v>280</v>
      </c>
      <c r="T20" s="25">
        <f t="shared" si="1"/>
        <v>1</v>
      </c>
      <c r="U20" s="329" t="s">
        <v>281</v>
      </c>
      <c r="V20" s="329" t="s">
        <v>282</v>
      </c>
      <c r="W20" s="329" t="s">
        <v>295</v>
      </c>
      <c r="X20" s="477">
        <v>18905500</v>
      </c>
      <c r="Y20" s="477"/>
      <c r="Z20" s="477"/>
      <c r="AA20" s="477"/>
      <c r="AB20" s="477">
        <f t="shared" si="2"/>
        <v>18905500</v>
      </c>
      <c r="AC20" s="65" t="s">
        <v>287</v>
      </c>
      <c r="AD20" s="204"/>
      <c r="AE20" s="24">
        <v>56</v>
      </c>
      <c r="AF20" s="23" t="s">
        <v>288</v>
      </c>
      <c r="AG20" s="37">
        <v>295972</v>
      </c>
      <c r="AH20" s="37">
        <v>285580</v>
      </c>
      <c r="AI20" s="478">
        <v>135545</v>
      </c>
      <c r="AJ20" s="478">
        <v>44254</v>
      </c>
      <c r="AK20" s="478">
        <v>309146</v>
      </c>
      <c r="AL20" s="478">
        <v>92607</v>
      </c>
      <c r="AM20" s="478">
        <v>2145</v>
      </c>
      <c r="AN20" s="478">
        <v>12718</v>
      </c>
      <c r="AO20" s="478">
        <v>26</v>
      </c>
      <c r="AP20" s="478">
        <v>37</v>
      </c>
      <c r="AQ20" s="478" t="s">
        <v>285</v>
      </c>
      <c r="AR20" s="478" t="s">
        <v>285</v>
      </c>
      <c r="AS20" s="478">
        <v>44350</v>
      </c>
      <c r="AT20" s="478">
        <v>21944</v>
      </c>
      <c r="AU20" s="478">
        <v>75687</v>
      </c>
      <c r="AV20" s="37">
        <f>AG20+AH20</f>
        <v>581552</v>
      </c>
      <c r="AW20" s="31">
        <v>45293</v>
      </c>
      <c r="AX20" s="31">
        <v>45657</v>
      </c>
      <c r="AY20" s="23" t="s">
        <v>286</v>
      </c>
    </row>
    <row r="21" spans="1:51" ht="153.75" customHeight="1" x14ac:dyDescent="0.2">
      <c r="A21" s="65">
        <v>4</v>
      </c>
      <c r="B21" s="880" t="s">
        <v>124</v>
      </c>
      <c r="C21" s="28">
        <v>45</v>
      </c>
      <c r="D21" s="34" t="s">
        <v>68</v>
      </c>
      <c r="E21" s="28">
        <v>4599</v>
      </c>
      <c r="F21" s="34" t="s">
        <v>276</v>
      </c>
      <c r="G21" s="28" t="s">
        <v>70</v>
      </c>
      <c r="H21" s="475" t="s">
        <v>277</v>
      </c>
      <c r="I21" s="28">
        <v>4599002</v>
      </c>
      <c r="J21" s="475" t="s">
        <v>90</v>
      </c>
      <c r="K21" s="28" t="s">
        <v>70</v>
      </c>
      <c r="L21" s="329" t="s">
        <v>278</v>
      </c>
      <c r="M21" s="28">
        <v>459900201</v>
      </c>
      <c r="N21" s="329" t="s">
        <v>279</v>
      </c>
      <c r="O21" s="28">
        <v>1</v>
      </c>
      <c r="P21" s="476"/>
      <c r="Q21" s="476">
        <v>1</v>
      </c>
      <c r="R21" s="24">
        <v>2020003630048</v>
      </c>
      <c r="S21" s="329" t="s">
        <v>280</v>
      </c>
      <c r="T21" s="25">
        <f t="shared" si="1"/>
        <v>1</v>
      </c>
      <c r="U21" s="329" t="s">
        <v>281</v>
      </c>
      <c r="V21" s="329" t="s">
        <v>282</v>
      </c>
      <c r="W21" s="329" t="s">
        <v>295</v>
      </c>
      <c r="X21" s="477">
        <v>1189000</v>
      </c>
      <c r="Y21" s="477"/>
      <c r="Z21" s="477"/>
      <c r="AA21" s="477"/>
      <c r="AB21" s="477">
        <f t="shared" si="2"/>
        <v>1189000</v>
      </c>
      <c r="AC21" s="65" t="s">
        <v>296</v>
      </c>
      <c r="AD21" s="204"/>
      <c r="AE21" s="24">
        <v>20</v>
      </c>
      <c r="AF21" s="23" t="s">
        <v>132</v>
      </c>
      <c r="AG21" s="37">
        <v>295972</v>
      </c>
      <c r="AH21" s="37">
        <v>285580</v>
      </c>
      <c r="AI21" s="478">
        <v>135545</v>
      </c>
      <c r="AJ21" s="478">
        <v>44254</v>
      </c>
      <c r="AK21" s="478">
        <v>309146</v>
      </c>
      <c r="AL21" s="478">
        <v>92607</v>
      </c>
      <c r="AM21" s="478">
        <v>2145</v>
      </c>
      <c r="AN21" s="478">
        <v>12718</v>
      </c>
      <c r="AO21" s="478">
        <v>26</v>
      </c>
      <c r="AP21" s="478">
        <v>37</v>
      </c>
      <c r="AQ21" s="478" t="s">
        <v>285</v>
      </c>
      <c r="AR21" s="478" t="s">
        <v>285</v>
      </c>
      <c r="AS21" s="478">
        <v>44350</v>
      </c>
      <c r="AT21" s="478">
        <v>21944</v>
      </c>
      <c r="AU21" s="478">
        <v>75687</v>
      </c>
      <c r="AV21" s="37">
        <f>AG21+AH21</f>
        <v>581552</v>
      </c>
      <c r="AW21" s="31">
        <v>45293</v>
      </c>
      <c r="AX21" s="31">
        <v>45657</v>
      </c>
      <c r="AY21" s="23" t="s">
        <v>286</v>
      </c>
    </row>
    <row r="22" spans="1:51" ht="124.5" customHeight="1" x14ac:dyDescent="0.2">
      <c r="A22" s="65">
        <v>4</v>
      </c>
      <c r="B22" s="880" t="s">
        <v>124</v>
      </c>
      <c r="C22" s="28">
        <v>45</v>
      </c>
      <c r="D22" s="34" t="s">
        <v>68</v>
      </c>
      <c r="E22" s="28">
        <v>4599</v>
      </c>
      <c r="F22" s="34" t="s">
        <v>276</v>
      </c>
      <c r="G22" s="28" t="s">
        <v>70</v>
      </c>
      <c r="H22" s="475" t="s">
        <v>277</v>
      </c>
      <c r="I22" s="28">
        <v>4599002</v>
      </c>
      <c r="J22" s="475" t="s">
        <v>90</v>
      </c>
      <c r="K22" s="28" t="s">
        <v>70</v>
      </c>
      <c r="L22" s="329" t="s">
        <v>278</v>
      </c>
      <c r="M22" s="28">
        <v>459900201</v>
      </c>
      <c r="N22" s="329" t="s">
        <v>279</v>
      </c>
      <c r="O22" s="28">
        <v>1</v>
      </c>
      <c r="P22" s="476"/>
      <c r="Q22" s="476">
        <v>1</v>
      </c>
      <c r="R22" s="24">
        <v>2020003630048</v>
      </c>
      <c r="S22" s="329" t="s">
        <v>280</v>
      </c>
      <c r="T22" s="25">
        <f t="shared" si="1"/>
        <v>1</v>
      </c>
      <c r="U22" s="329" t="s">
        <v>281</v>
      </c>
      <c r="V22" s="329" t="s">
        <v>282</v>
      </c>
      <c r="W22" s="329" t="s">
        <v>295</v>
      </c>
      <c r="X22" s="477">
        <v>594500</v>
      </c>
      <c r="Y22" s="477"/>
      <c r="Z22" s="477"/>
      <c r="AA22" s="477"/>
      <c r="AB22" s="477">
        <f t="shared" si="2"/>
        <v>594500</v>
      </c>
      <c r="AC22" s="65" t="s">
        <v>297</v>
      </c>
      <c r="AD22" s="204"/>
      <c r="AE22" s="24">
        <v>56</v>
      </c>
      <c r="AF22" s="23" t="s">
        <v>288</v>
      </c>
      <c r="AG22" s="37">
        <v>295972</v>
      </c>
      <c r="AH22" s="37">
        <v>285580</v>
      </c>
      <c r="AI22" s="478">
        <v>135545</v>
      </c>
      <c r="AJ22" s="478">
        <v>44254</v>
      </c>
      <c r="AK22" s="478">
        <v>309146</v>
      </c>
      <c r="AL22" s="478">
        <v>92607</v>
      </c>
      <c r="AM22" s="478">
        <v>2145</v>
      </c>
      <c r="AN22" s="478">
        <v>12718</v>
      </c>
      <c r="AO22" s="478">
        <v>26</v>
      </c>
      <c r="AP22" s="478">
        <v>37</v>
      </c>
      <c r="AQ22" s="478" t="s">
        <v>285</v>
      </c>
      <c r="AR22" s="478" t="s">
        <v>285</v>
      </c>
      <c r="AS22" s="478">
        <v>44350</v>
      </c>
      <c r="AT22" s="478">
        <v>21944</v>
      </c>
      <c r="AU22" s="478">
        <v>75687</v>
      </c>
      <c r="AV22" s="37">
        <f>AG22+AH22</f>
        <v>581552</v>
      </c>
      <c r="AW22" s="31">
        <v>45293</v>
      </c>
      <c r="AX22" s="31">
        <v>45657</v>
      </c>
      <c r="AY22" s="23" t="s">
        <v>286</v>
      </c>
    </row>
    <row r="23" spans="1:51" ht="124.5" customHeight="1" x14ac:dyDescent="0.2">
      <c r="A23" s="65">
        <v>4</v>
      </c>
      <c r="B23" s="880" t="s">
        <v>124</v>
      </c>
      <c r="C23" s="28">
        <v>45</v>
      </c>
      <c r="D23" s="34" t="s">
        <v>68</v>
      </c>
      <c r="E23" s="28">
        <v>4599</v>
      </c>
      <c r="F23" s="34" t="s">
        <v>276</v>
      </c>
      <c r="G23" s="28" t="s">
        <v>70</v>
      </c>
      <c r="H23" s="475" t="s">
        <v>298</v>
      </c>
      <c r="I23" s="28">
        <v>4599002</v>
      </c>
      <c r="J23" s="475" t="s">
        <v>299</v>
      </c>
      <c r="K23" s="28" t="s">
        <v>70</v>
      </c>
      <c r="L23" s="329" t="s">
        <v>300</v>
      </c>
      <c r="M23" s="28">
        <v>459900200</v>
      </c>
      <c r="N23" s="329" t="s">
        <v>301</v>
      </c>
      <c r="O23" s="28">
        <v>1</v>
      </c>
      <c r="P23" s="476"/>
      <c r="Q23" s="476">
        <v>1</v>
      </c>
      <c r="R23" s="24">
        <v>2020003630049</v>
      </c>
      <c r="S23" s="329" t="s">
        <v>302</v>
      </c>
      <c r="T23" s="25">
        <f>X23/X23</f>
        <v>1</v>
      </c>
      <c r="U23" s="329" t="s">
        <v>303</v>
      </c>
      <c r="V23" s="329" t="s">
        <v>304</v>
      </c>
      <c r="W23" s="329" t="s">
        <v>305</v>
      </c>
      <c r="X23" s="477">
        <v>300000000</v>
      </c>
      <c r="Y23" s="477">
        <f>17200000+14800000+8600000+17200000+17200000+14800000+17200000+17200000+14800000+14800000+17200000+14800000+17200000+14800000+14800000+8100000+16000000+17200000+12000000+14800000+8600000</f>
        <v>309300000</v>
      </c>
      <c r="Z23" s="477">
        <f>17200000</f>
        <v>17200000</v>
      </c>
      <c r="AA23" s="477"/>
      <c r="AB23" s="477">
        <f>X23-Y23+Z23-AA23</f>
        <v>7900000</v>
      </c>
      <c r="AC23" s="65" t="s">
        <v>306</v>
      </c>
      <c r="AD23" s="204"/>
      <c r="AE23" s="24">
        <v>20</v>
      </c>
      <c r="AF23" s="23" t="s">
        <v>132</v>
      </c>
      <c r="AG23" s="37">
        <v>295972</v>
      </c>
      <c r="AH23" s="37">
        <v>285580</v>
      </c>
      <c r="AI23" s="478">
        <v>135545</v>
      </c>
      <c r="AJ23" s="478">
        <v>44254</v>
      </c>
      <c r="AK23" s="478">
        <v>309146</v>
      </c>
      <c r="AL23" s="478">
        <v>92607</v>
      </c>
      <c r="AM23" s="478">
        <v>2145</v>
      </c>
      <c r="AN23" s="478">
        <v>12718</v>
      </c>
      <c r="AO23" s="478">
        <v>26</v>
      </c>
      <c r="AP23" s="478">
        <v>37</v>
      </c>
      <c r="AQ23" s="478" t="s">
        <v>285</v>
      </c>
      <c r="AR23" s="478" t="s">
        <v>285</v>
      </c>
      <c r="AS23" s="478">
        <v>44350</v>
      </c>
      <c r="AT23" s="478">
        <v>21944</v>
      </c>
      <c r="AU23" s="478">
        <v>75687</v>
      </c>
      <c r="AV23" s="37">
        <f>AG23+AH23</f>
        <v>581552</v>
      </c>
      <c r="AW23" s="31">
        <v>45293</v>
      </c>
      <c r="AX23" s="31">
        <v>45657</v>
      </c>
      <c r="AY23" s="23" t="s">
        <v>286</v>
      </c>
    </row>
    <row r="24" spans="1:51" ht="24.75" customHeight="1" x14ac:dyDescent="0.2">
      <c r="A24" s="894"/>
      <c r="B24" s="889"/>
      <c r="C24" s="896"/>
      <c r="D24" s="889"/>
      <c r="E24" s="896"/>
      <c r="F24" s="889"/>
      <c r="G24" s="896"/>
      <c r="H24" s="889"/>
      <c r="I24" s="896"/>
      <c r="J24" s="889"/>
      <c r="K24" s="896"/>
      <c r="L24" s="889"/>
      <c r="M24" s="896"/>
      <c r="N24" s="889"/>
      <c r="O24" s="306"/>
      <c r="P24" s="306"/>
      <c r="Q24" s="306"/>
      <c r="R24" s="896"/>
      <c r="S24" s="889"/>
      <c r="T24" s="896"/>
      <c r="U24" s="889"/>
      <c r="V24" s="889"/>
      <c r="W24" s="893" t="s">
        <v>25</v>
      </c>
      <c r="X24" s="481">
        <f>SUM(X11:X23)</f>
        <v>3309256833.3499999</v>
      </c>
      <c r="Y24" s="669"/>
      <c r="Z24" s="669"/>
      <c r="AA24" s="669"/>
      <c r="AB24" s="669"/>
      <c r="AC24" s="306"/>
      <c r="AD24" s="306"/>
      <c r="AE24" s="306"/>
      <c r="AF24" s="306"/>
      <c r="AG24" s="306"/>
      <c r="AH24" s="306"/>
      <c r="AI24" s="306"/>
      <c r="AJ24" s="306"/>
      <c r="AK24" s="306"/>
      <c r="AL24" s="306"/>
      <c r="AM24" s="306"/>
      <c r="AN24" s="306"/>
      <c r="AO24" s="306"/>
      <c r="AP24" s="306"/>
      <c r="AQ24" s="306"/>
      <c r="AR24" s="306"/>
      <c r="AS24" s="306"/>
      <c r="AT24" s="306"/>
      <c r="AU24" s="306"/>
      <c r="AV24" s="306"/>
      <c r="AW24" s="306"/>
      <c r="AX24" s="306"/>
      <c r="AY24" s="382"/>
    </row>
    <row r="25" spans="1:51" ht="67.5" customHeight="1" x14ac:dyDescent="0.2"/>
    <row r="26" spans="1:51" s="81" customFormat="1" ht="23.25" customHeight="1" x14ac:dyDescent="0.2">
      <c r="A26" s="895"/>
      <c r="B26" s="890"/>
      <c r="C26" s="895"/>
      <c r="D26" s="890"/>
      <c r="E26" s="895"/>
      <c r="F26" s="890"/>
      <c r="G26" s="895"/>
      <c r="H26" s="890"/>
      <c r="I26" s="895"/>
      <c r="J26" s="890"/>
      <c r="K26" s="895"/>
      <c r="L26" s="890"/>
      <c r="M26" s="895"/>
      <c r="N26" s="890"/>
      <c r="O26" s="1079" t="s">
        <v>307</v>
      </c>
      <c r="P26" s="1079"/>
      <c r="Q26" s="1079"/>
      <c r="R26" s="1079"/>
      <c r="S26" s="1079"/>
      <c r="T26" s="895"/>
      <c r="U26" s="890"/>
      <c r="V26" s="890"/>
      <c r="W26" s="890"/>
      <c r="AD26" s="85"/>
      <c r="AE26" s="85"/>
      <c r="AF26" s="85"/>
    </row>
    <row r="27" spans="1:51" s="81" customFormat="1" ht="15" customHeight="1" x14ac:dyDescent="0.2">
      <c r="A27" s="895"/>
      <c r="B27" s="890"/>
      <c r="C27" s="895"/>
      <c r="D27" s="890"/>
      <c r="E27" s="895"/>
      <c r="F27" s="890"/>
      <c r="G27" s="895"/>
      <c r="H27" s="890"/>
      <c r="I27" s="895"/>
      <c r="J27" s="890"/>
      <c r="K27" s="895"/>
      <c r="L27" s="890"/>
      <c r="M27" s="895"/>
      <c r="N27" s="890"/>
      <c r="O27" s="1080" t="s">
        <v>308</v>
      </c>
      <c r="P27" s="1080"/>
      <c r="Q27" s="1080"/>
      <c r="R27" s="1080"/>
      <c r="S27" s="1080"/>
      <c r="T27" s="895"/>
      <c r="U27" s="890"/>
      <c r="V27" s="890"/>
      <c r="W27" s="890"/>
      <c r="AD27" s="85"/>
      <c r="AE27" s="85"/>
      <c r="AF27" s="85"/>
    </row>
    <row r="28" spans="1:51" s="81" customFormat="1" ht="51" x14ac:dyDescent="0.2">
      <c r="A28" s="895"/>
      <c r="B28" s="890"/>
      <c r="C28" s="895"/>
      <c r="D28" s="890"/>
      <c r="E28" s="895"/>
      <c r="F28" s="890"/>
      <c r="G28" s="895"/>
      <c r="H28" s="890" t="s">
        <v>309</v>
      </c>
      <c r="I28" s="895"/>
      <c r="J28" s="890"/>
      <c r="K28" s="895"/>
      <c r="L28" s="890"/>
      <c r="M28" s="895"/>
      <c r="N28" s="890"/>
      <c r="O28" s="1081" t="s">
        <v>310</v>
      </c>
      <c r="P28" s="1081"/>
      <c r="Q28" s="1081"/>
      <c r="R28" s="1081"/>
      <c r="S28" s="1081"/>
      <c r="T28" s="895"/>
      <c r="U28" s="890"/>
      <c r="V28" s="890"/>
      <c r="W28" s="890"/>
      <c r="AD28" s="85"/>
      <c r="AE28" s="85"/>
      <c r="AF28" s="85"/>
    </row>
    <row r="29" spans="1:51" s="81" customFormat="1" ht="51" x14ac:dyDescent="0.2">
      <c r="A29" s="895"/>
      <c r="B29" s="890"/>
      <c r="C29" s="895"/>
      <c r="D29" s="890"/>
      <c r="E29" s="895"/>
      <c r="F29" s="890"/>
      <c r="G29" s="895"/>
      <c r="H29" s="890" t="s">
        <v>311</v>
      </c>
      <c r="I29" s="895"/>
      <c r="J29" s="890"/>
      <c r="K29" s="895"/>
      <c r="L29" s="890"/>
      <c r="M29" s="895"/>
      <c r="N29" s="890"/>
      <c r="Q29" s="482" t="s">
        <v>312</v>
      </c>
      <c r="R29" s="783"/>
      <c r="S29" s="892"/>
      <c r="T29" s="895"/>
      <c r="U29" s="890"/>
      <c r="V29" s="890"/>
      <c r="W29" s="890"/>
      <c r="AD29" s="85"/>
      <c r="AE29" s="85"/>
      <c r="AF29" s="85"/>
    </row>
    <row r="30" spans="1:51" s="81" customFormat="1" x14ac:dyDescent="0.2">
      <c r="A30" s="895"/>
      <c r="B30" s="890"/>
      <c r="C30" s="895"/>
      <c r="D30" s="890"/>
      <c r="E30" s="895"/>
      <c r="F30" s="890"/>
      <c r="G30" s="895"/>
      <c r="H30" s="890"/>
      <c r="I30" s="895"/>
      <c r="J30" s="890"/>
      <c r="K30" s="895"/>
      <c r="L30" s="890"/>
      <c r="M30" s="895"/>
      <c r="N30" s="890"/>
      <c r="R30" s="895"/>
      <c r="S30" s="890"/>
      <c r="T30" s="895"/>
      <c r="U30" s="890"/>
      <c r="V30" s="890"/>
      <c r="W30" s="890"/>
      <c r="AD30" s="85"/>
      <c r="AE30" s="85"/>
      <c r="AF30" s="85"/>
    </row>
    <row r="31" spans="1:51" s="81" customFormat="1" x14ac:dyDescent="0.2">
      <c r="A31" s="895"/>
      <c r="B31" s="890"/>
      <c r="C31" s="895"/>
      <c r="D31" s="890"/>
      <c r="E31" s="895"/>
      <c r="F31" s="890"/>
      <c r="G31" s="895"/>
      <c r="H31" s="890"/>
      <c r="I31" s="1076" t="s">
        <v>113</v>
      </c>
      <c r="J31" s="1076"/>
      <c r="K31" s="1077" t="s">
        <v>114</v>
      </c>
      <c r="L31" s="1078"/>
      <c r="M31" s="1077" t="s">
        <v>115</v>
      </c>
      <c r="N31" s="1078"/>
      <c r="R31" s="895"/>
      <c r="S31" s="890"/>
      <c r="T31" s="895"/>
      <c r="U31" s="890"/>
      <c r="V31" s="890"/>
      <c r="W31" s="890"/>
      <c r="AD31" s="85"/>
      <c r="AE31" s="85"/>
      <c r="AF31" s="85"/>
    </row>
    <row r="32" spans="1:51" s="81" customFormat="1" x14ac:dyDescent="0.2">
      <c r="A32" s="895"/>
      <c r="B32" s="890"/>
      <c r="C32" s="895"/>
      <c r="D32" s="890"/>
      <c r="E32" s="895"/>
      <c r="F32" s="890"/>
      <c r="G32" s="895"/>
      <c r="H32" s="890"/>
      <c r="I32" s="1076" t="s">
        <v>116</v>
      </c>
      <c r="J32" s="1076"/>
      <c r="K32" s="1077" t="s">
        <v>117</v>
      </c>
      <c r="L32" s="1078"/>
      <c r="M32" s="1076" t="s">
        <v>118</v>
      </c>
      <c r="N32" s="1076"/>
      <c r="R32" s="895"/>
      <c r="S32" s="890"/>
      <c r="T32" s="895"/>
      <c r="U32" s="890"/>
      <c r="V32" s="890"/>
      <c r="W32" s="890"/>
      <c r="AD32" s="85"/>
      <c r="AE32" s="85"/>
      <c r="AF32" s="85"/>
    </row>
    <row r="33" spans="1:32" s="81" customFormat="1" x14ac:dyDescent="0.2">
      <c r="A33" s="895"/>
      <c r="B33" s="890"/>
      <c r="C33" s="895"/>
      <c r="D33" s="890"/>
      <c r="E33" s="895"/>
      <c r="F33" s="890"/>
      <c r="G33" s="895"/>
      <c r="H33" s="890"/>
      <c r="I33" s="1076" t="s">
        <v>119</v>
      </c>
      <c r="J33" s="1076"/>
      <c r="K33" s="1077" t="s">
        <v>120</v>
      </c>
      <c r="L33" s="1078"/>
      <c r="M33" s="1076" t="s">
        <v>121</v>
      </c>
      <c r="N33" s="1076"/>
      <c r="R33" s="895"/>
      <c r="S33" s="890"/>
      <c r="T33" s="895"/>
      <c r="U33" s="890"/>
      <c r="V33" s="890"/>
      <c r="W33" s="890"/>
      <c r="AD33" s="85"/>
      <c r="AE33" s="85"/>
      <c r="AF33" s="85"/>
    </row>
  </sheetData>
  <autoFilter ref="A10:BQ24" xr:uid="{E77307E5-7081-4368-9136-9FD3F9E16FD8}"/>
  <mergeCells count="34">
    <mergeCell ref="I32:J32"/>
    <mergeCell ref="K32:L32"/>
    <mergeCell ref="M32:N32"/>
    <mergeCell ref="I33:J33"/>
    <mergeCell ref="K33:L33"/>
    <mergeCell ref="M33:N33"/>
    <mergeCell ref="I31:J31"/>
    <mergeCell ref="K31:L31"/>
    <mergeCell ref="M31:N31"/>
    <mergeCell ref="O8:Q9"/>
    <mergeCell ref="R8:X9"/>
    <mergeCell ref="O26:S26"/>
    <mergeCell ref="O27:S27"/>
    <mergeCell ref="O28:S28"/>
    <mergeCell ref="AG8:AV8"/>
    <mergeCell ref="AW8:AW10"/>
    <mergeCell ref="AX8:AX10"/>
    <mergeCell ref="AY8:AY10"/>
    <mergeCell ref="AC9:AF9"/>
    <mergeCell ref="AG9:AH9"/>
    <mergeCell ref="AI9:AL9"/>
    <mergeCell ref="AM9:AR9"/>
    <mergeCell ref="AS9:AU9"/>
    <mergeCell ref="AV9:AV10"/>
    <mergeCell ref="A1:B7"/>
    <mergeCell ref="C1:AW1"/>
    <mergeCell ref="C2:AW4"/>
    <mergeCell ref="C5:AW5"/>
    <mergeCell ref="C6:AW6"/>
    <mergeCell ref="A8:B9"/>
    <mergeCell ref="C8:D9"/>
    <mergeCell ref="E8:F9"/>
    <mergeCell ref="G8:J9"/>
    <mergeCell ref="K8:N9"/>
  </mergeCells>
  <printOptions horizontalCentered="1" verticalCentered="1"/>
  <pageMargins left="0" right="0" top="0" bottom="0" header="0" footer="0"/>
  <pageSetup paperSize="122" scale="25"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BQ83"/>
  <sheetViews>
    <sheetView showGridLines="0" zoomScale="60" zoomScaleNormal="60" workbookViewId="0">
      <pane ySplit="10" topLeftCell="A11" activePane="bottomLeft" state="frozen"/>
      <selection activeCell="W1" sqref="W1"/>
      <selection pane="bottomLeft" activeCell="N15" sqref="N15"/>
    </sheetView>
  </sheetViews>
  <sheetFormatPr baseColWidth="10" defaultColWidth="11.42578125" defaultRowHeight="15" customHeight="1" x14ac:dyDescent="0.2"/>
  <cols>
    <col min="1" max="1" width="10.28515625" style="895" customWidth="1"/>
    <col min="2" max="2" width="21.42578125" style="890" customWidth="1"/>
    <col min="3" max="3" width="11.42578125" style="895"/>
    <col min="4" max="4" width="12.85546875" style="890" customWidth="1"/>
    <col min="5" max="5" width="11.42578125" style="895"/>
    <col min="6" max="6" width="38.85546875" style="890" customWidth="1"/>
    <col min="7" max="7" width="11.42578125" style="895"/>
    <col min="8" max="8" width="48.42578125" style="890" customWidth="1"/>
    <col min="9" max="9" width="19.140625" style="895" customWidth="1"/>
    <col min="10" max="10" width="23.42578125" style="890" customWidth="1"/>
    <col min="11" max="11" width="16.140625" style="895" customWidth="1"/>
    <col min="12" max="12" width="48" style="890" customWidth="1"/>
    <col min="13" max="13" width="16.28515625" style="895" customWidth="1"/>
    <col min="14" max="14" width="29.140625" style="890" customWidth="1"/>
    <col min="15" max="17" width="11.42578125" style="81"/>
    <col min="18" max="18" width="19.85546875" style="895" customWidth="1"/>
    <col min="19" max="19" width="47.5703125" style="890" customWidth="1"/>
    <col min="20" max="20" width="14.7109375" style="81" bestFit="1" customWidth="1"/>
    <col min="21" max="21" width="47.5703125" style="890" customWidth="1"/>
    <col min="22" max="22" width="33" style="890" customWidth="1"/>
    <col min="23" max="23" width="36.42578125" style="890" customWidth="1"/>
    <col min="24" max="28" width="23.28515625" style="81" customWidth="1"/>
    <col min="29" max="29" width="49.42578125" style="81" customWidth="1"/>
    <col min="30" max="31" width="11.42578125" style="81"/>
    <col min="32" max="32" width="24.7109375" style="81" customWidth="1"/>
    <col min="33" max="33" width="13" style="81" customWidth="1"/>
    <col min="34" max="34" width="14.28515625" style="81" customWidth="1"/>
    <col min="35" max="35" width="9.28515625" style="81" customWidth="1"/>
    <col min="36" max="36" width="8.42578125" style="81" customWidth="1"/>
    <col min="37" max="37" width="9.42578125" style="81" customWidth="1"/>
    <col min="38" max="38" width="8.5703125" style="81" customWidth="1"/>
    <col min="39" max="39" width="10.5703125" style="81" customWidth="1"/>
    <col min="40" max="40" width="11.85546875" style="81" bestFit="1" customWidth="1"/>
    <col min="41" max="41" width="6.7109375" style="81" customWidth="1"/>
    <col min="42" max="42" width="6.42578125" style="81" customWidth="1"/>
    <col min="43" max="43" width="6.28515625" style="81" customWidth="1"/>
    <col min="44" max="44" width="6.5703125" style="81" customWidth="1"/>
    <col min="45" max="45" width="10" style="81" customWidth="1"/>
    <col min="46" max="46" width="9.28515625" style="81" customWidth="1"/>
    <col min="47" max="47" width="8.7109375" style="81" customWidth="1"/>
    <col min="48" max="48" width="9.5703125" style="81" customWidth="1"/>
    <col min="49" max="49" width="14.28515625" style="81" customWidth="1"/>
    <col min="50" max="50" width="14.42578125" style="81" customWidth="1"/>
    <col min="51" max="51" width="19.140625" style="81" customWidth="1"/>
    <col min="52" max="61" width="11.42578125" style="81"/>
    <col min="62" max="16384" width="11.42578125" style="108"/>
  </cols>
  <sheetData>
    <row r="1" spans="1:69" ht="12.75" x14ac:dyDescent="0.2">
      <c r="A1" s="1073"/>
      <c r="B1" s="1073"/>
      <c r="C1" s="1074" t="s">
        <v>0</v>
      </c>
      <c r="D1" s="1074"/>
      <c r="E1" s="1074"/>
      <c r="F1" s="1074"/>
      <c r="G1" s="1074"/>
      <c r="H1" s="1074"/>
      <c r="I1" s="1074"/>
      <c r="J1" s="1074"/>
      <c r="K1" s="1074"/>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1074"/>
      <c r="AO1" s="1074"/>
      <c r="AP1" s="1074"/>
      <c r="AQ1" s="1074"/>
      <c r="AR1" s="1074"/>
      <c r="AS1" s="1074"/>
      <c r="AT1" s="1074"/>
      <c r="AU1" s="1074"/>
      <c r="AV1" s="1074"/>
      <c r="AW1" s="1074"/>
    </row>
    <row r="2" spans="1:69" s="45" customFormat="1" ht="12.75" customHeight="1" x14ac:dyDescent="0.2">
      <c r="A2" s="1073"/>
      <c r="B2" s="1073"/>
      <c r="C2" s="980" t="s">
        <v>313</v>
      </c>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2"/>
      <c r="AX2" s="2" t="s">
        <v>2</v>
      </c>
      <c r="AY2" s="2" t="s">
        <v>3</v>
      </c>
      <c r="AZ2" s="3"/>
      <c r="BA2" s="3"/>
      <c r="BB2" s="3"/>
      <c r="BC2" s="3"/>
      <c r="BD2" s="3"/>
      <c r="BE2" s="3"/>
      <c r="BF2" s="3"/>
      <c r="BG2" s="3"/>
      <c r="BH2" s="3"/>
      <c r="BI2" s="3"/>
      <c r="BJ2" s="3"/>
      <c r="BK2" s="3"/>
      <c r="BL2" s="3"/>
      <c r="BM2" s="3"/>
      <c r="BN2" s="3"/>
      <c r="BO2" s="3"/>
      <c r="BP2" s="3"/>
      <c r="BQ2" s="3"/>
    </row>
    <row r="3" spans="1:69" s="45" customFormat="1" ht="12.75" x14ac:dyDescent="0.2">
      <c r="A3" s="1073"/>
      <c r="B3" s="1073"/>
      <c r="C3" s="983"/>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5"/>
      <c r="AX3" s="2" t="s">
        <v>4</v>
      </c>
      <c r="AY3" s="49">
        <v>11</v>
      </c>
      <c r="AZ3" s="3"/>
      <c r="BA3" s="3"/>
      <c r="BB3" s="3"/>
      <c r="BC3" s="3"/>
      <c r="BD3" s="3"/>
      <c r="BE3" s="3"/>
      <c r="BF3" s="3"/>
      <c r="BG3" s="3"/>
      <c r="BH3" s="3"/>
      <c r="BI3" s="3"/>
      <c r="BJ3" s="3"/>
      <c r="BK3" s="3"/>
      <c r="BL3" s="3"/>
      <c r="BM3" s="3"/>
      <c r="BN3" s="3"/>
      <c r="BO3" s="3"/>
      <c r="BP3" s="3"/>
      <c r="BQ3" s="3"/>
    </row>
    <row r="4" spans="1:69" s="45" customFormat="1" ht="12.75" x14ac:dyDescent="0.2">
      <c r="A4" s="1073"/>
      <c r="B4" s="1073"/>
      <c r="C4" s="986"/>
      <c r="D4" s="987"/>
      <c r="E4" s="987"/>
      <c r="F4" s="987"/>
      <c r="G4" s="987"/>
      <c r="H4" s="987"/>
      <c r="I4" s="987"/>
      <c r="J4" s="987"/>
      <c r="K4" s="987"/>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c r="AT4" s="987"/>
      <c r="AU4" s="987"/>
      <c r="AV4" s="987"/>
      <c r="AW4" s="988"/>
      <c r="AX4" s="2" t="s">
        <v>5</v>
      </c>
      <c r="AY4" s="50">
        <v>44714</v>
      </c>
      <c r="AZ4" s="3"/>
      <c r="BA4" s="3"/>
      <c r="BB4" s="3"/>
      <c r="BC4" s="3"/>
      <c r="BD4" s="3"/>
      <c r="BE4" s="3"/>
      <c r="BF4" s="3"/>
      <c r="BG4" s="3"/>
      <c r="BH4" s="3"/>
      <c r="BI4" s="3"/>
      <c r="BJ4" s="3"/>
      <c r="BK4" s="3"/>
      <c r="BL4" s="3"/>
      <c r="BM4" s="3"/>
      <c r="BN4" s="3"/>
      <c r="BO4" s="3"/>
      <c r="BP4" s="3"/>
      <c r="BQ4" s="3"/>
    </row>
    <row r="5" spans="1:69" s="45" customFormat="1" ht="12.75" x14ac:dyDescent="0.2">
      <c r="A5" s="1073"/>
      <c r="B5" s="1073"/>
      <c r="C5" s="989"/>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1"/>
      <c r="AX5" s="2" t="s">
        <v>6</v>
      </c>
      <c r="AY5" s="7" t="s">
        <v>7</v>
      </c>
      <c r="AZ5" s="3"/>
      <c r="BA5" s="3"/>
      <c r="BB5" s="3"/>
      <c r="BC5" s="3"/>
      <c r="BD5" s="3"/>
      <c r="BE5" s="3"/>
      <c r="BF5" s="3"/>
      <c r="BG5" s="3"/>
      <c r="BH5" s="3"/>
      <c r="BI5" s="3"/>
      <c r="BJ5" s="3"/>
      <c r="BK5" s="3"/>
      <c r="BL5" s="3"/>
      <c r="BM5" s="3"/>
      <c r="BN5" s="3"/>
      <c r="BO5" s="3"/>
      <c r="BP5" s="3"/>
      <c r="BQ5" s="3"/>
    </row>
    <row r="6" spans="1:69" s="45" customFormat="1" ht="12.75" x14ac:dyDescent="0.2">
      <c r="A6" s="1073"/>
      <c r="B6" s="1073"/>
      <c r="C6" s="992" t="s">
        <v>275</v>
      </c>
      <c r="D6" s="993"/>
      <c r="E6" s="993"/>
      <c r="F6" s="993"/>
      <c r="G6" s="993"/>
      <c r="H6" s="993"/>
      <c r="I6" s="993"/>
      <c r="J6" s="993"/>
      <c r="K6" s="993"/>
      <c r="L6" s="993"/>
      <c r="M6" s="993"/>
      <c r="N6" s="993"/>
      <c r="O6" s="993"/>
      <c r="P6" s="993"/>
      <c r="Q6" s="993"/>
      <c r="R6" s="993"/>
      <c r="S6" s="993"/>
      <c r="T6" s="993"/>
      <c r="U6" s="993"/>
      <c r="V6" s="993"/>
      <c r="W6" s="993"/>
      <c r="X6" s="993"/>
      <c r="Y6" s="993"/>
      <c r="Z6" s="993"/>
      <c r="AA6" s="993"/>
      <c r="AB6" s="993"/>
      <c r="AC6" s="993"/>
      <c r="AD6" s="993"/>
      <c r="AE6" s="993"/>
      <c r="AF6" s="993"/>
      <c r="AG6" s="993"/>
      <c r="AH6" s="993"/>
      <c r="AI6" s="993"/>
      <c r="AJ6" s="993"/>
      <c r="AK6" s="993"/>
      <c r="AL6" s="993"/>
      <c r="AM6" s="993"/>
      <c r="AN6" s="993"/>
      <c r="AO6" s="993"/>
      <c r="AP6" s="993"/>
      <c r="AQ6" s="993"/>
      <c r="AR6" s="993"/>
      <c r="AS6" s="993"/>
      <c r="AT6" s="993"/>
      <c r="AU6" s="993"/>
      <c r="AV6" s="993"/>
      <c r="AW6" s="993"/>
      <c r="AX6" s="52"/>
      <c r="AY6" s="53"/>
      <c r="AZ6" s="3"/>
      <c r="BA6" s="3"/>
      <c r="BB6" s="3"/>
      <c r="BC6" s="3"/>
      <c r="BD6" s="3"/>
      <c r="BE6" s="3"/>
      <c r="BF6" s="3"/>
      <c r="BG6" s="3"/>
      <c r="BH6" s="3"/>
      <c r="BI6" s="3"/>
      <c r="BJ6" s="3"/>
      <c r="BK6" s="3"/>
      <c r="BL6" s="3"/>
      <c r="BM6" s="3"/>
      <c r="BN6" s="3"/>
      <c r="BO6" s="3"/>
      <c r="BP6" s="3"/>
      <c r="BQ6" s="3"/>
    </row>
    <row r="7" spans="1:69" s="45" customFormat="1" ht="12.75" x14ac:dyDescent="0.2">
      <c r="A7" s="1074"/>
      <c r="B7" s="1074"/>
      <c r="C7" s="10"/>
      <c r="D7" s="891"/>
      <c r="E7" s="10"/>
      <c r="F7" s="891"/>
      <c r="G7" s="10"/>
      <c r="H7" s="891"/>
      <c r="I7" s="10"/>
      <c r="J7" s="891"/>
      <c r="K7" s="10"/>
      <c r="L7" s="891"/>
      <c r="M7" s="10"/>
      <c r="N7" s="891"/>
      <c r="O7" s="54"/>
      <c r="P7" s="54"/>
      <c r="Q7" s="54"/>
      <c r="R7" s="10"/>
      <c r="S7" s="891"/>
      <c r="T7" s="54"/>
      <c r="U7" s="891"/>
      <c r="V7" s="891"/>
      <c r="W7" s="891"/>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5"/>
      <c r="AZ7" s="3"/>
      <c r="BA7" s="3"/>
      <c r="BB7" s="3"/>
      <c r="BC7" s="3"/>
      <c r="BD7" s="3"/>
      <c r="BE7" s="3"/>
      <c r="BF7" s="3"/>
      <c r="BG7" s="3"/>
      <c r="BH7" s="3"/>
      <c r="BI7" s="3"/>
      <c r="BJ7" s="3"/>
      <c r="BK7" s="3"/>
      <c r="BL7" s="3"/>
      <c r="BM7" s="3"/>
      <c r="BN7" s="3"/>
      <c r="BO7" s="3"/>
      <c r="BP7" s="3"/>
      <c r="BQ7" s="3"/>
    </row>
    <row r="8" spans="1:69" ht="17.25" customHeight="1" x14ac:dyDescent="0.2">
      <c r="A8" s="966" t="s">
        <v>9</v>
      </c>
      <c r="B8" s="967"/>
      <c r="C8" s="966" t="s">
        <v>10</v>
      </c>
      <c r="D8" s="967"/>
      <c r="E8" s="966" t="s">
        <v>11</v>
      </c>
      <c r="F8" s="967"/>
      <c r="G8" s="966" t="s">
        <v>12</v>
      </c>
      <c r="H8" s="970"/>
      <c r="I8" s="970"/>
      <c r="J8" s="967"/>
      <c r="K8" s="1067" t="s">
        <v>13</v>
      </c>
      <c r="L8" s="1068"/>
      <c r="M8" s="1068"/>
      <c r="N8" s="1069"/>
      <c r="O8" s="1067" t="s">
        <v>14</v>
      </c>
      <c r="P8" s="1068"/>
      <c r="Q8" s="1069"/>
      <c r="R8" s="1094" t="s">
        <v>15</v>
      </c>
      <c r="S8" s="1008"/>
      <c r="T8" s="1008"/>
      <c r="U8" s="1008"/>
      <c r="V8" s="1008"/>
      <c r="W8" s="1008"/>
      <c r="X8" s="1008"/>
      <c r="Y8" s="281"/>
      <c r="Z8" s="281"/>
      <c r="AA8" s="281"/>
      <c r="AB8" s="281"/>
      <c r="AC8" s="82"/>
      <c r="AD8" s="82"/>
      <c r="AE8" s="82"/>
      <c r="AF8" s="83"/>
      <c r="AG8" s="1002" t="s">
        <v>16</v>
      </c>
      <c r="AH8" s="1003"/>
      <c r="AI8" s="1003"/>
      <c r="AJ8" s="1003"/>
      <c r="AK8" s="1003"/>
      <c r="AL8" s="1003"/>
      <c r="AM8" s="1003"/>
      <c r="AN8" s="1003"/>
      <c r="AO8" s="1003"/>
      <c r="AP8" s="1003"/>
      <c r="AQ8" s="1003"/>
      <c r="AR8" s="1003"/>
      <c r="AS8" s="1003"/>
      <c r="AT8" s="1003"/>
      <c r="AU8" s="1003"/>
      <c r="AV8" s="1004"/>
      <c r="AW8" s="994" t="s">
        <v>17</v>
      </c>
      <c r="AX8" s="994" t="s">
        <v>18</v>
      </c>
      <c r="AY8" s="994" t="s">
        <v>19</v>
      </c>
    </row>
    <row r="9" spans="1:69" s="46" customFormat="1" ht="19.5" customHeight="1" x14ac:dyDescent="0.2">
      <c r="A9" s="968"/>
      <c r="B9" s="969"/>
      <c r="C9" s="968"/>
      <c r="D9" s="969"/>
      <c r="E9" s="968"/>
      <c r="F9" s="969"/>
      <c r="G9" s="968"/>
      <c r="H9" s="971"/>
      <c r="I9" s="971"/>
      <c r="J9" s="969"/>
      <c r="K9" s="1070"/>
      <c r="L9" s="1071"/>
      <c r="M9" s="1071"/>
      <c r="N9" s="1072"/>
      <c r="O9" s="1070"/>
      <c r="P9" s="1071"/>
      <c r="Q9" s="1072"/>
      <c r="R9" s="1095"/>
      <c r="S9" s="1009"/>
      <c r="T9" s="1009"/>
      <c r="U9" s="1009"/>
      <c r="V9" s="1009"/>
      <c r="W9" s="1009"/>
      <c r="X9" s="1009"/>
      <c r="Y9" s="282"/>
      <c r="Z9" s="282"/>
      <c r="AA9" s="282"/>
      <c r="AB9" s="282"/>
      <c r="AC9" s="1082" t="s">
        <v>20</v>
      </c>
      <c r="AD9" s="1083"/>
      <c r="AE9" s="1083"/>
      <c r="AF9" s="1084"/>
      <c r="AG9" s="1082" t="s">
        <v>21</v>
      </c>
      <c r="AH9" s="1084"/>
      <c r="AI9" s="1085" t="s">
        <v>22</v>
      </c>
      <c r="AJ9" s="1086"/>
      <c r="AK9" s="1086"/>
      <c r="AL9" s="1087"/>
      <c r="AM9" s="1088" t="s">
        <v>23</v>
      </c>
      <c r="AN9" s="1089"/>
      <c r="AO9" s="1089"/>
      <c r="AP9" s="1089"/>
      <c r="AQ9" s="1089"/>
      <c r="AR9" s="1090"/>
      <c r="AS9" s="1085" t="s">
        <v>24</v>
      </c>
      <c r="AT9" s="1086"/>
      <c r="AU9" s="1087"/>
      <c r="AV9" s="1091" t="s">
        <v>25</v>
      </c>
      <c r="AW9" s="995"/>
      <c r="AX9" s="995"/>
      <c r="AY9" s="995"/>
      <c r="AZ9" s="14"/>
      <c r="BA9" s="14"/>
      <c r="BB9" s="14"/>
      <c r="BC9" s="14"/>
      <c r="BD9" s="14"/>
      <c r="BE9" s="14"/>
      <c r="BF9" s="14"/>
      <c r="BG9" s="14"/>
      <c r="BH9" s="14"/>
      <c r="BI9" s="14"/>
      <c r="BJ9" s="14"/>
      <c r="BK9" s="14"/>
      <c r="BL9" s="14"/>
      <c r="BM9" s="14"/>
      <c r="BN9" s="14"/>
    </row>
    <row r="10" spans="1:69" s="47" customFormat="1" ht="86.25" customHeight="1" x14ac:dyDescent="0.2">
      <c r="A10" s="16" t="s">
        <v>26</v>
      </c>
      <c r="B10" s="17" t="s">
        <v>27</v>
      </c>
      <c r="C10" s="16" t="s">
        <v>26</v>
      </c>
      <c r="D10" s="17" t="s">
        <v>27</v>
      </c>
      <c r="E10" s="17" t="s">
        <v>26</v>
      </c>
      <c r="F10" s="17" t="s">
        <v>27</v>
      </c>
      <c r="G10" s="18" t="s">
        <v>28</v>
      </c>
      <c r="H10" s="18" t="s">
        <v>29</v>
      </c>
      <c r="I10" s="18" t="s">
        <v>30</v>
      </c>
      <c r="J10" s="18" t="s">
        <v>31</v>
      </c>
      <c r="K10" s="18" t="s">
        <v>28</v>
      </c>
      <c r="L10" s="18" t="s">
        <v>32</v>
      </c>
      <c r="M10" s="18" t="s">
        <v>33</v>
      </c>
      <c r="N10" s="18" t="s">
        <v>34</v>
      </c>
      <c r="O10" s="18" t="s">
        <v>35</v>
      </c>
      <c r="P10" s="18" t="s">
        <v>36</v>
      </c>
      <c r="Q10" s="18" t="s">
        <v>37</v>
      </c>
      <c r="R10" s="17" t="s">
        <v>38</v>
      </c>
      <c r="S10" s="17" t="s">
        <v>39</v>
      </c>
      <c r="T10" s="19" t="s">
        <v>40</v>
      </c>
      <c r="U10" s="17" t="s">
        <v>41</v>
      </c>
      <c r="V10" s="17" t="s">
        <v>42</v>
      </c>
      <c r="W10" s="17" t="s">
        <v>43</v>
      </c>
      <c r="X10" s="20" t="s">
        <v>44</v>
      </c>
      <c r="Y10" s="901" t="s">
        <v>45</v>
      </c>
      <c r="Z10" s="902" t="s">
        <v>46</v>
      </c>
      <c r="AA10" s="902" t="s">
        <v>314</v>
      </c>
      <c r="AB10" s="902" t="s">
        <v>48</v>
      </c>
      <c r="AC10" s="16" t="s">
        <v>49</v>
      </c>
      <c r="AD10" s="17" t="s">
        <v>50</v>
      </c>
      <c r="AE10" s="17" t="s">
        <v>51</v>
      </c>
      <c r="AF10" s="17" t="s">
        <v>52</v>
      </c>
      <c r="AG10" s="21" t="s">
        <v>53</v>
      </c>
      <c r="AH10" s="22" t="s">
        <v>54</v>
      </c>
      <c r="AI10" s="21" t="s">
        <v>55</v>
      </c>
      <c r="AJ10" s="21" t="s">
        <v>56</v>
      </c>
      <c r="AK10" s="21" t="s">
        <v>57</v>
      </c>
      <c r="AL10" s="21" t="s">
        <v>58</v>
      </c>
      <c r="AM10" s="21" t="s">
        <v>59</v>
      </c>
      <c r="AN10" s="21" t="s">
        <v>60</v>
      </c>
      <c r="AO10" s="21" t="s">
        <v>61</v>
      </c>
      <c r="AP10" s="21" t="s">
        <v>62</v>
      </c>
      <c r="AQ10" s="21" t="s">
        <v>63</v>
      </c>
      <c r="AR10" s="21" t="s">
        <v>64</v>
      </c>
      <c r="AS10" s="21" t="s">
        <v>65</v>
      </c>
      <c r="AT10" s="21" t="s">
        <v>66</v>
      </c>
      <c r="AU10" s="21" t="s">
        <v>67</v>
      </c>
      <c r="AV10" s="1092"/>
      <c r="AW10" s="1093"/>
      <c r="AX10" s="996"/>
      <c r="AY10" s="996"/>
      <c r="AZ10" s="14"/>
      <c r="BA10" s="14"/>
      <c r="BB10" s="14"/>
      <c r="BC10" s="14"/>
      <c r="BD10" s="14"/>
      <c r="BE10" s="14"/>
      <c r="BF10" s="14"/>
      <c r="BG10" s="14"/>
      <c r="BH10" s="14"/>
      <c r="BI10" s="14"/>
      <c r="BJ10" s="14"/>
      <c r="BK10" s="14"/>
      <c r="BL10" s="14"/>
      <c r="BM10" s="14"/>
      <c r="BN10" s="14"/>
    </row>
    <row r="11" spans="1:69" ht="75.75" customHeight="1" x14ac:dyDescent="0.2">
      <c r="A11" s="28">
        <v>1</v>
      </c>
      <c r="B11" s="34" t="s">
        <v>315</v>
      </c>
      <c r="C11" s="28">
        <v>12</v>
      </c>
      <c r="D11" s="34" t="s">
        <v>316</v>
      </c>
      <c r="E11" s="28">
        <v>1202</v>
      </c>
      <c r="F11" s="34" t="s">
        <v>317</v>
      </c>
      <c r="G11" s="28" t="s">
        <v>70</v>
      </c>
      <c r="H11" s="34" t="s">
        <v>318</v>
      </c>
      <c r="I11" s="28">
        <v>1202019</v>
      </c>
      <c r="J11" s="34" t="s">
        <v>319</v>
      </c>
      <c r="K11" s="28" t="s">
        <v>70</v>
      </c>
      <c r="L11" s="34" t="s">
        <v>320</v>
      </c>
      <c r="M11" s="906">
        <v>120201900</v>
      </c>
      <c r="N11" s="34" t="s">
        <v>321</v>
      </c>
      <c r="O11" s="23">
        <v>6</v>
      </c>
      <c r="P11" s="23">
        <v>0</v>
      </c>
      <c r="Q11" s="23">
        <f>SUM(O11:P11)</f>
        <v>6</v>
      </c>
      <c r="R11" s="79">
        <v>2020003630017</v>
      </c>
      <c r="S11" s="34" t="s">
        <v>322</v>
      </c>
      <c r="T11" s="25">
        <f>SUM($X$11:$X$15)/SUM($X$11:$X$15)</f>
        <v>1</v>
      </c>
      <c r="U11" s="34" t="s">
        <v>323</v>
      </c>
      <c r="V11" s="34" t="s">
        <v>324</v>
      </c>
      <c r="W11" s="34" t="s">
        <v>325</v>
      </c>
      <c r="X11" s="202">
        <v>52200000</v>
      </c>
      <c r="Y11" s="202"/>
      <c r="Z11" s="202"/>
      <c r="AA11" s="202"/>
      <c r="AB11" s="202">
        <f>X11-Y11+Z11-AA11</f>
        <v>52200000</v>
      </c>
      <c r="AC11" s="203" t="s">
        <v>326</v>
      </c>
      <c r="AD11" s="204"/>
      <c r="AE11" s="205">
        <v>20</v>
      </c>
      <c r="AF11" s="34" t="s">
        <v>327</v>
      </c>
      <c r="AG11" s="206">
        <v>295972</v>
      </c>
      <c r="AH11" s="206">
        <v>285580</v>
      </c>
      <c r="AI11" s="206">
        <v>135545</v>
      </c>
      <c r="AJ11" s="206">
        <v>44254</v>
      </c>
      <c r="AK11" s="206">
        <v>309146</v>
      </c>
      <c r="AL11" s="206">
        <v>92607</v>
      </c>
      <c r="AM11" s="206">
        <v>2145</v>
      </c>
      <c r="AN11" s="206">
        <v>12718</v>
      </c>
      <c r="AO11" s="206">
        <v>26</v>
      </c>
      <c r="AP11" s="206">
        <v>37</v>
      </c>
      <c r="AQ11" s="206">
        <v>0</v>
      </c>
      <c r="AR11" s="206">
        <v>0</v>
      </c>
      <c r="AS11" s="206">
        <v>44350</v>
      </c>
      <c r="AT11" s="206">
        <v>21944</v>
      </c>
      <c r="AU11" s="206">
        <v>75687</v>
      </c>
      <c r="AV11" s="206">
        <v>581552</v>
      </c>
      <c r="AW11" s="31">
        <v>45292</v>
      </c>
      <c r="AX11" s="31">
        <v>45657</v>
      </c>
      <c r="AY11" s="29" t="s">
        <v>328</v>
      </c>
    </row>
    <row r="12" spans="1:69" ht="69" customHeight="1" x14ac:dyDescent="0.2">
      <c r="A12" s="28">
        <v>1</v>
      </c>
      <c r="B12" s="34" t="s">
        <v>315</v>
      </c>
      <c r="C12" s="28">
        <v>12</v>
      </c>
      <c r="D12" s="34" t="s">
        <v>316</v>
      </c>
      <c r="E12" s="28">
        <v>1202</v>
      </c>
      <c r="F12" s="34" t="s">
        <v>317</v>
      </c>
      <c r="G12" s="28" t="s">
        <v>70</v>
      </c>
      <c r="H12" s="34" t="s">
        <v>318</v>
      </c>
      <c r="I12" s="28">
        <v>1202019</v>
      </c>
      <c r="J12" s="34" t="s">
        <v>319</v>
      </c>
      <c r="K12" s="28" t="s">
        <v>70</v>
      </c>
      <c r="L12" s="34" t="s">
        <v>320</v>
      </c>
      <c r="M12" s="906">
        <v>120201900</v>
      </c>
      <c r="N12" s="34" t="s">
        <v>321</v>
      </c>
      <c r="O12" s="23">
        <v>6</v>
      </c>
      <c r="P12" s="23">
        <v>0</v>
      </c>
      <c r="Q12" s="23">
        <f>SUM(O12:P12)</f>
        <v>6</v>
      </c>
      <c r="R12" s="79">
        <v>2020003630017</v>
      </c>
      <c r="S12" s="34" t="s">
        <v>322</v>
      </c>
      <c r="T12" s="25">
        <f>SUM($X$11:$X$15)/SUM($X$11:$X$15)</f>
        <v>1</v>
      </c>
      <c r="U12" s="34" t="s">
        <v>323</v>
      </c>
      <c r="V12" s="34" t="s">
        <v>324</v>
      </c>
      <c r="W12" s="34" t="s">
        <v>329</v>
      </c>
      <c r="X12" s="202">
        <v>20000000</v>
      </c>
      <c r="Y12" s="202"/>
      <c r="Z12" s="202"/>
      <c r="AA12" s="202"/>
      <c r="AB12" s="202">
        <f>X12-Y12+Z12-AA12</f>
        <v>20000000</v>
      </c>
      <c r="AC12" s="203" t="s">
        <v>330</v>
      </c>
      <c r="AD12" s="204"/>
      <c r="AE12" s="205">
        <v>20</v>
      </c>
      <c r="AF12" s="34" t="s">
        <v>327</v>
      </c>
      <c r="AG12" s="23">
        <v>295972</v>
      </c>
      <c r="AH12" s="23">
        <v>285580</v>
      </c>
      <c r="AI12" s="23">
        <v>135545</v>
      </c>
      <c r="AJ12" s="23">
        <v>44254</v>
      </c>
      <c r="AK12" s="23">
        <v>309146</v>
      </c>
      <c r="AL12" s="23">
        <v>92607</v>
      </c>
      <c r="AM12" s="23">
        <v>2145</v>
      </c>
      <c r="AN12" s="23">
        <v>12718</v>
      </c>
      <c r="AO12" s="23">
        <v>26</v>
      </c>
      <c r="AP12" s="23">
        <v>37</v>
      </c>
      <c r="AQ12" s="23">
        <v>0</v>
      </c>
      <c r="AR12" s="23">
        <v>0</v>
      </c>
      <c r="AS12" s="23">
        <v>44350</v>
      </c>
      <c r="AT12" s="23">
        <v>21944</v>
      </c>
      <c r="AU12" s="23">
        <v>75687</v>
      </c>
      <c r="AV12" s="23">
        <v>581552</v>
      </c>
      <c r="AW12" s="31">
        <v>45292</v>
      </c>
      <c r="AX12" s="31">
        <v>45657</v>
      </c>
      <c r="AY12" s="29" t="s">
        <v>328</v>
      </c>
    </row>
    <row r="13" spans="1:69" ht="64.5" customHeight="1" x14ac:dyDescent="0.2">
      <c r="A13" s="28">
        <v>1</v>
      </c>
      <c r="B13" s="34" t="s">
        <v>315</v>
      </c>
      <c r="C13" s="28">
        <v>12</v>
      </c>
      <c r="D13" s="34" t="s">
        <v>316</v>
      </c>
      <c r="E13" s="28">
        <v>1202</v>
      </c>
      <c r="F13" s="34" t="s">
        <v>317</v>
      </c>
      <c r="G13" s="28" t="s">
        <v>70</v>
      </c>
      <c r="H13" s="34" t="s">
        <v>318</v>
      </c>
      <c r="I13" s="28">
        <v>1202019</v>
      </c>
      <c r="J13" s="34" t="s">
        <v>319</v>
      </c>
      <c r="K13" s="28" t="s">
        <v>70</v>
      </c>
      <c r="L13" s="34" t="s">
        <v>320</v>
      </c>
      <c r="M13" s="906">
        <v>120201900</v>
      </c>
      <c r="N13" s="34" t="s">
        <v>321</v>
      </c>
      <c r="O13" s="23">
        <v>6</v>
      </c>
      <c r="P13" s="23">
        <v>0</v>
      </c>
      <c r="Q13" s="23">
        <f>SUM(O13:P13)</f>
        <v>6</v>
      </c>
      <c r="R13" s="79">
        <v>2020003630017</v>
      </c>
      <c r="S13" s="34" t="s">
        <v>322</v>
      </c>
      <c r="T13" s="25">
        <f>SUM($X$11:$X$15)/SUM($X$11:$X$15)</f>
        <v>1</v>
      </c>
      <c r="U13" s="34" t="s">
        <v>323</v>
      </c>
      <c r="V13" s="34" t="s">
        <v>324</v>
      </c>
      <c r="W13" s="34" t="s">
        <v>329</v>
      </c>
      <c r="X13" s="202">
        <v>5000000</v>
      </c>
      <c r="Y13" s="202"/>
      <c r="Z13" s="202"/>
      <c r="AA13" s="202"/>
      <c r="AB13" s="202">
        <f t="shared" ref="AB13:AB62" si="0">X13-Y13+Z13-AA13</f>
        <v>5000000</v>
      </c>
      <c r="AC13" s="203" t="s">
        <v>331</v>
      </c>
      <c r="AD13" s="204"/>
      <c r="AE13" s="205">
        <v>20</v>
      </c>
      <c r="AF13" s="34" t="s">
        <v>327</v>
      </c>
      <c r="AG13" s="23">
        <v>295972</v>
      </c>
      <c r="AH13" s="23">
        <v>285580</v>
      </c>
      <c r="AI13" s="23">
        <v>135545</v>
      </c>
      <c r="AJ13" s="23">
        <v>44254</v>
      </c>
      <c r="AK13" s="23">
        <v>309146</v>
      </c>
      <c r="AL13" s="23">
        <v>92607</v>
      </c>
      <c r="AM13" s="23">
        <v>2145</v>
      </c>
      <c r="AN13" s="23">
        <v>12718</v>
      </c>
      <c r="AO13" s="23">
        <v>26</v>
      </c>
      <c r="AP13" s="23">
        <v>37</v>
      </c>
      <c r="AQ13" s="23">
        <v>0</v>
      </c>
      <c r="AR13" s="23">
        <v>0</v>
      </c>
      <c r="AS13" s="23">
        <v>44350</v>
      </c>
      <c r="AT13" s="23">
        <v>21944</v>
      </c>
      <c r="AU13" s="23">
        <v>75687</v>
      </c>
      <c r="AV13" s="23">
        <v>581552</v>
      </c>
      <c r="AW13" s="31">
        <v>45292</v>
      </c>
      <c r="AX13" s="31">
        <v>45657</v>
      </c>
      <c r="AY13" s="29" t="s">
        <v>328</v>
      </c>
    </row>
    <row r="14" spans="1:69" ht="65.25" customHeight="1" x14ac:dyDescent="0.2">
      <c r="A14" s="28">
        <v>1</v>
      </c>
      <c r="B14" s="34" t="s">
        <v>315</v>
      </c>
      <c r="C14" s="28">
        <v>12</v>
      </c>
      <c r="D14" s="34" t="s">
        <v>316</v>
      </c>
      <c r="E14" s="28">
        <v>1202</v>
      </c>
      <c r="F14" s="34" t="s">
        <v>317</v>
      </c>
      <c r="G14" s="28" t="s">
        <v>70</v>
      </c>
      <c r="H14" s="34" t="s">
        <v>318</v>
      </c>
      <c r="I14" s="28">
        <v>1202019</v>
      </c>
      <c r="J14" s="34" t="s">
        <v>319</v>
      </c>
      <c r="K14" s="28" t="s">
        <v>70</v>
      </c>
      <c r="L14" s="34" t="s">
        <v>320</v>
      </c>
      <c r="M14" s="906">
        <v>120201900</v>
      </c>
      <c r="N14" s="34" t="s">
        <v>321</v>
      </c>
      <c r="O14" s="23">
        <v>6</v>
      </c>
      <c r="P14" s="23">
        <v>0</v>
      </c>
      <c r="Q14" s="23">
        <f>SUM(O14:P14)</f>
        <v>6</v>
      </c>
      <c r="R14" s="79">
        <v>2020003630017</v>
      </c>
      <c r="S14" s="34" t="s">
        <v>322</v>
      </c>
      <c r="T14" s="25">
        <f>SUM($X$11:$X$15)/SUM($X$11:$X$15)</f>
        <v>1</v>
      </c>
      <c r="U14" s="34" t="s">
        <v>323</v>
      </c>
      <c r="V14" s="34" t="s">
        <v>324</v>
      </c>
      <c r="W14" s="34" t="s">
        <v>329</v>
      </c>
      <c r="X14" s="202">
        <v>5000000</v>
      </c>
      <c r="Y14" s="202"/>
      <c r="Z14" s="202"/>
      <c r="AA14" s="202"/>
      <c r="AB14" s="202">
        <f t="shared" si="0"/>
        <v>5000000</v>
      </c>
      <c r="AC14" s="203" t="s">
        <v>332</v>
      </c>
      <c r="AD14" s="204"/>
      <c r="AE14" s="205">
        <v>20</v>
      </c>
      <c r="AF14" s="34" t="s">
        <v>327</v>
      </c>
      <c r="AG14" s="23">
        <v>295972</v>
      </c>
      <c r="AH14" s="23">
        <v>285580</v>
      </c>
      <c r="AI14" s="23">
        <v>135545</v>
      </c>
      <c r="AJ14" s="23">
        <v>44254</v>
      </c>
      <c r="AK14" s="23">
        <v>309146</v>
      </c>
      <c r="AL14" s="23">
        <v>92607</v>
      </c>
      <c r="AM14" s="23">
        <v>2145</v>
      </c>
      <c r="AN14" s="23">
        <v>12718</v>
      </c>
      <c r="AO14" s="23">
        <v>26</v>
      </c>
      <c r="AP14" s="23">
        <v>37</v>
      </c>
      <c r="AQ14" s="23">
        <v>0</v>
      </c>
      <c r="AR14" s="23">
        <v>0</v>
      </c>
      <c r="AS14" s="23">
        <v>44350</v>
      </c>
      <c r="AT14" s="23">
        <v>21944</v>
      </c>
      <c r="AU14" s="23">
        <v>75687</v>
      </c>
      <c r="AV14" s="23">
        <v>581552</v>
      </c>
      <c r="AW14" s="31">
        <v>45292</v>
      </c>
      <c r="AX14" s="31">
        <v>45657</v>
      </c>
      <c r="AY14" s="29" t="s">
        <v>328</v>
      </c>
    </row>
    <row r="15" spans="1:69" ht="65.25" customHeight="1" x14ac:dyDescent="0.2">
      <c r="A15" s="28">
        <v>1</v>
      </c>
      <c r="B15" s="34" t="s">
        <v>315</v>
      </c>
      <c r="C15" s="28">
        <v>12</v>
      </c>
      <c r="D15" s="34" t="s">
        <v>316</v>
      </c>
      <c r="E15" s="28">
        <v>1202</v>
      </c>
      <c r="F15" s="34" t="s">
        <v>317</v>
      </c>
      <c r="G15" s="28" t="s">
        <v>70</v>
      </c>
      <c r="H15" s="34" t="s">
        <v>318</v>
      </c>
      <c r="I15" s="28">
        <v>1202019</v>
      </c>
      <c r="J15" s="34" t="s">
        <v>319</v>
      </c>
      <c r="K15" s="28" t="s">
        <v>70</v>
      </c>
      <c r="L15" s="34" t="s">
        <v>320</v>
      </c>
      <c r="M15" s="906">
        <v>120201900</v>
      </c>
      <c r="N15" s="34" t="s">
        <v>321</v>
      </c>
      <c r="O15" s="23">
        <v>6</v>
      </c>
      <c r="P15" s="23">
        <v>0</v>
      </c>
      <c r="Q15" s="23">
        <f>SUM(O15:P15)</f>
        <v>6</v>
      </c>
      <c r="R15" s="79">
        <v>2020003630017</v>
      </c>
      <c r="S15" s="34" t="s">
        <v>322</v>
      </c>
      <c r="T15" s="25">
        <f>SUM($X$11:$X$15)/SUM($X$11:$X$15)</f>
        <v>1</v>
      </c>
      <c r="U15" s="34" t="s">
        <v>323</v>
      </c>
      <c r="V15" s="34" t="s">
        <v>324</v>
      </c>
      <c r="W15" s="34" t="s">
        <v>333</v>
      </c>
      <c r="X15" s="202">
        <v>17800000</v>
      </c>
      <c r="Y15" s="202">
        <f>2000000+2000000+1200000+2800000+4000000</f>
        <v>12000000</v>
      </c>
      <c r="Z15" s="202"/>
      <c r="AA15" s="202"/>
      <c r="AB15" s="202">
        <f t="shared" si="0"/>
        <v>5800000</v>
      </c>
      <c r="AC15" s="203" t="s">
        <v>334</v>
      </c>
      <c r="AD15" s="204"/>
      <c r="AE15" s="205">
        <v>20</v>
      </c>
      <c r="AF15" s="34" t="s">
        <v>327</v>
      </c>
      <c r="AG15" s="23">
        <v>295972</v>
      </c>
      <c r="AH15" s="23">
        <v>285580</v>
      </c>
      <c r="AI15" s="23">
        <v>135545</v>
      </c>
      <c r="AJ15" s="23">
        <v>44254</v>
      </c>
      <c r="AK15" s="23">
        <v>309146</v>
      </c>
      <c r="AL15" s="23">
        <v>92607</v>
      </c>
      <c r="AM15" s="23">
        <v>2145</v>
      </c>
      <c r="AN15" s="23">
        <v>12718</v>
      </c>
      <c r="AO15" s="23">
        <v>26</v>
      </c>
      <c r="AP15" s="23">
        <v>37</v>
      </c>
      <c r="AQ15" s="23">
        <v>0</v>
      </c>
      <c r="AR15" s="23">
        <v>0</v>
      </c>
      <c r="AS15" s="23">
        <v>44350</v>
      </c>
      <c r="AT15" s="23">
        <v>21944</v>
      </c>
      <c r="AU15" s="23">
        <v>75687</v>
      </c>
      <c r="AV15" s="23">
        <v>581552</v>
      </c>
      <c r="AW15" s="31">
        <v>45292</v>
      </c>
      <c r="AX15" s="31">
        <v>45657</v>
      </c>
      <c r="AY15" s="29" t="s">
        <v>328</v>
      </c>
    </row>
    <row r="16" spans="1:69" ht="87.75" customHeight="1" x14ac:dyDescent="0.2">
      <c r="A16" s="28">
        <v>1</v>
      </c>
      <c r="B16" s="34" t="s">
        <v>315</v>
      </c>
      <c r="C16" s="28">
        <v>22</v>
      </c>
      <c r="D16" s="34" t="s">
        <v>335</v>
      </c>
      <c r="E16" s="28">
        <v>2201</v>
      </c>
      <c r="F16" s="34" t="s">
        <v>336</v>
      </c>
      <c r="G16" s="28" t="s">
        <v>70</v>
      </c>
      <c r="H16" s="34" t="s">
        <v>337</v>
      </c>
      <c r="I16" s="28">
        <v>2201062</v>
      </c>
      <c r="J16" s="34" t="s">
        <v>338</v>
      </c>
      <c r="K16" s="28" t="s">
        <v>70</v>
      </c>
      <c r="L16" s="34" t="s">
        <v>339</v>
      </c>
      <c r="M16" s="28">
        <v>220106200</v>
      </c>
      <c r="N16" s="34" t="s">
        <v>340</v>
      </c>
      <c r="O16" s="23">
        <v>22</v>
      </c>
      <c r="P16" s="23">
        <v>0</v>
      </c>
      <c r="Q16" s="23">
        <f t="shared" ref="Q16:Q49" si="1">SUM(O16:P16)</f>
        <v>22</v>
      </c>
      <c r="R16" s="79">
        <v>2020003630050</v>
      </c>
      <c r="S16" s="34" t="s">
        <v>341</v>
      </c>
      <c r="T16" s="208">
        <f>SUM($X$16:$X$22)/SUM($X$16:$X$22)</f>
        <v>1</v>
      </c>
      <c r="U16" s="34" t="s">
        <v>342</v>
      </c>
      <c r="V16" s="34" t="s">
        <v>343</v>
      </c>
      <c r="W16" s="34" t="s">
        <v>344</v>
      </c>
      <c r="X16" s="202">
        <v>2800000000</v>
      </c>
      <c r="Y16" s="202">
        <f>545060572</f>
        <v>545060572</v>
      </c>
      <c r="Z16" s="202"/>
      <c r="AA16" s="202"/>
      <c r="AB16" s="202">
        <f t="shared" si="0"/>
        <v>2254939428</v>
      </c>
      <c r="AC16" s="209" t="s">
        <v>345</v>
      </c>
      <c r="AD16" s="204"/>
      <c r="AE16" s="210" t="s">
        <v>346</v>
      </c>
      <c r="AF16" s="34" t="s">
        <v>347</v>
      </c>
      <c r="AG16" s="23">
        <v>295972</v>
      </c>
      <c r="AH16" s="23">
        <v>285580</v>
      </c>
      <c r="AI16" s="23">
        <v>135545</v>
      </c>
      <c r="AJ16" s="23">
        <v>44254</v>
      </c>
      <c r="AK16" s="23">
        <v>309146</v>
      </c>
      <c r="AL16" s="23">
        <v>92607</v>
      </c>
      <c r="AM16" s="23">
        <v>2145</v>
      </c>
      <c r="AN16" s="23">
        <v>12718</v>
      </c>
      <c r="AO16" s="23">
        <v>26</v>
      </c>
      <c r="AP16" s="23">
        <v>37</v>
      </c>
      <c r="AQ16" s="23">
        <v>0</v>
      </c>
      <c r="AR16" s="23">
        <v>0</v>
      </c>
      <c r="AS16" s="23">
        <v>44350</v>
      </c>
      <c r="AT16" s="23">
        <v>21944</v>
      </c>
      <c r="AU16" s="23">
        <v>75687</v>
      </c>
      <c r="AV16" s="23">
        <v>581552</v>
      </c>
      <c r="AW16" s="31">
        <v>45292</v>
      </c>
      <c r="AX16" s="31">
        <v>45657</v>
      </c>
      <c r="AY16" s="29" t="s">
        <v>328</v>
      </c>
    </row>
    <row r="17" spans="1:51" ht="71.25" customHeight="1" x14ac:dyDescent="0.2">
      <c r="A17" s="28">
        <v>1</v>
      </c>
      <c r="B17" s="34" t="s">
        <v>315</v>
      </c>
      <c r="C17" s="28">
        <v>22</v>
      </c>
      <c r="D17" s="34" t="s">
        <v>335</v>
      </c>
      <c r="E17" s="28">
        <v>2201</v>
      </c>
      <c r="F17" s="34" t="s">
        <v>336</v>
      </c>
      <c r="G17" s="28" t="s">
        <v>70</v>
      </c>
      <c r="H17" s="34" t="s">
        <v>337</v>
      </c>
      <c r="I17" s="28">
        <v>2201062</v>
      </c>
      <c r="J17" s="34" t="s">
        <v>338</v>
      </c>
      <c r="K17" s="28" t="s">
        <v>70</v>
      </c>
      <c r="L17" s="34" t="s">
        <v>339</v>
      </c>
      <c r="M17" s="28">
        <v>220106200</v>
      </c>
      <c r="N17" s="34" t="s">
        <v>340</v>
      </c>
      <c r="O17" s="23">
        <v>22</v>
      </c>
      <c r="P17" s="23">
        <v>0</v>
      </c>
      <c r="Q17" s="23">
        <f t="shared" si="1"/>
        <v>22</v>
      </c>
      <c r="R17" s="79">
        <v>2020003630050</v>
      </c>
      <c r="S17" s="34" t="s">
        <v>341</v>
      </c>
      <c r="T17" s="208">
        <f t="shared" ref="T17:T22" si="2">SUM($X$16:$X$22)/SUM($X$16:$X$22)</f>
        <v>1</v>
      </c>
      <c r="U17" s="34" t="s">
        <v>342</v>
      </c>
      <c r="V17" s="34" t="s">
        <v>343</v>
      </c>
      <c r="W17" s="34" t="s">
        <v>348</v>
      </c>
      <c r="X17" s="202">
        <v>280000000</v>
      </c>
      <c r="Y17" s="202"/>
      <c r="Z17" s="202"/>
      <c r="AA17" s="202"/>
      <c r="AB17" s="202">
        <f t="shared" si="0"/>
        <v>280000000</v>
      </c>
      <c r="AC17" s="211" t="s">
        <v>349</v>
      </c>
      <c r="AD17" s="204"/>
      <c r="AE17" s="210" t="s">
        <v>346</v>
      </c>
      <c r="AF17" s="34" t="s">
        <v>347</v>
      </c>
      <c r="AG17" s="23">
        <v>295972</v>
      </c>
      <c r="AH17" s="23">
        <v>285580</v>
      </c>
      <c r="AI17" s="23">
        <v>135545</v>
      </c>
      <c r="AJ17" s="23">
        <v>44254</v>
      </c>
      <c r="AK17" s="23">
        <v>309146</v>
      </c>
      <c r="AL17" s="23">
        <v>92607</v>
      </c>
      <c r="AM17" s="23">
        <v>2145</v>
      </c>
      <c r="AN17" s="23">
        <v>12718</v>
      </c>
      <c r="AO17" s="23">
        <v>26</v>
      </c>
      <c r="AP17" s="23">
        <v>37</v>
      </c>
      <c r="AQ17" s="23">
        <v>0</v>
      </c>
      <c r="AR17" s="23">
        <v>0</v>
      </c>
      <c r="AS17" s="23">
        <v>44350</v>
      </c>
      <c r="AT17" s="23">
        <v>21944</v>
      </c>
      <c r="AU17" s="23">
        <v>75687</v>
      </c>
      <c r="AV17" s="23">
        <v>581552</v>
      </c>
      <c r="AW17" s="31">
        <v>45292</v>
      </c>
      <c r="AX17" s="31">
        <v>45657</v>
      </c>
      <c r="AY17" s="29" t="s">
        <v>328</v>
      </c>
    </row>
    <row r="18" spans="1:51" ht="78" customHeight="1" x14ac:dyDescent="0.2">
      <c r="A18" s="28">
        <v>1</v>
      </c>
      <c r="B18" s="34" t="s">
        <v>315</v>
      </c>
      <c r="C18" s="28">
        <v>22</v>
      </c>
      <c r="D18" s="34" t="s">
        <v>335</v>
      </c>
      <c r="E18" s="28">
        <v>2201</v>
      </c>
      <c r="F18" s="34" t="s">
        <v>336</v>
      </c>
      <c r="G18" s="28" t="s">
        <v>70</v>
      </c>
      <c r="H18" s="34" t="s">
        <v>337</v>
      </c>
      <c r="I18" s="28">
        <v>2201062</v>
      </c>
      <c r="J18" s="34" t="s">
        <v>338</v>
      </c>
      <c r="K18" s="28" t="s">
        <v>70</v>
      </c>
      <c r="L18" s="34" t="s">
        <v>339</v>
      </c>
      <c r="M18" s="28">
        <v>220106200</v>
      </c>
      <c r="N18" s="34" t="s">
        <v>340</v>
      </c>
      <c r="O18" s="23">
        <v>22</v>
      </c>
      <c r="P18" s="23">
        <v>0</v>
      </c>
      <c r="Q18" s="23">
        <f t="shared" si="1"/>
        <v>22</v>
      </c>
      <c r="R18" s="79">
        <v>2020003630050</v>
      </c>
      <c r="S18" s="34" t="s">
        <v>341</v>
      </c>
      <c r="T18" s="208">
        <f t="shared" si="2"/>
        <v>1</v>
      </c>
      <c r="U18" s="34" t="s">
        <v>342</v>
      </c>
      <c r="V18" s="34" t="s">
        <v>343</v>
      </c>
      <c r="W18" s="34" t="s">
        <v>329</v>
      </c>
      <c r="X18" s="202">
        <v>75000000</v>
      </c>
      <c r="Y18" s="202"/>
      <c r="Z18" s="202"/>
      <c r="AA18" s="202"/>
      <c r="AB18" s="202">
        <f t="shared" si="0"/>
        <v>75000000</v>
      </c>
      <c r="AC18" s="211" t="s">
        <v>350</v>
      </c>
      <c r="AD18" s="204"/>
      <c r="AE18" s="210" t="s">
        <v>346</v>
      </c>
      <c r="AF18" s="34" t="s">
        <v>347</v>
      </c>
      <c r="AG18" s="23">
        <v>295972</v>
      </c>
      <c r="AH18" s="23">
        <v>285580</v>
      </c>
      <c r="AI18" s="23">
        <v>135545</v>
      </c>
      <c r="AJ18" s="23">
        <v>44254</v>
      </c>
      <c r="AK18" s="23">
        <v>309146</v>
      </c>
      <c r="AL18" s="23">
        <v>92607</v>
      </c>
      <c r="AM18" s="23">
        <v>2145</v>
      </c>
      <c r="AN18" s="23">
        <v>12718</v>
      </c>
      <c r="AO18" s="23">
        <v>26</v>
      </c>
      <c r="AP18" s="23">
        <v>37</v>
      </c>
      <c r="AQ18" s="23">
        <v>0</v>
      </c>
      <c r="AR18" s="23">
        <v>0</v>
      </c>
      <c r="AS18" s="23">
        <v>44350</v>
      </c>
      <c r="AT18" s="23">
        <v>21944</v>
      </c>
      <c r="AU18" s="23">
        <v>75687</v>
      </c>
      <c r="AV18" s="23">
        <v>581552</v>
      </c>
      <c r="AW18" s="31">
        <v>45292</v>
      </c>
      <c r="AX18" s="31">
        <v>45657</v>
      </c>
      <c r="AY18" s="29" t="s">
        <v>328</v>
      </c>
    </row>
    <row r="19" spans="1:51" ht="76.5" customHeight="1" x14ac:dyDescent="0.2">
      <c r="A19" s="28">
        <v>1</v>
      </c>
      <c r="B19" s="34" t="s">
        <v>315</v>
      </c>
      <c r="C19" s="28">
        <v>22</v>
      </c>
      <c r="D19" s="34" t="s">
        <v>335</v>
      </c>
      <c r="E19" s="28">
        <v>2201</v>
      </c>
      <c r="F19" s="34" t="s">
        <v>336</v>
      </c>
      <c r="G19" s="28" t="s">
        <v>70</v>
      </c>
      <c r="H19" s="34" t="s">
        <v>337</v>
      </c>
      <c r="I19" s="28">
        <v>2201062</v>
      </c>
      <c r="J19" s="34" t="s">
        <v>338</v>
      </c>
      <c r="K19" s="28" t="s">
        <v>70</v>
      </c>
      <c r="L19" s="34" t="s">
        <v>339</v>
      </c>
      <c r="M19" s="28">
        <v>220106200</v>
      </c>
      <c r="N19" s="34" t="s">
        <v>340</v>
      </c>
      <c r="O19" s="23">
        <v>22</v>
      </c>
      <c r="P19" s="23">
        <v>0</v>
      </c>
      <c r="Q19" s="23">
        <f t="shared" si="1"/>
        <v>22</v>
      </c>
      <c r="R19" s="79">
        <v>2020003630050</v>
      </c>
      <c r="S19" s="34" t="s">
        <v>341</v>
      </c>
      <c r="T19" s="208">
        <f t="shared" si="2"/>
        <v>1</v>
      </c>
      <c r="U19" s="34" t="s">
        <v>342</v>
      </c>
      <c r="V19" s="34" t="s">
        <v>343</v>
      </c>
      <c r="W19" s="34" t="s">
        <v>351</v>
      </c>
      <c r="X19" s="202">
        <v>25000000</v>
      </c>
      <c r="Y19" s="202"/>
      <c r="Z19" s="202"/>
      <c r="AA19" s="202"/>
      <c r="AB19" s="202">
        <f t="shared" si="0"/>
        <v>25000000</v>
      </c>
      <c r="AC19" s="211" t="s">
        <v>352</v>
      </c>
      <c r="AD19" s="204"/>
      <c r="AE19" s="210" t="s">
        <v>346</v>
      </c>
      <c r="AF19" s="34" t="s">
        <v>347</v>
      </c>
      <c r="AG19" s="23">
        <v>295972</v>
      </c>
      <c r="AH19" s="23">
        <v>285580</v>
      </c>
      <c r="AI19" s="23">
        <v>135545</v>
      </c>
      <c r="AJ19" s="23">
        <v>44254</v>
      </c>
      <c r="AK19" s="23">
        <v>309146</v>
      </c>
      <c r="AL19" s="23">
        <v>92607</v>
      </c>
      <c r="AM19" s="23">
        <v>2145</v>
      </c>
      <c r="AN19" s="23">
        <v>12718</v>
      </c>
      <c r="AO19" s="23">
        <v>26</v>
      </c>
      <c r="AP19" s="23">
        <v>37</v>
      </c>
      <c r="AQ19" s="23">
        <v>0</v>
      </c>
      <c r="AR19" s="23">
        <v>0</v>
      </c>
      <c r="AS19" s="23">
        <v>44350</v>
      </c>
      <c r="AT19" s="23">
        <v>21944</v>
      </c>
      <c r="AU19" s="23">
        <v>75687</v>
      </c>
      <c r="AV19" s="23">
        <v>581552</v>
      </c>
      <c r="AW19" s="31">
        <v>45292</v>
      </c>
      <c r="AX19" s="31">
        <v>45657</v>
      </c>
      <c r="AY19" s="29" t="s">
        <v>328</v>
      </c>
    </row>
    <row r="20" spans="1:51" ht="68.25" customHeight="1" x14ac:dyDescent="0.2">
      <c r="A20" s="28">
        <v>1</v>
      </c>
      <c r="B20" s="34" t="s">
        <v>315</v>
      </c>
      <c r="C20" s="28">
        <v>22</v>
      </c>
      <c r="D20" s="34" t="s">
        <v>335</v>
      </c>
      <c r="E20" s="28">
        <v>2201</v>
      </c>
      <c r="F20" s="34" t="s">
        <v>336</v>
      </c>
      <c r="G20" s="28" t="s">
        <v>70</v>
      </c>
      <c r="H20" s="34" t="s">
        <v>337</v>
      </c>
      <c r="I20" s="28">
        <v>2201062</v>
      </c>
      <c r="J20" s="34" t="s">
        <v>338</v>
      </c>
      <c r="K20" s="28" t="s">
        <v>70</v>
      </c>
      <c r="L20" s="34" t="s">
        <v>339</v>
      </c>
      <c r="M20" s="28">
        <v>220106200</v>
      </c>
      <c r="N20" s="34" t="s">
        <v>340</v>
      </c>
      <c r="O20" s="23">
        <v>22</v>
      </c>
      <c r="P20" s="23">
        <v>0</v>
      </c>
      <c r="Q20" s="23">
        <f t="shared" si="1"/>
        <v>22</v>
      </c>
      <c r="R20" s="79">
        <v>2020003630050</v>
      </c>
      <c r="S20" s="34" t="s">
        <v>341</v>
      </c>
      <c r="T20" s="208">
        <f t="shared" si="2"/>
        <v>1</v>
      </c>
      <c r="U20" s="34" t="s">
        <v>342</v>
      </c>
      <c r="V20" s="34" t="s">
        <v>343</v>
      </c>
      <c r="W20" s="34" t="s">
        <v>351</v>
      </c>
      <c r="X20" s="202">
        <v>25000000</v>
      </c>
      <c r="Y20" s="202"/>
      <c r="Z20" s="202"/>
      <c r="AA20" s="202"/>
      <c r="AB20" s="202">
        <f t="shared" si="0"/>
        <v>25000000</v>
      </c>
      <c r="AC20" s="211" t="s">
        <v>353</v>
      </c>
      <c r="AD20" s="204"/>
      <c r="AE20" s="210" t="s">
        <v>346</v>
      </c>
      <c r="AF20" s="34" t="s">
        <v>347</v>
      </c>
      <c r="AG20" s="23">
        <v>295972</v>
      </c>
      <c r="AH20" s="23">
        <v>285580</v>
      </c>
      <c r="AI20" s="23">
        <v>135545</v>
      </c>
      <c r="AJ20" s="23">
        <v>44254</v>
      </c>
      <c r="AK20" s="23">
        <v>309146</v>
      </c>
      <c r="AL20" s="23">
        <v>92607</v>
      </c>
      <c r="AM20" s="23">
        <v>2145</v>
      </c>
      <c r="AN20" s="23">
        <v>12718</v>
      </c>
      <c r="AO20" s="23">
        <v>26</v>
      </c>
      <c r="AP20" s="23">
        <v>37</v>
      </c>
      <c r="AQ20" s="23">
        <v>0</v>
      </c>
      <c r="AR20" s="23">
        <v>0</v>
      </c>
      <c r="AS20" s="23">
        <v>44350</v>
      </c>
      <c r="AT20" s="23">
        <v>21944</v>
      </c>
      <c r="AU20" s="23">
        <v>75687</v>
      </c>
      <c r="AV20" s="23">
        <v>581552</v>
      </c>
      <c r="AW20" s="31">
        <v>45292</v>
      </c>
      <c r="AX20" s="31">
        <v>45657</v>
      </c>
      <c r="AY20" s="29" t="s">
        <v>328</v>
      </c>
    </row>
    <row r="21" spans="1:51" ht="70.5" customHeight="1" x14ac:dyDescent="0.2">
      <c r="A21" s="28">
        <v>1</v>
      </c>
      <c r="B21" s="34" t="s">
        <v>315</v>
      </c>
      <c r="C21" s="28">
        <v>22</v>
      </c>
      <c r="D21" s="34" t="s">
        <v>335</v>
      </c>
      <c r="E21" s="28">
        <v>2201</v>
      </c>
      <c r="F21" s="34" t="s">
        <v>336</v>
      </c>
      <c r="G21" s="28" t="s">
        <v>70</v>
      </c>
      <c r="H21" s="34" t="s">
        <v>337</v>
      </c>
      <c r="I21" s="28">
        <v>2201062</v>
      </c>
      <c r="J21" s="34" t="s">
        <v>338</v>
      </c>
      <c r="K21" s="28" t="s">
        <v>70</v>
      </c>
      <c r="L21" s="34" t="s">
        <v>339</v>
      </c>
      <c r="M21" s="28">
        <v>220106200</v>
      </c>
      <c r="N21" s="34" t="s">
        <v>340</v>
      </c>
      <c r="O21" s="23">
        <v>22</v>
      </c>
      <c r="P21" s="23">
        <v>0</v>
      </c>
      <c r="Q21" s="23">
        <f t="shared" si="1"/>
        <v>22</v>
      </c>
      <c r="R21" s="79">
        <v>2020003630050</v>
      </c>
      <c r="S21" s="34" t="s">
        <v>341</v>
      </c>
      <c r="T21" s="208">
        <f t="shared" si="2"/>
        <v>1</v>
      </c>
      <c r="U21" s="34" t="s">
        <v>342</v>
      </c>
      <c r="V21" s="34" t="s">
        <v>343</v>
      </c>
      <c r="W21" s="34" t="s">
        <v>354</v>
      </c>
      <c r="X21" s="202">
        <v>25000000</v>
      </c>
      <c r="Y21" s="202"/>
      <c r="Z21" s="202"/>
      <c r="AA21" s="202"/>
      <c r="AB21" s="202">
        <f t="shared" si="0"/>
        <v>25000000</v>
      </c>
      <c r="AC21" s="211" t="s">
        <v>355</v>
      </c>
      <c r="AD21" s="204"/>
      <c r="AE21" s="210" t="s">
        <v>346</v>
      </c>
      <c r="AF21" s="34" t="s">
        <v>347</v>
      </c>
      <c r="AG21" s="23">
        <v>295972</v>
      </c>
      <c r="AH21" s="23">
        <v>285580</v>
      </c>
      <c r="AI21" s="23">
        <v>135545</v>
      </c>
      <c r="AJ21" s="23">
        <v>44254</v>
      </c>
      <c r="AK21" s="23">
        <v>309146</v>
      </c>
      <c r="AL21" s="23">
        <v>92607</v>
      </c>
      <c r="AM21" s="23">
        <v>2145</v>
      </c>
      <c r="AN21" s="23">
        <v>12718</v>
      </c>
      <c r="AO21" s="23">
        <v>26</v>
      </c>
      <c r="AP21" s="23">
        <v>37</v>
      </c>
      <c r="AQ21" s="23">
        <v>0</v>
      </c>
      <c r="AR21" s="23">
        <v>0</v>
      </c>
      <c r="AS21" s="23">
        <v>44350</v>
      </c>
      <c r="AT21" s="23">
        <v>21944</v>
      </c>
      <c r="AU21" s="23">
        <v>75687</v>
      </c>
      <c r="AV21" s="23">
        <v>581552</v>
      </c>
      <c r="AW21" s="31">
        <v>45292</v>
      </c>
      <c r="AX21" s="31">
        <v>45657</v>
      </c>
      <c r="AY21" s="29" t="s">
        <v>328</v>
      </c>
    </row>
    <row r="22" spans="1:51" ht="73.5" customHeight="1" x14ac:dyDescent="0.2">
      <c r="A22" s="28">
        <v>1</v>
      </c>
      <c r="B22" s="34" t="s">
        <v>315</v>
      </c>
      <c r="C22" s="28">
        <v>22</v>
      </c>
      <c r="D22" s="34" t="s">
        <v>335</v>
      </c>
      <c r="E22" s="28">
        <v>2201</v>
      </c>
      <c r="F22" s="34" t="s">
        <v>336</v>
      </c>
      <c r="G22" s="28" t="s">
        <v>70</v>
      </c>
      <c r="H22" s="34" t="s">
        <v>337</v>
      </c>
      <c r="I22" s="28">
        <v>2201062</v>
      </c>
      <c r="J22" s="34" t="s">
        <v>338</v>
      </c>
      <c r="K22" s="28" t="s">
        <v>70</v>
      </c>
      <c r="L22" s="34" t="s">
        <v>339</v>
      </c>
      <c r="M22" s="28">
        <v>220106200</v>
      </c>
      <c r="N22" s="34" t="s">
        <v>340</v>
      </c>
      <c r="O22" s="23">
        <v>22</v>
      </c>
      <c r="P22" s="23">
        <v>0</v>
      </c>
      <c r="Q22" s="23">
        <f t="shared" si="1"/>
        <v>22</v>
      </c>
      <c r="R22" s="79">
        <v>2020003630050</v>
      </c>
      <c r="S22" s="34" t="s">
        <v>341</v>
      </c>
      <c r="T22" s="208">
        <f t="shared" si="2"/>
        <v>1</v>
      </c>
      <c r="U22" s="34" t="s">
        <v>342</v>
      </c>
      <c r="V22" s="34" t="s">
        <v>343</v>
      </c>
      <c r="W22" s="34" t="s">
        <v>356</v>
      </c>
      <c r="X22" s="202">
        <v>309723000</v>
      </c>
      <c r="Y22" s="202">
        <f>6000000+8000000+6800000+7200000+4000000+10000000+4000000+10000000+10400000+7200000+7200000+8000000+10000000+4400000+7600000+4400000+10000000+3200000+8400000+2000000+5200000+4400000+10000000+5200000+8000000+8400000+7200000+2800000+9200000+4000000+3600000+3600000+4800000+11800000+8000000+6000000+6400000+10800000+8800000+9000000+4800000+4000000+8000000+2000000+10800000+4400000</f>
        <v>310000000</v>
      </c>
      <c r="Z22" s="202">
        <f>4400000</f>
        <v>4400000</v>
      </c>
      <c r="AA22" s="202"/>
      <c r="AB22" s="202">
        <f t="shared" si="0"/>
        <v>4123000</v>
      </c>
      <c r="AC22" s="211" t="s">
        <v>349</v>
      </c>
      <c r="AD22" s="204"/>
      <c r="AE22" s="210" t="s">
        <v>346</v>
      </c>
      <c r="AF22" s="34" t="s">
        <v>347</v>
      </c>
      <c r="AG22" s="23">
        <v>295972</v>
      </c>
      <c r="AH22" s="23">
        <v>285580</v>
      </c>
      <c r="AI22" s="23">
        <v>135545</v>
      </c>
      <c r="AJ22" s="23">
        <v>44254</v>
      </c>
      <c r="AK22" s="23">
        <v>309146</v>
      </c>
      <c r="AL22" s="23">
        <v>92607</v>
      </c>
      <c r="AM22" s="23">
        <v>2145</v>
      </c>
      <c r="AN22" s="23">
        <v>12718</v>
      </c>
      <c r="AO22" s="23">
        <v>26</v>
      </c>
      <c r="AP22" s="23">
        <v>37</v>
      </c>
      <c r="AQ22" s="23">
        <v>0</v>
      </c>
      <c r="AR22" s="23">
        <v>0</v>
      </c>
      <c r="AS22" s="23">
        <v>44350</v>
      </c>
      <c r="AT22" s="23">
        <v>21944</v>
      </c>
      <c r="AU22" s="23">
        <v>75687</v>
      </c>
      <c r="AV22" s="23">
        <v>581552</v>
      </c>
      <c r="AW22" s="31">
        <v>45292</v>
      </c>
      <c r="AX22" s="31">
        <v>45657</v>
      </c>
      <c r="AY22" s="29" t="s">
        <v>328</v>
      </c>
    </row>
    <row r="23" spans="1:51" ht="73.5" customHeight="1" x14ac:dyDescent="0.2">
      <c r="A23" s="28">
        <v>1</v>
      </c>
      <c r="B23" s="34" t="s">
        <v>315</v>
      </c>
      <c r="C23" s="28">
        <v>33</v>
      </c>
      <c r="D23" s="34" t="s">
        <v>357</v>
      </c>
      <c r="E23" s="28">
        <v>3301</v>
      </c>
      <c r="F23" s="34" t="s">
        <v>358</v>
      </c>
      <c r="G23" s="28" t="s">
        <v>359</v>
      </c>
      <c r="H23" s="34" t="s">
        <v>360</v>
      </c>
      <c r="I23" s="28" t="s">
        <v>359</v>
      </c>
      <c r="J23" s="34" t="s">
        <v>360</v>
      </c>
      <c r="K23" s="906" t="s">
        <v>361</v>
      </c>
      <c r="L23" s="34" t="s">
        <v>362</v>
      </c>
      <c r="M23" s="906" t="s">
        <v>361</v>
      </c>
      <c r="N23" s="34" t="s">
        <v>362</v>
      </c>
      <c r="O23" s="23">
        <v>3</v>
      </c>
      <c r="P23" s="23"/>
      <c r="Q23" s="23">
        <f t="shared" si="1"/>
        <v>3</v>
      </c>
      <c r="R23" s="212">
        <v>2021003630001</v>
      </c>
      <c r="S23" s="34" t="s">
        <v>363</v>
      </c>
      <c r="T23" s="213">
        <f>SUM($X$23:$X$27)/SUM($X$23:$X$27)</f>
        <v>1</v>
      </c>
      <c r="U23" s="34" t="s">
        <v>364</v>
      </c>
      <c r="V23" s="34" t="s">
        <v>365</v>
      </c>
      <c r="W23" s="34" t="s">
        <v>366</v>
      </c>
      <c r="X23" s="202">
        <v>52200000</v>
      </c>
      <c r="Y23" s="202"/>
      <c r="Z23" s="202"/>
      <c r="AA23" s="202"/>
      <c r="AB23" s="202">
        <f t="shared" si="0"/>
        <v>52200000</v>
      </c>
      <c r="AC23" s="211" t="s">
        <v>367</v>
      </c>
      <c r="AD23" s="204"/>
      <c r="AE23" s="205">
        <v>20</v>
      </c>
      <c r="AF23" s="34" t="s">
        <v>327</v>
      </c>
      <c r="AG23" s="23">
        <v>295972</v>
      </c>
      <c r="AH23" s="23">
        <v>285580</v>
      </c>
      <c r="AI23" s="23">
        <v>135545</v>
      </c>
      <c r="AJ23" s="23">
        <v>44254</v>
      </c>
      <c r="AK23" s="23">
        <v>309146</v>
      </c>
      <c r="AL23" s="23">
        <v>92607</v>
      </c>
      <c r="AM23" s="23">
        <v>2145</v>
      </c>
      <c r="AN23" s="23">
        <v>12718</v>
      </c>
      <c r="AO23" s="23">
        <v>26</v>
      </c>
      <c r="AP23" s="23">
        <v>37</v>
      </c>
      <c r="AQ23" s="23">
        <v>0</v>
      </c>
      <c r="AR23" s="23">
        <v>0</v>
      </c>
      <c r="AS23" s="23">
        <v>44350</v>
      </c>
      <c r="AT23" s="23">
        <v>21944</v>
      </c>
      <c r="AU23" s="23">
        <v>75687</v>
      </c>
      <c r="AV23" s="23">
        <v>581552</v>
      </c>
      <c r="AW23" s="31">
        <v>45292</v>
      </c>
      <c r="AX23" s="31">
        <v>45657</v>
      </c>
      <c r="AY23" s="29" t="s">
        <v>328</v>
      </c>
    </row>
    <row r="24" spans="1:51" ht="72" customHeight="1" x14ac:dyDescent="0.2">
      <c r="A24" s="28">
        <v>1</v>
      </c>
      <c r="B24" s="34" t="s">
        <v>315</v>
      </c>
      <c r="C24" s="28">
        <v>33</v>
      </c>
      <c r="D24" s="34" t="s">
        <v>357</v>
      </c>
      <c r="E24" s="28">
        <v>3301</v>
      </c>
      <c r="F24" s="34" t="s">
        <v>358</v>
      </c>
      <c r="G24" s="28" t="s">
        <v>359</v>
      </c>
      <c r="H24" s="34" t="s">
        <v>360</v>
      </c>
      <c r="I24" s="28" t="s">
        <v>359</v>
      </c>
      <c r="J24" s="34" t="s">
        <v>360</v>
      </c>
      <c r="K24" s="906" t="s">
        <v>361</v>
      </c>
      <c r="L24" s="34" t="s">
        <v>362</v>
      </c>
      <c r="M24" s="906" t="s">
        <v>361</v>
      </c>
      <c r="N24" s="34" t="s">
        <v>362</v>
      </c>
      <c r="O24" s="23">
        <v>3</v>
      </c>
      <c r="P24" s="23"/>
      <c r="Q24" s="23">
        <f t="shared" si="1"/>
        <v>3</v>
      </c>
      <c r="R24" s="212">
        <v>2021003630001</v>
      </c>
      <c r="S24" s="34" t="s">
        <v>363</v>
      </c>
      <c r="T24" s="213">
        <f>SUM($X$23:$X$27)/SUM($X$23:$X$27)</f>
        <v>1</v>
      </c>
      <c r="U24" s="34" t="s">
        <v>364</v>
      </c>
      <c r="V24" s="34" t="s">
        <v>365</v>
      </c>
      <c r="W24" s="34" t="s">
        <v>368</v>
      </c>
      <c r="X24" s="202">
        <v>20000000</v>
      </c>
      <c r="Y24" s="202"/>
      <c r="Z24" s="202"/>
      <c r="AA24" s="202"/>
      <c r="AB24" s="202">
        <f t="shared" si="0"/>
        <v>20000000</v>
      </c>
      <c r="AC24" s="211" t="s">
        <v>369</v>
      </c>
      <c r="AD24" s="204"/>
      <c r="AE24" s="205">
        <v>20</v>
      </c>
      <c r="AF24" s="34" t="s">
        <v>327</v>
      </c>
      <c r="AG24" s="23">
        <v>295972</v>
      </c>
      <c r="AH24" s="23">
        <v>285580</v>
      </c>
      <c r="AI24" s="23">
        <v>135545</v>
      </c>
      <c r="AJ24" s="23">
        <v>44254</v>
      </c>
      <c r="AK24" s="23">
        <v>309146</v>
      </c>
      <c r="AL24" s="23">
        <v>92607</v>
      </c>
      <c r="AM24" s="23">
        <v>2145</v>
      </c>
      <c r="AN24" s="23">
        <v>12718</v>
      </c>
      <c r="AO24" s="23">
        <v>26</v>
      </c>
      <c r="AP24" s="23">
        <v>37</v>
      </c>
      <c r="AQ24" s="23">
        <v>0</v>
      </c>
      <c r="AR24" s="23">
        <v>0</v>
      </c>
      <c r="AS24" s="23">
        <v>44350</v>
      </c>
      <c r="AT24" s="23">
        <v>21944</v>
      </c>
      <c r="AU24" s="23">
        <v>75687</v>
      </c>
      <c r="AV24" s="23">
        <v>581552</v>
      </c>
      <c r="AW24" s="31">
        <v>45292</v>
      </c>
      <c r="AX24" s="31">
        <v>45657</v>
      </c>
      <c r="AY24" s="29" t="s">
        <v>328</v>
      </c>
    </row>
    <row r="25" spans="1:51" ht="61.5" customHeight="1" x14ac:dyDescent="0.2">
      <c r="A25" s="28">
        <v>1</v>
      </c>
      <c r="B25" s="34" t="s">
        <v>315</v>
      </c>
      <c r="C25" s="28">
        <v>33</v>
      </c>
      <c r="D25" s="34" t="s">
        <v>357</v>
      </c>
      <c r="E25" s="28">
        <v>3301</v>
      </c>
      <c r="F25" s="34" t="s">
        <v>358</v>
      </c>
      <c r="G25" s="28" t="s">
        <v>359</v>
      </c>
      <c r="H25" s="34" t="s">
        <v>360</v>
      </c>
      <c r="I25" s="28" t="s">
        <v>359</v>
      </c>
      <c r="J25" s="34" t="s">
        <v>360</v>
      </c>
      <c r="K25" s="906" t="s">
        <v>361</v>
      </c>
      <c r="L25" s="34" t="s">
        <v>362</v>
      </c>
      <c r="M25" s="906" t="s">
        <v>361</v>
      </c>
      <c r="N25" s="34" t="s">
        <v>362</v>
      </c>
      <c r="O25" s="23">
        <v>3</v>
      </c>
      <c r="P25" s="23"/>
      <c r="Q25" s="23">
        <f t="shared" si="1"/>
        <v>3</v>
      </c>
      <c r="R25" s="212">
        <v>2021003630001</v>
      </c>
      <c r="S25" s="34" t="s">
        <v>363</v>
      </c>
      <c r="T25" s="213">
        <f>SUM($X$23:$X$27)/SUM($X$23:$X$27)</f>
        <v>1</v>
      </c>
      <c r="U25" s="34" t="s">
        <v>364</v>
      </c>
      <c r="V25" s="34" t="s">
        <v>365</v>
      </c>
      <c r="W25" s="34" t="s">
        <v>368</v>
      </c>
      <c r="X25" s="202">
        <v>5000000</v>
      </c>
      <c r="Y25" s="202"/>
      <c r="Z25" s="202"/>
      <c r="AA25" s="202"/>
      <c r="AB25" s="202">
        <f t="shared" si="0"/>
        <v>5000000</v>
      </c>
      <c r="AC25" s="211" t="s">
        <v>370</v>
      </c>
      <c r="AD25" s="204"/>
      <c r="AE25" s="205">
        <v>20</v>
      </c>
      <c r="AF25" s="34" t="s">
        <v>327</v>
      </c>
      <c r="AG25" s="23">
        <v>295972</v>
      </c>
      <c r="AH25" s="23">
        <v>285580</v>
      </c>
      <c r="AI25" s="23">
        <v>135545</v>
      </c>
      <c r="AJ25" s="23">
        <v>44254</v>
      </c>
      <c r="AK25" s="23">
        <v>309146</v>
      </c>
      <c r="AL25" s="23">
        <v>92607</v>
      </c>
      <c r="AM25" s="23">
        <v>2145</v>
      </c>
      <c r="AN25" s="23">
        <v>12718</v>
      </c>
      <c r="AO25" s="23">
        <v>26</v>
      </c>
      <c r="AP25" s="23">
        <v>37</v>
      </c>
      <c r="AQ25" s="23">
        <v>0</v>
      </c>
      <c r="AR25" s="23">
        <v>0</v>
      </c>
      <c r="AS25" s="23">
        <v>44350</v>
      </c>
      <c r="AT25" s="23">
        <v>21944</v>
      </c>
      <c r="AU25" s="23">
        <v>75687</v>
      </c>
      <c r="AV25" s="23">
        <v>581552</v>
      </c>
      <c r="AW25" s="31">
        <v>45292</v>
      </c>
      <c r="AX25" s="31">
        <v>45657</v>
      </c>
      <c r="AY25" s="29" t="s">
        <v>328</v>
      </c>
    </row>
    <row r="26" spans="1:51" ht="71.25" customHeight="1" x14ac:dyDescent="0.2">
      <c r="A26" s="28">
        <v>1</v>
      </c>
      <c r="B26" s="34" t="s">
        <v>315</v>
      </c>
      <c r="C26" s="28">
        <v>33</v>
      </c>
      <c r="D26" s="34" t="s">
        <v>357</v>
      </c>
      <c r="E26" s="28">
        <v>3301</v>
      </c>
      <c r="F26" s="34" t="s">
        <v>358</v>
      </c>
      <c r="G26" s="28" t="s">
        <v>359</v>
      </c>
      <c r="H26" s="34" t="s">
        <v>360</v>
      </c>
      <c r="I26" s="28" t="s">
        <v>359</v>
      </c>
      <c r="J26" s="34" t="s">
        <v>360</v>
      </c>
      <c r="K26" s="906" t="s">
        <v>361</v>
      </c>
      <c r="L26" s="34" t="s">
        <v>362</v>
      </c>
      <c r="M26" s="906" t="s">
        <v>361</v>
      </c>
      <c r="N26" s="34" t="s">
        <v>362</v>
      </c>
      <c r="O26" s="23">
        <v>3</v>
      </c>
      <c r="P26" s="23"/>
      <c r="Q26" s="23">
        <f t="shared" si="1"/>
        <v>3</v>
      </c>
      <c r="R26" s="212">
        <v>2021003630001</v>
      </c>
      <c r="S26" s="34" t="s">
        <v>363</v>
      </c>
      <c r="T26" s="213">
        <f>SUM($X$23:$X$27)/SUM($X$23:$X$27)</f>
        <v>1</v>
      </c>
      <c r="U26" s="34" t="s">
        <v>364</v>
      </c>
      <c r="V26" s="34" t="s">
        <v>365</v>
      </c>
      <c r="W26" s="34" t="s">
        <v>368</v>
      </c>
      <c r="X26" s="202">
        <v>5000000</v>
      </c>
      <c r="Y26" s="202"/>
      <c r="Z26" s="202"/>
      <c r="AA26" s="202"/>
      <c r="AB26" s="202">
        <f t="shared" si="0"/>
        <v>5000000</v>
      </c>
      <c r="AC26" s="211" t="s">
        <v>371</v>
      </c>
      <c r="AD26" s="204"/>
      <c r="AE26" s="205">
        <v>20</v>
      </c>
      <c r="AF26" s="34" t="s">
        <v>327</v>
      </c>
      <c r="AG26" s="23">
        <v>295972</v>
      </c>
      <c r="AH26" s="23">
        <v>285580</v>
      </c>
      <c r="AI26" s="23">
        <v>135545</v>
      </c>
      <c r="AJ26" s="23">
        <v>44254</v>
      </c>
      <c r="AK26" s="23">
        <v>309146</v>
      </c>
      <c r="AL26" s="23">
        <v>92607</v>
      </c>
      <c r="AM26" s="23">
        <v>2145</v>
      </c>
      <c r="AN26" s="23">
        <v>12718</v>
      </c>
      <c r="AO26" s="23">
        <v>26</v>
      </c>
      <c r="AP26" s="23">
        <v>37</v>
      </c>
      <c r="AQ26" s="23">
        <v>0</v>
      </c>
      <c r="AR26" s="23">
        <v>0</v>
      </c>
      <c r="AS26" s="23">
        <v>44350</v>
      </c>
      <c r="AT26" s="23">
        <v>21944</v>
      </c>
      <c r="AU26" s="23">
        <v>75687</v>
      </c>
      <c r="AV26" s="23">
        <v>581552</v>
      </c>
      <c r="AW26" s="31">
        <v>45292</v>
      </c>
      <c r="AX26" s="31">
        <v>45657</v>
      </c>
      <c r="AY26" s="29" t="s">
        <v>328</v>
      </c>
    </row>
    <row r="27" spans="1:51" ht="57.75" customHeight="1" x14ac:dyDescent="0.2">
      <c r="A27" s="28">
        <v>1</v>
      </c>
      <c r="B27" s="34" t="s">
        <v>315</v>
      </c>
      <c r="C27" s="28">
        <v>33</v>
      </c>
      <c r="D27" s="34" t="s">
        <v>357</v>
      </c>
      <c r="E27" s="28">
        <v>3301</v>
      </c>
      <c r="F27" s="34" t="s">
        <v>358</v>
      </c>
      <c r="G27" s="28" t="s">
        <v>359</v>
      </c>
      <c r="H27" s="34" t="s">
        <v>360</v>
      </c>
      <c r="I27" s="28" t="s">
        <v>359</v>
      </c>
      <c r="J27" s="34" t="s">
        <v>360</v>
      </c>
      <c r="K27" s="906" t="s">
        <v>361</v>
      </c>
      <c r="L27" s="34" t="s">
        <v>362</v>
      </c>
      <c r="M27" s="906" t="s">
        <v>361</v>
      </c>
      <c r="N27" s="34" t="s">
        <v>362</v>
      </c>
      <c r="O27" s="23">
        <v>3</v>
      </c>
      <c r="P27" s="23"/>
      <c r="Q27" s="23">
        <f t="shared" si="1"/>
        <v>3</v>
      </c>
      <c r="R27" s="212">
        <v>2021003630001</v>
      </c>
      <c r="S27" s="34" t="s">
        <v>363</v>
      </c>
      <c r="T27" s="213">
        <f>SUM($X$23:$X$27)/SUM($X$23:$X$27)</f>
        <v>1</v>
      </c>
      <c r="U27" s="34" t="s">
        <v>364</v>
      </c>
      <c r="V27" s="34" t="s">
        <v>365</v>
      </c>
      <c r="W27" s="34" t="s">
        <v>356</v>
      </c>
      <c r="X27" s="202">
        <v>17800000</v>
      </c>
      <c r="Y27" s="202">
        <f>2400000+2000000</f>
        <v>4400000</v>
      </c>
      <c r="Z27" s="202"/>
      <c r="AA27" s="202"/>
      <c r="AB27" s="202">
        <f t="shared" si="0"/>
        <v>13400000</v>
      </c>
      <c r="AC27" s="211" t="s">
        <v>372</v>
      </c>
      <c r="AD27" s="204"/>
      <c r="AE27" s="205">
        <v>20</v>
      </c>
      <c r="AF27" s="34" t="s">
        <v>327</v>
      </c>
      <c r="AG27" s="23">
        <v>295972</v>
      </c>
      <c r="AH27" s="23">
        <v>285580</v>
      </c>
      <c r="AI27" s="23">
        <v>135545</v>
      </c>
      <c r="AJ27" s="23">
        <v>44254</v>
      </c>
      <c r="AK27" s="23">
        <v>309146</v>
      </c>
      <c r="AL27" s="23">
        <v>92607</v>
      </c>
      <c r="AM27" s="23">
        <v>2145</v>
      </c>
      <c r="AN27" s="23">
        <v>12718</v>
      </c>
      <c r="AO27" s="23">
        <v>26</v>
      </c>
      <c r="AP27" s="23">
        <v>37</v>
      </c>
      <c r="AQ27" s="23">
        <v>0</v>
      </c>
      <c r="AR27" s="23">
        <v>0</v>
      </c>
      <c r="AS27" s="23">
        <v>44350</v>
      </c>
      <c r="AT27" s="23">
        <v>21944</v>
      </c>
      <c r="AU27" s="23">
        <v>75687</v>
      </c>
      <c r="AV27" s="23">
        <v>581552</v>
      </c>
      <c r="AW27" s="31">
        <v>45292</v>
      </c>
      <c r="AX27" s="31">
        <v>45657</v>
      </c>
      <c r="AY27" s="29" t="s">
        <v>328</v>
      </c>
    </row>
    <row r="28" spans="1:51" ht="75.75" customHeight="1" x14ac:dyDescent="0.2">
      <c r="A28" s="28">
        <v>1</v>
      </c>
      <c r="B28" s="34" t="s">
        <v>315</v>
      </c>
      <c r="C28" s="28">
        <v>41</v>
      </c>
      <c r="D28" s="34" t="s">
        <v>373</v>
      </c>
      <c r="E28" s="28">
        <v>4104</v>
      </c>
      <c r="F28" s="34" t="s">
        <v>374</v>
      </c>
      <c r="G28" s="905">
        <v>4104036</v>
      </c>
      <c r="H28" s="34" t="s">
        <v>375</v>
      </c>
      <c r="I28" s="905">
        <v>4104036</v>
      </c>
      <c r="J28" s="34" t="s">
        <v>376</v>
      </c>
      <c r="K28" s="215">
        <v>410403600</v>
      </c>
      <c r="L28" s="34" t="s">
        <v>377</v>
      </c>
      <c r="M28" s="215">
        <v>410403600</v>
      </c>
      <c r="N28" s="34" t="s">
        <v>378</v>
      </c>
      <c r="O28" s="205">
        <v>1</v>
      </c>
      <c r="P28" s="23">
        <v>0</v>
      </c>
      <c r="Q28" s="23">
        <f t="shared" si="1"/>
        <v>1</v>
      </c>
      <c r="R28" s="216">
        <v>2022003630007</v>
      </c>
      <c r="S28" s="34" t="s">
        <v>379</v>
      </c>
      <c r="T28" s="780">
        <f>SUM($X$28:$X$29)/SUM($X$28:$X$29)</f>
        <v>1</v>
      </c>
      <c r="U28" s="34" t="s">
        <v>380</v>
      </c>
      <c r="V28" s="34" t="s">
        <v>381</v>
      </c>
      <c r="W28" s="34" t="s">
        <v>382</v>
      </c>
      <c r="X28" s="217">
        <v>2700000000</v>
      </c>
      <c r="Y28" s="217"/>
      <c r="Z28" s="217"/>
      <c r="AA28" s="217"/>
      <c r="AB28" s="202">
        <f t="shared" si="0"/>
        <v>2700000000</v>
      </c>
      <c r="AC28" s="218" t="s">
        <v>383</v>
      </c>
      <c r="AD28" s="204"/>
      <c r="AE28" s="205">
        <v>20</v>
      </c>
      <c r="AF28" s="34" t="s">
        <v>327</v>
      </c>
      <c r="AG28" s="23">
        <v>295972</v>
      </c>
      <c r="AH28" s="23">
        <v>285580</v>
      </c>
      <c r="AI28" s="23">
        <v>135545</v>
      </c>
      <c r="AJ28" s="23">
        <v>44254</v>
      </c>
      <c r="AK28" s="23">
        <v>309146</v>
      </c>
      <c r="AL28" s="23">
        <v>92607</v>
      </c>
      <c r="AM28" s="23">
        <v>2145</v>
      </c>
      <c r="AN28" s="23">
        <v>12718</v>
      </c>
      <c r="AO28" s="23">
        <v>26</v>
      </c>
      <c r="AP28" s="23">
        <v>37</v>
      </c>
      <c r="AQ28" s="23">
        <v>0</v>
      </c>
      <c r="AR28" s="23">
        <v>0</v>
      </c>
      <c r="AS28" s="23">
        <v>44350</v>
      </c>
      <c r="AT28" s="23">
        <v>21944</v>
      </c>
      <c r="AU28" s="23">
        <v>75687</v>
      </c>
      <c r="AV28" s="23">
        <v>581552</v>
      </c>
      <c r="AW28" s="31">
        <v>45292</v>
      </c>
      <c r="AX28" s="31">
        <v>45657</v>
      </c>
      <c r="AY28" s="29" t="s">
        <v>328</v>
      </c>
    </row>
    <row r="29" spans="1:51" ht="75.75" customHeight="1" x14ac:dyDescent="0.2">
      <c r="A29" s="28">
        <v>1</v>
      </c>
      <c r="B29" s="34" t="s">
        <v>315</v>
      </c>
      <c r="C29" s="28">
        <v>41</v>
      </c>
      <c r="D29" s="34" t="s">
        <v>373</v>
      </c>
      <c r="E29" s="28">
        <v>4104</v>
      </c>
      <c r="F29" s="34" t="s">
        <v>374</v>
      </c>
      <c r="G29" s="905">
        <v>4104036</v>
      </c>
      <c r="H29" s="34" t="s">
        <v>375</v>
      </c>
      <c r="I29" s="905">
        <v>4104036</v>
      </c>
      <c r="J29" s="34" t="s">
        <v>376</v>
      </c>
      <c r="K29" s="215">
        <v>410403600</v>
      </c>
      <c r="L29" s="34" t="s">
        <v>377</v>
      </c>
      <c r="M29" s="215">
        <v>410403600</v>
      </c>
      <c r="N29" s="34" t="s">
        <v>378</v>
      </c>
      <c r="O29" s="205">
        <v>1</v>
      </c>
      <c r="P29" s="23">
        <v>0</v>
      </c>
      <c r="Q29" s="23">
        <f t="shared" si="1"/>
        <v>1</v>
      </c>
      <c r="R29" s="216">
        <v>2022003630007</v>
      </c>
      <c r="S29" s="34" t="s">
        <v>379</v>
      </c>
      <c r="T29" s="780">
        <f>SUM($X$28:$X$29)/SUM($X$28:$X$29)</f>
        <v>1</v>
      </c>
      <c r="U29" s="34" t="s">
        <v>380</v>
      </c>
      <c r="V29" s="34" t="s">
        <v>381</v>
      </c>
      <c r="W29" s="34" t="s">
        <v>348</v>
      </c>
      <c r="X29" s="219">
        <v>300000000</v>
      </c>
      <c r="Y29" s="219"/>
      <c r="Z29" s="219"/>
      <c r="AA29" s="219"/>
      <c r="AB29" s="202">
        <f t="shared" si="0"/>
        <v>300000000</v>
      </c>
      <c r="AC29" s="220" t="s">
        <v>384</v>
      </c>
      <c r="AD29" s="204"/>
      <c r="AE29" s="205">
        <v>20</v>
      </c>
      <c r="AF29" s="34" t="s">
        <v>327</v>
      </c>
      <c r="AG29" s="23">
        <v>295972</v>
      </c>
      <c r="AH29" s="23">
        <v>285580</v>
      </c>
      <c r="AI29" s="23">
        <v>135545</v>
      </c>
      <c r="AJ29" s="23">
        <v>44254</v>
      </c>
      <c r="AK29" s="23">
        <v>309146</v>
      </c>
      <c r="AL29" s="23">
        <v>92607</v>
      </c>
      <c r="AM29" s="23">
        <v>2145</v>
      </c>
      <c r="AN29" s="23">
        <v>12718</v>
      </c>
      <c r="AO29" s="23">
        <v>26</v>
      </c>
      <c r="AP29" s="23">
        <v>37</v>
      </c>
      <c r="AQ29" s="23">
        <v>0</v>
      </c>
      <c r="AR29" s="23">
        <v>0</v>
      </c>
      <c r="AS29" s="23">
        <v>44350</v>
      </c>
      <c r="AT29" s="23">
        <v>21944</v>
      </c>
      <c r="AU29" s="23">
        <v>75687</v>
      </c>
      <c r="AV29" s="23">
        <v>581552</v>
      </c>
      <c r="AW29" s="31">
        <v>45292</v>
      </c>
      <c r="AX29" s="31">
        <v>45657</v>
      </c>
      <c r="AY29" s="29" t="s">
        <v>328</v>
      </c>
    </row>
    <row r="30" spans="1:51" ht="77.25" customHeight="1" x14ac:dyDescent="0.2">
      <c r="A30" s="28">
        <v>1</v>
      </c>
      <c r="B30" s="34" t="s">
        <v>315</v>
      </c>
      <c r="C30" s="28">
        <v>43</v>
      </c>
      <c r="D30" s="34" t="s">
        <v>385</v>
      </c>
      <c r="E30" s="28">
        <v>4301</v>
      </c>
      <c r="F30" s="34" t="s">
        <v>386</v>
      </c>
      <c r="G30" s="28" t="s">
        <v>70</v>
      </c>
      <c r="H30" s="34" t="s">
        <v>387</v>
      </c>
      <c r="I30" s="28">
        <v>4301004</v>
      </c>
      <c r="J30" s="34" t="s">
        <v>388</v>
      </c>
      <c r="K30" s="28" t="s">
        <v>70</v>
      </c>
      <c r="L30" s="34" t="s">
        <v>389</v>
      </c>
      <c r="M30" s="28">
        <v>430100401</v>
      </c>
      <c r="N30" s="34" t="s">
        <v>390</v>
      </c>
      <c r="O30" s="23">
        <v>3</v>
      </c>
      <c r="P30" s="23">
        <v>0</v>
      </c>
      <c r="Q30" s="23">
        <f t="shared" si="1"/>
        <v>3</v>
      </c>
      <c r="R30" s="79">
        <v>2020003630052</v>
      </c>
      <c r="S30" s="34" t="s">
        <v>391</v>
      </c>
      <c r="T30" s="25">
        <f>SUM($X$30:$X$36)/SUM($X$30:$X$36)</f>
        <v>1</v>
      </c>
      <c r="U30" s="34" t="s">
        <v>392</v>
      </c>
      <c r="V30" s="34" t="s">
        <v>393</v>
      </c>
      <c r="W30" s="34" t="s">
        <v>394</v>
      </c>
      <c r="X30" s="202">
        <v>1700000000</v>
      </c>
      <c r="Y30" s="202"/>
      <c r="Z30" s="202"/>
      <c r="AA30" s="202"/>
      <c r="AB30" s="202">
        <f t="shared" si="0"/>
        <v>1700000000</v>
      </c>
      <c r="AC30" s="211" t="s">
        <v>395</v>
      </c>
      <c r="AD30" s="204"/>
      <c r="AE30" s="210" t="s">
        <v>346</v>
      </c>
      <c r="AF30" s="34" t="s">
        <v>347</v>
      </c>
      <c r="AG30" s="23">
        <v>295972</v>
      </c>
      <c r="AH30" s="23">
        <v>285580</v>
      </c>
      <c r="AI30" s="23">
        <v>135545</v>
      </c>
      <c r="AJ30" s="23">
        <v>44254</v>
      </c>
      <c r="AK30" s="23">
        <v>309146</v>
      </c>
      <c r="AL30" s="23">
        <v>92607</v>
      </c>
      <c r="AM30" s="23">
        <v>2145</v>
      </c>
      <c r="AN30" s="23">
        <v>12718</v>
      </c>
      <c r="AO30" s="23">
        <v>26</v>
      </c>
      <c r="AP30" s="23">
        <v>37</v>
      </c>
      <c r="AQ30" s="23">
        <v>0</v>
      </c>
      <c r="AR30" s="23">
        <v>0</v>
      </c>
      <c r="AS30" s="23">
        <v>44350</v>
      </c>
      <c r="AT30" s="23">
        <v>21944</v>
      </c>
      <c r="AU30" s="23">
        <v>75687</v>
      </c>
      <c r="AV30" s="23">
        <v>581552</v>
      </c>
      <c r="AW30" s="31">
        <v>45292</v>
      </c>
      <c r="AX30" s="31">
        <v>45657</v>
      </c>
      <c r="AY30" s="29" t="s">
        <v>328</v>
      </c>
    </row>
    <row r="31" spans="1:51" ht="85.5" customHeight="1" x14ac:dyDescent="0.2">
      <c r="A31" s="28">
        <v>1</v>
      </c>
      <c r="B31" s="34" t="s">
        <v>315</v>
      </c>
      <c r="C31" s="28">
        <v>43</v>
      </c>
      <c r="D31" s="34" t="s">
        <v>385</v>
      </c>
      <c r="E31" s="28">
        <v>4301</v>
      </c>
      <c r="F31" s="34" t="s">
        <v>386</v>
      </c>
      <c r="G31" s="28" t="s">
        <v>70</v>
      </c>
      <c r="H31" s="34" t="s">
        <v>387</v>
      </c>
      <c r="I31" s="28">
        <v>4301004</v>
      </c>
      <c r="J31" s="34" t="s">
        <v>388</v>
      </c>
      <c r="K31" s="28" t="s">
        <v>70</v>
      </c>
      <c r="L31" s="34" t="s">
        <v>389</v>
      </c>
      <c r="M31" s="28">
        <v>430100401</v>
      </c>
      <c r="N31" s="34" t="s">
        <v>390</v>
      </c>
      <c r="O31" s="23">
        <v>3</v>
      </c>
      <c r="P31" s="23">
        <v>0</v>
      </c>
      <c r="Q31" s="23">
        <f t="shared" si="1"/>
        <v>3</v>
      </c>
      <c r="R31" s="79">
        <v>2020003630052</v>
      </c>
      <c r="S31" s="34" t="s">
        <v>391</v>
      </c>
      <c r="T31" s="25">
        <f t="shared" ref="T31:T36" si="3">SUM($X$30:$X$36)/SUM($X$30:$X$36)</f>
        <v>1</v>
      </c>
      <c r="U31" s="34" t="s">
        <v>392</v>
      </c>
      <c r="V31" s="34" t="s">
        <v>393</v>
      </c>
      <c r="W31" s="34" t="s">
        <v>348</v>
      </c>
      <c r="X31" s="202">
        <v>170000000</v>
      </c>
      <c r="Y31" s="202"/>
      <c r="Z31" s="202"/>
      <c r="AA31" s="202"/>
      <c r="AB31" s="202">
        <f t="shared" si="0"/>
        <v>170000000</v>
      </c>
      <c r="AC31" s="211" t="s">
        <v>396</v>
      </c>
      <c r="AD31" s="204"/>
      <c r="AE31" s="210" t="s">
        <v>346</v>
      </c>
      <c r="AF31" s="34" t="s">
        <v>347</v>
      </c>
      <c r="AG31" s="23">
        <v>295972</v>
      </c>
      <c r="AH31" s="23">
        <v>285580</v>
      </c>
      <c r="AI31" s="23">
        <v>135545</v>
      </c>
      <c r="AJ31" s="23">
        <v>44254</v>
      </c>
      <c r="AK31" s="23">
        <v>309146</v>
      </c>
      <c r="AL31" s="23">
        <v>92607</v>
      </c>
      <c r="AM31" s="23">
        <v>2145</v>
      </c>
      <c r="AN31" s="23">
        <v>12718</v>
      </c>
      <c r="AO31" s="23">
        <v>26</v>
      </c>
      <c r="AP31" s="23">
        <v>37</v>
      </c>
      <c r="AQ31" s="23">
        <v>0</v>
      </c>
      <c r="AR31" s="23">
        <v>0</v>
      </c>
      <c r="AS31" s="23">
        <v>44350</v>
      </c>
      <c r="AT31" s="23">
        <v>21944</v>
      </c>
      <c r="AU31" s="23">
        <v>75687</v>
      </c>
      <c r="AV31" s="23">
        <v>581552</v>
      </c>
      <c r="AW31" s="31">
        <v>45292</v>
      </c>
      <c r="AX31" s="31">
        <v>45657</v>
      </c>
      <c r="AY31" s="29" t="s">
        <v>328</v>
      </c>
    </row>
    <row r="32" spans="1:51" ht="87" customHeight="1" x14ac:dyDescent="0.2">
      <c r="A32" s="28">
        <v>1</v>
      </c>
      <c r="B32" s="34" t="s">
        <v>315</v>
      </c>
      <c r="C32" s="28">
        <v>43</v>
      </c>
      <c r="D32" s="34" t="s">
        <v>385</v>
      </c>
      <c r="E32" s="28">
        <v>4301</v>
      </c>
      <c r="F32" s="34" t="s">
        <v>386</v>
      </c>
      <c r="G32" s="28" t="s">
        <v>70</v>
      </c>
      <c r="H32" s="34" t="s">
        <v>387</v>
      </c>
      <c r="I32" s="28">
        <v>4301004</v>
      </c>
      <c r="J32" s="34" t="s">
        <v>388</v>
      </c>
      <c r="K32" s="28" t="s">
        <v>70</v>
      </c>
      <c r="L32" s="34" t="s">
        <v>389</v>
      </c>
      <c r="M32" s="28">
        <v>430100401</v>
      </c>
      <c r="N32" s="34" t="s">
        <v>390</v>
      </c>
      <c r="O32" s="23">
        <v>3</v>
      </c>
      <c r="P32" s="23">
        <v>0</v>
      </c>
      <c r="Q32" s="23">
        <f t="shared" si="1"/>
        <v>3</v>
      </c>
      <c r="R32" s="79">
        <v>2020003630052</v>
      </c>
      <c r="S32" s="34" t="s">
        <v>391</v>
      </c>
      <c r="T32" s="25">
        <f t="shared" si="3"/>
        <v>1</v>
      </c>
      <c r="U32" s="34" t="s">
        <v>392</v>
      </c>
      <c r="V32" s="34" t="s">
        <v>393</v>
      </c>
      <c r="W32" s="34" t="s">
        <v>397</v>
      </c>
      <c r="X32" s="202">
        <v>75000000</v>
      </c>
      <c r="Y32" s="202"/>
      <c r="Z32" s="202"/>
      <c r="AA32" s="202"/>
      <c r="AB32" s="202">
        <f t="shared" si="0"/>
        <v>75000000</v>
      </c>
      <c r="AC32" s="211" t="s">
        <v>398</v>
      </c>
      <c r="AD32" s="204"/>
      <c r="AE32" s="210" t="s">
        <v>346</v>
      </c>
      <c r="AF32" s="34" t="s">
        <v>347</v>
      </c>
      <c r="AG32" s="23">
        <v>295972</v>
      </c>
      <c r="AH32" s="23">
        <v>285580</v>
      </c>
      <c r="AI32" s="23">
        <v>135545</v>
      </c>
      <c r="AJ32" s="23">
        <v>44254</v>
      </c>
      <c r="AK32" s="23">
        <v>309146</v>
      </c>
      <c r="AL32" s="23">
        <v>92607</v>
      </c>
      <c r="AM32" s="23">
        <v>2145</v>
      </c>
      <c r="AN32" s="23">
        <v>12718</v>
      </c>
      <c r="AO32" s="23">
        <v>26</v>
      </c>
      <c r="AP32" s="23">
        <v>37</v>
      </c>
      <c r="AQ32" s="23">
        <v>0</v>
      </c>
      <c r="AR32" s="23">
        <v>0</v>
      </c>
      <c r="AS32" s="23">
        <v>44350</v>
      </c>
      <c r="AT32" s="23">
        <v>21944</v>
      </c>
      <c r="AU32" s="23">
        <v>75687</v>
      </c>
      <c r="AV32" s="23">
        <v>581552</v>
      </c>
      <c r="AW32" s="31">
        <v>45292</v>
      </c>
      <c r="AX32" s="31">
        <v>45657</v>
      </c>
      <c r="AY32" s="29" t="s">
        <v>328</v>
      </c>
    </row>
    <row r="33" spans="1:51" ht="82.5" customHeight="1" x14ac:dyDescent="0.2">
      <c r="A33" s="28">
        <v>1</v>
      </c>
      <c r="B33" s="34" t="s">
        <v>315</v>
      </c>
      <c r="C33" s="28">
        <v>43</v>
      </c>
      <c r="D33" s="34" t="s">
        <v>385</v>
      </c>
      <c r="E33" s="28">
        <v>4301</v>
      </c>
      <c r="F33" s="34" t="s">
        <v>386</v>
      </c>
      <c r="G33" s="28" t="s">
        <v>70</v>
      </c>
      <c r="H33" s="34" t="s">
        <v>387</v>
      </c>
      <c r="I33" s="28">
        <v>4301004</v>
      </c>
      <c r="J33" s="34" t="s">
        <v>388</v>
      </c>
      <c r="K33" s="28" t="s">
        <v>70</v>
      </c>
      <c r="L33" s="34" t="s">
        <v>389</v>
      </c>
      <c r="M33" s="28">
        <v>430100401</v>
      </c>
      <c r="N33" s="34" t="s">
        <v>390</v>
      </c>
      <c r="O33" s="23">
        <v>3</v>
      </c>
      <c r="P33" s="23">
        <v>0</v>
      </c>
      <c r="Q33" s="23">
        <f t="shared" si="1"/>
        <v>3</v>
      </c>
      <c r="R33" s="79">
        <v>2020003630052</v>
      </c>
      <c r="S33" s="34" t="s">
        <v>391</v>
      </c>
      <c r="T33" s="25">
        <f t="shared" si="3"/>
        <v>1</v>
      </c>
      <c r="U33" s="34" t="s">
        <v>392</v>
      </c>
      <c r="V33" s="34" t="s">
        <v>393</v>
      </c>
      <c r="W33" s="34" t="s">
        <v>397</v>
      </c>
      <c r="X33" s="202">
        <v>15000000</v>
      </c>
      <c r="Y33" s="202"/>
      <c r="Z33" s="202"/>
      <c r="AA33" s="202"/>
      <c r="AB33" s="202">
        <f t="shared" si="0"/>
        <v>15000000</v>
      </c>
      <c r="AC33" s="211" t="s">
        <v>399</v>
      </c>
      <c r="AD33" s="204"/>
      <c r="AE33" s="210" t="s">
        <v>346</v>
      </c>
      <c r="AF33" s="34" t="s">
        <v>347</v>
      </c>
      <c r="AG33" s="23">
        <v>295972</v>
      </c>
      <c r="AH33" s="23">
        <v>285580</v>
      </c>
      <c r="AI33" s="23">
        <v>135545</v>
      </c>
      <c r="AJ33" s="23">
        <v>44254</v>
      </c>
      <c r="AK33" s="23">
        <v>309146</v>
      </c>
      <c r="AL33" s="23">
        <v>92607</v>
      </c>
      <c r="AM33" s="23">
        <v>2145</v>
      </c>
      <c r="AN33" s="23">
        <v>12718</v>
      </c>
      <c r="AO33" s="23">
        <v>26</v>
      </c>
      <c r="AP33" s="23">
        <v>37</v>
      </c>
      <c r="AQ33" s="23">
        <v>0</v>
      </c>
      <c r="AR33" s="23">
        <v>0</v>
      </c>
      <c r="AS33" s="23">
        <v>44350</v>
      </c>
      <c r="AT33" s="23">
        <v>21944</v>
      </c>
      <c r="AU33" s="23">
        <v>75687</v>
      </c>
      <c r="AV33" s="23">
        <v>581552</v>
      </c>
      <c r="AW33" s="31">
        <v>45292</v>
      </c>
      <c r="AX33" s="31">
        <v>45657</v>
      </c>
      <c r="AY33" s="29" t="s">
        <v>328</v>
      </c>
    </row>
    <row r="34" spans="1:51" ht="81" customHeight="1" x14ac:dyDescent="0.2">
      <c r="A34" s="28">
        <v>1</v>
      </c>
      <c r="B34" s="34" t="s">
        <v>315</v>
      </c>
      <c r="C34" s="28">
        <v>43</v>
      </c>
      <c r="D34" s="34" t="s">
        <v>385</v>
      </c>
      <c r="E34" s="28">
        <v>4301</v>
      </c>
      <c r="F34" s="34" t="s">
        <v>386</v>
      </c>
      <c r="G34" s="28" t="s">
        <v>70</v>
      </c>
      <c r="H34" s="34" t="s">
        <v>387</v>
      </c>
      <c r="I34" s="28">
        <v>4301004</v>
      </c>
      <c r="J34" s="34" t="s">
        <v>388</v>
      </c>
      <c r="K34" s="28" t="s">
        <v>70</v>
      </c>
      <c r="L34" s="34" t="s">
        <v>389</v>
      </c>
      <c r="M34" s="28">
        <v>430100401</v>
      </c>
      <c r="N34" s="34" t="s">
        <v>390</v>
      </c>
      <c r="O34" s="23">
        <v>3</v>
      </c>
      <c r="P34" s="23">
        <v>0</v>
      </c>
      <c r="Q34" s="23">
        <f t="shared" si="1"/>
        <v>3</v>
      </c>
      <c r="R34" s="79">
        <v>2020003630052</v>
      </c>
      <c r="S34" s="34" t="s">
        <v>391</v>
      </c>
      <c r="T34" s="25">
        <f t="shared" si="3"/>
        <v>1</v>
      </c>
      <c r="U34" s="34" t="s">
        <v>392</v>
      </c>
      <c r="V34" s="34" t="s">
        <v>393</v>
      </c>
      <c r="W34" s="34" t="s">
        <v>397</v>
      </c>
      <c r="X34" s="202">
        <v>15000000</v>
      </c>
      <c r="Y34" s="202"/>
      <c r="Z34" s="202"/>
      <c r="AA34" s="202"/>
      <c r="AB34" s="202">
        <f t="shared" si="0"/>
        <v>15000000</v>
      </c>
      <c r="AC34" s="211" t="s">
        <v>400</v>
      </c>
      <c r="AD34" s="204"/>
      <c r="AE34" s="210" t="s">
        <v>346</v>
      </c>
      <c r="AF34" s="34" t="s">
        <v>347</v>
      </c>
      <c r="AG34" s="23">
        <v>295972</v>
      </c>
      <c r="AH34" s="23">
        <v>285580</v>
      </c>
      <c r="AI34" s="23">
        <v>135545</v>
      </c>
      <c r="AJ34" s="23">
        <v>44254</v>
      </c>
      <c r="AK34" s="23">
        <v>309146</v>
      </c>
      <c r="AL34" s="23">
        <v>92607</v>
      </c>
      <c r="AM34" s="23">
        <v>2145</v>
      </c>
      <c r="AN34" s="23">
        <v>12718</v>
      </c>
      <c r="AO34" s="23">
        <v>26</v>
      </c>
      <c r="AP34" s="23">
        <v>37</v>
      </c>
      <c r="AQ34" s="23">
        <v>0</v>
      </c>
      <c r="AR34" s="23">
        <v>0</v>
      </c>
      <c r="AS34" s="23">
        <v>44350</v>
      </c>
      <c r="AT34" s="23">
        <v>21944</v>
      </c>
      <c r="AU34" s="23">
        <v>75687</v>
      </c>
      <c r="AV34" s="23">
        <v>581552</v>
      </c>
      <c r="AW34" s="31">
        <v>45292</v>
      </c>
      <c r="AX34" s="31">
        <v>45657</v>
      </c>
      <c r="AY34" s="29" t="s">
        <v>328</v>
      </c>
    </row>
    <row r="35" spans="1:51" ht="79.5" customHeight="1" x14ac:dyDescent="0.2">
      <c r="A35" s="28">
        <v>1</v>
      </c>
      <c r="B35" s="34" t="s">
        <v>315</v>
      </c>
      <c r="C35" s="28">
        <v>43</v>
      </c>
      <c r="D35" s="34" t="s">
        <v>385</v>
      </c>
      <c r="E35" s="28">
        <v>4301</v>
      </c>
      <c r="F35" s="34" t="s">
        <v>386</v>
      </c>
      <c r="G35" s="28" t="s">
        <v>70</v>
      </c>
      <c r="H35" s="34" t="s">
        <v>387</v>
      </c>
      <c r="I35" s="28">
        <v>4301004</v>
      </c>
      <c r="J35" s="34" t="s">
        <v>388</v>
      </c>
      <c r="K35" s="28" t="s">
        <v>70</v>
      </c>
      <c r="L35" s="34" t="s">
        <v>389</v>
      </c>
      <c r="M35" s="28">
        <v>430100401</v>
      </c>
      <c r="N35" s="34" t="s">
        <v>390</v>
      </c>
      <c r="O35" s="23">
        <v>3</v>
      </c>
      <c r="P35" s="23">
        <v>0</v>
      </c>
      <c r="Q35" s="23">
        <f t="shared" si="1"/>
        <v>3</v>
      </c>
      <c r="R35" s="79">
        <v>2020003630052</v>
      </c>
      <c r="S35" s="34" t="s">
        <v>391</v>
      </c>
      <c r="T35" s="25">
        <f t="shared" si="3"/>
        <v>1</v>
      </c>
      <c r="U35" s="34" t="s">
        <v>392</v>
      </c>
      <c r="V35" s="34" t="s">
        <v>393</v>
      </c>
      <c r="W35" s="34" t="s">
        <v>354</v>
      </c>
      <c r="X35" s="202">
        <v>25000000</v>
      </c>
      <c r="Y35" s="202"/>
      <c r="Z35" s="202"/>
      <c r="AA35" s="202"/>
      <c r="AB35" s="202">
        <f t="shared" si="0"/>
        <v>25000000</v>
      </c>
      <c r="AC35" s="211" t="s">
        <v>401</v>
      </c>
      <c r="AD35" s="204"/>
      <c r="AE35" s="210" t="s">
        <v>346</v>
      </c>
      <c r="AF35" s="34" t="s">
        <v>347</v>
      </c>
      <c r="AG35" s="23">
        <v>295972</v>
      </c>
      <c r="AH35" s="23">
        <v>285580</v>
      </c>
      <c r="AI35" s="23">
        <v>135545</v>
      </c>
      <c r="AJ35" s="23">
        <v>44254</v>
      </c>
      <c r="AK35" s="23">
        <v>309146</v>
      </c>
      <c r="AL35" s="23">
        <v>92607</v>
      </c>
      <c r="AM35" s="23">
        <v>2145</v>
      </c>
      <c r="AN35" s="23">
        <v>12718</v>
      </c>
      <c r="AO35" s="23">
        <v>26</v>
      </c>
      <c r="AP35" s="23">
        <v>37</v>
      </c>
      <c r="AQ35" s="23">
        <v>0</v>
      </c>
      <c r="AR35" s="23">
        <v>0</v>
      </c>
      <c r="AS35" s="23">
        <v>44350</v>
      </c>
      <c r="AT35" s="23">
        <v>21944</v>
      </c>
      <c r="AU35" s="23">
        <v>75687</v>
      </c>
      <c r="AV35" s="23">
        <v>581552</v>
      </c>
      <c r="AW35" s="31">
        <v>45292</v>
      </c>
      <c r="AX35" s="31">
        <v>45657</v>
      </c>
      <c r="AY35" s="29" t="s">
        <v>328</v>
      </c>
    </row>
    <row r="36" spans="1:51" ht="72.75" customHeight="1" x14ac:dyDescent="0.2">
      <c r="A36" s="28">
        <v>1</v>
      </c>
      <c r="B36" s="34" t="s">
        <v>315</v>
      </c>
      <c r="C36" s="28">
        <v>43</v>
      </c>
      <c r="D36" s="34" t="s">
        <v>385</v>
      </c>
      <c r="E36" s="28">
        <v>4301</v>
      </c>
      <c r="F36" s="34" t="s">
        <v>386</v>
      </c>
      <c r="G36" s="28" t="s">
        <v>70</v>
      </c>
      <c r="H36" s="34" t="s">
        <v>387</v>
      </c>
      <c r="I36" s="28">
        <v>4301004</v>
      </c>
      <c r="J36" s="34" t="s">
        <v>388</v>
      </c>
      <c r="K36" s="28" t="s">
        <v>70</v>
      </c>
      <c r="L36" s="34" t="s">
        <v>389</v>
      </c>
      <c r="M36" s="28">
        <v>430100401</v>
      </c>
      <c r="N36" s="34" t="s">
        <v>390</v>
      </c>
      <c r="O36" s="23">
        <v>3</v>
      </c>
      <c r="P36" s="23">
        <v>0</v>
      </c>
      <c r="Q36" s="23">
        <f t="shared" si="1"/>
        <v>3</v>
      </c>
      <c r="R36" s="79">
        <v>2020003630052</v>
      </c>
      <c r="S36" s="34" t="s">
        <v>391</v>
      </c>
      <c r="T36" s="25">
        <f t="shared" si="3"/>
        <v>1</v>
      </c>
      <c r="U36" s="34" t="s">
        <v>392</v>
      </c>
      <c r="V36" s="34" t="s">
        <v>393</v>
      </c>
      <c r="W36" s="34" t="s">
        <v>333</v>
      </c>
      <c r="X36" s="202">
        <v>200000000</v>
      </c>
      <c r="Y36" s="202">
        <f>4400000+8000000+8400000+5200000+4400000+2000000+4000000+4800000+6800000+10000000+6800000+6800000+5600000+2800000+6800000+4000000+4800000+2800000+3600000+4000000+2000000+4000000+4000000+6800000+5600000+6800000+4000000+7200000+4400000+3600000+2800000+3200000+5200000+2800000+4800000+5800000+5600000+4000000+2000000+4000000+1000000+6200000+3800000+2800000</f>
        <v>208400000</v>
      </c>
      <c r="Z36" s="202">
        <f>2800000</f>
        <v>2800000</v>
      </c>
      <c r="AA36" s="202"/>
      <c r="AB36" s="202">
        <f t="shared" si="0"/>
        <v>-5600000</v>
      </c>
      <c r="AC36" s="211" t="s">
        <v>402</v>
      </c>
      <c r="AD36" s="204"/>
      <c r="AE36" s="210" t="s">
        <v>346</v>
      </c>
      <c r="AF36" s="34" t="s">
        <v>347</v>
      </c>
      <c r="AG36" s="23">
        <v>295972</v>
      </c>
      <c r="AH36" s="23">
        <v>285580</v>
      </c>
      <c r="AI36" s="23">
        <v>135545</v>
      </c>
      <c r="AJ36" s="23">
        <v>44254</v>
      </c>
      <c r="AK36" s="23">
        <v>309146</v>
      </c>
      <c r="AL36" s="23">
        <v>92607</v>
      </c>
      <c r="AM36" s="23">
        <v>2145</v>
      </c>
      <c r="AN36" s="23">
        <v>12718</v>
      </c>
      <c r="AO36" s="23">
        <v>26</v>
      </c>
      <c r="AP36" s="23">
        <v>37</v>
      </c>
      <c r="AQ36" s="23">
        <v>0</v>
      </c>
      <c r="AR36" s="23">
        <v>0</v>
      </c>
      <c r="AS36" s="23">
        <v>44350</v>
      </c>
      <c r="AT36" s="23">
        <v>21944</v>
      </c>
      <c r="AU36" s="23">
        <v>75687</v>
      </c>
      <c r="AV36" s="23">
        <v>581552</v>
      </c>
      <c r="AW36" s="31">
        <v>45292</v>
      </c>
      <c r="AX36" s="31">
        <v>45657</v>
      </c>
      <c r="AY36" s="29" t="s">
        <v>328</v>
      </c>
    </row>
    <row r="37" spans="1:51" ht="70.5" customHeight="1" x14ac:dyDescent="0.2">
      <c r="A37" s="28">
        <v>3</v>
      </c>
      <c r="B37" s="34" t="s">
        <v>403</v>
      </c>
      <c r="C37" s="28">
        <v>24</v>
      </c>
      <c r="D37" s="34" t="s">
        <v>404</v>
      </c>
      <c r="E37" s="28">
        <v>2402</v>
      </c>
      <c r="F37" s="34" t="s">
        <v>405</v>
      </c>
      <c r="G37" s="28" t="s">
        <v>70</v>
      </c>
      <c r="H37" s="34" t="s">
        <v>406</v>
      </c>
      <c r="I37" s="221">
        <v>2402041</v>
      </c>
      <c r="J37" s="34" t="s">
        <v>407</v>
      </c>
      <c r="K37" s="28" t="s">
        <v>70</v>
      </c>
      <c r="L37" s="34" t="s">
        <v>408</v>
      </c>
      <c r="M37" s="906">
        <v>240204100</v>
      </c>
      <c r="N37" s="34" t="s">
        <v>409</v>
      </c>
      <c r="O37" s="222">
        <v>70.379000000000005</v>
      </c>
      <c r="P37" s="23"/>
      <c r="Q37" s="23">
        <f t="shared" si="1"/>
        <v>70.379000000000005</v>
      </c>
      <c r="R37" s="79">
        <v>2020003630053</v>
      </c>
      <c r="S37" s="34" t="s">
        <v>410</v>
      </c>
      <c r="T37" s="80">
        <f>SUM($X$37:$X$46)/SUM($X$37:$X$46)</f>
        <v>1</v>
      </c>
      <c r="U37" s="34" t="s">
        <v>411</v>
      </c>
      <c r="V37" s="34" t="s">
        <v>412</v>
      </c>
      <c r="W37" s="34" t="s">
        <v>413</v>
      </c>
      <c r="X37" s="223">
        <v>250000000</v>
      </c>
      <c r="Y37" s="223"/>
      <c r="Z37" s="223"/>
      <c r="AA37" s="223"/>
      <c r="AB37" s="202">
        <f t="shared" si="0"/>
        <v>250000000</v>
      </c>
      <c r="AC37" s="211" t="s">
        <v>414</v>
      </c>
      <c r="AD37" s="204"/>
      <c r="AE37" s="205">
        <v>23</v>
      </c>
      <c r="AF37" s="34" t="s">
        <v>415</v>
      </c>
      <c r="AG37" s="23">
        <v>295972</v>
      </c>
      <c r="AH37" s="23">
        <v>285580</v>
      </c>
      <c r="AI37" s="23">
        <v>135545</v>
      </c>
      <c r="AJ37" s="23">
        <v>44254</v>
      </c>
      <c r="AK37" s="23">
        <v>309146</v>
      </c>
      <c r="AL37" s="23">
        <v>92607</v>
      </c>
      <c r="AM37" s="23">
        <v>2145</v>
      </c>
      <c r="AN37" s="23">
        <v>12718</v>
      </c>
      <c r="AO37" s="23">
        <v>26</v>
      </c>
      <c r="AP37" s="23">
        <v>37</v>
      </c>
      <c r="AQ37" s="23">
        <v>0</v>
      </c>
      <c r="AR37" s="23">
        <v>0</v>
      </c>
      <c r="AS37" s="23">
        <v>44350</v>
      </c>
      <c r="AT37" s="23">
        <v>21944</v>
      </c>
      <c r="AU37" s="23">
        <v>75687</v>
      </c>
      <c r="AV37" s="23">
        <v>581552</v>
      </c>
      <c r="AW37" s="31">
        <v>45292</v>
      </c>
      <c r="AX37" s="31">
        <v>45657</v>
      </c>
      <c r="AY37" s="29" t="s">
        <v>328</v>
      </c>
    </row>
    <row r="38" spans="1:51" ht="75" customHeight="1" x14ac:dyDescent="0.2">
      <c r="A38" s="28">
        <v>3</v>
      </c>
      <c r="B38" s="34" t="s">
        <v>403</v>
      </c>
      <c r="C38" s="28">
        <v>24</v>
      </c>
      <c r="D38" s="34" t="s">
        <v>404</v>
      </c>
      <c r="E38" s="28">
        <v>2402</v>
      </c>
      <c r="F38" s="34" t="s">
        <v>405</v>
      </c>
      <c r="G38" s="28" t="s">
        <v>70</v>
      </c>
      <c r="H38" s="34" t="s">
        <v>406</v>
      </c>
      <c r="I38" s="221">
        <v>2402041</v>
      </c>
      <c r="J38" s="34" t="s">
        <v>407</v>
      </c>
      <c r="K38" s="28" t="s">
        <v>70</v>
      </c>
      <c r="L38" s="34" t="s">
        <v>408</v>
      </c>
      <c r="M38" s="906">
        <v>240204100</v>
      </c>
      <c r="N38" s="34" t="s">
        <v>409</v>
      </c>
      <c r="O38" s="222">
        <v>70.379000000000005</v>
      </c>
      <c r="P38" s="23"/>
      <c r="Q38" s="23">
        <f t="shared" si="1"/>
        <v>70.379000000000005</v>
      </c>
      <c r="R38" s="79">
        <v>2020003630053</v>
      </c>
      <c r="S38" s="34" t="s">
        <v>410</v>
      </c>
      <c r="T38" s="80">
        <f t="shared" ref="T38:T46" si="4">SUM($X$37:$X$46)/SUM($X$37:$X$46)</f>
        <v>1</v>
      </c>
      <c r="U38" s="34" t="s">
        <v>411</v>
      </c>
      <c r="V38" s="34" t="s">
        <v>412</v>
      </c>
      <c r="W38" s="34" t="s">
        <v>416</v>
      </c>
      <c r="X38" s="224">
        <v>37956000</v>
      </c>
      <c r="Y38" s="224"/>
      <c r="Z38" s="224"/>
      <c r="AA38" s="224"/>
      <c r="AB38" s="202">
        <f t="shared" si="0"/>
        <v>37956000</v>
      </c>
      <c r="AC38" s="211" t="s">
        <v>417</v>
      </c>
      <c r="AD38" s="204"/>
      <c r="AE38" s="205">
        <v>23</v>
      </c>
      <c r="AF38" s="34" t="s">
        <v>415</v>
      </c>
      <c r="AG38" s="23">
        <v>295972</v>
      </c>
      <c r="AH38" s="23">
        <v>285580</v>
      </c>
      <c r="AI38" s="23">
        <v>135545</v>
      </c>
      <c r="AJ38" s="23">
        <v>44254</v>
      </c>
      <c r="AK38" s="23">
        <v>309146</v>
      </c>
      <c r="AL38" s="23">
        <v>92607</v>
      </c>
      <c r="AM38" s="23">
        <v>2145</v>
      </c>
      <c r="AN38" s="23">
        <v>12718</v>
      </c>
      <c r="AO38" s="23">
        <v>26</v>
      </c>
      <c r="AP38" s="23">
        <v>37</v>
      </c>
      <c r="AQ38" s="23">
        <v>0</v>
      </c>
      <c r="AR38" s="23">
        <v>0</v>
      </c>
      <c r="AS38" s="23">
        <v>44350</v>
      </c>
      <c r="AT38" s="23">
        <v>21944</v>
      </c>
      <c r="AU38" s="23">
        <v>75687</v>
      </c>
      <c r="AV38" s="23">
        <v>581552</v>
      </c>
      <c r="AW38" s="31">
        <v>45292</v>
      </c>
      <c r="AX38" s="31">
        <v>45657</v>
      </c>
      <c r="AY38" s="29" t="s">
        <v>328</v>
      </c>
    </row>
    <row r="39" spans="1:51" ht="72.75" customHeight="1" x14ac:dyDescent="0.2">
      <c r="A39" s="28">
        <v>3</v>
      </c>
      <c r="B39" s="34" t="s">
        <v>403</v>
      </c>
      <c r="C39" s="28">
        <v>24</v>
      </c>
      <c r="D39" s="34" t="s">
        <v>404</v>
      </c>
      <c r="E39" s="28">
        <v>2402</v>
      </c>
      <c r="F39" s="34" t="s">
        <v>405</v>
      </c>
      <c r="G39" s="28" t="s">
        <v>70</v>
      </c>
      <c r="H39" s="34" t="s">
        <v>406</v>
      </c>
      <c r="I39" s="221">
        <v>2402041</v>
      </c>
      <c r="J39" s="34" t="s">
        <v>407</v>
      </c>
      <c r="K39" s="28" t="s">
        <v>70</v>
      </c>
      <c r="L39" s="34" t="s">
        <v>408</v>
      </c>
      <c r="M39" s="906">
        <v>240204100</v>
      </c>
      <c r="N39" s="34" t="s">
        <v>409</v>
      </c>
      <c r="O39" s="222">
        <v>70.379000000000005</v>
      </c>
      <c r="P39" s="23"/>
      <c r="Q39" s="23">
        <f t="shared" si="1"/>
        <v>70.379000000000005</v>
      </c>
      <c r="R39" s="79">
        <v>2020003630053</v>
      </c>
      <c r="S39" s="34" t="s">
        <v>410</v>
      </c>
      <c r="T39" s="80">
        <f t="shared" si="4"/>
        <v>1</v>
      </c>
      <c r="U39" s="34" t="s">
        <v>411</v>
      </c>
      <c r="V39" s="34" t="s">
        <v>412</v>
      </c>
      <c r="W39" s="34" t="s">
        <v>416</v>
      </c>
      <c r="X39" s="224">
        <v>10000000</v>
      </c>
      <c r="Y39" s="224"/>
      <c r="Z39" s="224"/>
      <c r="AA39" s="224"/>
      <c r="AB39" s="202">
        <f t="shared" si="0"/>
        <v>10000000</v>
      </c>
      <c r="AC39" s="211" t="s">
        <v>418</v>
      </c>
      <c r="AD39" s="204"/>
      <c r="AE39" s="205">
        <v>23</v>
      </c>
      <c r="AF39" s="34" t="s">
        <v>415</v>
      </c>
      <c r="AG39" s="23">
        <v>295972</v>
      </c>
      <c r="AH39" s="23">
        <v>285580</v>
      </c>
      <c r="AI39" s="23">
        <v>135545</v>
      </c>
      <c r="AJ39" s="23">
        <v>44254</v>
      </c>
      <c r="AK39" s="23">
        <v>309146</v>
      </c>
      <c r="AL39" s="23">
        <v>92607</v>
      </c>
      <c r="AM39" s="23">
        <v>2145</v>
      </c>
      <c r="AN39" s="23">
        <v>12718</v>
      </c>
      <c r="AO39" s="23">
        <v>26</v>
      </c>
      <c r="AP39" s="23">
        <v>37</v>
      </c>
      <c r="AQ39" s="23">
        <v>0</v>
      </c>
      <c r="AR39" s="23">
        <v>0</v>
      </c>
      <c r="AS39" s="23">
        <v>44350</v>
      </c>
      <c r="AT39" s="23">
        <v>21944</v>
      </c>
      <c r="AU39" s="23">
        <v>75687</v>
      </c>
      <c r="AV39" s="23">
        <v>581552</v>
      </c>
      <c r="AW39" s="31">
        <v>45292</v>
      </c>
      <c r="AX39" s="31">
        <v>45657</v>
      </c>
      <c r="AY39" s="29" t="s">
        <v>328</v>
      </c>
    </row>
    <row r="40" spans="1:51" ht="83.25" customHeight="1" x14ac:dyDescent="0.2">
      <c r="A40" s="28">
        <v>3</v>
      </c>
      <c r="B40" s="34" t="s">
        <v>403</v>
      </c>
      <c r="C40" s="28">
        <v>24</v>
      </c>
      <c r="D40" s="34" t="s">
        <v>404</v>
      </c>
      <c r="E40" s="28">
        <v>2402</v>
      </c>
      <c r="F40" s="34" t="s">
        <v>405</v>
      </c>
      <c r="G40" s="28" t="s">
        <v>70</v>
      </c>
      <c r="H40" s="34" t="s">
        <v>406</v>
      </c>
      <c r="I40" s="221">
        <v>2402041</v>
      </c>
      <c r="J40" s="34" t="s">
        <v>407</v>
      </c>
      <c r="K40" s="28" t="s">
        <v>70</v>
      </c>
      <c r="L40" s="34" t="s">
        <v>408</v>
      </c>
      <c r="M40" s="906">
        <v>240204100</v>
      </c>
      <c r="N40" s="34" t="s">
        <v>409</v>
      </c>
      <c r="O40" s="222">
        <v>70.379000000000005</v>
      </c>
      <c r="P40" s="23"/>
      <c r="Q40" s="23">
        <f t="shared" si="1"/>
        <v>70.379000000000005</v>
      </c>
      <c r="R40" s="79">
        <v>2020003630053</v>
      </c>
      <c r="S40" s="34" t="s">
        <v>410</v>
      </c>
      <c r="T40" s="80">
        <f t="shared" si="4"/>
        <v>1</v>
      </c>
      <c r="U40" s="34" t="s">
        <v>411</v>
      </c>
      <c r="V40" s="34" t="s">
        <v>412</v>
      </c>
      <c r="W40" s="34" t="s">
        <v>416</v>
      </c>
      <c r="X40" s="224">
        <v>10000000</v>
      </c>
      <c r="Y40" s="224"/>
      <c r="Z40" s="224"/>
      <c r="AA40" s="224"/>
      <c r="AB40" s="202">
        <f t="shared" si="0"/>
        <v>10000000</v>
      </c>
      <c r="AC40" s="211" t="s">
        <v>419</v>
      </c>
      <c r="AD40" s="204"/>
      <c r="AE40" s="205">
        <v>23</v>
      </c>
      <c r="AF40" s="34" t="s">
        <v>415</v>
      </c>
      <c r="AG40" s="23">
        <v>295972</v>
      </c>
      <c r="AH40" s="23">
        <v>285580</v>
      </c>
      <c r="AI40" s="23">
        <v>135545</v>
      </c>
      <c r="AJ40" s="23">
        <v>44254</v>
      </c>
      <c r="AK40" s="23">
        <v>309146</v>
      </c>
      <c r="AL40" s="23">
        <v>92607</v>
      </c>
      <c r="AM40" s="23">
        <v>2145</v>
      </c>
      <c r="AN40" s="23">
        <v>12718</v>
      </c>
      <c r="AO40" s="23">
        <v>26</v>
      </c>
      <c r="AP40" s="23">
        <v>37</v>
      </c>
      <c r="AQ40" s="23">
        <v>0</v>
      </c>
      <c r="AR40" s="23">
        <v>0</v>
      </c>
      <c r="AS40" s="23">
        <v>44350</v>
      </c>
      <c r="AT40" s="23">
        <v>21944</v>
      </c>
      <c r="AU40" s="23">
        <v>75687</v>
      </c>
      <c r="AV40" s="23">
        <v>581552</v>
      </c>
      <c r="AW40" s="31">
        <v>45292</v>
      </c>
      <c r="AX40" s="31">
        <v>45657</v>
      </c>
      <c r="AY40" s="29" t="s">
        <v>328</v>
      </c>
    </row>
    <row r="41" spans="1:51" ht="78.75" customHeight="1" x14ac:dyDescent="0.2">
      <c r="A41" s="28">
        <v>3</v>
      </c>
      <c r="B41" s="34" t="s">
        <v>403</v>
      </c>
      <c r="C41" s="28">
        <v>24</v>
      </c>
      <c r="D41" s="34" t="s">
        <v>404</v>
      </c>
      <c r="E41" s="28">
        <v>2402</v>
      </c>
      <c r="F41" s="34" t="s">
        <v>405</v>
      </c>
      <c r="G41" s="28" t="s">
        <v>70</v>
      </c>
      <c r="H41" s="34" t="s">
        <v>406</v>
      </c>
      <c r="I41" s="221">
        <v>2402041</v>
      </c>
      <c r="J41" s="34" t="s">
        <v>407</v>
      </c>
      <c r="K41" s="28" t="s">
        <v>70</v>
      </c>
      <c r="L41" s="34" t="s">
        <v>408</v>
      </c>
      <c r="M41" s="906">
        <v>240204100</v>
      </c>
      <c r="N41" s="34" t="s">
        <v>409</v>
      </c>
      <c r="O41" s="222">
        <v>70.379000000000005</v>
      </c>
      <c r="P41" s="23"/>
      <c r="Q41" s="23">
        <f t="shared" si="1"/>
        <v>70.379000000000005</v>
      </c>
      <c r="R41" s="79">
        <v>2020003630053</v>
      </c>
      <c r="S41" s="34" t="s">
        <v>410</v>
      </c>
      <c r="T41" s="80">
        <f t="shared" si="4"/>
        <v>1</v>
      </c>
      <c r="U41" s="34" t="s">
        <v>411</v>
      </c>
      <c r="V41" s="34" t="s">
        <v>412</v>
      </c>
      <c r="W41" s="34" t="s">
        <v>420</v>
      </c>
      <c r="X41" s="223">
        <v>60000000</v>
      </c>
      <c r="Y41" s="223">
        <f>60000000</f>
        <v>60000000</v>
      </c>
      <c r="Z41" s="223"/>
      <c r="AA41" s="223"/>
      <c r="AB41" s="202">
        <f t="shared" si="0"/>
        <v>0</v>
      </c>
      <c r="AC41" s="211" t="s">
        <v>421</v>
      </c>
      <c r="AD41" s="204"/>
      <c r="AE41" s="205">
        <v>20</v>
      </c>
      <c r="AF41" s="34" t="s">
        <v>327</v>
      </c>
      <c r="AG41" s="23">
        <v>295972</v>
      </c>
      <c r="AH41" s="23">
        <v>285580</v>
      </c>
      <c r="AI41" s="23">
        <v>135545</v>
      </c>
      <c r="AJ41" s="23">
        <v>44254</v>
      </c>
      <c r="AK41" s="23">
        <v>309146</v>
      </c>
      <c r="AL41" s="23">
        <v>92607</v>
      </c>
      <c r="AM41" s="23">
        <v>2145</v>
      </c>
      <c r="AN41" s="23">
        <v>12718</v>
      </c>
      <c r="AO41" s="23">
        <v>26</v>
      </c>
      <c r="AP41" s="23">
        <v>37</v>
      </c>
      <c r="AQ41" s="23">
        <v>0</v>
      </c>
      <c r="AR41" s="23">
        <v>0</v>
      </c>
      <c r="AS41" s="23">
        <v>44350</v>
      </c>
      <c r="AT41" s="23">
        <v>21944</v>
      </c>
      <c r="AU41" s="23">
        <v>75687</v>
      </c>
      <c r="AV41" s="23">
        <v>581552</v>
      </c>
      <c r="AW41" s="31">
        <v>45292</v>
      </c>
      <c r="AX41" s="31">
        <v>45657</v>
      </c>
      <c r="AY41" s="29" t="s">
        <v>328</v>
      </c>
    </row>
    <row r="42" spans="1:51" ht="72.75" customHeight="1" x14ac:dyDescent="0.2">
      <c r="A42" s="28">
        <v>3</v>
      </c>
      <c r="B42" s="34" t="s">
        <v>403</v>
      </c>
      <c r="C42" s="28">
        <v>24</v>
      </c>
      <c r="D42" s="34" t="s">
        <v>404</v>
      </c>
      <c r="E42" s="28">
        <v>2402</v>
      </c>
      <c r="F42" s="34" t="s">
        <v>405</v>
      </c>
      <c r="G42" s="28" t="s">
        <v>70</v>
      </c>
      <c r="H42" s="34" t="s">
        <v>406</v>
      </c>
      <c r="I42" s="221">
        <v>2402041</v>
      </c>
      <c r="J42" s="34" t="s">
        <v>407</v>
      </c>
      <c r="K42" s="28" t="s">
        <v>70</v>
      </c>
      <c r="L42" s="34" t="s">
        <v>408</v>
      </c>
      <c r="M42" s="906">
        <v>240204100</v>
      </c>
      <c r="N42" s="34" t="s">
        <v>409</v>
      </c>
      <c r="O42" s="222">
        <v>70.379000000000005</v>
      </c>
      <c r="P42" s="23"/>
      <c r="Q42" s="23">
        <f t="shared" si="1"/>
        <v>70.379000000000005</v>
      </c>
      <c r="R42" s="79">
        <v>2020003630053</v>
      </c>
      <c r="S42" s="34" t="s">
        <v>410</v>
      </c>
      <c r="T42" s="80">
        <f t="shared" si="4"/>
        <v>1</v>
      </c>
      <c r="U42" s="34" t="s">
        <v>411</v>
      </c>
      <c r="V42" s="34" t="s">
        <v>412</v>
      </c>
      <c r="W42" s="34" t="s">
        <v>422</v>
      </c>
      <c r="X42" s="223">
        <v>5000000</v>
      </c>
      <c r="Y42" s="223">
        <f>5000000</f>
        <v>5000000</v>
      </c>
      <c r="Z42" s="223"/>
      <c r="AA42" s="223"/>
      <c r="AB42" s="202">
        <f t="shared" si="0"/>
        <v>0</v>
      </c>
      <c r="AC42" s="211" t="s">
        <v>423</v>
      </c>
      <c r="AD42" s="204"/>
      <c r="AE42" s="205">
        <v>20</v>
      </c>
      <c r="AF42" s="34" t="s">
        <v>327</v>
      </c>
      <c r="AG42" s="23">
        <v>295972</v>
      </c>
      <c r="AH42" s="23">
        <v>285580</v>
      </c>
      <c r="AI42" s="23">
        <v>135545</v>
      </c>
      <c r="AJ42" s="23">
        <v>44254</v>
      </c>
      <c r="AK42" s="23">
        <v>309146</v>
      </c>
      <c r="AL42" s="23">
        <v>92607</v>
      </c>
      <c r="AM42" s="23">
        <v>2145</v>
      </c>
      <c r="AN42" s="23">
        <v>12718</v>
      </c>
      <c r="AO42" s="23">
        <v>26</v>
      </c>
      <c r="AP42" s="23">
        <v>37</v>
      </c>
      <c r="AQ42" s="23">
        <v>0</v>
      </c>
      <c r="AR42" s="23">
        <v>0</v>
      </c>
      <c r="AS42" s="23">
        <v>44350</v>
      </c>
      <c r="AT42" s="23">
        <v>21944</v>
      </c>
      <c r="AU42" s="23">
        <v>75687</v>
      </c>
      <c r="AV42" s="23">
        <v>581552</v>
      </c>
      <c r="AW42" s="31">
        <v>45292</v>
      </c>
      <c r="AX42" s="31">
        <v>45657</v>
      </c>
      <c r="AY42" s="29" t="s">
        <v>328</v>
      </c>
    </row>
    <row r="43" spans="1:51" ht="78" customHeight="1" x14ac:dyDescent="0.2">
      <c r="A43" s="28">
        <v>3</v>
      </c>
      <c r="B43" s="34" t="s">
        <v>403</v>
      </c>
      <c r="C43" s="28">
        <v>24</v>
      </c>
      <c r="D43" s="34" t="s">
        <v>404</v>
      </c>
      <c r="E43" s="28">
        <v>2402</v>
      </c>
      <c r="F43" s="34" t="s">
        <v>405</v>
      </c>
      <c r="G43" s="28" t="s">
        <v>70</v>
      </c>
      <c r="H43" s="34" t="s">
        <v>406</v>
      </c>
      <c r="I43" s="221">
        <v>2402041</v>
      </c>
      <c r="J43" s="34" t="s">
        <v>407</v>
      </c>
      <c r="K43" s="28" t="s">
        <v>70</v>
      </c>
      <c r="L43" s="34" t="s">
        <v>408</v>
      </c>
      <c r="M43" s="906">
        <v>240204100</v>
      </c>
      <c r="N43" s="34" t="s">
        <v>409</v>
      </c>
      <c r="O43" s="222">
        <v>70.379000000000005</v>
      </c>
      <c r="P43" s="23"/>
      <c r="Q43" s="23">
        <f t="shared" si="1"/>
        <v>70.379000000000005</v>
      </c>
      <c r="R43" s="79">
        <v>2020003630053</v>
      </c>
      <c r="S43" s="34" t="s">
        <v>410</v>
      </c>
      <c r="T43" s="80">
        <f t="shared" si="4"/>
        <v>1</v>
      </c>
      <c r="U43" s="34" t="s">
        <v>411</v>
      </c>
      <c r="V43" s="34" t="s">
        <v>412</v>
      </c>
      <c r="W43" s="34" t="s">
        <v>424</v>
      </c>
      <c r="X43" s="223">
        <v>95000000</v>
      </c>
      <c r="Y43" s="223"/>
      <c r="Z43" s="223"/>
      <c r="AA43" s="223"/>
      <c r="AB43" s="202">
        <f t="shared" si="0"/>
        <v>95000000</v>
      </c>
      <c r="AC43" s="211" t="s">
        <v>423</v>
      </c>
      <c r="AD43" s="204"/>
      <c r="AE43" s="205">
        <v>20</v>
      </c>
      <c r="AF43" s="34" t="s">
        <v>327</v>
      </c>
      <c r="AG43" s="23">
        <v>295972</v>
      </c>
      <c r="AH43" s="23">
        <v>285580</v>
      </c>
      <c r="AI43" s="23">
        <v>135545</v>
      </c>
      <c r="AJ43" s="23">
        <v>44254</v>
      </c>
      <c r="AK43" s="23">
        <v>309146</v>
      </c>
      <c r="AL43" s="23">
        <v>92607</v>
      </c>
      <c r="AM43" s="23">
        <v>2145</v>
      </c>
      <c r="AN43" s="23">
        <v>12718</v>
      </c>
      <c r="AO43" s="23">
        <v>26</v>
      </c>
      <c r="AP43" s="23">
        <v>37</v>
      </c>
      <c r="AQ43" s="23">
        <v>0</v>
      </c>
      <c r="AR43" s="23">
        <v>0</v>
      </c>
      <c r="AS43" s="23">
        <v>44350</v>
      </c>
      <c r="AT43" s="23">
        <v>21944</v>
      </c>
      <c r="AU43" s="23">
        <v>75687</v>
      </c>
      <c r="AV43" s="23">
        <v>581552</v>
      </c>
      <c r="AW43" s="31">
        <v>45292</v>
      </c>
      <c r="AX43" s="31">
        <v>45657</v>
      </c>
      <c r="AY43" s="29" t="s">
        <v>328</v>
      </c>
    </row>
    <row r="44" spans="1:51" ht="72" customHeight="1" x14ac:dyDescent="0.2">
      <c r="A44" s="28">
        <v>3</v>
      </c>
      <c r="B44" s="34" t="s">
        <v>403</v>
      </c>
      <c r="C44" s="28">
        <v>24</v>
      </c>
      <c r="D44" s="34" t="s">
        <v>404</v>
      </c>
      <c r="E44" s="28">
        <v>2402</v>
      </c>
      <c r="F44" s="34" t="s">
        <v>405</v>
      </c>
      <c r="G44" s="28" t="s">
        <v>70</v>
      </c>
      <c r="H44" s="34" t="s">
        <v>406</v>
      </c>
      <c r="I44" s="221">
        <v>2402041</v>
      </c>
      <c r="J44" s="34" t="s">
        <v>407</v>
      </c>
      <c r="K44" s="28" t="s">
        <v>70</v>
      </c>
      <c r="L44" s="34" t="s">
        <v>408</v>
      </c>
      <c r="M44" s="906">
        <v>240204100</v>
      </c>
      <c r="N44" s="34" t="s">
        <v>409</v>
      </c>
      <c r="O44" s="222">
        <v>70.379000000000005</v>
      </c>
      <c r="P44" s="23"/>
      <c r="Q44" s="23">
        <f t="shared" si="1"/>
        <v>70.379000000000005</v>
      </c>
      <c r="R44" s="79">
        <v>2020003630053</v>
      </c>
      <c r="S44" s="34" t="s">
        <v>410</v>
      </c>
      <c r="T44" s="80">
        <f t="shared" si="4"/>
        <v>1</v>
      </c>
      <c r="U44" s="34" t="s">
        <v>411</v>
      </c>
      <c r="V44" s="34" t="s">
        <v>412</v>
      </c>
      <c r="W44" s="34" t="s">
        <v>425</v>
      </c>
      <c r="X44" s="223">
        <v>5000000</v>
      </c>
      <c r="Y44" s="223"/>
      <c r="Z44" s="223"/>
      <c r="AA44" s="223"/>
      <c r="AB44" s="202">
        <f t="shared" si="0"/>
        <v>5000000</v>
      </c>
      <c r="AC44" s="211" t="s">
        <v>426</v>
      </c>
      <c r="AD44" s="204"/>
      <c r="AE44" s="205">
        <v>20</v>
      </c>
      <c r="AF44" s="34" t="s">
        <v>327</v>
      </c>
      <c r="AG44" s="23">
        <v>295972</v>
      </c>
      <c r="AH44" s="23">
        <v>285580</v>
      </c>
      <c r="AI44" s="23">
        <v>135545</v>
      </c>
      <c r="AJ44" s="23">
        <v>44254</v>
      </c>
      <c r="AK44" s="23">
        <v>309146</v>
      </c>
      <c r="AL44" s="23">
        <v>92607</v>
      </c>
      <c r="AM44" s="23">
        <v>2145</v>
      </c>
      <c r="AN44" s="23">
        <v>12718</v>
      </c>
      <c r="AO44" s="23">
        <v>26</v>
      </c>
      <c r="AP44" s="23">
        <v>37</v>
      </c>
      <c r="AQ44" s="23">
        <v>0</v>
      </c>
      <c r="AR44" s="23">
        <v>0</v>
      </c>
      <c r="AS44" s="23">
        <v>44350</v>
      </c>
      <c r="AT44" s="23">
        <v>21944</v>
      </c>
      <c r="AU44" s="23">
        <v>75687</v>
      </c>
      <c r="AV44" s="23">
        <v>581552</v>
      </c>
      <c r="AW44" s="31">
        <v>45292</v>
      </c>
      <c r="AX44" s="31">
        <v>45657</v>
      </c>
      <c r="AY44" s="29" t="s">
        <v>328</v>
      </c>
    </row>
    <row r="45" spans="1:51" ht="69.75" customHeight="1" x14ac:dyDescent="0.2">
      <c r="A45" s="28">
        <v>3</v>
      </c>
      <c r="B45" s="34" t="s">
        <v>403</v>
      </c>
      <c r="C45" s="28">
        <v>24</v>
      </c>
      <c r="D45" s="34" t="s">
        <v>404</v>
      </c>
      <c r="E45" s="28">
        <v>2402</v>
      </c>
      <c r="F45" s="34" t="s">
        <v>405</v>
      </c>
      <c r="G45" s="28" t="s">
        <v>70</v>
      </c>
      <c r="H45" s="34" t="s">
        <v>406</v>
      </c>
      <c r="I45" s="221">
        <v>2402041</v>
      </c>
      <c r="J45" s="34" t="s">
        <v>407</v>
      </c>
      <c r="K45" s="28" t="s">
        <v>70</v>
      </c>
      <c r="L45" s="34" t="s">
        <v>408</v>
      </c>
      <c r="M45" s="906">
        <v>240204100</v>
      </c>
      <c r="N45" s="34" t="s">
        <v>409</v>
      </c>
      <c r="O45" s="222">
        <v>70.379000000000005</v>
      </c>
      <c r="P45" s="23"/>
      <c r="Q45" s="23">
        <f t="shared" si="1"/>
        <v>70.379000000000005</v>
      </c>
      <c r="R45" s="79">
        <v>2020003630053</v>
      </c>
      <c r="S45" s="34" t="s">
        <v>410</v>
      </c>
      <c r="T45" s="80">
        <f t="shared" si="4"/>
        <v>1</v>
      </c>
      <c r="U45" s="34" t="s">
        <v>411</v>
      </c>
      <c r="V45" s="34" t="s">
        <v>412</v>
      </c>
      <c r="W45" s="34" t="s">
        <v>427</v>
      </c>
      <c r="X45" s="223">
        <v>105000000</v>
      </c>
      <c r="Y45" s="223">
        <f>1600000+1200000+2000000+2400000+13200000+11200000+800000+11200000+3200000+1600000+2000000+400000+800000+800000+2000000+800000+3600000+800000+800000+200000+2000000+11200000+200000+800000+3200000+400000+200000+400000+200000+6000000+1600000+200000</f>
        <v>87000000</v>
      </c>
      <c r="Z45" s="223"/>
      <c r="AA45" s="223"/>
      <c r="AB45" s="202">
        <f t="shared" si="0"/>
        <v>18000000</v>
      </c>
      <c r="AC45" s="211" t="s">
        <v>428</v>
      </c>
      <c r="AD45" s="204"/>
      <c r="AE45" s="205">
        <v>20</v>
      </c>
      <c r="AF45" s="34" t="s">
        <v>327</v>
      </c>
      <c r="AG45" s="23">
        <v>295972</v>
      </c>
      <c r="AH45" s="23">
        <v>285580</v>
      </c>
      <c r="AI45" s="23">
        <v>135545</v>
      </c>
      <c r="AJ45" s="23">
        <v>44254</v>
      </c>
      <c r="AK45" s="23">
        <v>309146</v>
      </c>
      <c r="AL45" s="23">
        <v>92607</v>
      </c>
      <c r="AM45" s="23">
        <v>2145</v>
      </c>
      <c r="AN45" s="23">
        <v>12718</v>
      </c>
      <c r="AO45" s="23">
        <v>26</v>
      </c>
      <c r="AP45" s="23">
        <v>37</v>
      </c>
      <c r="AQ45" s="23">
        <v>0</v>
      </c>
      <c r="AR45" s="23">
        <v>0</v>
      </c>
      <c r="AS45" s="23">
        <v>44350</v>
      </c>
      <c r="AT45" s="23">
        <v>21944</v>
      </c>
      <c r="AU45" s="23">
        <v>75687</v>
      </c>
      <c r="AV45" s="23">
        <v>581552</v>
      </c>
      <c r="AW45" s="31">
        <v>45292</v>
      </c>
      <c r="AX45" s="31">
        <v>45657</v>
      </c>
      <c r="AY45" s="29" t="s">
        <v>328</v>
      </c>
    </row>
    <row r="46" spans="1:51" ht="67.5" customHeight="1" x14ac:dyDescent="0.2">
      <c r="A46" s="28">
        <v>3</v>
      </c>
      <c r="B46" s="34" t="s">
        <v>403</v>
      </c>
      <c r="C46" s="28">
        <v>24</v>
      </c>
      <c r="D46" s="34" t="s">
        <v>404</v>
      </c>
      <c r="E46" s="28">
        <v>2402</v>
      </c>
      <c r="F46" s="34" t="s">
        <v>405</v>
      </c>
      <c r="G46" s="28" t="s">
        <v>70</v>
      </c>
      <c r="H46" s="34" t="s">
        <v>406</v>
      </c>
      <c r="I46" s="221">
        <v>2402041</v>
      </c>
      <c r="J46" s="34" t="s">
        <v>407</v>
      </c>
      <c r="K46" s="28" t="s">
        <v>70</v>
      </c>
      <c r="L46" s="34" t="s">
        <v>408</v>
      </c>
      <c r="M46" s="906">
        <v>240204100</v>
      </c>
      <c r="N46" s="34" t="s">
        <v>409</v>
      </c>
      <c r="O46" s="222">
        <v>70.379000000000005</v>
      </c>
      <c r="P46" s="23"/>
      <c r="Q46" s="23">
        <f t="shared" si="1"/>
        <v>70.379000000000005</v>
      </c>
      <c r="R46" s="79">
        <v>2020003630053</v>
      </c>
      <c r="S46" s="34" t="s">
        <v>410</v>
      </c>
      <c r="T46" s="80">
        <f t="shared" si="4"/>
        <v>1</v>
      </c>
      <c r="U46" s="34" t="s">
        <v>411</v>
      </c>
      <c r="V46" s="34" t="s">
        <v>412</v>
      </c>
      <c r="W46" s="34" t="s">
        <v>429</v>
      </c>
      <c r="X46" s="223">
        <v>30000000</v>
      </c>
      <c r="Y46" s="223"/>
      <c r="Z46" s="223"/>
      <c r="AA46" s="223"/>
      <c r="AB46" s="202">
        <f t="shared" si="0"/>
        <v>30000000</v>
      </c>
      <c r="AC46" s="211" t="s">
        <v>430</v>
      </c>
      <c r="AD46" s="204"/>
      <c r="AE46" s="205">
        <v>20</v>
      </c>
      <c r="AF46" s="34" t="s">
        <v>327</v>
      </c>
      <c r="AG46" s="23">
        <v>295972</v>
      </c>
      <c r="AH46" s="23">
        <v>285580</v>
      </c>
      <c r="AI46" s="23">
        <v>135545</v>
      </c>
      <c r="AJ46" s="23">
        <v>44254</v>
      </c>
      <c r="AK46" s="23">
        <v>309146</v>
      </c>
      <c r="AL46" s="23">
        <v>92607</v>
      </c>
      <c r="AM46" s="23">
        <v>2145</v>
      </c>
      <c r="AN46" s="23">
        <v>12718</v>
      </c>
      <c r="AO46" s="23">
        <v>26</v>
      </c>
      <c r="AP46" s="23">
        <v>37</v>
      </c>
      <c r="AQ46" s="23">
        <v>0</v>
      </c>
      <c r="AR46" s="23">
        <v>0</v>
      </c>
      <c r="AS46" s="23">
        <v>44350</v>
      </c>
      <c r="AT46" s="23">
        <v>21944</v>
      </c>
      <c r="AU46" s="23">
        <v>75687</v>
      </c>
      <c r="AV46" s="23">
        <v>581552</v>
      </c>
      <c r="AW46" s="31">
        <v>45292</v>
      </c>
      <c r="AX46" s="31">
        <v>45657</v>
      </c>
      <c r="AY46" s="29" t="s">
        <v>328</v>
      </c>
    </row>
    <row r="47" spans="1:51" ht="63.75" customHeight="1" x14ac:dyDescent="0.2">
      <c r="A47" s="28">
        <v>3</v>
      </c>
      <c r="B47" s="34" t="s">
        <v>403</v>
      </c>
      <c r="C47" s="28">
        <v>32</v>
      </c>
      <c r="D47" s="34" t="s">
        <v>431</v>
      </c>
      <c r="E47" s="28">
        <v>3205</v>
      </c>
      <c r="F47" s="34" t="s">
        <v>432</v>
      </c>
      <c r="G47" s="906">
        <v>3205010</v>
      </c>
      <c r="H47" s="34" t="s">
        <v>433</v>
      </c>
      <c r="I47" s="906">
        <v>3205010</v>
      </c>
      <c r="J47" s="34" t="s">
        <v>433</v>
      </c>
      <c r="K47" s="906" t="s">
        <v>434</v>
      </c>
      <c r="L47" s="34" t="s">
        <v>435</v>
      </c>
      <c r="M47" s="906" t="s">
        <v>434</v>
      </c>
      <c r="N47" s="34" t="s">
        <v>435</v>
      </c>
      <c r="O47" s="37">
        <v>3</v>
      </c>
      <c r="P47" s="37"/>
      <c r="Q47" s="23">
        <f t="shared" si="1"/>
        <v>3</v>
      </c>
      <c r="R47" s="212">
        <v>2021003630004</v>
      </c>
      <c r="S47" s="34" t="s">
        <v>436</v>
      </c>
      <c r="T47" s="25">
        <f>SUM($X$47:$X$49)/SUM($X$47:$X$49)</f>
        <v>1</v>
      </c>
      <c r="U47" s="34" t="s">
        <v>437</v>
      </c>
      <c r="V47" s="34" t="s">
        <v>438</v>
      </c>
      <c r="W47" s="34" t="s">
        <v>439</v>
      </c>
      <c r="X47" s="202">
        <v>190000000</v>
      </c>
      <c r="Y47" s="202"/>
      <c r="Z47" s="202"/>
      <c r="AA47" s="202"/>
      <c r="AB47" s="202">
        <f t="shared" si="0"/>
        <v>190000000</v>
      </c>
      <c r="AC47" s="211" t="s">
        <v>440</v>
      </c>
      <c r="AD47" s="204"/>
      <c r="AE47" s="205">
        <v>23</v>
      </c>
      <c r="AF47" s="34" t="s">
        <v>415</v>
      </c>
      <c r="AG47" s="23">
        <v>295972</v>
      </c>
      <c r="AH47" s="23">
        <v>285580</v>
      </c>
      <c r="AI47" s="23">
        <v>135545</v>
      </c>
      <c r="AJ47" s="23">
        <v>44254</v>
      </c>
      <c r="AK47" s="23">
        <v>309146</v>
      </c>
      <c r="AL47" s="23">
        <v>92607</v>
      </c>
      <c r="AM47" s="23">
        <v>2145</v>
      </c>
      <c r="AN47" s="23">
        <v>12718</v>
      </c>
      <c r="AO47" s="23">
        <v>26</v>
      </c>
      <c r="AP47" s="23">
        <v>37</v>
      </c>
      <c r="AQ47" s="23">
        <v>0</v>
      </c>
      <c r="AR47" s="23">
        <v>0</v>
      </c>
      <c r="AS47" s="23">
        <v>44350</v>
      </c>
      <c r="AT47" s="23">
        <v>21944</v>
      </c>
      <c r="AU47" s="23">
        <v>75687</v>
      </c>
      <c r="AV47" s="23">
        <v>581552</v>
      </c>
      <c r="AW47" s="31">
        <v>45292</v>
      </c>
      <c r="AX47" s="31">
        <v>45657</v>
      </c>
      <c r="AY47" s="29" t="s">
        <v>328</v>
      </c>
    </row>
    <row r="48" spans="1:51" ht="70.5" customHeight="1" x14ac:dyDescent="0.2">
      <c r="A48" s="28">
        <v>3</v>
      </c>
      <c r="B48" s="34" t="s">
        <v>403</v>
      </c>
      <c r="C48" s="28">
        <v>32</v>
      </c>
      <c r="D48" s="34" t="s">
        <v>431</v>
      </c>
      <c r="E48" s="28">
        <v>3205</v>
      </c>
      <c r="F48" s="34" t="s">
        <v>432</v>
      </c>
      <c r="G48" s="906">
        <v>3205010</v>
      </c>
      <c r="H48" s="34" t="s">
        <v>433</v>
      </c>
      <c r="I48" s="906">
        <v>3205010</v>
      </c>
      <c r="J48" s="34" t="s">
        <v>433</v>
      </c>
      <c r="K48" s="906" t="s">
        <v>434</v>
      </c>
      <c r="L48" s="34" t="s">
        <v>435</v>
      </c>
      <c r="M48" s="906" t="s">
        <v>434</v>
      </c>
      <c r="N48" s="34" t="s">
        <v>435</v>
      </c>
      <c r="O48" s="37">
        <v>3</v>
      </c>
      <c r="P48" s="37"/>
      <c r="Q48" s="23">
        <f t="shared" si="1"/>
        <v>3</v>
      </c>
      <c r="R48" s="212">
        <v>2021003630004</v>
      </c>
      <c r="S48" s="34" t="s">
        <v>436</v>
      </c>
      <c r="T48" s="25">
        <f>SUM($X$47:$X$49)/SUM($X$47:$X$49)</f>
        <v>1</v>
      </c>
      <c r="U48" s="34" t="s">
        <v>437</v>
      </c>
      <c r="V48" s="34" t="s">
        <v>438</v>
      </c>
      <c r="W48" s="34" t="s">
        <v>439</v>
      </c>
      <c r="X48" s="202">
        <v>30000000</v>
      </c>
      <c r="Y48" s="202"/>
      <c r="Z48" s="202"/>
      <c r="AA48" s="202"/>
      <c r="AB48" s="202">
        <f t="shared" si="0"/>
        <v>30000000</v>
      </c>
      <c r="AC48" s="211" t="s">
        <v>441</v>
      </c>
      <c r="AD48" s="204"/>
      <c r="AE48" s="205">
        <v>20</v>
      </c>
      <c r="AF48" s="34" t="s">
        <v>327</v>
      </c>
      <c r="AG48" s="23">
        <v>295972</v>
      </c>
      <c r="AH48" s="23">
        <v>285580</v>
      </c>
      <c r="AI48" s="23">
        <v>135545</v>
      </c>
      <c r="AJ48" s="23">
        <v>44254</v>
      </c>
      <c r="AK48" s="23">
        <v>309146</v>
      </c>
      <c r="AL48" s="23">
        <v>92607</v>
      </c>
      <c r="AM48" s="23">
        <v>2145</v>
      </c>
      <c r="AN48" s="23">
        <v>12718</v>
      </c>
      <c r="AO48" s="23">
        <v>26</v>
      </c>
      <c r="AP48" s="23">
        <v>37</v>
      </c>
      <c r="AQ48" s="23">
        <v>0</v>
      </c>
      <c r="AR48" s="23">
        <v>0</v>
      </c>
      <c r="AS48" s="23">
        <v>44350</v>
      </c>
      <c r="AT48" s="23">
        <v>21944</v>
      </c>
      <c r="AU48" s="23">
        <v>75687</v>
      </c>
      <c r="AV48" s="23">
        <v>581552</v>
      </c>
      <c r="AW48" s="31">
        <v>45292</v>
      </c>
      <c r="AX48" s="31">
        <v>45657</v>
      </c>
      <c r="AY48" s="29" t="s">
        <v>328</v>
      </c>
    </row>
    <row r="49" spans="1:51" ht="72.75" customHeight="1" x14ac:dyDescent="0.2">
      <c r="A49" s="28">
        <v>3</v>
      </c>
      <c r="B49" s="34" t="s">
        <v>403</v>
      </c>
      <c r="C49" s="28">
        <v>32</v>
      </c>
      <c r="D49" s="34" t="s">
        <v>431</v>
      </c>
      <c r="E49" s="28">
        <v>3205</v>
      </c>
      <c r="F49" s="34" t="s">
        <v>432</v>
      </c>
      <c r="G49" s="906">
        <v>3205010</v>
      </c>
      <c r="H49" s="34" t="s">
        <v>433</v>
      </c>
      <c r="I49" s="906">
        <v>3205010</v>
      </c>
      <c r="J49" s="34" t="s">
        <v>433</v>
      </c>
      <c r="K49" s="906" t="s">
        <v>434</v>
      </c>
      <c r="L49" s="34" t="s">
        <v>435</v>
      </c>
      <c r="M49" s="906" t="s">
        <v>434</v>
      </c>
      <c r="N49" s="34" t="s">
        <v>435</v>
      </c>
      <c r="O49" s="37">
        <v>3</v>
      </c>
      <c r="P49" s="37"/>
      <c r="Q49" s="23">
        <f t="shared" si="1"/>
        <v>3</v>
      </c>
      <c r="R49" s="212">
        <v>2021003630004</v>
      </c>
      <c r="S49" s="34" t="s">
        <v>436</v>
      </c>
      <c r="T49" s="25">
        <f>SUM($X$47:$X$49)/SUM($X$47:$X$49)</f>
        <v>1</v>
      </c>
      <c r="U49" s="34" t="s">
        <v>437</v>
      </c>
      <c r="V49" s="34" t="s">
        <v>438</v>
      </c>
      <c r="W49" s="34" t="s">
        <v>333</v>
      </c>
      <c r="X49" s="202">
        <v>20000000</v>
      </c>
      <c r="Y49" s="202"/>
      <c r="Z49" s="202"/>
      <c r="AA49" s="202"/>
      <c r="AB49" s="202">
        <f t="shared" si="0"/>
        <v>20000000</v>
      </c>
      <c r="AC49" s="211" t="s">
        <v>442</v>
      </c>
      <c r="AD49" s="204"/>
      <c r="AE49" s="205">
        <v>20</v>
      </c>
      <c r="AF49" s="34" t="s">
        <v>327</v>
      </c>
      <c r="AG49" s="23">
        <v>295972</v>
      </c>
      <c r="AH49" s="23">
        <v>285580</v>
      </c>
      <c r="AI49" s="23">
        <v>135545</v>
      </c>
      <c r="AJ49" s="23">
        <v>44254</v>
      </c>
      <c r="AK49" s="23">
        <v>309146</v>
      </c>
      <c r="AL49" s="23">
        <v>92607</v>
      </c>
      <c r="AM49" s="23">
        <v>2145</v>
      </c>
      <c r="AN49" s="23">
        <v>12718</v>
      </c>
      <c r="AO49" s="23">
        <v>26</v>
      </c>
      <c r="AP49" s="23">
        <v>37</v>
      </c>
      <c r="AQ49" s="23">
        <v>0</v>
      </c>
      <c r="AR49" s="23">
        <v>0</v>
      </c>
      <c r="AS49" s="23">
        <v>44350</v>
      </c>
      <c r="AT49" s="23">
        <v>21944</v>
      </c>
      <c r="AU49" s="23">
        <v>75687</v>
      </c>
      <c r="AV49" s="23">
        <v>581552</v>
      </c>
      <c r="AW49" s="31">
        <v>45292</v>
      </c>
      <c r="AX49" s="31">
        <v>45657</v>
      </c>
      <c r="AY49" s="29" t="s">
        <v>328</v>
      </c>
    </row>
    <row r="50" spans="1:51" ht="74.25" customHeight="1" x14ac:dyDescent="0.2">
      <c r="A50" s="28">
        <v>3</v>
      </c>
      <c r="B50" s="34" t="s">
        <v>403</v>
      </c>
      <c r="C50" s="28">
        <v>32</v>
      </c>
      <c r="D50" s="34" t="s">
        <v>431</v>
      </c>
      <c r="E50" s="28">
        <v>3205</v>
      </c>
      <c r="F50" s="34" t="s">
        <v>432</v>
      </c>
      <c r="G50" s="906">
        <v>3205021</v>
      </c>
      <c r="H50" s="34" t="s">
        <v>443</v>
      </c>
      <c r="I50" s="906">
        <v>3205021</v>
      </c>
      <c r="J50" s="34" t="s">
        <v>443</v>
      </c>
      <c r="K50" s="906">
        <v>320502100</v>
      </c>
      <c r="L50" s="34" t="s">
        <v>444</v>
      </c>
      <c r="M50" s="906">
        <v>320502100</v>
      </c>
      <c r="N50" s="34" t="s">
        <v>444</v>
      </c>
      <c r="O50" s="205">
        <v>4</v>
      </c>
      <c r="P50" s="205">
        <v>0</v>
      </c>
      <c r="Q50" s="205">
        <f>O50+P50</f>
        <v>4</v>
      </c>
      <c r="R50" s="212">
        <v>2021003630002</v>
      </c>
      <c r="S50" s="34" t="s">
        <v>445</v>
      </c>
      <c r="T50" s="370">
        <f>SUM($X$50:$X$52)/SUM($X$50:$X$52)</f>
        <v>1</v>
      </c>
      <c r="U50" s="34" t="s">
        <v>446</v>
      </c>
      <c r="V50" s="34" t="s">
        <v>438</v>
      </c>
      <c r="W50" s="34" t="s">
        <v>447</v>
      </c>
      <c r="X50" s="202">
        <v>200000000</v>
      </c>
      <c r="Y50" s="202"/>
      <c r="Z50" s="202"/>
      <c r="AA50" s="202"/>
      <c r="AB50" s="202">
        <f t="shared" si="0"/>
        <v>200000000</v>
      </c>
      <c r="AC50" s="211" t="s">
        <v>448</v>
      </c>
      <c r="AD50" s="204"/>
      <c r="AE50" s="205">
        <v>23</v>
      </c>
      <c r="AF50" s="34" t="s">
        <v>415</v>
      </c>
      <c r="AG50" s="23">
        <v>295972</v>
      </c>
      <c r="AH50" s="23">
        <v>285580</v>
      </c>
      <c r="AI50" s="23">
        <v>135545</v>
      </c>
      <c r="AJ50" s="23">
        <v>44254</v>
      </c>
      <c r="AK50" s="23">
        <v>309146</v>
      </c>
      <c r="AL50" s="23">
        <v>92607</v>
      </c>
      <c r="AM50" s="23">
        <v>2145</v>
      </c>
      <c r="AN50" s="23">
        <v>12718</v>
      </c>
      <c r="AO50" s="23">
        <v>26</v>
      </c>
      <c r="AP50" s="23">
        <v>37</v>
      </c>
      <c r="AQ50" s="23">
        <v>0</v>
      </c>
      <c r="AR50" s="23">
        <v>0</v>
      </c>
      <c r="AS50" s="23">
        <v>44350</v>
      </c>
      <c r="AT50" s="23">
        <v>21944</v>
      </c>
      <c r="AU50" s="23">
        <v>75687</v>
      </c>
      <c r="AV50" s="23">
        <v>581552</v>
      </c>
      <c r="AW50" s="31">
        <v>45292</v>
      </c>
      <c r="AX50" s="31">
        <v>45657</v>
      </c>
      <c r="AY50" s="29" t="s">
        <v>328</v>
      </c>
    </row>
    <row r="51" spans="1:51" ht="72.75" customHeight="1" x14ac:dyDescent="0.2">
      <c r="A51" s="28">
        <v>3</v>
      </c>
      <c r="B51" s="34" t="s">
        <v>403</v>
      </c>
      <c r="C51" s="28">
        <v>32</v>
      </c>
      <c r="D51" s="34" t="s">
        <v>431</v>
      </c>
      <c r="E51" s="28">
        <v>3205</v>
      </c>
      <c r="F51" s="34" t="s">
        <v>432</v>
      </c>
      <c r="G51" s="906">
        <v>3205021</v>
      </c>
      <c r="H51" s="34" t="s">
        <v>443</v>
      </c>
      <c r="I51" s="906">
        <v>3205021</v>
      </c>
      <c r="J51" s="34" t="s">
        <v>443</v>
      </c>
      <c r="K51" s="906">
        <v>320502100</v>
      </c>
      <c r="L51" s="34" t="s">
        <v>444</v>
      </c>
      <c r="M51" s="906">
        <v>320502100</v>
      </c>
      <c r="N51" s="34" t="s">
        <v>444</v>
      </c>
      <c r="O51" s="205">
        <v>4</v>
      </c>
      <c r="P51" s="205">
        <v>0</v>
      </c>
      <c r="Q51" s="205">
        <f>O51+P51</f>
        <v>4</v>
      </c>
      <c r="R51" s="212">
        <v>2021003630002</v>
      </c>
      <c r="S51" s="34" t="s">
        <v>445</v>
      </c>
      <c r="T51" s="370">
        <f>SUM($X$50:$X$52)/SUM($X$50:$X$52)</f>
        <v>1</v>
      </c>
      <c r="U51" s="34" t="s">
        <v>446</v>
      </c>
      <c r="V51" s="34" t="s">
        <v>438</v>
      </c>
      <c r="W51" s="34" t="s">
        <v>447</v>
      </c>
      <c r="X51" s="202">
        <v>30000000</v>
      </c>
      <c r="Y51" s="202"/>
      <c r="Z51" s="202"/>
      <c r="AA51" s="202"/>
      <c r="AB51" s="202">
        <f t="shared" si="0"/>
        <v>30000000</v>
      </c>
      <c r="AC51" s="211" t="s">
        <v>449</v>
      </c>
      <c r="AD51" s="204"/>
      <c r="AE51" s="205">
        <v>20</v>
      </c>
      <c r="AF51" s="34" t="s">
        <v>327</v>
      </c>
      <c r="AG51" s="23">
        <v>295972</v>
      </c>
      <c r="AH51" s="23">
        <v>285580</v>
      </c>
      <c r="AI51" s="23">
        <v>135545</v>
      </c>
      <c r="AJ51" s="23">
        <v>44254</v>
      </c>
      <c r="AK51" s="23">
        <v>309146</v>
      </c>
      <c r="AL51" s="23">
        <v>92607</v>
      </c>
      <c r="AM51" s="23">
        <v>2145</v>
      </c>
      <c r="AN51" s="23">
        <v>12718</v>
      </c>
      <c r="AO51" s="23">
        <v>26</v>
      </c>
      <c r="AP51" s="23">
        <v>37</v>
      </c>
      <c r="AQ51" s="23">
        <v>0</v>
      </c>
      <c r="AR51" s="23">
        <v>0</v>
      </c>
      <c r="AS51" s="23">
        <v>44350</v>
      </c>
      <c r="AT51" s="23">
        <v>21944</v>
      </c>
      <c r="AU51" s="23">
        <v>75687</v>
      </c>
      <c r="AV51" s="23">
        <v>581552</v>
      </c>
      <c r="AW51" s="31">
        <v>45292</v>
      </c>
      <c r="AX51" s="31">
        <v>45657</v>
      </c>
      <c r="AY51" s="29" t="s">
        <v>328</v>
      </c>
    </row>
    <row r="52" spans="1:51" ht="69.75" customHeight="1" x14ac:dyDescent="0.2">
      <c r="A52" s="28">
        <v>3</v>
      </c>
      <c r="B52" s="34" t="s">
        <v>403</v>
      </c>
      <c r="C52" s="28">
        <v>32</v>
      </c>
      <c r="D52" s="34" t="s">
        <v>431</v>
      </c>
      <c r="E52" s="28">
        <v>3205</v>
      </c>
      <c r="F52" s="34" t="s">
        <v>432</v>
      </c>
      <c r="G52" s="906">
        <v>3205021</v>
      </c>
      <c r="H52" s="34" t="s">
        <v>443</v>
      </c>
      <c r="I52" s="906">
        <v>3205021</v>
      </c>
      <c r="J52" s="34" t="s">
        <v>443</v>
      </c>
      <c r="K52" s="906">
        <v>320502100</v>
      </c>
      <c r="L52" s="34" t="s">
        <v>444</v>
      </c>
      <c r="M52" s="906">
        <v>320502100</v>
      </c>
      <c r="N52" s="34" t="s">
        <v>444</v>
      </c>
      <c r="O52" s="205">
        <v>4</v>
      </c>
      <c r="P52" s="205">
        <v>0</v>
      </c>
      <c r="Q52" s="205">
        <f>O52+P52</f>
        <v>4</v>
      </c>
      <c r="R52" s="212">
        <v>2021003630002</v>
      </c>
      <c r="S52" s="34" t="s">
        <v>445</v>
      </c>
      <c r="T52" s="370">
        <f>SUM($X$50:$X$52)/SUM($X$50:$X$52)</f>
        <v>1</v>
      </c>
      <c r="U52" s="34" t="s">
        <v>446</v>
      </c>
      <c r="V52" s="34" t="s">
        <v>438</v>
      </c>
      <c r="W52" s="34" t="s">
        <v>333</v>
      </c>
      <c r="X52" s="202">
        <v>20000000</v>
      </c>
      <c r="Y52" s="202">
        <f>8400000</f>
        <v>8400000</v>
      </c>
      <c r="Z52" s="202"/>
      <c r="AA52" s="202"/>
      <c r="AB52" s="202">
        <f t="shared" si="0"/>
        <v>11600000</v>
      </c>
      <c r="AC52" s="211" t="s">
        <v>450</v>
      </c>
      <c r="AD52" s="204"/>
      <c r="AE52" s="205">
        <v>20</v>
      </c>
      <c r="AF52" s="34" t="s">
        <v>327</v>
      </c>
      <c r="AG52" s="23">
        <v>295972</v>
      </c>
      <c r="AH52" s="23">
        <v>285580</v>
      </c>
      <c r="AI52" s="23">
        <v>135545</v>
      </c>
      <c r="AJ52" s="23">
        <v>44254</v>
      </c>
      <c r="AK52" s="23">
        <v>309146</v>
      </c>
      <c r="AL52" s="23">
        <v>92607</v>
      </c>
      <c r="AM52" s="23">
        <v>2145</v>
      </c>
      <c r="AN52" s="23">
        <v>12718</v>
      </c>
      <c r="AO52" s="23">
        <v>26</v>
      </c>
      <c r="AP52" s="23">
        <v>37</v>
      </c>
      <c r="AQ52" s="23">
        <v>0</v>
      </c>
      <c r="AR52" s="23">
        <v>0</v>
      </c>
      <c r="AS52" s="23">
        <v>44350</v>
      </c>
      <c r="AT52" s="23">
        <v>21944</v>
      </c>
      <c r="AU52" s="23">
        <v>75687</v>
      </c>
      <c r="AV52" s="23">
        <v>581552</v>
      </c>
      <c r="AW52" s="31">
        <v>45292</v>
      </c>
      <c r="AX52" s="31">
        <v>45657</v>
      </c>
      <c r="AY52" s="29" t="s">
        <v>328</v>
      </c>
    </row>
    <row r="53" spans="1:51" ht="72.75" customHeight="1" x14ac:dyDescent="0.2">
      <c r="A53" s="28">
        <v>3</v>
      </c>
      <c r="B53" s="34" t="s">
        <v>403</v>
      </c>
      <c r="C53" s="28">
        <v>40</v>
      </c>
      <c r="D53" s="34" t="s">
        <v>451</v>
      </c>
      <c r="E53" s="28">
        <v>4001</v>
      </c>
      <c r="F53" s="34" t="s">
        <v>452</v>
      </c>
      <c r="G53" s="221">
        <v>4001015</v>
      </c>
      <c r="H53" s="34" t="s">
        <v>453</v>
      </c>
      <c r="I53" s="221">
        <v>4001015</v>
      </c>
      <c r="J53" s="34" t="s">
        <v>453</v>
      </c>
      <c r="K53" s="207" t="s">
        <v>454</v>
      </c>
      <c r="L53" s="34" t="s">
        <v>455</v>
      </c>
      <c r="M53" s="207" t="s">
        <v>454</v>
      </c>
      <c r="N53" s="34" t="s">
        <v>455</v>
      </c>
      <c r="O53" s="23">
        <v>120</v>
      </c>
      <c r="P53" s="23">
        <v>0</v>
      </c>
      <c r="Q53" s="23">
        <f>SUM(O53:P53)</f>
        <v>120</v>
      </c>
      <c r="R53" s="79">
        <v>2020003630057</v>
      </c>
      <c r="S53" s="34" t="s">
        <v>456</v>
      </c>
      <c r="T53" s="25">
        <f>SUM($X$53:$X$54)/SUM($X$53:$X$54)</f>
        <v>1</v>
      </c>
      <c r="U53" s="34" t="s">
        <v>457</v>
      </c>
      <c r="V53" s="34" t="s">
        <v>458</v>
      </c>
      <c r="W53" s="34" t="s">
        <v>459</v>
      </c>
      <c r="X53" s="223">
        <v>35795909.380000003</v>
      </c>
      <c r="Y53" s="223"/>
      <c r="Z53" s="223"/>
      <c r="AA53" s="223"/>
      <c r="AB53" s="202">
        <f t="shared" si="0"/>
        <v>35795909.380000003</v>
      </c>
      <c r="AC53" s="211" t="s">
        <v>460</v>
      </c>
      <c r="AD53" s="204"/>
      <c r="AE53" s="205">
        <v>20</v>
      </c>
      <c r="AF53" s="34" t="s">
        <v>327</v>
      </c>
      <c r="AG53" s="23">
        <v>295972</v>
      </c>
      <c r="AH53" s="23">
        <v>285580</v>
      </c>
      <c r="AI53" s="23">
        <v>135545</v>
      </c>
      <c r="AJ53" s="23">
        <v>44254</v>
      </c>
      <c r="AK53" s="23">
        <v>309146</v>
      </c>
      <c r="AL53" s="23">
        <v>92607</v>
      </c>
      <c r="AM53" s="23">
        <v>2145</v>
      </c>
      <c r="AN53" s="23">
        <v>12718</v>
      </c>
      <c r="AO53" s="23">
        <v>26</v>
      </c>
      <c r="AP53" s="23">
        <v>37</v>
      </c>
      <c r="AQ53" s="23">
        <v>0</v>
      </c>
      <c r="AR53" s="23">
        <v>0</v>
      </c>
      <c r="AS53" s="23">
        <v>44350</v>
      </c>
      <c r="AT53" s="23">
        <v>21944</v>
      </c>
      <c r="AU53" s="23">
        <v>75687</v>
      </c>
      <c r="AV53" s="23">
        <v>581552</v>
      </c>
      <c r="AW53" s="31">
        <v>45292</v>
      </c>
      <c r="AX53" s="31">
        <v>45657</v>
      </c>
      <c r="AY53" s="84" t="s">
        <v>328</v>
      </c>
    </row>
    <row r="54" spans="1:51" ht="68.25" customHeight="1" x14ac:dyDescent="0.2">
      <c r="A54" s="28">
        <v>3</v>
      </c>
      <c r="B54" s="34" t="s">
        <v>403</v>
      </c>
      <c r="C54" s="28">
        <v>40</v>
      </c>
      <c r="D54" s="34" t="s">
        <v>451</v>
      </c>
      <c r="E54" s="28">
        <v>4001</v>
      </c>
      <c r="F54" s="34" t="s">
        <v>452</v>
      </c>
      <c r="G54" s="221">
        <v>4001015</v>
      </c>
      <c r="H54" s="34" t="s">
        <v>453</v>
      </c>
      <c r="I54" s="221">
        <v>4001015</v>
      </c>
      <c r="J54" s="34" t="s">
        <v>453</v>
      </c>
      <c r="K54" s="207" t="s">
        <v>454</v>
      </c>
      <c r="L54" s="34" t="s">
        <v>455</v>
      </c>
      <c r="M54" s="207" t="s">
        <v>454</v>
      </c>
      <c r="N54" s="34" t="s">
        <v>455</v>
      </c>
      <c r="O54" s="23">
        <v>120</v>
      </c>
      <c r="P54" s="23">
        <v>0</v>
      </c>
      <c r="Q54" s="23">
        <f>SUM(O54:P54)</f>
        <v>120</v>
      </c>
      <c r="R54" s="79">
        <v>2020003630057</v>
      </c>
      <c r="S54" s="34" t="s">
        <v>456</v>
      </c>
      <c r="T54" s="25">
        <f>SUM($X$53:$X$54)/SUM($X$53:$X$54)</f>
        <v>1</v>
      </c>
      <c r="U54" s="34" t="s">
        <v>457</v>
      </c>
      <c r="V54" s="34" t="s">
        <v>458</v>
      </c>
      <c r="W54" s="34" t="s">
        <v>459</v>
      </c>
      <c r="X54" s="202">
        <v>300000000</v>
      </c>
      <c r="Y54" s="202"/>
      <c r="Z54" s="202"/>
      <c r="AA54" s="202"/>
      <c r="AB54" s="202">
        <f t="shared" si="0"/>
        <v>300000000</v>
      </c>
      <c r="AC54" s="211" t="s">
        <v>461</v>
      </c>
      <c r="AD54" s="204"/>
      <c r="AE54" s="210" t="s">
        <v>346</v>
      </c>
      <c r="AF54" s="34" t="s">
        <v>347</v>
      </c>
      <c r="AG54" s="23">
        <v>295972</v>
      </c>
      <c r="AH54" s="23">
        <v>285580</v>
      </c>
      <c r="AI54" s="23">
        <v>135545</v>
      </c>
      <c r="AJ54" s="23">
        <v>44254</v>
      </c>
      <c r="AK54" s="23">
        <v>309146</v>
      </c>
      <c r="AL54" s="23">
        <v>92607</v>
      </c>
      <c r="AM54" s="23">
        <v>2145</v>
      </c>
      <c r="AN54" s="23">
        <v>12718</v>
      </c>
      <c r="AO54" s="23">
        <v>26</v>
      </c>
      <c r="AP54" s="23">
        <v>37</v>
      </c>
      <c r="AQ54" s="23">
        <v>0</v>
      </c>
      <c r="AR54" s="23">
        <v>0</v>
      </c>
      <c r="AS54" s="23">
        <v>44350</v>
      </c>
      <c r="AT54" s="23">
        <v>21944</v>
      </c>
      <c r="AU54" s="23">
        <v>75687</v>
      </c>
      <c r="AV54" s="23">
        <v>581552</v>
      </c>
      <c r="AW54" s="31">
        <v>45292</v>
      </c>
      <c r="AX54" s="31">
        <v>45657</v>
      </c>
      <c r="AY54" s="84" t="s">
        <v>328</v>
      </c>
    </row>
    <row r="55" spans="1:51" ht="66" customHeight="1" x14ac:dyDescent="0.2">
      <c r="A55" s="28">
        <v>3</v>
      </c>
      <c r="B55" s="34" t="s">
        <v>403</v>
      </c>
      <c r="C55" s="28">
        <v>40</v>
      </c>
      <c r="D55" s="34" t="s">
        <v>462</v>
      </c>
      <c r="E55" s="28">
        <v>4003</v>
      </c>
      <c r="F55" s="34" t="s">
        <v>463</v>
      </c>
      <c r="G55" s="28" t="s">
        <v>464</v>
      </c>
      <c r="H55" s="34" t="s">
        <v>465</v>
      </c>
      <c r="I55" s="28" t="s">
        <v>464</v>
      </c>
      <c r="J55" s="34" t="s">
        <v>465</v>
      </c>
      <c r="K55" s="28">
        <v>400301802</v>
      </c>
      <c r="L55" s="34" t="s">
        <v>466</v>
      </c>
      <c r="M55" s="28">
        <v>400301802</v>
      </c>
      <c r="N55" s="34" t="s">
        <v>466</v>
      </c>
      <c r="O55" s="205">
        <v>1</v>
      </c>
      <c r="P55" s="205"/>
      <c r="Q55" s="205">
        <f>O55+P55</f>
        <v>1</v>
      </c>
      <c r="R55" s="79">
        <v>2020003630014</v>
      </c>
      <c r="S55" s="34" t="s">
        <v>467</v>
      </c>
      <c r="T55" s="88">
        <f>SUM(X55)/SUM($X$55:$X$62)</f>
        <v>0.17986850533049309</v>
      </c>
      <c r="U55" s="34" t="s">
        <v>468</v>
      </c>
      <c r="V55" s="34" t="s">
        <v>469</v>
      </c>
      <c r="W55" s="34" t="s">
        <v>465</v>
      </c>
      <c r="X55" s="202">
        <v>1000000000</v>
      </c>
      <c r="Y55" s="202"/>
      <c r="Z55" s="202"/>
      <c r="AA55" s="202"/>
      <c r="AB55" s="202">
        <f t="shared" si="0"/>
        <v>1000000000</v>
      </c>
      <c r="AC55" s="225" t="s">
        <v>470</v>
      </c>
      <c r="AD55" s="204"/>
      <c r="AE55" s="205">
        <v>27</v>
      </c>
      <c r="AF55" s="34" t="s">
        <v>471</v>
      </c>
      <c r="AG55" s="23">
        <v>295972</v>
      </c>
      <c r="AH55" s="23">
        <v>285580</v>
      </c>
      <c r="AI55" s="23">
        <v>135545</v>
      </c>
      <c r="AJ55" s="23">
        <v>44254</v>
      </c>
      <c r="AK55" s="23">
        <v>309146</v>
      </c>
      <c r="AL55" s="23">
        <v>92607</v>
      </c>
      <c r="AM55" s="23">
        <v>2145</v>
      </c>
      <c r="AN55" s="23">
        <v>12718</v>
      </c>
      <c r="AO55" s="23">
        <v>26</v>
      </c>
      <c r="AP55" s="23">
        <v>37</v>
      </c>
      <c r="AQ55" s="23">
        <v>0</v>
      </c>
      <c r="AR55" s="23">
        <v>0</v>
      </c>
      <c r="AS55" s="23">
        <v>44350</v>
      </c>
      <c r="AT55" s="23">
        <v>21944</v>
      </c>
      <c r="AU55" s="23">
        <v>75687</v>
      </c>
      <c r="AV55" s="23">
        <v>581552</v>
      </c>
      <c r="AW55" s="31">
        <v>45292</v>
      </c>
      <c r="AX55" s="31">
        <v>45657</v>
      </c>
      <c r="AY55" s="84" t="s">
        <v>328</v>
      </c>
    </row>
    <row r="56" spans="1:51" ht="68.25" customHeight="1" x14ac:dyDescent="0.2">
      <c r="A56" s="28">
        <v>3</v>
      </c>
      <c r="B56" s="34" t="s">
        <v>403</v>
      </c>
      <c r="C56" s="28">
        <v>40</v>
      </c>
      <c r="D56" s="34" t="s">
        <v>462</v>
      </c>
      <c r="E56" s="28">
        <v>4003</v>
      </c>
      <c r="F56" s="34" t="s">
        <v>463</v>
      </c>
      <c r="G56" s="28" t="s">
        <v>472</v>
      </c>
      <c r="H56" s="34" t="s">
        <v>473</v>
      </c>
      <c r="I56" s="28" t="s">
        <v>472</v>
      </c>
      <c r="J56" s="34" t="s">
        <v>473</v>
      </c>
      <c r="K56" s="28">
        <v>400302500</v>
      </c>
      <c r="L56" s="34" t="s">
        <v>474</v>
      </c>
      <c r="M56" s="28">
        <v>400302500</v>
      </c>
      <c r="N56" s="34" t="s">
        <v>474</v>
      </c>
      <c r="O56" s="205">
        <v>3</v>
      </c>
      <c r="P56" s="205"/>
      <c r="Q56" s="205">
        <f t="shared" ref="Q56:Q62" si="5">O56+P56</f>
        <v>3</v>
      </c>
      <c r="R56" s="79">
        <v>2020003630014</v>
      </c>
      <c r="S56" s="34" t="s">
        <v>467</v>
      </c>
      <c r="T56" s="88">
        <f>SUM($X$56+X57+X58)/SUM($X$55:$X$62)</f>
        <v>0.4239500670639722</v>
      </c>
      <c r="U56" s="34" t="s">
        <v>468</v>
      </c>
      <c r="V56" s="34" t="s">
        <v>469</v>
      </c>
      <c r="W56" s="34" t="s">
        <v>473</v>
      </c>
      <c r="X56" s="202">
        <v>850000000</v>
      </c>
      <c r="Y56" s="202"/>
      <c r="Z56" s="202"/>
      <c r="AA56" s="202"/>
      <c r="AB56" s="202">
        <f t="shared" si="0"/>
        <v>850000000</v>
      </c>
      <c r="AC56" s="225" t="s">
        <v>475</v>
      </c>
      <c r="AD56" s="204"/>
      <c r="AE56" s="205">
        <v>27</v>
      </c>
      <c r="AF56" s="34" t="s">
        <v>471</v>
      </c>
      <c r="AG56" s="23">
        <v>295972</v>
      </c>
      <c r="AH56" s="23">
        <v>285580</v>
      </c>
      <c r="AI56" s="23">
        <v>135545</v>
      </c>
      <c r="AJ56" s="23">
        <v>44254</v>
      </c>
      <c r="AK56" s="23">
        <v>309146</v>
      </c>
      <c r="AL56" s="23">
        <v>92607</v>
      </c>
      <c r="AM56" s="23">
        <v>2145</v>
      </c>
      <c r="AN56" s="23">
        <v>12718</v>
      </c>
      <c r="AO56" s="23">
        <v>26</v>
      </c>
      <c r="AP56" s="23">
        <v>37</v>
      </c>
      <c r="AQ56" s="23">
        <v>0</v>
      </c>
      <c r="AR56" s="23">
        <v>0</v>
      </c>
      <c r="AS56" s="23">
        <v>44350</v>
      </c>
      <c r="AT56" s="23">
        <v>21944</v>
      </c>
      <c r="AU56" s="23">
        <v>75687</v>
      </c>
      <c r="AV56" s="23">
        <v>581552</v>
      </c>
      <c r="AW56" s="31">
        <v>45292</v>
      </c>
      <c r="AX56" s="31">
        <v>45657</v>
      </c>
      <c r="AY56" s="84" t="s">
        <v>328</v>
      </c>
    </row>
    <row r="57" spans="1:51" ht="65.25" customHeight="1" x14ac:dyDescent="0.2">
      <c r="A57" s="28">
        <v>3</v>
      </c>
      <c r="B57" s="34" t="s">
        <v>403</v>
      </c>
      <c r="C57" s="28">
        <v>40</v>
      </c>
      <c r="D57" s="34" t="s">
        <v>462</v>
      </c>
      <c r="E57" s="28">
        <v>4003</v>
      </c>
      <c r="F57" s="34" t="s">
        <v>463</v>
      </c>
      <c r="G57" s="28" t="s">
        <v>472</v>
      </c>
      <c r="H57" s="34" t="s">
        <v>473</v>
      </c>
      <c r="I57" s="28" t="s">
        <v>472</v>
      </c>
      <c r="J57" s="34" t="s">
        <v>473</v>
      </c>
      <c r="K57" s="28">
        <v>400302500</v>
      </c>
      <c r="L57" s="34" t="s">
        <v>474</v>
      </c>
      <c r="M57" s="28">
        <v>400302500</v>
      </c>
      <c r="N57" s="34" t="s">
        <v>474</v>
      </c>
      <c r="O57" s="205">
        <v>3</v>
      </c>
      <c r="P57" s="205"/>
      <c r="Q57" s="205">
        <f t="shared" si="5"/>
        <v>3</v>
      </c>
      <c r="R57" s="79">
        <v>2020003630014</v>
      </c>
      <c r="S57" s="34" t="s">
        <v>467</v>
      </c>
      <c r="T57" s="88">
        <f>SUM($X$56+X57+X58)/SUM($X$55:$X$62)</f>
        <v>0.4239500670639722</v>
      </c>
      <c r="U57" s="34" t="s">
        <v>468</v>
      </c>
      <c r="V57" s="34" t="s">
        <v>469</v>
      </c>
      <c r="W57" s="34" t="s">
        <v>473</v>
      </c>
      <c r="X57" s="202">
        <v>1500000000</v>
      </c>
      <c r="Y57" s="202"/>
      <c r="Z57" s="202"/>
      <c r="AA57" s="202"/>
      <c r="AB57" s="202">
        <f t="shared" si="0"/>
        <v>1500000000</v>
      </c>
      <c r="AC57" s="225" t="s">
        <v>476</v>
      </c>
      <c r="AD57" s="204"/>
      <c r="AE57" s="210" t="s">
        <v>346</v>
      </c>
      <c r="AF57" s="34" t="s">
        <v>347</v>
      </c>
      <c r="AG57" s="23">
        <v>295972</v>
      </c>
      <c r="AH57" s="23">
        <v>285580</v>
      </c>
      <c r="AI57" s="23">
        <v>135545</v>
      </c>
      <c r="AJ57" s="23">
        <v>44254</v>
      </c>
      <c r="AK57" s="23">
        <v>309146</v>
      </c>
      <c r="AL57" s="23">
        <v>92607</v>
      </c>
      <c r="AM57" s="23">
        <v>2145</v>
      </c>
      <c r="AN57" s="23">
        <v>12718</v>
      </c>
      <c r="AO57" s="23">
        <v>26</v>
      </c>
      <c r="AP57" s="23">
        <v>37</v>
      </c>
      <c r="AQ57" s="23">
        <v>0</v>
      </c>
      <c r="AR57" s="23">
        <v>0</v>
      </c>
      <c r="AS57" s="23">
        <v>44350</v>
      </c>
      <c r="AT57" s="23">
        <v>21944</v>
      </c>
      <c r="AU57" s="23">
        <v>75687</v>
      </c>
      <c r="AV57" s="23">
        <v>581552</v>
      </c>
      <c r="AW57" s="31">
        <v>45292</v>
      </c>
      <c r="AX57" s="31">
        <v>45657</v>
      </c>
      <c r="AY57" s="84" t="s">
        <v>328</v>
      </c>
    </row>
    <row r="58" spans="1:51" ht="65.25" customHeight="1" x14ac:dyDescent="0.2">
      <c r="A58" s="28">
        <v>3</v>
      </c>
      <c r="B58" s="34" t="s">
        <v>403</v>
      </c>
      <c r="C58" s="28">
        <v>40</v>
      </c>
      <c r="D58" s="34" t="s">
        <v>462</v>
      </c>
      <c r="E58" s="28">
        <v>4003</v>
      </c>
      <c r="F58" s="34" t="s">
        <v>463</v>
      </c>
      <c r="G58" s="28" t="s">
        <v>472</v>
      </c>
      <c r="H58" s="34" t="s">
        <v>473</v>
      </c>
      <c r="I58" s="28" t="s">
        <v>472</v>
      </c>
      <c r="J58" s="34" t="s">
        <v>473</v>
      </c>
      <c r="K58" s="28">
        <v>400302500</v>
      </c>
      <c r="L58" s="34" t="s">
        <v>474</v>
      </c>
      <c r="M58" s="28">
        <v>400302500</v>
      </c>
      <c r="N58" s="34" t="s">
        <v>474</v>
      </c>
      <c r="O58" s="205">
        <v>3</v>
      </c>
      <c r="P58" s="205"/>
      <c r="Q58" s="205">
        <f t="shared" si="5"/>
        <v>3</v>
      </c>
      <c r="R58" s="79">
        <v>2020003630014</v>
      </c>
      <c r="S58" s="34" t="s">
        <v>467</v>
      </c>
      <c r="T58" s="88">
        <f>SUM($X$56+X57+X58)/SUM($X$55:$X$62)</f>
        <v>0.4239500670639722</v>
      </c>
      <c r="U58" s="34" t="s">
        <v>468</v>
      </c>
      <c r="V58" s="34" t="s">
        <v>469</v>
      </c>
      <c r="W58" s="34" t="s">
        <v>473</v>
      </c>
      <c r="X58" s="202">
        <v>7000000</v>
      </c>
      <c r="Y58" s="202"/>
      <c r="Z58" s="202"/>
      <c r="AA58" s="202"/>
      <c r="AB58" s="202">
        <f t="shared" si="0"/>
        <v>7000000</v>
      </c>
      <c r="AC58" s="225" t="s">
        <v>475</v>
      </c>
      <c r="AD58" s="204"/>
      <c r="AE58" s="205">
        <v>27</v>
      </c>
      <c r="AF58" s="34" t="s">
        <v>477</v>
      </c>
      <c r="AG58" s="23">
        <v>295972</v>
      </c>
      <c r="AH58" s="23">
        <v>285580</v>
      </c>
      <c r="AI58" s="23">
        <v>135545</v>
      </c>
      <c r="AJ58" s="23">
        <v>44254</v>
      </c>
      <c r="AK58" s="23">
        <v>309146</v>
      </c>
      <c r="AL58" s="23">
        <v>92607</v>
      </c>
      <c r="AM58" s="23">
        <v>2145</v>
      </c>
      <c r="AN58" s="23">
        <v>12718</v>
      </c>
      <c r="AO58" s="23">
        <v>26</v>
      </c>
      <c r="AP58" s="23">
        <v>37</v>
      </c>
      <c r="AQ58" s="23">
        <v>0</v>
      </c>
      <c r="AR58" s="23">
        <v>0</v>
      </c>
      <c r="AS58" s="23">
        <v>44350</v>
      </c>
      <c r="AT58" s="23">
        <v>21944</v>
      </c>
      <c r="AU58" s="23">
        <v>75687</v>
      </c>
      <c r="AV58" s="23">
        <v>581552</v>
      </c>
      <c r="AW58" s="31">
        <v>45292</v>
      </c>
      <c r="AX58" s="31">
        <v>45657</v>
      </c>
      <c r="AY58" s="84" t="s">
        <v>328</v>
      </c>
    </row>
    <row r="59" spans="1:51" ht="66" customHeight="1" x14ac:dyDescent="0.2">
      <c r="A59" s="28">
        <v>3</v>
      </c>
      <c r="B59" s="34" t="s">
        <v>403</v>
      </c>
      <c r="C59" s="28">
        <v>40</v>
      </c>
      <c r="D59" s="34" t="s">
        <v>462</v>
      </c>
      <c r="E59" s="28">
        <v>4003</v>
      </c>
      <c r="F59" s="34" t="s">
        <v>463</v>
      </c>
      <c r="G59" s="28" t="s">
        <v>478</v>
      </c>
      <c r="H59" s="34" t="s">
        <v>479</v>
      </c>
      <c r="I59" s="28" t="s">
        <v>478</v>
      </c>
      <c r="J59" s="34" t="s">
        <v>479</v>
      </c>
      <c r="K59" s="28">
        <v>400302600</v>
      </c>
      <c r="L59" s="34" t="s">
        <v>480</v>
      </c>
      <c r="M59" s="28">
        <v>400302600</v>
      </c>
      <c r="N59" s="34" t="s">
        <v>480</v>
      </c>
      <c r="O59" s="205">
        <v>1.5</v>
      </c>
      <c r="P59" s="205"/>
      <c r="Q59" s="205">
        <f t="shared" si="5"/>
        <v>1.5</v>
      </c>
      <c r="R59" s="79">
        <v>2020003630014</v>
      </c>
      <c r="S59" s="34" t="s">
        <v>467</v>
      </c>
      <c r="T59" s="88">
        <f>SUM(X59)/SUM($X$55:$X$62)</f>
        <v>0.27027347387418954</v>
      </c>
      <c r="U59" s="34" t="s">
        <v>468</v>
      </c>
      <c r="V59" s="34" t="s">
        <v>469</v>
      </c>
      <c r="W59" s="34" t="s">
        <v>480</v>
      </c>
      <c r="X59" s="202">
        <v>1502617000</v>
      </c>
      <c r="Y59" s="202"/>
      <c r="Z59" s="202"/>
      <c r="AA59" s="202"/>
      <c r="AB59" s="202">
        <f t="shared" si="0"/>
        <v>1502617000</v>
      </c>
      <c r="AC59" s="225" t="s">
        <v>481</v>
      </c>
      <c r="AD59" s="204"/>
      <c r="AE59" s="205">
        <v>27</v>
      </c>
      <c r="AF59" s="34" t="s">
        <v>471</v>
      </c>
      <c r="AG59" s="23">
        <v>295972</v>
      </c>
      <c r="AH59" s="23">
        <v>285580</v>
      </c>
      <c r="AI59" s="23">
        <v>135545</v>
      </c>
      <c r="AJ59" s="23">
        <v>44254</v>
      </c>
      <c r="AK59" s="23">
        <v>309146</v>
      </c>
      <c r="AL59" s="23">
        <v>92607</v>
      </c>
      <c r="AM59" s="23">
        <v>2145</v>
      </c>
      <c r="AN59" s="23">
        <v>12718</v>
      </c>
      <c r="AO59" s="23">
        <v>26</v>
      </c>
      <c r="AP59" s="23">
        <v>37</v>
      </c>
      <c r="AQ59" s="23">
        <v>0</v>
      </c>
      <c r="AR59" s="23">
        <v>0</v>
      </c>
      <c r="AS59" s="23">
        <v>44350</v>
      </c>
      <c r="AT59" s="23">
        <v>21944</v>
      </c>
      <c r="AU59" s="23">
        <v>75687</v>
      </c>
      <c r="AV59" s="23">
        <v>581552</v>
      </c>
      <c r="AW59" s="31">
        <v>45292</v>
      </c>
      <c r="AX59" s="31">
        <v>45657</v>
      </c>
      <c r="AY59" s="84" t="s">
        <v>328</v>
      </c>
    </row>
    <row r="60" spans="1:51" ht="69" customHeight="1" x14ac:dyDescent="0.2">
      <c r="A60" s="28">
        <v>3</v>
      </c>
      <c r="B60" s="34" t="s">
        <v>403</v>
      </c>
      <c r="C60" s="28">
        <v>40</v>
      </c>
      <c r="D60" s="34" t="s">
        <v>462</v>
      </c>
      <c r="E60" s="28">
        <v>4003</v>
      </c>
      <c r="F60" s="34" t="s">
        <v>463</v>
      </c>
      <c r="G60" s="28" t="s">
        <v>482</v>
      </c>
      <c r="H60" s="34" t="s">
        <v>483</v>
      </c>
      <c r="I60" s="28" t="s">
        <v>482</v>
      </c>
      <c r="J60" s="34" t="s">
        <v>483</v>
      </c>
      <c r="K60" s="28">
        <v>400302801</v>
      </c>
      <c r="L60" s="34" t="s">
        <v>484</v>
      </c>
      <c r="M60" s="28">
        <v>400302801</v>
      </c>
      <c r="N60" s="34" t="s">
        <v>484</v>
      </c>
      <c r="O60" s="205">
        <v>4</v>
      </c>
      <c r="P60" s="205"/>
      <c r="Q60" s="205">
        <f t="shared" si="5"/>
        <v>4</v>
      </c>
      <c r="R60" s="79">
        <v>2020003630014</v>
      </c>
      <c r="S60" s="34" t="s">
        <v>467</v>
      </c>
      <c r="T60" s="88">
        <f>SUM(X60)/SUM($X$55:$X$62)</f>
        <v>5.3960551599147928E-2</v>
      </c>
      <c r="U60" s="34" t="s">
        <v>468</v>
      </c>
      <c r="V60" s="34" t="s">
        <v>469</v>
      </c>
      <c r="W60" s="34" t="s">
        <v>483</v>
      </c>
      <c r="X60" s="202">
        <v>300000000</v>
      </c>
      <c r="Y60" s="202"/>
      <c r="Z60" s="202"/>
      <c r="AA60" s="202"/>
      <c r="AB60" s="202">
        <f t="shared" si="0"/>
        <v>300000000</v>
      </c>
      <c r="AC60" s="226" t="s">
        <v>485</v>
      </c>
      <c r="AD60" s="204"/>
      <c r="AE60" s="205">
        <v>27</v>
      </c>
      <c r="AF60" s="34" t="s">
        <v>471</v>
      </c>
      <c r="AG60" s="23">
        <v>295972</v>
      </c>
      <c r="AH60" s="23">
        <v>285580</v>
      </c>
      <c r="AI60" s="23">
        <v>135545</v>
      </c>
      <c r="AJ60" s="23">
        <v>44254</v>
      </c>
      <c r="AK60" s="23">
        <v>309146</v>
      </c>
      <c r="AL60" s="23">
        <v>92607</v>
      </c>
      <c r="AM60" s="23">
        <v>2145</v>
      </c>
      <c r="AN60" s="23">
        <v>12718</v>
      </c>
      <c r="AO60" s="23">
        <v>26</v>
      </c>
      <c r="AP60" s="23">
        <v>37</v>
      </c>
      <c r="AQ60" s="23">
        <v>0</v>
      </c>
      <c r="AR60" s="23">
        <v>0</v>
      </c>
      <c r="AS60" s="23">
        <v>44350</v>
      </c>
      <c r="AT60" s="23">
        <v>21944</v>
      </c>
      <c r="AU60" s="23">
        <v>75687</v>
      </c>
      <c r="AV60" s="23">
        <v>581552</v>
      </c>
      <c r="AW60" s="31">
        <v>45292</v>
      </c>
      <c r="AX60" s="31">
        <v>45657</v>
      </c>
      <c r="AY60" s="84" t="s">
        <v>328</v>
      </c>
    </row>
    <row r="61" spans="1:51" ht="75" customHeight="1" x14ac:dyDescent="0.2">
      <c r="A61" s="28">
        <v>3</v>
      </c>
      <c r="B61" s="34" t="s">
        <v>403</v>
      </c>
      <c r="C61" s="28">
        <v>40</v>
      </c>
      <c r="D61" s="34" t="s">
        <v>462</v>
      </c>
      <c r="E61" s="28">
        <v>4003</v>
      </c>
      <c r="F61" s="34" t="s">
        <v>463</v>
      </c>
      <c r="G61" s="28">
        <v>4003042</v>
      </c>
      <c r="H61" s="34" t="s">
        <v>486</v>
      </c>
      <c r="I61" s="28">
        <v>4003042</v>
      </c>
      <c r="J61" s="34" t="s">
        <v>486</v>
      </c>
      <c r="K61" s="28">
        <v>400304200</v>
      </c>
      <c r="L61" s="34" t="s">
        <v>487</v>
      </c>
      <c r="M61" s="28">
        <v>400304200</v>
      </c>
      <c r="N61" s="34" t="s">
        <v>487</v>
      </c>
      <c r="O61" s="205">
        <v>2</v>
      </c>
      <c r="P61" s="205"/>
      <c r="Q61" s="205">
        <f t="shared" si="5"/>
        <v>2</v>
      </c>
      <c r="R61" s="79">
        <v>2020003630014</v>
      </c>
      <c r="S61" s="34" t="s">
        <v>467</v>
      </c>
      <c r="T61" s="88">
        <f>SUM(X61)/SUM($X$55:$X$62)</f>
        <v>5.3960551599147928E-2</v>
      </c>
      <c r="U61" s="34" t="s">
        <v>468</v>
      </c>
      <c r="V61" s="34" t="s">
        <v>469</v>
      </c>
      <c r="W61" s="34" t="s">
        <v>486</v>
      </c>
      <c r="X61" s="202">
        <v>300000000</v>
      </c>
      <c r="Y61" s="202"/>
      <c r="Z61" s="202"/>
      <c r="AA61" s="202"/>
      <c r="AB61" s="202">
        <f t="shared" si="0"/>
        <v>300000000</v>
      </c>
      <c r="AC61" s="227" t="s">
        <v>488</v>
      </c>
      <c r="AD61" s="204"/>
      <c r="AE61" s="205">
        <v>27</v>
      </c>
      <c r="AF61" s="34" t="s">
        <v>471</v>
      </c>
      <c r="AG61" s="23">
        <v>295972</v>
      </c>
      <c r="AH61" s="23">
        <v>285580</v>
      </c>
      <c r="AI61" s="23">
        <v>135545</v>
      </c>
      <c r="AJ61" s="23">
        <v>44254</v>
      </c>
      <c r="AK61" s="23">
        <v>309146</v>
      </c>
      <c r="AL61" s="23">
        <v>92607</v>
      </c>
      <c r="AM61" s="23">
        <v>2145</v>
      </c>
      <c r="AN61" s="23">
        <v>12718</v>
      </c>
      <c r="AO61" s="23">
        <v>26</v>
      </c>
      <c r="AP61" s="23">
        <v>37</v>
      </c>
      <c r="AQ61" s="23">
        <v>0</v>
      </c>
      <c r="AR61" s="23">
        <v>0</v>
      </c>
      <c r="AS61" s="23">
        <v>44350</v>
      </c>
      <c r="AT61" s="23">
        <v>21944</v>
      </c>
      <c r="AU61" s="23">
        <v>75687</v>
      </c>
      <c r="AV61" s="23">
        <v>581552</v>
      </c>
      <c r="AW61" s="31">
        <v>45292</v>
      </c>
      <c r="AX61" s="31">
        <v>45657</v>
      </c>
      <c r="AY61" s="84" t="s">
        <v>328</v>
      </c>
    </row>
    <row r="62" spans="1:51" ht="65.25" customHeight="1" x14ac:dyDescent="0.2">
      <c r="A62" s="28">
        <v>3</v>
      </c>
      <c r="B62" s="34" t="s">
        <v>403</v>
      </c>
      <c r="C62" s="28">
        <v>40</v>
      </c>
      <c r="D62" s="34" t="s">
        <v>462</v>
      </c>
      <c r="E62" s="28">
        <v>4003</v>
      </c>
      <c r="F62" s="34" t="s">
        <v>463</v>
      </c>
      <c r="G62" s="28">
        <v>4003006</v>
      </c>
      <c r="H62" s="34" t="s">
        <v>489</v>
      </c>
      <c r="I62" s="28">
        <v>4003006</v>
      </c>
      <c r="J62" s="34" t="s">
        <v>490</v>
      </c>
      <c r="K62" s="28">
        <v>400300600</v>
      </c>
      <c r="L62" s="34" t="s">
        <v>491</v>
      </c>
      <c r="M62" s="28">
        <v>400300600</v>
      </c>
      <c r="N62" s="34" t="s">
        <v>492</v>
      </c>
      <c r="O62" s="205">
        <v>1</v>
      </c>
      <c r="P62" s="205"/>
      <c r="Q62" s="205">
        <f t="shared" si="5"/>
        <v>1</v>
      </c>
      <c r="R62" s="79">
        <v>2020003630014</v>
      </c>
      <c r="S62" s="34" t="s">
        <v>467</v>
      </c>
      <c r="T62" s="88">
        <f>SUM(X62)/SUM($X$55:$X$62)</f>
        <v>1.7986850533049308E-2</v>
      </c>
      <c r="U62" s="34" t="s">
        <v>468</v>
      </c>
      <c r="V62" s="34" t="s">
        <v>469</v>
      </c>
      <c r="W62" s="34" t="s">
        <v>489</v>
      </c>
      <c r="X62" s="202">
        <v>100000000</v>
      </c>
      <c r="Y62" s="202"/>
      <c r="Z62" s="202"/>
      <c r="AA62" s="202"/>
      <c r="AB62" s="202">
        <f t="shared" si="0"/>
        <v>100000000</v>
      </c>
      <c r="AC62" s="227" t="s">
        <v>493</v>
      </c>
      <c r="AD62" s="204"/>
      <c r="AE62" s="205">
        <v>27</v>
      </c>
      <c r="AF62" s="34" t="s">
        <v>471</v>
      </c>
      <c r="AG62" s="23">
        <v>295972</v>
      </c>
      <c r="AH62" s="23">
        <v>285580</v>
      </c>
      <c r="AI62" s="23">
        <v>135545</v>
      </c>
      <c r="AJ62" s="23">
        <v>44254</v>
      </c>
      <c r="AK62" s="23">
        <v>309146</v>
      </c>
      <c r="AL62" s="23">
        <v>92607</v>
      </c>
      <c r="AM62" s="23">
        <v>2145</v>
      </c>
      <c r="AN62" s="23">
        <v>12718</v>
      </c>
      <c r="AO62" s="23">
        <v>26</v>
      </c>
      <c r="AP62" s="23">
        <v>37</v>
      </c>
      <c r="AQ62" s="23">
        <v>0</v>
      </c>
      <c r="AR62" s="23">
        <v>0</v>
      </c>
      <c r="AS62" s="23">
        <v>44350</v>
      </c>
      <c r="AT62" s="23">
        <v>21944</v>
      </c>
      <c r="AU62" s="23">
        <v>75687</v>
      </c>
      <c r="AV62" s="23">
        <v>581552</v>
      </c>
      <c r="AW62" s="31">
        <v>45292</v>
      </c>
      <c r="AX62" s="31">
        <v>45657</v>
      </c>
      <c r="AY62" s="84" t="s">
        <v>328</v>
      </c>
    </row>
    <row r="63" spans="1:51" ht="57" customHeight="1" x14ac:dyDescent="0.2">
      <c r="A63" s="28">
        <v>4</v>
      </c>
      <c r="B63" s="34" t="s">
        <v>124</v>
      </c>
      <c r="C63" s="28">
        <v>45</v>
      </c>
      <c r="D63" s="34" t="s">
        <v>68</v>
      </c>
      <c r="E63" s="23">
        <v>4599</v>
      </c>
      <c r="F63" s="34" t="s">
        <v>494</v>
      </c>
      <c r="G63" s="28" t="s">
        <v>70</v>
      </c>
      <c r="H63" s="34" t="s">
        <v>495</v>
      </c>
      <c r="I63" s="906" t="s">
        <v>496</v>
      </c>
      <c r="J63" s="34" t="s">
        <v>340</v>
      </c>
      <c r="K63" s="28" t="s">
        <v>70</v>
      </c>
      <c r="L63" s="34" t="s">
        <v>497</v>
      </c>
      <c r="M63" s="906">
        <v>459901600</v>
      </c>
      <c r="N63" s="34" t="s">
        <v>340</v>
      </c>
      <c r="O63" s="23">
        <v>4</v>
      </c>
      <c r="P63" s="23"/>
      <c r="Q63" s="23">
        <f t="shared" ref="Q63:Q71" si="6">SUM(O63:P63)</f>
        <v>4</v>
      </c>
      <c r="R63" s="212">
        <v>2021003630003</v>
      </c>
      <c r="S63" s="34" t="s">
        <v>498</v>
      </c>
      <c r="T63" s="25">
        <f>SUM($X$63:$X$67)/SUM($X$63:$X$67)</f>
        <v>1</v>
      </c>
      <c r="U63" s="34" t="s">
        <v>499</v>
      </c>
      <c r="V63" s="34" t="s">
        <v>500</v>
      </c>
      <c r="W63" s="34" t="s">
        <v>501</v>
      </c>
      <c r="X63" s="202">
        <v>30000000</v>
      </c>
      <c r="Y63" s="202"/>
      <c r="Z63" s="202"/>
      <c r="AA63" s="202"/>
      <c r="AB63" s="202">
        <f>X63-Y63+Z63-AA63</f>
        <v>30000000</v>
      </c>
      <c r="AC63" s="211" t="s">
        <v>502</v>
      </c>
      <c r="AD63" s="204"/>
      <c r="AE63" s="205">
        <v>20</v>
      </c>
      <c r="AF63" s="34" t="s">
        <v>327</v>
      </c>
      <c r="AG63" s="23">
        <v>295972</v>
      </c>
      <c r="AH63" s="23">
        <v>285580</v>
      </c>
      <c r="AI63" s="23">
        <v>135545</v>
      </c>
      <c r="AJ63" s="23">
        <v>44254</v>
      </c>
      <c r="AK63" s="23">
        <v>309146</v>
      </c>
      <c r="AL63" s="23">
        <v>92607</v>
      </c>
      <c r="AM63" s="23">
        <v>2145</v>
      </c>
      <c r="AN63" s="23">
        <v>12718</v>
      </c>
      <c r="AO63" s="23">
        <v>26</v>
      </c>
      <c r="AP63" s="23">
        <v>37</v>
      </c>
      <c r="AQ63" s="23">
        <v>0</v>
      </c>
      <c r="AR63" s="23">
        <v>0</v>
      </c>
      <c r="AS63" s="23">
        <v>44350</v>
      </c>
      <c r="AT63" s="23">
        <v>21944</v>
      </c>
      <c r="AU63" s="23">
        <v>75687</v>
      </c>
      <c r="AV63" s="23">
        <v>581552</v>
      </c>
      <c r="AW63" s="31">
        <v>45292</v>
      </c>
      <c r="AX63" s="31">
        <v>45657</v>
      </c>
      <c r="AY63" s="84" t="s">
        <v>328</v>
      </c>
    </row>
    <row r="64" spans="1:51" ht="56.25" customHeight="1" x14ac:dyDescent="0.2">
      <c r="A64" s="28">
        <v>4</v>
      </c>
      <c r="B64" s="34" t="s">
        <v>124</v>
      </c>
      <c r="C64" s="28">
        <v>45</v>
      </c>
      <c r="D64" s="34" t="s">
        <v>68</v>
      </c>
      <c r="E64" s="23">
        <v>4599</v>
      </c>
      <c r="F64" s="34" t="s">
        <v>494</v>
      </c>
      <c r="G64" s="28" t="s">
        <v>70</v>
      </c>
      <c r="H64" s="34" t="s">
        <v>495</v>
      </c>
      <c r="I64" s="906" t="s">
        <v>496</v>
      </c>
      <c r="J64" s="34" t="s">
        <v>340</v>
      </c>
      <c r="K64" s="28" t="s">
        <v>70</v>
      </c>
      <c r="L64" s="34" t="s">
        <v>497</v>
      </c>
      <c r="M64" s="906">
        <v>459901600</v>
      </c>
      <c r="N64" s="34" t="s">
        <v>340</v>
      </c>
      <c r="O64" s="23">
        <v>4</v>
      </c>
      <c r="P64" s="23"/>
      <c r="Q64" s="23">
        <f t="shared" si="6"/>
        <v>4</v>
      </c>
      <c r="R64" s="212">
        <v>2021003630003</v>
      </c>
      <c r="S64" s="34" t="s">
        <v>498</v>
      </c>
      <c r="T64" s="25">
        <f>SUM($X$63:$X$67)/SUM($X$63:$X$67)</f>
        <v>1</v>
      </c>
      <c r="U64" s="34" t="s">
        <v>499</v>
      </c>
      <c r="V64" s="34" t="s">
        <v>500</v>
      </c>
      <c r="W64" s="34" t="s">
        <v>501</v>
      </c>
      <c r="X64" s="202">
        <v>5000000</v>
      </c>
      <c r="Y64" s="202"/>
      <c r="Z64" s="202"/>
      <c r="AA64" s="202"/>
      <c r="AB64" s="202">
        <f t="shared" ref="AB64:AB72" si="7">X64-Y64+Z64-AA64</f>
        <v>5000000</v>
      </c>
      <c r="AC64" s="211" t="s">
        <v>503</v>
      </c>
      <c r="AD64" s="204"/>
      <c r="AE64" s="205">
        <v>20</v>
      </c>
      <c r="AF64" s="34" t="s">
        <v>327</v>
      </c>
      <c r="AG64" s="23">
        <v>295972</v>
      </c>
      <c r="AH64" s="23">
        <v>285580</v>
      </c>
      <c r="AI64" s="23">
        <v>135545</v>
      </c>
      <c r="AJ64" s="23">
        <v>44254</v>
      </c>
      <c r="AK64" s="23">
        <v>309146</v>
      </c>
      <c r="AL64" s="23">
        <v>92607</v>
      </c>
      <c r="AM64" s="23">
        <v>2145</v>
      </c>
      <c r="AN64" s="23">
        <v>12718</v>
      </c>
      <c r="AO64" s="23">
        <v>26</v>
      </c>
      <c r="AP64" s="23">
        <v>37</v>
      </c>
      <c r="AQ64" s="23">
        <v>0</v>
      </c>
      <c r="AR64" s="23">
        <v>0</v>
      </c>
      <c r="AS64" s="23">
        <v>44350</v>
      </c>
      <c r="AT64" s="23">
        <v>21944</v>
      </c>
      <c r="AU64" s="23">
        <v>75687</v>
      </c>
      <c r="AV64" s="23">
        <v>581552</v>
      </c>
      <c r="AW64" s="31">
        <v>45292</v>
      </c>
      <c r="AX64" s="31">
        <v>45657</v>
      </c>
      <c r="AY64" s="214" t="s">
        <v>328</v>
      </c>
    </row>
    <row r="65" spans="1:61" ht="54.75" customHeight="1" x14ac:dyDescent="0.2">
      <c r="A65" s="28">
        <v>4</v>
      </c>
      <c r="B65" s="34" t="s">
        <v>124</v>
      </c>
      <c r="C65" s="28">
        <v>45</v>
      </c>
      <c r="D65" s="34" t="s">
        <v>68</v>
      </c>
      <c r="E65" s="23">
        <v>4599</v>
      </c>
      <c r="F65" s="34" t="s">
        <v>494</v>
      </c>
      <c r="G65" s="28" t="s">
        <v>70</v>
      </c>
      <c r="H65" s="34" t="s">
        <v>495</v>
      </c>
      <c r="I65" s="906" t="s">
        <v>496</v>
      </c>
      <c r="J65" s="34" t="s">
        <v>340</v>
      </c>
      <c r="K65" s="28" t="s">
        <v>70</v>
      </c>
      <c r="L65" s="34" t="s">
        <v>497</v>
      </c>
      <c r="M65" s="906">
        <v>459901600</v>
      </c>
      <c r="N65" s="34" t="s">
        <v>340</v>
      </c>
      <c r="O65" s="23">
        <v>4</v>
      </c>
      <c r="P65" s="23"/>
      <c r="Q65" s="23">
        <f t="shared" si="6"/>
        <v>4</v>
      </c>
      <c r="R65" s="212">
        <v>2021003630003</v>
      </c>
      <c r="S65" s="34" t="s">
        <v>498</v>
      </c>
      <c r="T65" s="25">
        <f>SUM($X$63:$X$67)/SUM($X$63:$X$67)</f>
        <v>1</v>
      </c>
      <c r="U65" s="34" t="s">
        <v>499</v>
      </c>
      <c r="V65" s="34" t="s">
        <v>500</v>
      </c>
      <c r="W65" s="34" t="s">
        <v>501</v>
      </c>
      <c r="X65" s="202">
        <v>5000000</v>
      </c>
      <c r="Y65" s="202"/>
      <c r="Z65" s="202"/>
      <c r="AA65" s="202"/>
      <c r="AB65" s="202">
        <f t="shared" si="7"/>
        <v>5000000</v>
      </c>
      <c r="AC65" s="211" t="s">
        <v>504</v>
      </c>
      <c r="AD65" s="204"/>
      <c r="AE65" s="205">
        <v>20</v>
      </c>
      <c r="AF65" s="34" t="s">
        <v>327</v>
      </c>
      <c r="AG65" s="23">
        <v>295972</v>
      </c>
      <c r="AH65" s="23">
        <v>285580</v>
      </c>
      <c r="AI65" s="23">
        <v>135545</v>
      </c>
      <c r="AJ65" s="23">
        <v>44254</v>
      </c>
      <c r="AK65" s="23">
        <v>309146</v>
      </c>
      <c r="AL65" s="23">
        <v>92607</v>
      </c>
      <c r="AM65" s="23">
        <v>2145</v>
      </c>
      <c r="AN65" s="23">
        <v>12718</v>
      </c>
      <c r="AO65" s="23">
        <v>26</v>
      </c>
      <c r="AP65" s="23">
        <v>37</v>
      </c>
      <c r="AQ65" s="23">
        <v>0</v>
      </c>
      <c r="AR65" s="23">
        <v>0</v>
      </c>
      <c r="AS65" s="23">
        <v>44350</v>
      </c>
      <c r="AT65" s="23">
        <v>21944</v>
      </c>
      <c r="AU65" s="23">
        <v>75687</v>
      </c>
      <c r="AV65" s="23">
        <v>581552</v>
      </c>
      <c r="AW65" s="31">
        <v>45292</v>
      </c>
      <c r="AX65" s="31">
        <v>45657</v>
      </c>
      <c r="AY65" s="214" t="s">
        <v>328</v>
      </c>
    </row>
    <row r="66" spans="1:61" ht="57" customHeight="1" x14ac:dyDescent="0.2">
      <c r="A66" s="28">
        <v>4</v>
      </c>
      <c r="B66" s="34" t="s">
        <v>124</v>
      </c>
      <c r="C66" s="28">
        <v>45</v>
      </c>
      <c r="D66" s="34" t="s">
        <v>68</v>
      </c>
      <c r="E66" s="23">
        <v>4599</v>
      </c>
      <c r="F66" s="34" t="s">
        <v>494</v>
      </c>
      <c r="G66" s="28" t="s">
        <v>70</v>
      </c>
      <c r="H66" s="34" t="s">
        <v>495</v>
      </c>
      <c r="I66" s="906" t="s">
        <v>496</v>
      </c>
      <c r="J66" s="34" t="s">
        <v>340</v>
      </c>
      <c r="K66" s="28" t="s">
        <v>70</v>
      </c>
      <c r="L66" s="34" t="s">
        <v>497</v>
      </c>
      <c r="M66" s="906">
        <v>459901600</v>
      </c>
      <c r="N66" s="34" t="s">
        <v>340</v>
      </c>
      <c r="O66" s="23">
        <v>4</v>
      </c>
      <c r="P66" s="23"/>
      <c r="Q66" s="23">
        <f t="shared" si="6"/>
        <v>4</v>
      </c>
      <c r="R66" s="212">
        <v>2021003630003</v>
      </c>
      <c r="S66" s="34" t="s">
        <v>498</v>
      </c>
      <c r="T66" s="25">
        <f>SUM($X$63:$X$67)/SUM($X$63:$X$67)</f>
        <v>1</v>
      </c>
      <c r="U66" s="34" t="s">
        <v>499</v>
      </c>
      <c r="V66" s="34" t="s">
        <v>500</v>
      </c>
      <c r="W66" s="34" t="s">
        <v>505</v>
      </c>
      <c r="X66" s="202">
        <v>40000000</v>
      </c>
      <c r="Y66" s="202"/>
      <c r="Z66" s="202"/>
      <c r="AA66" s="202"/>
      <c r="AB66" s="202">
        <f t="shared" si="7"/>
        <v>40000000</v>
      </c>
      <c r="AC66" s="211" t="s">
        <v>506</v>
      </c>
      <c r="AD66" s="204"/>
      <c r="AE66" s="205">
        <v>20</v>
      </c>
      <c r="AF66" s="34" t="s">
        <v>327</v>
      </c>
      <c r="AG66" s="23">
        <v>295972</v>
      </c>
      <c r="AH66" s="23">
        <v>285580</v>
      </c>
      <c r="AI66" s="23">
        <v>135545</v>
      </c>
      <c r="AJ66" s="23">
        <v>44254</v>
      </c>
      <c r="AK66" s="23">
        <v>309146</v>
      </c>
      <c r="AL66" s="23">
        <v>92607</v>
      </c>
      <c r="AM66" s="23">
        <v>2145</v>
      </c>
      <c r="AN66" s="23">
        <v>12718</v>
      </c>
      <c r="AO66" s="23">
        <v>26</v>
      </c>
      <c r="AP66" s="23">
        <v>37</v>
      </c>
      <c r="AQ66" s="23">
        <v>0</v>
      </c>
      <c r="AR66" s="23">
        <v>0</v>
      </c>
      <c r="AS66" s="23">
        <v>44350</v>
      </c>
      <c r="AT66" s="23">
        <v>21944</v>
      </c>
      <c r="AU66" s="23">
        <v>75687</v>
      </c>
      <c r="AV66" s="23">
        <v>581552</v>
      </c>
      <c r="AW66" s="31">
        <v>45292</v>
      </c>
      <c r="AX66" s="31">
        <v>45657</v>
      </c>
      <c r="AY66" s="214" t="s">
        <v>328</v>
      </c>
    </row>
    <row r="67" spans="1:61" ht="61.5" customHeight="1" x14ac:dyDescent="0.2">
      <c r="A67" s="28">
        <v>4</v>
      </c>
      <c r="B67" s="34" t="s">
        <v>124</v>
      </c>
      <c r="C67" s="28">
        <v>45</v>
      </c>
      <c r="D67" s="34" t="s">
        <v>68</v>
      </c>
      <c r="E67" s="23">
        <v>4599</v>
      </c>
      <c r="F67" s="34" t="s">
        <v>494</v>
      </c>
      <c r="G67" s="28" t="s">
        <v>70</v>
      </c>
      <c r="H67" s="34" t="s">
        <v>495</v>
      </c>
      <c r="I67" s="906" t="s">
        <v>496</v>
      </c>
      <c r="J67" s="34" t="s">
        <v>340</v>
      </c>
      <c r="K67" s="28" t="s">
        <v>70</v>
      </c>
      <c r="L67" s="34" t="s">
        <v>497</v>
      </c>
      <c r="M67" s="906">
        <v>459901600</v>
      </c>
      <c r="N67" s="34" t="s">
        <v>340</v>
      </c>
      <c r="O67" s="23">
        <v>4</v>
      </c>
      <c r="P67" s="23"/>
      <c r="Q67" s="23">
        <f t="shared" si="6"/>
        <v>4</v>
      </c>
      <c r="R67" s="212">
        <v>2021003630003</v>
      </c>
      <c r="S67" s="34" t="s">
        <v>498</v>
      </c>
      <c r="T67" s="25">
        <f>SUM($X$63:$X$67)/SUM($X$63:$X$67)</f>
        <v>1</v>
      </c>
      <c r="U67" s="34" t="s">
        <v>499</v>
      </c>
      <c r="V67" s="34" t="s">
        <v>500</v>
      </c>
      <c r="W67" s="34" t="s">
        <v>333</v>
      </c>
      <c r="X67" s="202">
        <v>20000000</v>
      </c>
      <c r="Y67" s="202">
        <f>800000+1600000+2000000+2800000+5000000+4000000</f>
        <v>16200000</v>
      </c>
      <c r="Z67" s="202"/>
      <c r="AA67" s="202"/>
      <c r="AB67" s="202">
        <f t="shared" si="7"/>
        <v>3800000</v>
      </c>
      <c r="AC67" s="211" t="s">
        <v>507</v>
      </c>
      <c r="AD67" s="204"/>
      <c r="AE67" s="205">
        <v>20</v>
      </c>
      <c r="AF67" s="34" t="s">
        <v>327</v>
      </c>
      <c r="AG67" s="23">
        <v>295972</v>
      </c>
      <c r="AH67" s="23">
        <v>285580</v>
      </c>
      <c r="AI67" s="23">
        <v>135545</v>
      </c>
      <c r="AJ67" s="23">
        <v>44254</v>
      </c>
      <c r="AK67" s="23">
        <v>309146</v>
      </c>
      <c r="AL67" s="23">
        <v>92607</v>
      </c>
      <c r="AM67" s="23">
        <v>2145</v>
      </c>
      <c r="AN67" s="23">
        <v>12718</v>
      </c>
      <c r="AO67" s="23">
        <v>26</v>
      </c>
      <c r="AP67" s="23">
        <v>37</v>
      </c>
      <c r="AQ67" s="23">
        <v>0</v>
      </c>
      <c r="AR67" s="23">
        <v>0</v>
      </c>
      <c r="AS67" s="23">
        <v>44350</v>
      </c>
      <c r="AT67" s="23">
        <v>21944</v>
      </c>
      <c r="AU67" s="23">
        <v>75687</v>
      </c>
      <c r="AV67" s="23">
        <v>581552</v>
      </c>
      <c r="AW67" s="31">
        <v>45292</v>
      </c>
      <c r="AX67" s="31">
        <v>45657</v>
      </c>
      <c r="AY67" s="214" t="s">
        <v>328</v>
      </c>
    </row>
    <row r="68" spans="1:61" ht="63.75" customHeight="1" x14ac:dyDescent="0.2">
      <c r="A68" s="28">
        <v>4</v>
      </c>
      <c r="B68" s="34" t="s">
        <v>124</v>
      </c>
      <c r="C68" s="28">
        <v>45</v>
      </c>
      <c r="D68" s="34" t="s">
        <v>68</v>
      </c>
      <c r="E68" s="28">
        <v>4502</v>
      </c>
      <c r="F68" s="34" t="s">
        <v>125</v>
      </c>
      <c r="G68" s="906">
        <v>4502003</v>
      </c>
      <c r="H68" s="34" t="s">
        <v>508</v>
      </c>
      <c r="I68" s="906">
        <v>4502003</v>
      </c>
      <c r="J68" s="34" t="s">
        <v>509</v>
      </c>
      <c r="K68" s="906">
        <v>450200300</v>
      </c>
      <c r="L68" s="34" t="s">
        <v>508</v>
      </c>
      <c r="M68" s="906">
        <v>450200300</v>
      </c>
      <c r="N68" s="34" t="s">
        <v>508</v>
      </c>
      <c r="O68" s="23">
        <v>2</v>
      </c>
      <c r="P68" s="23"/>
      <c r="Q68" s="23">
        <f t="shared" si="6"/>
        <v>2</v>
      </c>
      <c r="R68" s="212">
        <v>2021003630006</v>
      </c>
      <c r="S68" s="34" t="s">
        <v>510</v>
      </c>
      <c r="T68" s="25">
        <f>SUM($X$68:$X$71)/SUM($X$68:$X$71)</f>
        <v>1</v>
      </c>
      <c r="U68" s="34" t="s">
        <v>511</v>
      </c>
      <c r="V68" s="34" t="s">
        <v>512</v>
      </c>
      <c r="W68" s="34" t="s">
        <v>501</v>
      </c>
      <c r="X68" s="202">
        <v>20000000</v>
      </c>
      <c r="Y68" s="202"/>
      <c r="Z68" s="202"/>
      <c r="AA68" s="202"/>
      <c r="AB68" s="202">
        <f t="shared" si="7"/>
        <v>20000000</v>
      </c>
      <c r="AC68" s="211" t="s">
        <v>513</v>
      </c>
      <c r="AD68" s="204"/>
      <c r="AE68" s="205">
        <v>20</v>
      </c>
      <c r="AF68" s="34" t="s">
        <v>327</v>
      </c>
      <c r="AG68" s="23">
        <v>295972</v>
      </c>
      <c r="AH68" s="23">
        <v>285580</v>
      </c>
      <c r="AI68" s="23">
        <v>135545</v>
      </c>
      <c r="AJ68" s="23">
        <v>44254</v>
      </c>
      <c r="AK68" s="23">
        <v>309146</v>
      </c>
      <c r="AL68" s="23">
        <v>92607</v>
      </c>
      <c r="AM68" s="23">
        <v>2145</v>
      </c>
      <c r="AN68" s="23">
        <v>12718</v>
      </c>
      <c r="AO68" s="23">
        <v>26</v>
      </c>
      <c r="AP68" s="23">
        <v>37</v>
      </c>
      <c r="AQ68" s="23">
        <v>0</v>
      </c>
      <c r="AR68" s="23">
        <v>0</v>
      </c>
      <c r="AS68" s="23">
        <v>44350</v>
      </c>
      <c r="AT68" s="23">
        <v>21944</v>
      </c>
      <c r="AU68" s="23">
        <v>75687</v>
      </c>
      <c r="AV68" s="23">
        <v>581552</v>
      </c>
      <c r="AW68" s="31">
        <v>45292</v>
      </c>
      <c r="AX68" s="31">
        <v>45657</v>
      </c>
      <c r="AY68" s="214" t="s">
        <v>328</v>
      </c>
    </row>
    <row r="69" spans="1:61" ht="60" customHeight="1" x14ac:dyDescent="0.2">
      <c r="A69" s="28">
        <v>4</v>
      </c>
      <c r="B69" s="34" t="s">
        <v>124</v>
      </c>
      <c r="C69" s="28">
        <v>45</v>
      </c>
      <c r="D69" s="34" t="s">
        <v>68</v>
      </c>
      <c r="E69" s="28">
        <v>4502</v>
      </c>
      <c r="F69" s="34" t="s">
        <v>125</v>
      </c>
      <c r="G69" s="906">
        <v>4502003</v>
      </c>
      <c r="H69" s="34" t="s">
        <v>508</v>
      </c>
      <c r="I69" s="906">
        <v>4502003</v>
      </c>
      <c r="J69" s="34" t="s">
        <v>509</v>
      </c>
      <c r="K69" s="906">
        <v>450200300</v>
      </c>
      <c r="L69" s="34" t="s">
        <v>508</v>
      </c>
      <c r="M69" s="906">
        <v>450200300</v>
      </c>
      <c r="N69" s="34" t="s">
        <v>508</v>
      </c>
      <c r="O69" s="23">
        <v>2</v>
      </c>
      <c r="P69" s="23"/>
      <c r="Q69" s="23">
        <f t="shared" si="6"/>
        <v>2</v>
      </c>
      <c r="R69" s="212">
        <v>2021003630006</v>
      </c>
      <c r="S69" s="34" t="s">
        <v>510</v>
      </c>
      <c r="T69" s="25">
        <f>SUM($X$68:$X$71)/SUM($X$68:$X$71)</f>
        <v>1</v>
      </c>
      <c r="U69" s="34" t="s">
        <v>511</v>
      </c>
      <c r="V69" s="34" t="s">
        <v>512</v>
      </c>
      <c r="W69" s="34" t="s">
        <v>501</v>
      </c>
      <c r="X69" s="202">
        <v>5000000</v>
      </c>
      <c r="Y69" s="202"/>
      <c r="Z69" s="202"/>
      <c r="AA69" s="202"/>
      <c r="AB69" s="202">
        <f t="shared" si="7"/>
        <v>5000000</v>
      </c>
      <c r="AC69" s="211" t="s">
        <v>514</v>
      </c>
      <c r="AD69" s="204"/>
      <c r="AE69" s="205">
        <v>20</v>
      </c>
      <c r="AF69" s="34" t="s">
        <v>327</v>
      </c>
      <c r="AG69" s="23">
        <v>295972</v>
      </c>
      <c r="AH69" s="23">
        <v>285580</v>
      </c>
      <c r="AI69" s="23">
        <v>135545</v>
      </c>
      <c r="AJ69" s="23">
        <v>44254</v>
      </c>
      <c r="AK69" s="23">
        <v>309146</v>
      </c>
      <c r="AL69" s="23">
        <v>92607</v>
      </c>
      <c r="AM69" s="23">
        <v>2145</v>
      </c>
      <c r="AN69" s="23">
        <v>12718</v>
      </c>
      <c r="AO69" s="23">
        <v>26</v>
      </c>
      <c r="AP69" s="23">
        <v>37</v>
      </c>
      <c r="AQ69" s="23">
        <v>0</v>
      </c>
      <c r="AR69" s="23">
        <v>0</v>
      </c>
      <c r="AS69" s="23">
        <v>44350</v>
      </c>
      <c r="AT69" s="23">
        <v>21944</v>
      </c>
      <c r="AU69" s="23">
        <v>75687</v>
      </c>
      <c r="AV69" s="23">
        <v>581552</v>
      </c>
      <c r="AW69" s="31">
        <v>45292</v>
      </c>
      <c r="AX69" s="31">
        <v>45657</v>
      </c>
      <c r="AY69" s="214" t="s">
        <v>328</v>
      </c>
    </row>
    <row r="70" spans="1:61" ht="64.5" customHeight="1" x14ac:dyDescent="0.2">
      <c r="A70" s="28">
        <v>4</v>
      </c>
      <c r="B70" s="34" t="s">
        <v>124</v>
      </c>
      <c r="C70" s="28">
        <v>45</v>
      </c>
      <c r="D70" s="34" t="s">
        <v>68</v>
      </c>
      <c r="E70" s="28">
        <v>4502</v>
      </c>
      <c r="F70" s="34" t="s">
        <v>125</v>
      </c>
      <c r="G70" s="906">
        <v>4502003</v>
      </c>
      <c r="H70" s="34" t="s">
        <v>508</v>
      </c>
      <c r="I70" s="906">
        <v>4502003</v>
      </c>
      <c r="J70" s="34" t="s">
        <v>509</v>
      </c>
      <c r="K70" s="906">
        <v>450200300</v>
      </c>
      <c r="L70" s="34" t="s">
        <v>508</v>
      </c>
      <c r="M70" s="906">
        <v>450200300</v>
      </c>
      <c r="N70" s="34" t="s">
        <v>508</v>
      </c>
      <c r="O70" s="23">
        <v>2</v>
      </c>
      <c r="P70" s="23"/>
      <c r="Q70" s="23">
        <f t="shared" si="6"/>
        <v>2</v>
      </c>
      <c r="R70" s="212">
        <v>2021003630006</v>
      </c>
      <c r="S70" s="34" t="s">
        <v>510</v>
      </c>
      <c r="T70" s="25">
        <f>SUM($X$68:$X$71)/SUM($X$68:$X$71)</f>
        <v>1</v>
      </c>
      <c r="U70" s="34" t="s">
        <v>511</v>
      </c>
      <c r="V70" s="34" t="s">
        <v>512</v>
      </c>
      <c r="W70" s="34" t="s">
        <v>501</v>
      </c>
      <c r="X70" s="202">
        <v>5000000</v>
      </c>
      <c r="Y70" s="202"/>
      <c r="Z70" s="202"/>
      <c r="AA70" s="202"/>
      <c r="AB70" s="202">
        <f t="shared" si="7"/>
        <v>5000000</v>
      </c>
      <c r="AC70" s="211" t="s">
        <v>515</v>
      </c>
      <c r="AD70" s="204"/>
      <c r="AE70" s="205">
        <v>20</v>
      </c>
      <c r="AF70" s="34" t="s">
        <v>327</v>
      </c>
      <c r="AG70" s="23">
        <v>295972</v>
      </c>
      <c r="AH70" s="23">
        <v>285580</v>
      </c>
      <c r="AI70" s="23">
        <v>135545</v>
      </c>
      <c r="AJ70" s="23">
        <v>44254</v>
      </c>
      <c r="AK70" s="23">
        <v>309146</v>
      </c>
      <c r="AL70" s="23">
        <v>92607</v>
      </c>
      <c r="AM70" s="23">
        <v>2145</v>
      </c>
      <c r="AN70" s="23">
        <v>12718</v>
      </c>
      <c r="AO70" s="23">
        <v>26</v>
      </c>
      <c r="AP70" s="23">
        <v>37</v>
      </c>
      <c r="AQ70" s="23">
        <v>0</v>
      </c>
      <c r="AR70" s="23">
        <v>0</v>
      </c>
      <c r="AS70" s="23">
        <v>44350</v>
      </c>
      <c r="AT70" s="23">
        <v>21944</v>
      </c>
      <c r="AU70" s="23">
        <v>75687</v>
      </c>
      <c r="AV70" s="23">
        <v>581552</v>
      </c>
      <c r="AW70" s="31">
        <v>45292</v>
      </c>
      <c r="AX70" s="31">
        <v>45657</v>
      </c>
      <c r="AY70" s="214" t="s">
        <v>328</v>
      </c>
    </row>
    <row r="71" spans="1:61" ht="59.25" customHeight="1" x14ac:dyDescent="0.2">
      <c r="A71" s="28">
        <v>4</v>
      </c>
      <c r="B71" s="34" t="s">
        <v>124</v>
      </c>
      <c r="C71" s="28">
        <v>45</v>
      </c>
      <c r="D71" s="34" t="s">
        <v>68</v>
      </c>
      <c r="E71" s="28">
        <v>4502</v>
      </c>
      <c r="F71" s="34" t="s">
        <v>125</v>
      </c>
      <c r="G71" s="906">
        <v>4502003</v>
      </c>
      <c r="H71" s="34" t="s">
        <v>508</v>
      </c>
      <c r="I71" s="906">
        <v>4502003</v>
      </c>
      <c r="J71" s="34" t="s">
        <v>509</v>
      </c>
      <c r="K71" s="906">
        <v>450200300</v>
      </c>
      <c r="L71" s="34" t="s">
        <v>508</v>
      </c>
      <c r="M71" s="906">
        <v>450200300</v>
      </c>
      <c r="N71" s="34" t="s">
        <v>508</v>
      </c>
      <c r="O71" s="23">
        <v>2</v>
      </c>
      <c r="P71" s="23"/>
      <c r="Q71" s="23">
        <f t="shared" si="6"/>
        <v>2</v>
      </c>
      <c r="R71" s="212">
        <v>2021003630006</v>
      </c>
      <c r="S71" s="34" t="s">
        <v>510</v>
      </c>
      <c r="T71" s="25">
        <f>SUM($X$68:$X$71)/SUM($X$68:$X$71)</f>
        <v>1</v>
      </c>
      <c r="U71" s="34" t="s">
        <v>511</v>
      </c>
      <c r="V71" s="34" t="s">
        <v>512</v>
      </c>
      <c r="W71" s="34" t="s">
        <v>333</v>
      </c>
      <c r="X71" s="202">
        <v>20000000</v>
      </c>
      <c r="Y71" s="202">
        <f>800000+2000000+2000000+1200000</f>
        <v>6000000</v>
      </c>
      <c r="Z71" s="202">
        <f>800000</f>
        <v>800000</v>
      </c>
      <c r="AA71" s="202"/>
      <c r="AB71" s="202">
        <f t="shared" si="7"/>
        <v>14800000</v>
      </c>
      <c r="AC71" s="211" t="s">
        <v>516</v>
      </c>
      <c r="AD71" s="204"/>
      <c r="AE71" s="205">
        <v>20</v>
      </c>
      <c r="AF71" s="34" t="s">
        <v>327</v>
      </c>
      <c r="AG71" s="23">
        <v>295972</v>
      </c>
      <c r="AH71" s="23">
        <v>285580</v>
      </c>
      <c r="AI71" s="23">
        <v>135545</v>
      </c>
      <c r="AJ71" s="23">
        <v>44254</v>
      </c>
      <c r="AK71" s="23">
        <v>309146</v>
      </c>
      <c r="AL71" s="23">
        <v>92607</v>
      </c>
      <c r="AM71" s="23">
        <v>2145</v>
      </c>
      <c r="AN71" s="23">
        <v>12718</v>
      </c>
      <c r="AO71" s="23">
        <v>26</v>
      </c>
      <c r="AP71" s="23">
        <v>37</v>
      </c>
      <c r="AQ71" s="23">
        <v>0</v>
      </c>
      <c r="AR71" s="23">
        <v>0</v>
      </c>
      <c r="AS71" s="23">
        <v>44350</v>
      </c>
      <c r="AT71" s="23">
        <v>21944</v>
      </c>
      <c r="AU71" s="23">
        <v>75687</v>
      </c>
      <c r="AV71" s="23">
        <v>581552</v>
      </c>
      <c r="AW71" s="31">
        <v>45292</v>
      </c>
      <c r="AX71" s="31">
        <v>45657</v>
      </c>
      <c r="AY71" s="214" t="s">
        <v>328</v>
      </c>
    </row>
    <row r="72" spans="1:61" ht="56.25" customHeight="1" x14ac:dyDescent="0.2">
      <c r="A72" s="24">
        <v>1</v>
      </c>
      <c r="B72" s="34" t="s">
        <v>315</v>
      </c>
      <c r="C72" s="228">
        <v>19</v>
      </c>
      <c r="D72" s="34" t="s">
        <v>517</v>
      </c>
      <c r="E72" s="24">
        <v>1903</v>
      </c>
      <c r="F72" s="34" t="s">
        <v>518</v>
      </c>
      <c r="G72" s="51">
        <v>4599016</v>
      </c>
      <c r="H72" s="34" t="s">
        <v>495</v>
      </c>
      <c r="I72" s="24">
        <v>1903043</v>
      </c>
      <c r="J72" s="34" t="s">
        <v>519</v>
      </c>
      <c r="K72" s="24">
        <v>459901600</v>
      </c>
      <c r="L72" s="34" t="s">
        <v>497</v>
      </c>
      <c r="M72" s="24">
        <v>190304300</v>
      </c>
      <c r="N72" s="34" t="s">
        <v>520</v>
      </c>
      <c r="O72" s="205">
        <v>1</v>
      </c>
      <c r="P72" s="205"/>
      <c r="Q72" s="205">
        <f>O72+P72</f>
        <v>1</v>
      </c>
      <c r="R72" s="24">
        <v>2023003630002</v>
      </c>
      <c r="S72" s="34" t="s">
        <v>521</v>
      </c>
      <c r="T72" s="779">
        <f>X72/(X72)</f>
        <v>1</v>
      </c>
      <c r="U72" s="34" t="s">
        <v>522</v>
      </c>
      <c r="V72" s="34" t="s">
        <v>523</v>
      </c>
      <c r="W72" s="34" t="s">
        <v>524</v>
      </c>
      <c r="X72" s="202">
        <v>30000000</v>
      </c>
      <c r="Y72" s="202"/>
      <c r="Z72" s="202"/>
      <c r="AA72" s="202"/>
      <c r="AB72" s="202">
        <f t="shared" si="7"/>
        <v>30000000</v>
      </c>
      <c r="AC72" s="211" t="s">
        <v>525</v>
      </c>
      <c r="AD72" s="204"/>
      <c r="AE72" s="205">
        <v>20</v>
      </c>
      <c r="AF72" s="34" t="s">
        <v>327</v>
      </c>
      <c r="AG72" s="23">
        <v>295972</v>
      </c>
      <c r="AH72" s="23">
        <v>285580</v>
      </c>
      <c r="AI72" s="23">
        <v>135545</v>
      </c>
      <c r="AJ72" s="23">
        <v>44254</v>
      </c>
      <c r="AK72" s="23">
        <v>309146</v>
      </c>
      <c r="AL72" s="23">
        <v>92607</v>
      </c>
      <c r="AM72" s="23">
        <v>2145</v>
      </c>
      <c r="AN72" s="23">
        <v>12718</v>
      </c>
      <c r="AO72" s="23">
        <v>26</v>
      </c>
      <c r="AP72" s="23">
        <v>37</v>
      </c>
      <c r="AQ72" s="23">
        <v>0</v>
      </c>
      <c r="AR72" s="23">
        <v>0</v>
      </c>
      <c r="AS72" s="23">
        <v>44350</v>
      </c>
      <c r="AT72" s="23">
        <v>21944</v>
      </c>
      <c r="AU72" s="23">
        <v>75687</v>
      </c>
      <c r="AV72" s="23">
        <v>581552</v>
      </c>
      <c r="AW72" s="31">
        <v>45292</v>
      </c>
      <c r="AX72" s="31">
        <v>45657</v>
      </c>
      <c r="AY72" s="84" t="s">
        <v>328</v>
      </c>
    </row>
    <row r="73" spans="1:61" s="111" customFormat="1" ht="19.5" customHeight="1" x14ac:dyDescent="0.2">
      <c r="A73" s="903"/>
      <c r="B73" s="897"/>
      <c r="C73" s="903"/>
      <c r="D73" s="897"/>
      <c r="E73" s="903"/>
      <c r="F73" s="897"/>
      <c r="G73" s="903"/>
      <c r="H73" s="897"/>
      <c r="I73" s="903"/>
      <c r="J73" s="897"/>
      <c r="K73" s="903"/>
      <c r="L73" s="897"/>
      <c r="M73" s="903"/>
      <c r="N73" s="897"/>
      <c r="O73" s="229"/>
      <c r="P73" s="229"/>
      <c r="Q73" s="229"/>
      <c r="R73" s="903"/>
      <c r="S73" s="897"/>
      <c r="T73" s="229"/>
      <c r="U73" s="897"/>
      <c r="V73" s="897"/>
      <c r="W73" s="899" t="s">
        <v>526</v>
      </c>
      <c r="X73" s="235">
        <f>SUM(X11:X72)</f>
        <v>16113091909.379999</v>
      </c>
      <c r="Y73" s="235"/>
      <c r="Z73" s="235"/>
      <c r="AA73" s="235"/>
      <c r="AB73" s="235"/>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04"/>
      <c r="BA73" s="204"/>
      <c r="BB73" s="204"/>
      <c r="BC73" s="204"/>
      <c r="BD73" s="204"/>
      <c r="BE73" s="204"/>
      <c r="BF73" s="204"/>
      <c r="BG73" s="204"/>
      <c r="BH73" s="204"/>
      <c r="BI73" s="204"/>
    </row>
    <row r="74" spans="1:61" s="234" customFormat="1" ht="12.75" x14ac:dyDescent="0.2">
      <c r="A74" s="904"/>
      <c r="B74" s="898"/>
      <c r="C74" s="904"/>
      <c r="D74" s="898"/>
      <c r="E74" s="904"/>
      <c r="F74" s="898"/>
      <c r="G74" s="904"/>
      <c r="H74" s="898"/>
      <c r="I74" s="904"/>
      <c r="J74" s="898"/>
      <c r="K74" s="904"/>
      <c r="L74" s="898"/>
      <c r="M74" s="904"/>
      <c r="N74" s="898"/>
      <c r="O74" s="230"/>
      <c r="P74" s="230"/>
      <c r="Q74" s="230"/>
      <c r="R74" s="904"/>
      <c r="S74" s="898"/>
      <c r="T74" s="230"/>
      <c r="U74" s="898"/>
      <c r="V74" s="898"/>
      <c r="W74" s="900"/>
      <c r="X74" s="236">
        <f>SUBTOTAL(9,X11:X72)</f>
        <v>16113091909.379999</v>
      </c>
      <c r="Y74" s="236"/>
      <c r="Z74" s="236"/>
      <c r="AA74" s="236"/>
      <c r="AB74" s="236"/>
      <c r="AC74" s="232"/>
      <c r="AD74" s="230"/>
      <c r="AE74" s="230"/>
      <c r="AF74" s="233"/>
      <c r="AG74" s="230"/>
      <c r="AH74" s="230"/>
      <c r="AI74" s="230"/>
      <c r="AJ74" s="230"/>
      <c r="AK74" s="230"/>
      <c r="AL74" s="230"/>
      <c r="AM74" s="230"/>
      <c r="AN74" s="230"/>
      <c r="AO74" s="230"/>
      <c r="AP74" s="230"/>
      <c r="AQ74" s="230"/>
      <c r="AR74" s="230"/>
      <c r="AS74" s="230"/>
      <c r="AT74" s="230"/>
      <c r="AU74" s="230"/>
      <c r="AV74" s="230"/>
      <c r="AW74" s="230"/>
      <c r="AX74" s="230"/>
      <c r="AY74" s="230"/>
      <c r="AZ74" s="230"/>
      <c r="BA74" s="230"/>
      <c r="BB74" s="230"/>
      <c r="BC74" s="230"/>
      <c r="BD74" s="230"/>
      <c r="BE74" s="230"/>
      <c r="BF74" s="230"/>
      <c r="BG74" s="230"/>
      <c r="BH74" s="230"/>
      <c r="BI74" s="230"/>
    </row>
    <row r="75" spans="1:61" s="234" customFormat="1" ht="12.75" x14ac:dyDescent="0.2">
      <c r="A75" s="904"/>
      <c r="B75" s="898"/>
      <c r="C75" s="904"/>
      <c r="D75" s="898"/>
      <c r="E75" s="904"/>
      <c r="F75" s="898"/>
      <c r="G75" s="904"/>
      <c r="H75" s="898"/>
      <c r="I75" s="904"/>
      <c r="J75" s="898"/>
      <c r="K75" s="904"/>
      <c r="L75" s="898"/>
      <c r="M75" s="904"/>
      <c r="N75" s="898"/>
      <c r="O75" s="230"/>
      <c r="P75" s="230"/>
      <c r="Q75" s="230"/>
      <c r="R75" s="904"/>
      <c r="S75" s="898"/>
      <c r="T75" s="230"/>
      <c r="U75" s="898"/>
      <c r="V75" s="898"/>
      <c r="W75" s="900"/>
      <c r="X75" s="231"/>
      <c r="Y75" s="231"/>
      <c r="Z75" s="231"/>
      <c r="AA75" s="231"/>
      <c r="AB75" s="231"/>
      <c r="AC75" s="232"/>
      <c r="AD75" s="230"/>
      <c r="AE75" s="230"/>
      <c r="AF75" s="233"/>
      <c r="AG75" s="230"/>
      <c r="AH75" s="230"/>
      <c r="AI75" s="230"/>
      <c r="AJ75" s="230"/>
      <c r="AK75" s="230"/>
      <c r="AL75" s="230"/>
      <c r="AM75" s="230"/>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row>
    <row r="76" spans="1:61" s="234" customFormat="1" ht="12.75" x14ac:dyDescent="0.2">
      <c r="A76" s="904"/>
      <c r="B76" s="898"/>
      <c r="C76" s="904"/>
      <c r="D76" s="898"/>
      <c r="E76" s="904"/>
      <c r="F76" s="898"/>
      <c r="G76" s="904"/>
      <c r="H76" s="898"/>
      <c r="I76" s="904"/>
      <c r="J76" s="898"/>
      <c r="K76" s="904"/>
      <c r="L76" s="898"/>
      <c r="M76" s="904"/>
      <c r="N76" s="898"/>
      <c r="O76" s="1096" t="s">
        <v>527</v>
      </c>
      <c r="P76" s="1096"/>
      <c r="Q76" s="1096"/>
      <c r="R76" s="1096"/>
      <c r="S76" s="1096"/>
      <c r="T76" s="230"/>
      <c r="U76" s="898"/>
      <c r="V76" s="898"/>
      <c r="W76" s="900"/>
      <c r="X76" s="231"/>
      <c r="Y76" s="231"/>
      <c r="Z76" s="231"/>
      <c r="AA76" s="231"/>
      <c r="AB76" s="231"/>
      <c r="AC76" s="232"/>
      <c r="AD76" s="230"/>
      <c r="AE76" s="230"/>
      <c r="AF76" s="233"/>
      <c r="AG76" s="230"/>
      <c r="AH76" s="230"/>
      <c r="AI76" s="230"/>
      <c r="AJ76" s="230"/>
      <c r="AK76" s="230"/>
      <c r="AL76" s="230"/>
      <c r="AM76" s="230"/>
      <c r="AN76" s="230"/>
      <c r="AO76" s="230"/>
      <c r="AP76" s="230"/>
      <c r="AQ76" s="230"/>
      <c r="AR76" s="230"/>
      <c r="AS76" s="230"/>
      <c r="AT76" s="230"/>
      <c r="AU76" s="230"/>
      <c r="AV76" s="230"/>
      <c r="AW76" s="230"/>
      <c r="AX76" s="230"/>
      <c r="AY76" s="230"/>
      <c r="AZ76" s="230"/>
      <c r="BA76" s="230"/>
      <c r="BB76" s="230"/>
      <c r="BC76" s="230"/>
      <c r="BD76" s="230"/>
      <c r="BE76" s="230"/>
      <c r="BF76" s="230"/>
      <c r="BG76" s="230"/>
      <c r="BH76" s="230"/>
      <c r="BI76" s="230"/>
    </row>
    <row r="77" spans="1:61" s="81" customFormat="1" ht="12.75" customHeight="1" x14ac:dyDescent="0.2">
      <c r="A77" s="895"/>
      <c r="B77" s="890"/>
      <c r="C77" s="895"/>
      <c r="D77" s="890"/>
      <c r="E77" s="895"/>
      <c r="F77" s="890"/>
      <c r="G77" s="895"/>
      <c r="H77" s="890"/>
      <c r="I77" s="895"/>
      <c r="J77" s="890"/>
      <c r="K77" s="895"/>
      <c r="L77" s="890"/>
      <c r="M77" s="895"/>
      <c r="N77" s="890"/>
      <c r="O77" s="1080" t="s">
        <v>308</v>
      </c>
      <c r="P77" s="1080"/>
      <c r="Q77" s="1080"/>
      <c r="R77" s="1080"/>
      <c r="S77" s="1080"/>
      <c r="U77" s="890"/>
      <c r="V77" s="890"/>
      <c r="W77" s="890"/>
      <c r="AD77" s="85"/>
      <c r="AE77" s="85"/>
      <c r="AF77" s="85"/>
    </row>
    <row r="78" spans="1:61" s="81" customFormat="1" ht="12.75" x14ac:dyDescent="0.2">
      <c r="A78" s="895"/>
      <c r="B78" s="890"/>
      <c r="C78" s="895"/>
      <c r="D78" s="890"/>
      <c r="E78" s="895"/>
      <c r="F78" s="890"/>
      <c r="G78" s="895"/>
      <c r="H78" s="890"/>
      <c r="I78" s="895"/>
      <c r="J78" s="890"/>
      <c r="K78" s="895"/>
      <c r="L78" s="890"/>
      <c r="M78" s="895"/>
      <c r="N78" s="890"/>
      <c r="R78" s="895"/>
      <c r="S78" s="890"/>
      <c r="U78" s="890"/>
      <c r="V78" s="890"/>
      <c r="W78" s="890"/>
      <c r="AD78" s="85"/>
      <c r="AE78" s="85"/>
      <c r="AF78" s="85"/>
    </row>
    <row r="79" spans="1:61" s="81" customFormat="1" ht="12.75" x14ac:dyDescent="0.2">
      <c r="A79" s="895"/>
      <c r="B79" s="890"/>
      <c r="C79" s="895"/>
      <c r="D79" s="890"/>
      <c r="E79" s="895"/>
      <c r="F79" s="890"/>
      <c r="G79" s="895"/>
      <c r="H79" s="890"/>
      <c r="I79" s="895"/>
      <c r="J79" s="890"/>
      <c r="K79" s="895"/>
      <c r="L79" s="890"/>
      <c r="M79" s="895"/>
      <c r="N79" s="890"/>
      <c r="R79" s="895"/>
      <c r="S79" s="890"/>
      <c r="U79" s="890"/>
      <c r="V79" s="890"/>
      <c r="W79" s="890"/>
      <c r="AD79" s="85"/>
      <c r="AE79" s="85"/>
      <c r="AF79" s="85"/>
    </row>
    <row r="80" spans="1:61" s="81" customFormat="1" ht="12.75" x14ac:dyDescent="0.2">
      <c r="A80" s="895"/>
      <c r="B80" s="890"/>
      <c r="C80" s="895"/>
      <c r="D80" s="890"/>
      <c r="E80" s="895"/>
      <c r="F80" s="890"/>
      <c r="G80" s="895"/>
      <c r="H80" s="890"/>
      <c r="I80" s="895"/>
      <c r="J80" s="890"/>
      <c r="K80" s="895"/>
      <c r="L80" s="890"/>
      <c r="M80" s="895"/>
      <c r="N80" s="890"/>
      <c r="R80" s="895"/>
      <c r="S80" s="890"/>
      <c r="U80" s="890"/>
      <c r="V80" s="890"/>
      <c r="W80" s="890"/>
      <c r="AD80" s="85"/>
      <c r="AE80" s="85"/>
      <c r="AF80" s="85"/>
    </row>
    <row r="81" spans="1:32" s="81" customFormat="1" ht="12.75" x14ac:dyDescent="0.2">
      <c r="A81" s="895"/>
      <c r="B81" s="890"/>
      <c r="C81" s="895"/>
      <c r="D81" s="890"/>
      <c r="E81" s="895"/>
      <c r="F81" s="890"/>
      <c r="G81" s="895"/>
      <c r="H81" s="890"/>
      <c r="I81" s="1077" t="s">
        <v>113</v>
      </c>
      <c r="J81" s="1078"/>
      <c r="K81" s="1077" t="s">
        <v>114</v>
      </c>
      <c r="L81" s="1078"/>
      <c r="M81" s="1077" t="s">
        <v>115</v>
      </c>
      <c r="N81" s="1078"/>
      <c r="R81" s="895"/>
      <c r="S81" s="890"/>
      <c r="U81" s="890"/>
      <c r="V81" s="890"/>
      <c r="W81" s="890"/>
      <c r="AD81" s="85"/>
      <c r="AE81" s="85"/>
      <c r="AF81" s="85"/>
    </row>
    <row r="82" spans="1:32" s="81" customFormat="1" ht="12.75" customHeight="1" x14ac:dyDescent="0.2">
      <c r="A82" s="895"/>
      <c r="B82" s="890"/>
      <c r="C82" s="895"/>
      <c r="D82" s="890"/>
      <c r="E82" s="895"/>
      <c r="F82" s="890"/>
      <c r="G82" s="895"/>
      <c r="H82" s="890"/>
      <c r="I82" s="1077" t="s">
        <v>116</v>
      </c>
      <c r="J82" s="1078"/>
      <c r="K82" s="1077" t="s">
        <v>117</v>
      </c>
      <c r="L82" s="1078"/>
      <c r="M82" s="1077" t="s">
        <v>118</v>
      </c>
      <c r="N82" s="1078"/>
      <c r="R82" s="895"/>
      <c r="S82" s="890"/>
      <c r="U82" s="890"/>
      <c r="V82" s="890"/>
      <c r="W82" s="890"/>
      <c r="AD82" s="85"/>
      <c r="AE82" s="85"/>
      <c r="AF82" s="85"/>
    </row>
    <row r="83" spans="1:32" s="81" customFormat="1" ht="12.75" customHeight="1" x14ac:dyDescent="0.2">
      <c r="A83" s="895"/>
      <c r="B83" s="890"/>
      <c r="C83" s="895"/>
      <c r="D83" s="890"/>
      <c r="E83" s="895"/>
      <c r="F83" s="890"/>
      <c r="G83" s="895"/>
      <c r="H83" s="890"/>
      <c r="I83" s="1077" t="s">
        <v>119</v>
      </c>
      <c r="J83" s="1078"/>
      <c r="K83" s="1077" t="s">
        <v>120</v>
      </c>
      <c r="L83" s="1078"/>
      <c r="M83" s="1077" t="s">
        <v>121</v>
      </c>
      <c r="N83" s="1078"/>
      <c r="R83" s="895"/>
      <c r="S83" s="890"/>
      <c r="U83" s="890"/>
      <c r="V83" s="890"/>
      <c r="W83" s="890"/>
      <c r="AD83" s="85"/>
      <c r="AE83" s="85"/>
      <c r="AF83" s="85"/>
    </row>
  </sheetData>
  <autoFilter ref="A10:BQ73" xr:uid="{00000000-0009-0000-0000-000002000000}"/>
  <mergeCells count="33">
    <mergeCell ref="I83:J83"/>
    <mergeCell ref="K83:L83"/>
    <mergeCell ref="M83:N83"/>
    <mergeCell ref="O8:Q9"/>
    <mergeCell ref="R8:X9"/>
    <mergeCell ref="I82:J82"/>
    <mergeCell ref="K82:L82"/>
    <mergeCell ref="M82:N82"/>
    <mergeCell ref="O76:S76"/>
    <mergeCell ref="O77:S77"/>
    <mergeCell ref="I81:J81"/>
    <mergeCell ref="K81:L81"/>
    <mergeCell ref="M81:N81"/>
    <mergeCell ref="K8:N9"/>
    <mergeCell ref="G8:J9"/>
    <mergeCell ref="E8:F9"/>
    <mergeCell ref="C8:D9"/>
    <mergeCell ref="A1:B7"/>
    <mergeCell ref="A8:B9"/>
    <mergeCell ref="C6:AW6"/>
    <mergeCell ref="C5:AW5"/>
    <mergeCell ref="C2:AW4"/>
    <mergeCell ref="C1:AW1"/>
    <mergeCell ref="AY8:AY10"/>
    <mergeCell ref="AC9:AF9"/>
    <mergeCell ref="AG9:AH9"/>
    <mergeCell ref="AI9:AL9"/>
    <mergeCell ref="AM9:AR9"/>
    <mergeCell ref="AS9:AU9"/>
    <mergeCell ref="AV9:AV10"/>
    <mergeCell ref="AG8:AV8"/>
    <mergeCell ref="AW8:AW10"/>
    <mergeCell ref="AX8:AX10"/>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5FA7A-EBF3-412D-95E9-B43029873743}">
  <sheetPr>
    <tabColor theme="7" tint="0.59999389629810485"/>
  </sheetPr>
  <dimension ref="B1:BQ55"/>
  <sheetViews>
    <sheetView zoomScale="60" zoomScaleNormal="60" workbookViewId="0">
      <pane ySplit="10" topLeftCell="A11" activePane="bottomLeft" state="frozen"/>
      <selection pane="bottomLeft" activeCell="G13" sqref="G13"/>
    </sheetView>
  </sheetViews>
  <sheetFormatPr baseColWidth="10" defaultColWidth="11.42578125" defaultRowHeight="12.75" x14ac:dyDescent="0.2"/>
  <cols>
    <col min="1" max="1" width="6.140625" style="81" customWidth="1"/>
    <col min="2" max="2" width="10.28515625" style="383" customWidth="1"/>
    <col min="3" max="3" width="12.42578125" style="890" customWidth="1"/>
    <col min="4" max="4" width="11.42578125" style="895"/>
    <col min="5" max="5" width="11.42578125" style="890"/>
    <col min="6" max="6" width="11.42578125" style="895"/>
    <col min="7" max="7" width="20" style="890" customWidth="1"/>
    <col min="8" max="8" width="11.42578125" style="895"/>
    <col min="9" max="9" width="14.140625" style="890" customWidth="1"/>
    <col min="10" max="10" width="19.140625" style="895" customWidth="1"/>
    <col min="11" max="11" width="16.85546875" style="890" customWidth="1"/>
    <col min="12" max="12" width="16.140625" style="895" customWidth="1"/>
    <col min="13" max="13" width="14.85546875" style="890" customWidth="1"/>
    <col min="14" max="14" width="16.28515625" style="81" customWidth="1"/>
    <col min="15" max="15" width="15.7109375" style="890" customWidth="1"/>
    <col min="16" max="16" width="18" style="895" customWidth="1"/>
    <col min="17" max="17" width="14.5703125" style="81" bestFit="1" customWidth="1"/>
    <col min="18" max="18" width="11.42578125" style="895"/>
    <col min="19" max="19" width="20.5703125" style="81" customWidth="1"/>
    <col min="20" max="20" width="32" style="890" customWidth="1"/>
    <col min="21" max="21" width="17.5703125" style="895" customWidth="1"/>
    <col min="22" max="22" width="50.7109375" style="890" customWidth="1"/>
    <col min="23" max="23" width="22.28515625" style="890" customWidth="1"/>
    <col min="24" max="24" width="30.5703125" style="890" customWidth="1"/>
    <col min="25" max="29" width="27" style="349" customWidth="1"/>
    <col min="30" max="30" width="53.85546875" style="349" customWidth="1"/>
    <col min="31" max="31" width="19.140625" style="349" customWidth="1"/>
    <col min="32" max="32" width="22.85546875" style="349" customWidth="1"/>
    <col min="33" max="33" width="10.5703125" style="81" customWidth="1"/>
    <col min="34" max="34" width="11.7109375" style="81" customWidth="1"/>
    <col min="35" max="35" width="9.28515625" style="81" customWidth="1"/>
    <col min="36" max="36" width="9" style="81" customWidth="1"/>
    <col min="37" max="37" width="9.42578125" style="81" customWidth="1"/>
    <col min="38" max="38" width="8.5703125" style="81" customWidth="1"/>
    <col min="39" max="39" width="10.140625" style="81" customWidth="1"/>
    <col min="40" max="40" width="9.7109375" style="81" customWidth="1"/>
    <col min="41" max="41" width="6.7109375" style="81" customWidth="1"/>
    <col min="42" max="42" width="6.42578125" style="81" customWidth="1"/>
    <col min="43" max="43" width="6.28515625" style="81" customWidth="1"/>
    <col min="44" max="44" width="6.5703125" style="81" customWidth="1"/>
    <col min="45" max="45" width="9.7109375" style="81" customWidth="1"/>
    <col min="46" max="46" width="9.140625" style="81" customWidth="1"/>
    <col min="47" max="47" width="7.5703125" style="81" customWidth="1"/>
    <col min="48" max="48" width="9.85546875" style="81" customWidth="1"/>
    <col min="49" max="49" width="14.28515625" style="81" customWidth="1"/>
    <col min="50" max="50" width="14.42578125" style="81" customWidth="1"/>
    <col min="51" max="51" width="23.28515625" style="81" customWidth="1"/>
    <col min="52" max="16384" width="11.42578125" style="81"/>
  </cols>
  <sheetData>
    <row r="1" spans="2:69" x14ac:dyDescent="0.2">
      <c r="B1" s="1073"/>
      <c r="C1" s="1073"/>
      <c r="D1" s="1074" t="s">
        <v>0</v>
      </c>
      <c r="E1" s="1074"/>
      <c r="F1" s="1074"/>
      <c r="G1" s="1074"/>
      <c r="H1" s="1074"/>
      <c r="I1" s="1074"/>
      <c r="J1" s="1074"/>
      <c r="K1" s="1074"/>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1074"/>
      <c r="AO1" s="1074"/>
      <c r="AP1" s="1074"/>
      <c r="AQ1" s="1074"/>
      <c r="AR1" s="1074"/>
      <c r="AS1" s="1074"/>
      <c r="AT1" s="1074"/>
      <c r="AU1" s="1074"/>
      <c r="AV1" s="1074"/>
      <c r="AW1" s="1074"/>
    </row>
    <row r="2" spans="2:69" s="45" customFormat="1" x14ac:dyDescent="0.2">
      <c r="B2" s="1073"/>
      <c r="C2" s="1073"/>
      <c r="D2" s="980" t="s">
        <v>528</v>
      </c>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2"/>
      <c r="AX2" s="2" t="s">
        <v>2</v>
      </c>
      <c r="AY2" s="2" t="s">
        <v>3</v>
      </c>
      <c r="AZ2" s="3"/>
      <c r="BA2" s="3"/>
      <c r="BB2" s="3"/>
      <c r="BC2" s="3"/>
      <c r="BD2" s="3"/>
      <c r="BE2" s="3"/>
      <c r="BF2" s="3"/>
      <c r="BG2" s="3"/>
      <c r="BH2" s="3"/>
      <c r="BI2" s="3"/>
      <c r="BJ2" s="3"/>
      <c r="BK2" s="3"/>
      <c r="BL2" s="3"/>
      <c r="BM2" s="3"/>
      <c r="BN2" s="3"/>
      <c r="BO2" s="3"/>
      <c r="BP2" s="3"/>
      <c r="BQ2" s="3"/>
    </row>
    <row r="3" spans="2:69" s="45" customFormat="1" ht="9" customHeight="1" x14ac:dyDescent="0.2">
      <c r="B3" s="1073"/>
      <c r="C3" s="1073"/>
      <c r="D3" s="983"/>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5"/>
      <c r="AX3" s="2" t="s">
        <v>4</v>
      </c>
      <c r="AY3" s="49">
        <v>11</v>
      </c>
      <c r="AZ3" s="3"/>
      <c r="BA3" s="3"/>
      <c r="BB3" s="3"/>
      <c r="BC3" s="3"/>
      <c r="BD3" s="3"/>
      <c r="BE3" s="3"/>
      <c r="BF3" s="3"/>
      <c r="BG3" s="3"/>
      <c r="BH3" s="3"/>
      <c r="BI3" s="3"/>
      <c r="BJ3" s="3"/>
      <c r="BK3" s="3"/>
      <c r="BL3" s="3"/>
      <c r="BM3" s="3"/>
      <c r="BN3" s="3"/>
      <c r="BO3" s="3"/>
      <c r="BP3" s="3"/>
      <c r="BQ3" s="3"/>
    </row>
    <row r="4" spans="2:69" s="45" customFormat="1" ht="9.75" customHeight="1" x14ac:dyDescent="0.2">
      <c r="B4" s="1073"/>
      <c r="C4" s="1073"/>
      <c r="D4" s="986"/>
      <c r="E4" s="987"/>
      <c r="F4" s="987"/>
      <c r="G4" s="987"/>
      <c r="H4" s="987"/>
      <c r="I4" s="987"/>
      <c r="J4" s="987"/>
      <c r="K4" s="987"/>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c r="AT4" s="987"/>
      <c r="AU4" s="987"/>
      <c r="AV4" s="987"/>
      <c r="AW4" s="988"/>
      <c r="AX4" s="2" t="s">
        <v>5</v>
      </c>
      <c r="AY4" s="50">
        <v>44714</v>
      </c>
      <c r="AZ4" s="3"/>
      <c r="BA4" s="3"/>
      <c r="BB4" s="3"/>
      <c r="BC4" s="3"/>
      <c r="BD4" s="3"/>
      <c r="BE4" s="3"/>
      <c r="BF4" s="3"/>
      <c r="BG4" s="3"/>
      <c r="BH4" s="3"/>
      <c r="BI4" s="3"/>
      <c r="BJ4" s="3"/>
      <c r="BK4" s="3"/>
      <c r="BL4" s="3"/>
      <c r="BM4" s="3"/>
      <c r="BN4" s="3"/>
      <c r="BO4" s="3"/>
      <c r="BP4" s="3"/>
      <c r="BQ4" s="3"/>
    </row>
    <row r="5" spans="2:69" s="45" customFormat="1" x14ac:dyDescent="0.2">
      <c r="B5" s="1073"/>
      <c r="C5" s="1073"/>
      <c r="D5" s="989"/>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1"/>
      <c r="AX5" s="2" t="s">
        <v>6</v>
      </c>
      <c r="AY5" s="7" t="s">
        <v>7</v>
      </c>
      <c r="AZ5" s="3"/>
      <c r="BA5" s="3"/>
      <c r="BB5" s="3"/>
      <c r="BC5" s="3"/>
      <c r="BD5" s="3"/>
      <c r="BE5" s="3"/>
      <c r="BF5" s="3"/>
      <c r="BG5" s="3"/>
      <c r="BH5" s="3"/>
      <c r="BI5" s="3"/>
      <c r="BJ5" s="3"/>
      <c r="BK5" s="3"/>
      <c r="BL5" s="3"/>
      <c r="BM5" s="3"/>
      <c r="BN5" s="3"/>
      <c r="BO5" s="3"/>
      <c r="BP5" s="3"/>
      <c r="BQ5" s="3"/>
    </row>
    <row r="6" spans="2:69" s="45" customFormat="1" ht="25.5" customHeight="1" x14ac:dyDescent="0.2">
      <c r="B6" s="1073"/>
      <c r="C6" s="1073"/>
      <c r="D6" s="992" t="s">
        <v>275</v>
      </c>
      <c r="E6" s="993"/>
      <c r="F6" s="993"/>
      <c r="G6" s="993"/>
      <c r="H6" s="993"/>
      <c r="I6" s="993"/>
      <c r="J6" s="993"/>
      <c r="K6" s="993"/>
      <c r="L6" s="993"/>
      <c r="M6" s="993"/>
      <c r="N6" s="993"/>
      <c r="O6" s="993"/>
      <c r="P6" s="993"/>
      <c r="Q6" s="993"/>
      <c r="R6" s="993"/>
      <c r="S6" s="993"/>
      <c r="T6" s="993"/>
      <c r="U6" s="993"/>
      <c r="V6" s="993"/>
      <c r="W6" s="993"/>
      <c r="X6" s="993"/>
      <c r="Y6" s="993"/>
      <c r="Z6" s="993"/>
      <c r="AA6" s="993"/>
      <c r="AB6" s="993"/>
      <c r="AC6" s="993"/>
      <c r="AD6" s="993"/>
      <c r="AE6" s="993"/>
      <c r="AF6" s="993"/>
      <c r="AG6" s="993"/>
      <c r="AH6" s="993"/>
      <c r="AI6" s="993"/>
      <c r="AJ6" s="993"/>
      <c r="AK6" s="993"/>
      <c r="AL6" s="993"/>
      <c r="AM6" s="993"/>
      <c r="AN6" s="993"/>
      <c r="AO6" s="993"/>
      <c r="AP6" s="993"/>
      <c r="AQ6" s="993"/>
      <c r="AR6" s="993"/>
      <c r="AS6" s="993"/>
      <c r="AT6" s="993"/>
      <c r="AU6" s="993"/>
      <c r="AV6" s="993"/>
      <c r="AW6" s="993"/>
      <c r="AX6" s="52"/>
      <c r="AY6" s="53"/>
      <c r="AZ6" s="3"/>
      <c r="BA6" s="3"/>
      <c r="BB6" s="3"/>
      <c r="BC6" s="3"/>
      <c r="BD6" s="3"/>
      <c r="BE6" s="3"/>
      <c r="BF6" s="3"/>
      <c r="BG6" s="3"/>
      <c r="BH6" s="3"/>
      <c r="BI6" s="3"/>
      <c r="BJ6" s="3"/>
      <c r="BK6" s="3"/>
      <c r="BL6" s="3"/>
      <c r="BM6" s="3"/>
      <c r="BN6" s="3"/>
      <c r="BO6" s="3"/>
      <c r="BP6" s="3"/>
      <c r="BQ6" s="3"/>
    </row>
    <row r="7" spans="2:69" s="45" customFormat="1" x14ac:dyDescent="0.2">
      <c r="B7" s="1074"/>
      <c r="C7" s="1074"/>
      <c r="D7" s="10"/>
      <c r="E7" s="891"/>
      <c r="F7" s="10"/>
      <c r="G7" s="891"/>
      <c r="H7" s="10"/>
      <c r="I7" s="891"/>
      <c r="J7" s="10"/>
      <c r="K7" s="891"/>
      <c r="L7" s="10"/>
      <c r="M7" s="891"/>
      <c r="N7" s="54"/>
      <c r="O7" s="891"/>
      <c r="P7" s="10"/>
      <c r="Q7" s="54"/>
      <c r="R7" s="10"/>
      <c r="S7" s="54"/>
      <c r="T7" s="891"/>
      <c r="U7" s="10"/>
      <c r="V7" s="891"/>
      <c r="W7" s="891"/>
      <c r="X7" s="891"/>
      <c r="Y7" s="77"/>
      <c r="Z7" s="77"/>
      <c r="AA7" s="77"/>
      <c r="AB7" s="77"/>
      <c r="AC7" s="77"/>
      <c r="AD7" s="77"/>
      <c r="AE7" s="77"/>
      <c r="AF7" s="77"/>
      <c r="AG7" s="54"/>
      <c r="AH7" s="54"/>
      <c r="AI7" s="54"/>
      <c r="AJ7" s="54"/>
      <c r="AK7" s="54"/>
      <c r="AL7" s="54"/>
      <c r="AM7" s="54"/>
      <c r="AN7" s="54"/>
      <c r="AO7" s="54"/>
      <c r="AP7" s="54"/>
      <c r="AQ7" s="54"/>
      <c r="AR7" s="54"/>
      <c r="AS7" s="54"/>
      <c r="AT7" s="54"/>
      <c r="AU7" s="54"/>
      <c r="AV7" s="54"/>
      <c r="AW7" s="54"/>
      <c r="AX7" s="54"/>
      <c r="AY7" s="55"/>
      <c r="AZ7" s="3"/>
      <c r="BA7" s="3"/>
      <c r="BB7" s="3"/>
      <c r="BC7" s="3"/>
      <c r="BD7" s="3"/>
      <c r="BE7" s="3"/>
      <c r="BF7" s="3"/>
      <c r="BG7" s="3"/>
      <c r="BH7" s="3"/>
      <c r="BI7" s="3"/>
      <c r="BJ7" s="3"/>
      <c r="BK7" s="3"/>
      <c r="BL7" s="3"/>
      <c r="BM7" s="3"/>
      <c r="BN7" s="3"/>
      <c r="BO7" s="3"/>
      <c r="BP7" s="3"/>
      <c r="BQ7" s="3"/>
    </row>
    <row r="8" spans="2:69" x14ac:dyDescent="0.2">
      <c r="B8" s="966" t="s">
        <v>9</v>
      </c>
      <c r="C8" s="967"/>
      <c r="D8" s="966" t="s">
        <v>10</v>
      </c>
      <c r="E8" s="967"/>
      <c r="F8" s="966" t="s">
        <v>11</v>
      </c>
      <c r="G8" s="967"/>
      <c r="H8" s="966" t="s">
        <v>12</v>
      </c>
      <c r="I8" s="970"/>
      <c r="J8" s="970"/>
      <c r="K8" s="967"/>
      <c r="L8" s="1067" t="s">
        <v>13</v>
      </c>
      <c r="M8" s="1068"/>
      <c r="N8" s="1068"/>
      <c r="O8" s="1069"/>
      <c r="P8" s="1067" t="s">
        <v>14</v>
      </c>
      <c r="Q8" s="1068"/>
      <c r="R8" s="1069"/>
      <c r="S8" s="1008" t="s">
        <v>15</v>
      </c>
      <c r="T8" s="1008"/>
      <c r="U8" s="1008"/>
      <c r="V8" s="1008"/>
      <c r="W8" s="1008"/>
      <c r="X8" s="1008"/>
      <c r="Y8" s="1008"/>
      <c r="Z8" s="281"/>
      <c r="AA8" s="281"/>
      <c r="AB8" s="281"/>
      <c r="AC8" s="281"/>
      <c r="AD8" s="310"/>
      <c r="AE8" s="310"/>
      <c r="AF8" s="364"/>
      <c r="AG8" s="1002" t="s">
        <v>16</v>
      </c>
      <c r="AH8" s="1003"/>
      <c r="AI8" s="1003"/>
      <c r="AJ8" s="1003"/>
      <c r="AK8" s="1003"/>
      <c r="AL8" s="1003"/>
      <c r="AM8" s="1003"/>
      <c r="AN8" s="1003"/>
      <c r="AO8" s="1003"/>
      <c r="AP8" s="1003"/>
      <c r="AQ8" s="1003"/>
      <c r="AR8" s="1003"/>
      <c r="AS8" s="1003"/>
      <c r="AT8" s="1003"/>
      <c r="AU8" s="1003"/>
      <c r="AV8" s="1004"/>
      <c r="AW8" s="994" t="s">
        <v>17</v>
      </c>
      <c r="AX8" s="994" t="s">
        <v>18</v>
      </c>
      <c r="AY8" s="994" t="s">
        <v>19</v>
      </c>
    </row>
    <row r="9" spans="2:69" s="46" customFormat="1" ht="12.75" customHeight="1" x14ac:dyDescent="0.2">
      <c r="B9" s="968"/>
      <c r="C9" s="969"/>
      <c r="D9" s="968"/>
      <c r="E9" s="969"/>
      <c r="F9" s="968"/>
      <c r="G9" s="969"/>
      <c r="H9" s="968"/>
      <c r="I9" s="971"/>
      <c r="J9" s="971"/>
      <c r="K9" s="969"/>
      <c r="L9" s="1070"/>
      <c r="M9" s="1071"/>
      <c r="N9" s="1071"/>
      <c r="O9" s="1072"/>
      <c r="P9" s="1070"/>
      <c r="Q9" s="1071"/>
      <c r="R9" s="1072"/>
      <c r="S9" s="1009"/>
      <c r="T9" s="1009"/>
      <c r="U9" s="1009"/>
      <c r="V9" s="1009"/>
      <c r="W9" s="1009"/>
      <c r="X9" s="1009"/>
      <c r="Y9" s="1009"/>
      <c r="Z9" s="282"/>
      <c r="AA9" s="282"/>
      <c r="AB9" s="282"/>
      <c r="AC9" s="282"/>
      <c r="AD9" s="997" t="s">
        <v>20</v>
      </c>
      <c r="AE9" s="997"/>
      <c r="AF9" s="997"/>
      <c r="AG9" s="997" t="s">
        <v>21</v>
      </c>
      <c r="AH9" s="1075"/>
      <c r="AI9" s="999" t="s">
        <v>22</v>
      </c>
      <c r="AJ9" s="1075"/>
      <c r="AK9" s="1075"/>
      <c r="AL9" s="1075"/>
      <c r="AM9" s="1000" t="s">
        <v>23</v>
      </c>
      <c r="AN9" s="1075"/>
      <c r="AO9" s="1075"/>
      <c r="AP9" s="1075"/>
      <c r="AQ9" s="1075"/>
      <c r="AR9" s="1075"/>
      <c r="AS9" s="999" t="s">
        <v>24</v>
      </c>
      <c r="AT9" s="1075"/>
      <c r="AU9" s="1075"/>
      <c r="AV9" s="1091" t="s">
        <v>25</v>
      </c>
      <c r="AW9" s="995"/>
      <c r="AX9" s="995"/>
      <c r="AY9" s="995"/>
      <c r="AZ9" s="14"/>
      <c r="BA9" s="14"/>
      <c r="BB9" s="14"/>
      <c r="BC9" s="14"/>
      <c r="BD9" s="14"/>
      <c r="BE9" s="14"/>
      <c r="BF9" s="14"/>
      <c r="BG9" s="14"/>
      <c r="BH9" s="14"/>
      <c r="BI9" s="14"/>
      <c r="BJ9" s="14"/>
      <c r="BK9" s="14"/>
      <c r="BL9" s="14"/>
      <c r="BM9" s="14"/>
      <c r="BN9" s="14"/>
    </row>
    <row r="10" spans="2:69" s="47" customFormat="1" ht="93" customHeight="1" x14ac:dyDescent="0.2">
      <c r="B10" s="16" t="s">
        <v>26</v>
      </c>
      <c r="C10" s="17" t="s">
        <v>27</v>
      </c>
      <c r="D10" s="16" t="s">
        <v>26</v>
      </c>
      <c r="E10" s="17" t="s">
        <v>27</v>
      </c>
      <c r="F10" s="17" t="s">
        <v>26</v>
      </c>
      <c r="G10" s="17" t="s">
        <v>27</v>
      </c>
      <c r="H10" s="18" t="s">
        <v>28</v>
      </c>
      <c r="I10" s="18" t="s">
        <v>29</v>
      </c>
      <c r="J10" s="18" t="s">
        <v>30</v>
      </c>
      <c r="K10" s="18" t="s">
        <v>31</v>
      </c>
      <c r="L10" s="18" t="s">
        <v>28</v>
      </c>
      <c r="M10" s="18" t="s">
        <v>32</v>
      </c>
      <c r="N10" s="18" t="s">
        <v>33</v>
      </c>
      <c r="O10" s="18" t="s">
        <v>34</v>
      </c>
      <c r="P10" s="18" t="s">
        <v>35</v>
      </c>
      <c r="Q10" s="18" t="s">
        <v>36</v>
      </c>
      <c r="R10" s="18" t="s">
        <v>37</v>
      </c>
      <c r="S10" s="17" t="s">
        <v>38</v>
      </c>
      <c r="T10" s="17" t="s">
        <v>39</v>
      </c>
      <c r="U10" s="19" t="s">
        <v>40</v>
      </c>
      <c r="V10" s="17" t="s">
        <v>41</v>
      </c>
      <c r="W10" s="17" t="s">
        <v>42</v>
      </c>
      <c r="X10" s="17" t="s">
        <v>43</v>
      </c>
      <c r="Y10" s="20" t="s">
        <v>44</v>
      </c>
      <c r="Z10" s="908" t="s">
        <v>45</v>
      </c>
      <c r="AA10" s="909" t="s">
        <v>46</v>
      </c>
      <c r="AB10" s="909" t="s">
        <v>47</v>
      </c>
      <c r="AC10" s="908" t="s">
        <v>48</v>
      </c>
      <c r="AD10" s="16" t="s">
        <v>49</v>
      </c>
      <c r="AE10" s="17" t="s">
        <v>51</v>
      </c>
      <c r="AF10" s="17" t="s">
        <v>52</v>
      </c>
      <c r="AG10" s="21" t="s">
        <v>53</v>
      </c>
      <c r="AH10" s="22" t="s">
        <v>54</v>
      </c>
      <c r="AI10" s="21" t="s">
        <v>55</v>
      </c>
      <c r="AJ10" s="21" t="s">
        <v>56</v>
      </c>
      <c r="AK10" s="21" t="s">
        <v>57</v>
      </c>
      <c r="AL10" s="21" t="s">
        <v>58</v>
      </c>
      <c r="AM10" s="21" t="s">
        <v>59</v>
      </c>
      <c r="AN10" s="21" t="s">
        <v>60</v>
      </c>
      <c r="AO10" s="21" t="s">
        <v>61</v>
      </c>
      <c r="AP10" s="21" t="s">
        <v>62</v>
      </c>
      <c r="AQ10" s="21" t="s">
        <v>63</v>
      </c>
      <c r="AR10" s="21" t="s">
        <v>64</v>
      </c>
      <c r="AS10" s="21" t="s">
        <v>65</v>
      </c>
      <c r="AT10" s="21" t="s">
        <v>66</v>
      </c>
      <c r="AU10" s="21" t="s">
        <v>67</v>
      </c>
      <c r="AV10" s="1097"/>
      <c r="AW10" s="996"/>
      <c r="AX10" s="996"/>
      <c r="AY10" s="996"/>
      <c r="AZ10" s="14"/>
      <c r="BA10" s="14"/>
      <c r="BB10" s="14"/>
      <c r="BC10" s="14"/>
      <c r="BD10" s="14"/>
      <c r="BE10" s="14"/>
      <c r="BF10" s="14"/>
      <c r="BG10" s="14"/>
      <c r="BH10" s="14"/>
      <c r="BI10" s="14"/>
      <c r="BJ10" s="14"/>
      <c r="BK10" s="14"/>
      <c r="BL10" s="14"/>
      <c r="BM10" s="14"/>
      <c r="BN10" s="14"/>
    </row>
    <row r="11" spans="2:69" ht="96.75" customHeight="1" x14ac:dyDescent="0.2">
      <c r="B11" s="375">
        <v>1</v>
      </c>
      <c r="C11" s="188" t="s">
        <v>315</v>
      </c>
      <c r="D11" s="23">
        <v>33</v>
      </c>
      <c r="E11" s="907" t="s">
        <v>357</v>
      </c>
      <c r="F11" s="24">
        <v>3301</v>
      </c>
      <c r="G11" s="188" t="s">
        <v>358</v>
      </c>
      <c r="H11" s="23">
        <v>3301087</v>
      </c>
      <c r="I11" s="188" t="s">
        <v>529</v>
      </c>
      <c r="J11" s="23">
        <v>3301087</v>
      </c>
      <c r="K11" s="188" t="s">
        <v>529</v>
      </c>
      <c r="L11" s="23">
        <v>330108701</v>
      </c>
      <c r="M11" s="188" t="s">
        <v>530</v>
      </c>
      <c r="N11" s="23">
        <v>330108701</v>
      </c>
      <c r="O11" s="188" t="s">
        <v>530</v>
      </c>
      <c r="P11" s="23">
        <v>5750</v>
      </c>
      <c r="Q11" s="23"/>
      <c r="R11" s="23">
        <f t="shared" ref="R11:R45" si="0">SUM(P11:Q11)</f>
        <v>5750</v>
      </c>
      <c r="S11" s="24">
        <v>2020003630021</v>
      </c>
      <c r="T11" s="188" t="s">
        <v>531</v>
      </c>
      <c r="U11" s="25">
        <f>SUM($Y$11:$Y$12)/SUM($Y$11:$Y$31)</f>
        <v>8.9941447949687475E-2</v>
      </c>
      <c r="V11" s="188" t="s">
        <v>532</v>
      </c>
      <c r="W11" s="188" t="s">
        <v>533</v>
      </c>
      <c r="X11" s="188" t="s">
        <v>534</v>
      </c>
      <c r="Y11" s="365">
        <v>307000000</v>
      </c>
      <c r="Z11" s="365"/>
      <c r="AA11" s="365"/>
      <c r="AB11" s="365"/>
      <c r="AC11" s="365">
        <f>Y11-Z11+AA11-AB11</f>
        <v>307000000</v>
      </c>
      <c r="AD11" s="366" t="s">
        <v>535</v>
      </c>
      <c r="AE11" s="367">
        <v>20</v>
      </c>
      <c r="AF11" s="188" t="s">
        <v>132</v>
      </c>
      <c r="AG11" s="204">
        <v>85275</v>
      </c>
      <c r="AH11" s="204">
        <v>85275</v>
      </c>
      <c r="AI11" s="204">
        <v>25580</v>
      </c>
      <c r="AJ11" s="204">
        <v>42638</v>
      </c>
      <c r="AK11" s="204">
        <v>68221</v>
      </c>
      <c r="AL11" s="204">
        <v>17055</v>
      </c>
      <c r="AM11" s="204">
        <v>8528</v>
      </c>
      <c r="AN11" s="204">
        <v>8528</v>
      </c>
      <c r="AO11" s="204">
        <v>0</v>
      </c>
      <c r="AP11" s="204">
        <v>0</v>
      </c>
      <c r="AQ11" s="204">
        <v>0</v>
      </c>
      <c r="AR11" s="204">
        <v>0</v>
      </c>
      <c r="AS11" s="204">
        <v>0</v>
      </c>
      <c r="AT11" s="204">
        <v>0</v>
      </c>
      <c r="AU11" s="204">
        <v>0</v>
      </c>
      <c r="AV11" s="204">
        <v>170550</v>
      </c>
      <c r="AW11" s="368">
        <v>45292</v>
      </c>
      <c r="AX11" s="368">
        <v>45657</v>
      </c>
      <c r="AY11" s="188" t="s">
        <v>536</v>
      </c>
    </row>
    <row r="12" spans="2:69" ht="116.25" customHeight="1" x14ac:dyDescent="0.2">
      <c r="B12" s="375">
        <v>1</v>
      </c>
      <c r="C12" s="188" t="s">
        <v>315</v>
      </c>
      <c r="D12" s="23">
        <v>33</v>
      </c>
      <c r="E12" s="907" t="s">
        <v>357</v>
      </c>
      <c r="F12" s="24">
        <v>3301</v>
      </c>
      <c r="G12" s="188" t="s">
        <v>358</v>
      </c>
      <c r="H12" s="23">
        <v>3301087</v>
      </c>
      <c r="I12" s="188" t="s">
        <v>529</v>
      </c>
      <c r="J12" s="23">
        <v>3301087</v>
      </c>
      <c r="K12" s="188" t="s">
        <v>529</v>
      </c>
      <c r="L12" s="23">
        <v>330108701</v>
      </c>
      <c r="M12" s="188" t="s">
        <v>530</v>
      </c>
      <c r="N12" s="23">
        <v>330108701</v>
      </c>
      <c r="O12" s="188" t="s">
        <v>530</v>
      </c>
      <c r="P12" s="23">
        <v>5750</v>
      </c>
      <c r="Q12" s="23"/>
      <c r="R12" s="23">
        <f t="shared" si="0"/>
        <v>5750</v>
      </c>
      <c r="S12" s="24">
        <v>2020003630021</v>
      </c>
      <c r="T12" s="188" t="s">
        <v>531</v>
      </c>
      <c r="U12" s="25">
        <f>SUM($Y$11:$Y$12)/SUM($Y$11:$Y$31)</f>
        <v>8.9941447949687475E-2</v>
      </c>
      <c r="V12" s="188" t="s">
        <v>532</v>
      </c>
      <c r="W12" s="188" t="s">
        <v>533</v>
      </c>
      <c r="X12" s="188" t="s">
        <v>534</v>
      </c>
      <c r="Y12" s="365">
        <v>3000000</v>
      </c>
      <c r="Z12" s="365"/>
      <c r="AA12" s="365"/>
      <c r="AB12" s="365"/>
      <c r="AC12" s="365">
        <f t="shared" ref="AC12:AC45" si="1">Y12-Z12+AA12-AB12</f>
        <v>3000000</v>
      </c>
      <c r="AD12" s="366" t="s">
        <v>537</v>
      </c>
      <c r="AE12" s="367">
        <v>20</v>
      </c>
      <c r="AF12" s="188" t="s">
        <v>132</v>
      </c>
      <c r="AG12" s="204">
        <v>85275</v>
      </c>
      <c r="AH12" s="204">
        <v>85275</v>
      </c>
      <c r="AI12" s="204">
        <v>25580</v>
      </c>
      <c r="AJ12" s="204">
        <v>42638</v>
      </c>
      <c r="AK12" s="204">
        <v>68221</v>
      </c>
      <c r="AL12" s="204">
        <v>17055</v>
      </c>
      <c r="AM12" s="204">
        <v>8528</v>
      </c>
      <c r="AN12" s="204">
        <v>8528</v>
      </c>
      <c r="AO12" s="204">
        <v>0</v>
      </c>
      <c r="AP12" s="204">
        <v>0</v>
      </c>
      <c r="AQ12" s="204">
        <v>0</v>
      </c>
      <c r="AR12" s="204">
        <v>0</v>
      </c>
      <c r="AS12" s="204">
        <v>0</v>
      </c>
      <c r="AT12" s="204">
        <v>0</v>
      </c>
      <c r="AU12" s="204">
        <v>0</v>
      </c>
      <c r="AV12" s="204">
        <v>170550</v>
      </c>
      <c r="AW12" s="368" t="s">
        <v>538</v>
      </c>
      <c r="AX12" s="368">
        <v>45657</v>
      </c>
      <c r="AY12" s="188" t="s">
        <v>536</v>
      </c>
    </row>
    <row r="13" spans="2:69" ht="116.25" customHeight="1" x14ac:dyDescent="0.2">
      <c r="B13" s="375">
        <v>1</v>
      </c>
      <c r="C13" s="188" t="s">
        <v>315</v>
      </c>
      <c r="D13" s="23">
        <v>33</v>
      </c>
      <c r="E13" s="907" t="s">
        <v>357</v>
      </c>
      <c r="F13" s="24">
        <v>3301</v>
      </c>
      <c r="G13" s="188" t="s">
        <v>358</v>
      </c>
      <c r="H13" s="23">
        <v>3301073</v>
      </c>
      <c r="I13" s="188" t="s">
        <v>540</v>
      </c>
      <c r="J13" s="23">
        <v>3301073</v>
      </c>
      <c r="K13" s="188" t="s">
        <v>540</v>
      </c>
      <c r="L13" s="23">
        <v>330107301</v>
      </c>
      <c r="M13" s="188" t="s">
        <v>541</v>
      </c>
      <c r="N13" s="23">
        <v>330107301</v>
      </c>
      <c r="O13" s="188" t="s">
        <v>541</v>
      </c>
      <c r="P13" s="23">
        <v>550</v>
      </c>
      <c r="Q13" s="23"/>
      <c r="R13" s="23">
        <f t="shared" si="0"/>
        <v>550</v>
      </c>
      <c r="S13" s="24">
        <v>2020003630021</v>
      </c>
      <c r="T13" s="188" t="s">
        <v>531</v>
      </c>
      <c r="U13" s="80">
        <f>SUM($Y$13:$Y$26)/SUM($Y$11:$Y$31)</f>
        <v>0.87234117065205652</v>
      </c>
      <c r="V13" s="188" t="s">
        <v>532</v>
      </c>
      <c r="W13" s="188" t="s">
        <v>533</v>
      </c>
      <c r="X13" s="188" t="s">
        <v>534</v>
      </c>
      <c r="Y13" s="369">
        <v>69593784.200000003</v>
      </c>
      <c r="Z13" s="369"/>
      <c r="AA13" s="369"/>
      <c r="AB13" s="369"/>
      <c r="AC13" s="365">
        <f t="shared" si="1"/>
        <v>69593784.200000003</v>
      </c>
      <c r="AD13" s="366" t="s">
        <v>539</v>
      </c>
      <c r="AE13" s="367">
        <v>20</v>
      </c>
      <c r="AF13" s="188" t="s">
        <v>132</v>
      </c>
      <c r="AG13" s="204">
        <v>85275</v>
      </c>
      <c r="AH13" s="204">
        <v>85275</v>
      </c>
      <c r="AI13" s="204">
        <v>25580</v>
      </c>
      <c r="AJ13" s="204">
        <v>42638</v>
      </c>
      <c r="AK13" s="204">
        <v>68221</v>
      </c>
      <c r="AL13" s="204">
        <v>17055</v>
      </c>
      <c r="AM13" s="204">
        <v>8528</v>
      </c>
      <c r="AN13" s="204">
        <v>8528</v>
      </c>
      <c r="AO13" s="204">
        <v>0</v>
      </c>
      <c r="AP13" s="204">
        <v>0</v>
      </c>
      <c r="AQ13" s="204">
        <v>0</v>
      </c>
      <c r="AR13" s="204">
        <v>0</v>
      </c>
      <c r="AS13" s="204">
        <v>0</v>
      </c>
      <c r="AT13" s="204">
        <v>0</v>
      </c>
      <c r="AU13" s="204">
        <v>0</v>
      </c>
      <c r="AV13" s="204">
        <v>170550</v>
      </c>
      <c r="AW13" s="368">
        <v>45292</v>
      </c>
      <c r="AX13" s="368">
        <v>45657</v>
      </c>
      <c r="AY13" s="188" t="s">
        <v>536</v>
      </c>
    </row>
    <row r="14" spans="2:69" ht="116.25" customHeight="1" x14ac:dyDescent="0.2">
      <c r="B14" s="375">
        <v>1</v>
      </c>
      <c r="C14" s="188" t="s">
        <v>315</v>
      </c>
      <c r="D14" s="23">
        <v>33</v>
      </c>
      <c r="E14" s="907" t="s">
        <v>357</v>
      </c>
      <c r="F14" s="24">
        <v>3301</v>
      </c>
      <c r="G14" s="188" t="s">
        <v>358</v>
      </c>
      <c r="H14" s="23">
        <v>3301073</v>
      </c>
      <c r="I14" s="188" t="s">
        <v>540</v>
      </c>
      <c r="J14" s="23">
        <v>3301073</v>
      </c>
      <c r="K14" s="188" t="s">
        <v>540</v>
      </c>
      <c r="L14" s="23">
        <v>330107301</v>
      </c>
      <c r="M14" s="188" t="s">
        <v>541</v>
      </c>
      <c r="N14" s="23">
        <v>330107301</v>
      </c>
      <c r="O14" s="188" t="s">
        <v>541</v>
      </c>
      <c r="P14" s="23">
        <v>550</v>
      </c>
      <c r="Q14" s="23"/>
      <c r="R14" s="23">
        <f t="shared" si="0"/>
        <v>550</v>
      </c>
      <c r="S14" s="24">
        <v>2020003630021</v>
      </c>
      <c r="T14" s="188" t="s">
        <v>531</v>
      </c>
      <c r="U14" s="80">
        <f t="shared" ref="U14:U26" si="2">SUM($Y$13:$Y$26)/SUM($Y$11:$Y$31)</f>
        <v>0.87234117065205652</v>
      </c>
      <c r="V14" s="188" t="s">
        <v>532</v>
      </c>
      <c r="W14" s="188" t="s">
        <v>542</v>
      </c>
      <c r="X14" s="188" t="s">
        <v>543</v>
      </c>
      <c r="Y14" s="369">
        <v>858000000</v>
      </c>
      <c r="Z14" s="369"/>
      <c r="AA14" s="369"/>
      <c r="AB14" s="369"/>
      <c r="AC14" s="365">
        <f t="shared" si="1"/>
        <v>858000000</v>
      </c>
      <c r="AD14" s="366" t="s">
        <v>539</v>
      </c>
      <c r="AE14" s="367">
        <v>20</v>
      </c>
      <c r="AF14" s="188" t="s">
        <v>132</v>
      </c>
      <c r="AG14" s="204">
        <v>85275</v>
      </c>
      <c r="AH14" s="204">
        <v>85275</v>
      </c>
      <c r="AI14" s="204">
        <v>25580</v>
      </c>
      <c r="AJ14" s="204">
        <v>42638</v>
      </c>
      <c r="AK14" s="204">
        <v>68221</v>
      </c>
      <c r="AL14" s="204">
        <v>17055</v>
      </c>
      <c r="AM14" s="204">
        <v>8528</v>
      </c>
      <c r="AN14" s="204">
        <v>8528</v>
      </c>
      <c r="AO14" s="204">
        <v>0</v>
      </c>
      <c r="AP14" s="204">
        <v>0</v>
      </c>
      <c r="AQ14" s="204">
        <v>0</v>
      </c>
      <c r="AR14" s="204">
        <v>0</v>
      </c>
      <c r="AS14" s="204">
        <v>0</v>
      </c>
      <c r="AT14" s="204">
        <v>0</v>
      </c>
      <c r="AU14" s="204">
        <v>0</v>
      </c>
      <c r="AV14" s="204">
        <v>170550</v>
      </c>
      <c r="AW14" s="368" t="s">
        <v>544</v>
      </c>
      <c r="AX14" s="368">
        <v>45657</v>
      </c>
      <c r="AY14" s="188" t="s">
        <v>536</v>
      </c>
    </row>
    <row r="15" spans="2:69" ht="116.25" customHeight="1" x14ac:dyDescent="0.2">
      <c r="B15" s="375">
        <v>1</v>
      </c>
      <c r="C15" s="188" t="s">
        <v>315</v>
      </c>
      <c r="D15" s="23">
        <v>33</v>
      </c>
      <c r="E15" s="907" t="s">
        <v>357</v>
      </c>
      <c r="F15" s="24">
        <v>3301</v>
      </c>
      <c r="G15" s="188" t="s">
        <v>358</v>
      </c>
      <c r="H15" s="23">
        <v>3301073</v>
      </c>
      <c r="I15" s="188" t="s">
        <v>540</v>
      </c>
      <c r="J15" s="23">
        <v>3301073</v>
      </c>
      <c r="K15" s="188" t="s">
        <v>540</v>
      </c>
      <c r="L15" s="23">
        <v>330107301</v>
      </c>
      <c r="M15" s="188" t="s">
        <v>541</v>
      </c>
      <c r="N15" s="23">
        <v>330107301</v>
      </c>
      <c r="O15" s="188" t="s">
        <v>541</v>
      </c>
      <c r="P15" s="23">
        <v>550</v>
      </c>
      <c r="Q15" s="23"/>
      <c r="R15" s="23">
        <f t="shared" si="0"/>
        <v>550</v>
      </c>
      <c r="S15" s="24">
        <v>2020003630021</v>
      </c>
      <c r="T15" s="188" t="s">
        <v>531</v>
      </c>
      <c r="U15" s="80">
        <f t="shared" si="2"/>
        <v>0.87234117065205652</v>
      </c>
      <c r="V15" s="188" t="s">
        <v>532</v>
      </c>
      <c r="W15" s="188" t="s">
        <v>542</v>
      </c>
      <c r="X15" s="188" t="s">
        <v>543</v>
      </c>
      <c r="Y15" s="369">
        <v>90000000</v>
      </c>
      <c r="Z15" s="369"/>
      <c r="AA15" s="369"/>
      <c r="AB15" s="369"/>
      <c r="AC15" s="365">
        <f t="shared" si="1"/>
        <v>90000000</v>
      </c>
      <c r="AD15" s="366" t="s">
        <v>545</v>
      </c>
      <c r="AE15" s="371">
        <v>39</v>
      </c>
      <c r="AF15" s="188" t="s">
        <v>546</v>
      </c>
      <c r="AG15" s="204">
        <v>85275</v>
      </c>
      <c r="AH15" s="204">
        <v>85275</v>
      </c>
      <c r="AI15" s="204">
        <v>25580</v>
      </c>
      <c r="AJ15" s="204">
        <v>42638</v>
      </c>
      <c r="AK15" s="204">
        <v>68221</v>
      </c>
      <c r="AL15" s="204">
        <v>17055</v>
      </c>
      <c r="AM15" s="204">
        <v>8528</v>
      </c>
      <c r="AN15" s="204">
        <v>8528</v>
      </c>
      <c r="AO15" s="204">
        <v>0</v>
      </c>
      <c r="AP15" s="204">
        <v>0</v>
      </c>
      <c r="AQ15" s="204">
        <v>0</v>
      </c>
      <c r="AR15" s="204">
        <v>0</v>
      </c>
      <c r="AS15" s="204">
        <v>0</v>
      </c>
      <c r="AT15" s="204">
        <v>0</v>
      </c>
      <c r="AU15" s="204">
        <v>0</v>
      </c>
      <c r="AV15" s="204">
        <v>170550</v>
      </c>
      <c r="AW15" s="368" t="s">
        <v>547</v>
      </c>
      <c r="AX15" s="368">
        <v>45657</v>
      </c>
      <c r="AY15" s="188" t="s">
        <v>536</v>
      </c>
    </row>
    <row r="16" spans="2:69" ht="116.25" customHeight="1" x14ac:dyDescent="0.2">
      <c r="B16" s="375">
        <v>1</v>
      </c>
      <c r="C16" s="188" t="s">
        <v>315</v>
      </c>
      <c r="D16" s="23">
        <v>33</v>
      </c>
      <c r="E16" s="907" t="s">
        <v>357</v>
      </c>
      <c r="F16" s="24">
        <v>3301</v>
      </c>
      <c r="G16" s="188" t="s">
        <v>358</v>
      </c>
      <c r="H16" s="23">
        <v>3301073</v>
      </c>
      <c r="I16" s="188" t="s">
        <v>540</v>
      </c>
      <c r="J16" s="23">
        <v>3301073</v>
      </c>
      <c r="K16" s="188" t="s">
        <v>540</v>
      </c>
      <c r="L16" s="23">
        <v>330107301</v>
      </c>
      <c r="M16" s="188" t="s">
        <v>541</v>
      </c>
      <c r="N16" s="23">
        <v>330107301</v>
      </c>
      <c r="O16" s="188" t="s">
        <v>541</v>
      </c>
      <c r="P16" s="23">
        <v>550</v>
      </c>
      <c r="Q16" s="23"/>
      <c r="R16" s="23">
        <f t="shared" si="0"/>
        <v>550</v>
      </c>
      <c r="S16" s="24">
        <v>2020003630021</v>
      </c>
      <c r="T16" s="188" t="s">
        <v>531</v>
      </c>
      <c r="U16" s="80">
        <f t="shared" si="2"/>
        <v>0.87234117065205652</v>
      </c>
      <c r="V16" s="188" t="s">
        <v>532</v>
      </c>
      <c r="W16" s="188" t="s">
        <v>542</v>
      </c>
      <c r="X16" s="188" t="s">
        <v>548</v>
      </c>
      <c r="Y16" s="369">
        <v>100000000</v>
      </c>
      <c r="Z16" s="369">
        <f>10500000+10000000</f>
        <v>20500000</v>
      </c>
      <c r="AA16" s="369"/>
      <c r="AB16" s="369"/>
      <c r="AC16" s="365">
        <f t="shared" si="1"/>
        <v>79500000</v>
      </c>
      <c r="AD16" s="366" t="s">
        <v>539</v>
      </c>
      <c r="AE16" s="367">
        <v>20</v>
      </c>
      <c r="AF16" s="188" t="s">
        <v>132</v>
      </c>
      <c r="AG16" s="204">
        <v>85275</v>
      </c>
      <c r="AH16" s="204">
        <v>85275</v>
      </c>
      <c r="AI16" s="204">
        <v>25580</v>
      </c>
      <c r="AJ16" s="204">
        <v>42638</v>
      </c>
      <c r="AK16" s="204">
        <v>68221</v>
      </c>
      <c r="AL16" s="204">
        <v>17055</v>
      </c>
      <c r="AM16" s="204">
        <v>8528</v>
      </c>
      <c r="AN16" s="204">
        <v>8528</v>
      </c>
      <c r="AO16" s="204">
        <v>0</v>
      </c>
      <c r="AP16" s="204">
        <v>0</v>
      </c>
      <c r="AQ16" s="204">
        <v>0</v>
      </c>
      <c r="AR16" s="204">
        <v>0</v>
      </c>
      <c r="AS16" s="204">
        <v>0</v>
      </c>
      <c r="AT16" s="204">
        <v>0</v>
      </c>
      <c r="AU16" s="204">
        <v>0</v>
      </c>
      <c r="AV16" s="204">
        <v>170550</v>
      </c>
      <c r="AW16" s="368">
        <v>45292</v>
      </c>
      <c r="AX16" s="368">
        <v>45657</v>
      </c>
      <c r="AY16" s="188" t="s">
        <v>536</v>
      </c>
    </row>
    <row r="17" spans="2:51" ht="116.25" customHeight="1" x14ac:dyDescent="0.2">
      <c r="B17" s="375">
        <v>1</v>
      </c>
      <c r="C17" s="188" t="s">
        <v>315</v>
      </c>
      <c r="D17" s="23">
        <v>33</v>
      </c>
      <c r="E17" s="907" t="s">
        <v>357</v>
      </c>
      <c r="F17" s="24">
        <v>3301</v>
      </c>
      <c r="G17" s="188" t="s">
        <v>358</v>
      </c>
      <c r="H17" s="23">
        <v>3301073</v>
      </c>
      <c r="I17" s="188" t="s">
        <v>540</v>
      </c>
      <c r="J17" s="23">
        <v>3301073</v>
      </c>
      <c r="K17" s="188" t="s">
        <v>540</v>
      </c>
      <c r="L17" s="23">
        <v>330107301</v>
      </c>
      <c r="M17" s="188" t="s">
        <v>541</v>
      </c>
      <c r="N17" s="23">
        <v>330107301</v>
      </c>
      <c r="O17" s="188" t="s">
        <v>541</v>
      </c>
      <c r="P17" s="23">
        <v>550</v>
      </c>
      <c r="Q17" s="23"/>
      <c r="R17" s="23">
        <f t="shared" si="0"/>
        <v>550</v>
      </c>
      <c r="S17" s="24">
        <v>2020003630021</v>
      </c>
      <c r="T17" s="188" t="s">
        <v>531</v>
      </c>
      <c r="U17" s="80">
        <f t="shared" si="2"/>
        <v>0.87234117065205652</v>
      </c>
      <c r="V17" s="188" t="s">
        <v>532</v>
      </c>
      <c r="W17" s="188" t="s">
        <v>542</v>
      </c>
      <c r="X17" s="188" t="s">
        <v>548</v>
      </c>
      <c r="Y17" s="369">
        <v>77789400</v>
      </c>
      <c r="Z17" s="369"/>
      <c r="AA17" s="369"/>
      <c r="AB17" s="369"/>
      <c r="AC17" s="365">
        <f t="shared" si="1"/>
        <v>77789400</v>
      </c>
      <c r="AD17" s="366" t="s">
        <v>545</v>
      </c>
      <c r="AE17" s="371">
        <v>39</v>
      </c>
      <c r="AF17" s="188" t="s">
        <v>546</v>
      </c>
      <c r="AG17" s="204">
        <v>85275</v>
      </c>
      <c r="AH17" s="204">
        <v>85275</v>
      </c>
      <c r="AI17" s="204">
        <v>25580</v>
      </c>
      <c r="AJ17" s="204">
        <v>42638</v>
      </c>
      <c r="AK17" s="204">
        <v>68221</v>
      </c>
      <c r="AL17" s="204">
        <v>17055</v>
      </c>
      <c r="AM17" s="204">
        <v>8528</v>
      </c>
      <c r="AN17" s="204">
        <v>8528</v>
      </c>
      <c r="AO17" s="204">
        <v>0</v>
      </c>
      <c r="AP17" s="204">
        <v>0</v>
      </c>
      <c r="AQ17" s="204">
        <v>0</v>
      </c>
      <c r="AR17" s="204">
        <v>0</v>
      </c>
      <c r="AS17" s="204">
        <v>0</v>
      </c>
      <c r="AT17" s="204">
        <v>0</v>
      </c>
      <c r="AU17" s="204">
        <v>0</v>
      </c>
      <c r="AV17" s="204">
        <v>170550</v>
      </c>
      <c r="AW17" s="368" t="s">
        <v>549</v>
      </c>
      <c r="AX17" s="368">
        <v>45657</v>
      </c>
      <c r="AY17" s="188" t="s">
        <v>536</v>
      </c>
    </row>
    <row r="18" spans="2:51" ht="116.25" customHeight="1" x14ac:dyDescent="0.2">
      <c r="B18" s="375">
        <v>1</v>
      </c>
      <c r="C18" s="188" t="s">
        <v>315</v>
      </c>
      <c r="D18" s="23">
        <v>33</v>
      </c>
      <c r="E18" s="907" t="s">
        <v>357</v>
      </c>
      <c r="F18" s="24">
        <v>3301</v>
      </c>
      <c r="G18" s="188" t="s">
        <v>358</v>
      </c>
      <c r="H18" s="23">
        <v>3301073</v>
      </c>
      <c r="I18" s="188" t="s">
        <v>540</v>
      </c>
      <c r="J18" s="23">
        <v>3301073</v>
      </c>
      <c r="K18" s="188" t="s">
        <v>540</v>
      </c>
      <c r="L18" s="23">
        <v>330107301</v>
      </c>
      <c r="M18" s="188" t="s">
        <v>541</v>
      </c>
      <c r="N18" s="23">
        <v>330107301</v>
      </c>
      <c r="O18" s="188" t="s">
        <v>541</v>
      </c>
      <c r="P18" s="23">
        <v>600</v>
      </c>
      <c r="Q18" s="23"/>
      <c r="R18" s="23">
        <f t="shared" si="0"/>
        <v>600</v>
      </c>
      <c r="S18" s="24">
        <v>2020003630021</v>
      </c>
      <c r="T18" s="188" t="s">
        <v>531</v>
      </c>
      <c r="U18" s="80">
        <f t="shared" si="2"/>
        <v>0.87234117065205652</v>
      </c>
      <c r="V18" s="188" t="s">
        <v>532</v>
      </c>
      <c r="W18" s="188" t="s">
        <v>542</v>
      </c>
      <c r="X18" s="188" t="s">
        <v>550</v>
      </c>
      <c r="Y18" s="369">
        <v>40000000</v>
      </c>
      <c r="Z18" s="369">
        <f>8100000+16200000</f>
        <v>24300000</v>
      </c>
      <c r="AA18" s="369"/>
      <c r="AB18" s="369"/>
      <c r="AC18" s="365">
        <f t="shared" si="1"/>
        <v>15700000</v>
      </c>
      <c r="AD18" s="366" t="s">
        <v>551</v>
      </c>
      <c r="AE18" s="367">
        <v>20</v>
      </c>
      <c r="AF18" s="188" t="s">
        <v>132</v>
      </c>
      <c r="AG18" s="204">
        <v>85275</v>
      </c>
      <c r="AH18" s="204">
        <v>85275</v>
      </c>
      <c r="AI18" s="204">
        <v>25580</v>
      </c>
      <c r="AJ18" s="204">
        <v>42638</v>
      </c>
      <c r="AK18" s="204">
        <v>68221</v>
      </c>
      <c r="AL18" s="204">
        <v>17055</v>
      </c>
      <c r="AM18" s="204">
        <v>8528</v>
      </c>
      <c r="AN18" s="204">
        <v>8528</v>
      </c>
      <c r="AO18" s="204">
        <v>0</v>
      </c>
      <c r="AP18" s="204">
        <v>0</v>
      </c>
      <c r="AQ18" s="204">
        <v>0</v>
      </c>
      <c r="AR18" s="204">
        <v>0</v>
      </c>
      <c r="AS18" s="204">
        <v>0</v>
      </c>
      <c r="AT18" s="204">
        <v>0</v>
      </c>
      <c r="AU18" s="204">
        <v>0</v>
      </c>
      <c r="AV18" s="204">
        <v>170550</v>
      </c>
      <c r="AW18" s="368">
        <v>45292</v>
      </c>
      <c r="AX18" s="368">
        <v>45657</v>
      </c>
      <c r="AY18" s="188" t="s">
        <v>536</v>
      </c>
    </row>
    <row r="19" spans="2:51" ht="116.25" customHeight="1" x14ac:dyDescent="0.2">
      <c r="B19" s="375">
        <v>1</v>
      </c>
      <c r="C19" s="188" t="s">
        <v>315</v>
      </c>
      <c r="D19" s="23">
        <v>33</v>
      </c>
      <c r="E19" s="907" t="s">
        <v>357</v>
      </c>
      <c r="F19" s="24">
        <v>3301</v>
      </c>
      <c r="G19" s="188" t="s">
        <v>358</v>
      </c>
      <c r="H19" s="23">
        <v>3301073</v>
      </c>
      <c r="I19" s="188" t="s">
        <v>540</v>
      </c>
      <c r="J19" s="23">
        <v>3301073</v>
      </c>
      <c r="K19" s="188" t="s">
        <v>540</v>
      </c>
      <c r="L19" s="23">
        <v>330107301</v>
      </c>
      <c r="M19" s="188" t="s">
        <v>541</v>
      </c>
      <c r="N19" s="23">
        <v>330107301</v>
      </c>
      <c r="O19" s="188" t="s">
        <v>541</v>
      </c>
      <c r="P19" s="23">
        <v>600</v>
      </c>
      <c r="Q19" s="23"/>
      <c r="R19" s="23">
        <f t="shared" si="0"/>
        <v>600</v>
      </c>
      <c r="S19" s="24">
        <v>2020003630021</v>
      </c>
      <c r="T19" s="188" t="s">
        <v>531</v>
      </c>
      <c r="U19" s="80">
        <f t="shared" si="2"/>
        <v>0.87234117065205652</v>
      </c>
      <c r="V19" s="188" t="s">
        <v>532</v>
      </c>
      <c r="W19" s="188" t="s">
        <v>542</v>
      </c>
      <c r="X19" s="188" t="s">
        <v>550</v>
      </c>
      <c r="Y19" s="369">
        <v>150000000</v>
      </c>
      <c r="Z19" s="369"/>
      <c r="AA19" s="369"/>
      <c r="AB19" s="369"/>
      <c r="AC19" s="365">
        <f t="shared" si="1"/>
        <v>150000000</v>
      </c>
      <c r="AD19" s="366" t="s">
        <v>552</v>
      </c>
      <c r="AE19" s="371">
        <v>39</v>
      </c>
      <c r="AF19" s="188" t="s">
        <v>546</v>
      </c>
      <c r="AG19" s="204">
        <v>85275</v>
      </c>
      <c r="AH19" s="204">
        <v>85275</v>
      </c>
      <c r="AI19" s="204">
        <v>25580</v>
      </c>
      <c r="AJ19" s="204">
        <v>42638</v>
      </c>
      <c r="AK19" s="204">
        <v>68221</v>
      </c>
      <c r="AL19" s="204">
        <v>17055</v>
      </c>
      <c r="AM19" s="204">
        <v>8528</v>
      </c>
      <c r="AN19" s="204">
        <v>8528</v>
      </c>
      <c r="AO19" s="204">
        <v>0</v>
      </c>
      <c r="AP19" s="204">
        <v>0</v>
      </c>
      <c r="AQ19" s="204">
        <v>0</v>
      </c>
      <c r="AR19" s="204">
        <v>0</v>
      </c>
      <c r="AS19" s="204">
        <v>0</v>
      </c>
      <c r="AT19" s="204">
        <v>0</v>
      </c>
      <c r="AU19" s="204">
        <v>0</v>
      </c>
      <c r="AV19" s="204">
        <v>170550</v>
      </c>
      <c r="AW19" s="368" t="s">
        <v>553</v>
      </c>
      <c r="AX19" s="368">
        <v>45657</v>
      </c>
      <c r="AY19" s="188" t="s">
        <v>536</v>
      </c>
    </row>
    <row r="20" spans="2:51" ht="116.25" customHeight="1" x14ac:dyDescent="0.2">
      <c r="B20" s="375">
        <v>1</v>
      </c>
      <c r="C20" s="188" t="s">
        <v>315</v>
      </c>
      <c r="D20" s="23">
        <v>33</v>
      </c>
      <c r="E20" s="907" t="s">
        <v>357</v>
      </c>
      <c r="F20" s="24">
        <v>3301</v>
      </c>
      <c r="G20" s="188" t="s">
        <v>358</v>
      </c>
      <c r="H20" s="23">
        <v>3301073</v>
      </c>
      <c r="I20" s="188" t="s">
        <v>540</v>
      </c>
      <c r="J20" s="23">
        <v>3301073</v>
      </c>
      <c r="K20" s="188" t="s">
        <v>540</v>
      </c>
      <c r="L20" s="23">
        <v>330107301</v>
      </c>
      <c r="M20" s="188" t="s">
        <v>541</v>
      </c>
      <c r="N20" s="23">
        <v>330107301</v>
      </c>
      <c r="O20" s="188" t="s">
        <v>541</v>
      </c>
      <c r="P20" s="23">
        <v>600</v>
      </c>
      <c r="Q20" s="23"/>
      <c r="R20" s="23">
        <f t="shared" si="0"/>
        <v>600</v>
      </c>
      <c r="S20" s="24">
        <v>2020003630021</v>
      </c>
      <c r="T20" s="188" t="s">
        <v>531</v>
      </c>
      <c r="U20" s="80">
        <f t="shared" si="2"/>
        <v>0.87234117065205652</v>
      </c>
      <c r="V20" s="188" t="s">
        <v>532</v>
      </c>
      <c r="W20" s="188" t="s">
        <v>542</v>
      </c>
      <c r="X20" s="188" t="s">
        <v>550</v>
      </c>
      <c r="Y20" s="369">
        <v>38121840</v>
      </c>
      <c r="Z20" s="369"/>
      <c r="AA20" s="369"/>
      <c r="AB20" s="369"/>
      <c r="AC20" s="365">
        <f t="shared" si="1"/>
        <v>38121840</v>
      </c>
      <c r="AD20" s="366" t="s">
        <v>554</v>
      </c>
      <c r="AE20" s="65">
        <v>41</v>
      </c>
      <c r="AF20" s="188" t="s">
        <v>555</v>
      </c>
      <c r="AG20" s="204">
        <v>85275</v>
      </c>
      <c r="AH20" s="204">
        <v>85275</v>
      </c>
      <c r="AI20" s="204">
        <v>25580</v>
      </c>
      <c r="AJ20" s="204">
        <v>42638</v>
      </c>
      <c r="AK20" s="204">
        <v>68221</v>
      </c>
      <c r="AL20" s="204">
        <v>17055</v>
      </c>
      <c r="AM20" s="204">
        <v>8528</v>
      </c>
      <c r="AN20" s="204">
        <v>8528</v>
      </c>
      <c r="AO20" s="204">
        <v>0</v>
      </c>
      <c r="AP20" s="204">
        <v>0</v>
      </c>
      <c r="AQ20" s="204">
        <v>0</v>
      </c>
      <c r="AR20" s="204">
        <v>0</v>
      </c>
      <c r="AS20" s="204">
        <v>0</v>
      </c>
      <c r="AT20" s="204">
        <v>0</v>
      </c>
      <c r="AU20" s="204">
        <v>0</v>
      </c>
      <c r="AV20" s="204">
        <v>170550</v>
      </c>
      <c r="AW20" s="368">
        <v>45292</v>
      </c>
      <c r="AX20" s="368">
        <v>45657</v>
      </c>
      <c r="AY20" s="188" t="s">
        <v>536</v>
      </c>
    </row>
    <row r="21" spans="2:51" ht="116.25" customHeight="1" x14ac:dyDescent="0.2">
      <c r="B21" s="375">
        <v>1</v>
      </c>
      <c r="C21" s="188" t="s">
        <v>315</v>
      </c>
      <c r="D21" s="23">
        <v>33</v>
      </c>
      <c r="E21" s="907" t="s">
        <v>357</v>
      </c>
      <c r="F21" s="24">
        <v>3301</v>
      </c>
      <c r="G21" s="188" t="s">
        <v>358</v>
      </c>
      <c r="H21" s="23">
        <v>3301073</v>
      </c>
      <c r="I21" s="188" t="s">
        <v>540</v>
      </c>
      <c r="J21" s="23">
        <v>3301073</v>
      </c>
      <c r="K21" s="188" t="s">
        <v>540</v>
      </c>
      <c r="L21" s="23">
        <v>330107301</v>
      </c>
      <c r="M21" s="188" t="s">
        <v>541</v>
      </c>
      <c r="N21" s="23">
        <v>330107301</v>
      </c>
      <c r="O21" s="188" t="s">
        <v>541</v>
      </c>
      <c r="P21" s="23">
        <v>600</v>
      </c>
      <c r="Q21" s="23"/>
      <c r="R21" s="23">
        <f t="shared" si="0"/>
        <v>600</v>
      </c>
      <c r="S21" s="24">
        <v>2020003630021</v>
      </c>
      <c r="T21" s="188" t="s">
        <v>531</v>
      </c>
      <c r="U21" s="80">
        <f t="shared" si="2"/>
        <v>0.87234117065205652</v>
      </c>
      <c r="V21" s="188" t="s">
        <v>532</v>
      </c>
      <c r="W21" s="188" t="s">
        <v>542</v>
      </c>
      <c r="X21" s="188" t="s">
        <v>550</v>
      </c>
      <c r="Y21" s="369">
        <v>3000000</v>
      </c>
      <c r="Z21" s="369"/>
      <c r="AA21" s="369"/>
      <c r="AB21" s="369"/>
      <c r="AC21" s="365">
        <f t="shared" si="1"/>
        <v>3000000</v>
      </c>
      <c r="AD21" s="366" t="s">
        <v>556</v>
      </c>
      <c r="AE21" s="367">
        <v>20</v>
      </c>
      <c r="AF21" s="188" t="s">
        <v>132</v>
      </c>
      <c r="AG21" s="204">
        <v>85275</v>
      </c>
      <c r="AH21" s="204">
        <v>85275</v>
      </c>
      <c r="AI21" s="204">
        <v>25580</v>
      </c>
      <c r="AJ21" s="204">
        <v>42638</v>
      </c>
      <c r="AK21" s="204">
        <v>68221</v>
      </c>
      <c r="AL21" s="204">
        <v>17055</v>
      </c>
      <c r="AM21" s="204">
        <v>8528</v>
      </c>
      <c r="AN21" s="204">
        <v>8528</v>
      </c>
      <c r="AO21" s="204">
        <v>0</v>
      </c>
      <c r="AP21" s="204">
        <v>0</v>
      </c>
      <c r="AQ21" s="204">
        <v>0</v>
      </c>
      <c r="AR21" s="204">
        <v>0</v>
      </c>
      <c r="AS21" s="204">
        <v>0</v>
      </c>
      <c r="AT21" s="204">
        <v>0</v>
      </c>
      <c r="AU21" s="204">
        <v>0</v>
      </c>
      <c r="AV21" s="204">
        <v>170550</v>
      </c>
      <c r="AW21" s="368" t="s">
        <v>557</v>
      </c>
      <c r="AX21" s="368">
        <v>45657</v>
      </c>
      <c r="AY21" s="188" t="s">
        <v>536</v>
      </c>
    </row>
    <row r="22" spans="2:51" ht="116.25" customHeight="1" x14ac:dyDescent="0.2">
      <c r="B22" s="375">
        <v>1</v>
      </c>
      <c r="C22" s="188" t="s">
        <v>315</v>
      </c>
      <c r="D22" s="23">
        <v>33</v>
      </c>
      <c r="E22" s="907" t="s">
        <v>357</v>
      </c>
      <c r="F22" s="24">
        <v>3301</v>
      </c>
      <c r="G22" s="188" t="s">
        <v>358</v>
      </c>
      <c r="H22" s="23">
        <v>3301073</v>
      </c>
      <c r="I22" s="188" t="s">
        <v>540</v>
      </c>
      <c r="J22" s="23">
        <v>3301073</v>
      </c>
      <c r="K22" s="188" t="s">
        <v>540</v>
      </c>
      <c r="L22" s="23">
        <v>330107301</v>
      </c>
      <c r="M22" s="188" t="s">
        <v>541</v>
      </c>
      <c r="N22" s="23">
        <v>330107301</v>
      </c>
      <c r="O22" s="188" t="s">
        <v>541</v>
      </c>
      <c r="P22" s="23">
        <v>600</v>
      </c>
      <c r="Q22" s="23"/>
      <c r="R22" s="23">
        <f t="shared" si="0"/>
        <v>600</v>
      </c>
      <c r="S22" s="24">
        <v>2020003630021</v>
      </c>
      <c r="T22" s="188" t="s">
        <v>531</v>
      </c>
      <c r="U22" s="80">
        <f t="shared" si="2"/>
        <v>0.87234117065205652</v>
      </c>
      <c r="V22" s="188" t="s">
        <v>532</v>
      </c>
      <c r="W22" s="188" t="s">
        <v>542</v>
      </c>
      <c r="X22" s="188" t="s">
        <v>550</v>
      </c>
      <c r="Y22" s="369">
        <v>15000000</v>
      </c>
      <c r="Z22" s="369"/>
      <c r="AA22" s="369"/>
      <c r="AB22" s="369"/>
      <c r="AC22" s="365">
        <f t="shared" si="1"/>
        <v>15000000</v>
      </c>
      <c r="AD22" s="366" t="s">
        <v>558</v>
      </c>
      <c r="AE22" s="367">
        <v>20</v>
      </c>
      <c r="AF22" s="188" t="s">
        <v>132</v>
      </c>
      <c r="AG22" s="204">
        <v>85275</v>
      </c>
      <c r="AH22" s="204">
        <v>85275</v>
      </c>
      <c r="AI22" s="204">
        <v>25580</v>
      </c>
      <c r="AJ22" s="204">
        <v>42638</v>
      </c>
      <c r="AK22" s="204">
        <v>68221</v>
      </c>
      <c r="AL22" s="204">
        <v>17055</v>
      </c>
      <c r="AM22" s="204">
        <v>8528</v>
      </c>
      <c r="AN22" s="204">
        <v>8528</v>
      </c>
      <c r="AO22" s="204">
        <v>0</v>
      </c>
      <c r="AP22" s="204">
        <v>0</v>
      </c>
      <c r="AQ22" s="204">
        <v>0</v>
      </c>
      <c r="AR22" s="204">
        <v>0</v>
      </c>
      <c r="AS22" s="204">
        <v>0</v>
      </c>
      <c r="AT22" s="204">
        <v>0</v>
      </c>
      <c r="AU22" s="204">
        <v>0</v>
      </c>
      <c r="AV22" s="204">
        <v>170550</v>
      </c>
      <c r="AW22" s="368">
        <v>45292</v>
      </c>
      <c r="AX22" s="368">
        <v>45657</v>
      </c>
      <c r="AY22" s="188" t="s">
        <v>536</v>
      </c>
    </row>
    <row r="23" spans="2:51" ht="116.25" customHeight="1" x14ac:dyDescent="0.2">
      <c r="B23" s="375">
        <v>1</v>
      </c>
      <c r="C23" s="188" t="s">
        <v>315</v>
      </c>
      <c r="D23" s="23">
        <v>33</v>
      </c>
      <c r="E23" s="907" t="s">
        <v>357</v>
      </c>
      <c r="F23" s="24">
        <v>3301</v>
      </c>
      <c r="G23" s="188" t="s">
        <v>358</v>
      </c>
      <c r="H23" s="23">
        <v>3301073</v>
      </c>
      <c r="I23" s="188" t="s">
        <v>540</v>
      </c>
      <c r="J23" s="23">
        <v>3301073</v>
      </c>
      <c r="K23" s="188" t="s">
        <v>540</v>
      </c>
      <c r="L23" s="23">
        <v>330107301</v>
      </c>
      <c r="M23" s="188" t="s">
        <v>541</v>
      </c>
      <c r="N23" s="23">
        <v>330107301</v>
      </c>
      <c r="O23" s="188" t="s">
        <v>541</v>
      </c>
      <c r="P23" s="23">
        <v>600</v>
      </c>
      <c r="Q23" s="23"/>
      <c r="R23" s="23">
        <f t="shared" si="0"/>
        <v>600</v>
      </c>
      <c r="S23" s="24">
        <v>2020003630021</v>
      </c>
      <c r="T23" s="188" t="s">
        <v>531</v>
      </c>
      <c r="U23" s="80">
        <f t="shared" si="2"/>
        <v>0.87234117065205652</v>
      </c>
      <c r="V23" s="188" t="s">
        <v>532</v>
      </c>
      <c r="W23" s="188" t="s">
        <v>542</v>
      </c>
      <c r="X23" s="188" t="s">
        <v>550</v>
      </c>
      <c r="Y23" s="369">
        <v>5000000</v>
      </c>
      <c r="Z23" s="369"/>
      <c r="AA23" s="369"/>
      <c r="AB23" s="369"/>
      <c r="AC23" s="365">
        <f t="shared" si="1"/>
        <v>5000000</v>
      </c>
      <c r="AD23" s="366" t="s">
        <v>556</v>
      </c>
      <c r="AE23" s="367">
        <v>20</v>
      </c>
      <c r="AF23" s="188" t="s">
        <v>132</v>
      </c>
      <c r="AG23" s="204">
        <v>85275</v>
      </c>
      <c r="AH23" s="204">
        <v>85275</v>
      </c>
      <c r="AI23" s="204">
        <v>25580</v>
      </c>
      <c r="AJ23" s="204">
        <v>42638</v>
      </c>
      <c r="AK23" s="204">
        <v>68221</v>
      </c>
      <c r="AL23" s="204">
        <v>17055</v>
      </c>
      <c r="AM23" s="204">
        <v>8528</v>
      </c>
      <c r="AN23" s="204">
        <v>8528</v>
      </c>
      <c r="AO23" s="204">
        <v>0</v>
      </c>
      <c r="AP23" s="204">
        <v>0</v>
      </c>
      <c r="AQ23" s="204">
        <v>0</v>
      </c>
      <c r="AR23" s="204">
        <v>0</v>
      </c>
      <c r="AS23" s="204">
        <v>0</v>
      </c>
      <c r="AT23" s="204">
        <v>0</v>
      </c>
      <c r="AU23" s="204">
        <v>0</v>
      </c>
      <c r="AV23" s="204">
        <v>170550</v>
      </c>
      <c r="AW23" s="368" t="s">
        <v>559</v>
      </c>
      <c r="AX23" s="368">
        <v>45657</v>
      </c>
      <c r="AY23" s="188" t="s">
        <v>536</v>
      </c>
    </row>
    <row r="24" spans="2:51" ht="116.25" customHeight="1" x14ac:dyDescent="0.2">
      <c r="B24" s="375">
        <v>1</v>
      </c>
      <c r="C24" s="188" t="s">
        <v>315</v>
      </c>
      <c r="D24" s="23">
        <v>33</v>
      </c>
      <c r="E24" s="907" t="s">
        <v>357</v>
      </c>
      <c r="F24" s="24">
        <v>3301</v>
      </c>
      <c r="G24" s="188" t="s">
        <v>358</v>
      </c>
      <c r="H24" s="23">
        <v>3301073</v>
      </c>
      <c r="I24" s="188" t="s">
        <v>540</v>
      </c>
      <c r="J24" s="23">
        <v>3301073</v>
      </c>
      <c r="K24" s="188" t="s">
        <v>540</v>
      </c>
      <c r="L24" s="23">
        <v>330107301</v>
      </c>
      <c r="M24" s="188" t="s">
        <v>541</v>
      </c>
      <c r="N24" s="23">
        <v>330107301</v>
      </c>
      <c r="O24" s="188" t="s">
        <v>541</v>
      </c>
      <c r="P24" s="23">
        <v>600</v>
      </c>
      <c r="Q24" s="23"/>
      <c r="R24" s="23">
        <f t="shared" si="0"/>
        <v>600</v>
      </c>
      <c r="S24" s="24">
        <v>2020003630021</v>
      </c>
      <c r="T24" s="188" t="s">
        <v>531</v>
      </c>
      <c r="U24" s="80">
        <f t="shared" si="2"/>
        <v>0.87234117065205652</v>
      </c>
      <c r="V24" s="188" t="s">
        <v>532</v>
      </c>
      <c r="W24" s="188" t="s">
        <v>542</v>
      </c>
      <c r="X24" s="765" t="s">
        <v>550</v>
      </c>
      <c r="Y24" s="763">
        <v>10000000</v>
      </c>
      <c r="Z24" s="766"/>
      <c r="AA24" s="763"/>
      <c r="AB24" s="763"/>
      <c r="AC24" s="759">
        <f t="shared" si="1"/>
        <v>10000000</v>
      </c>
      <c r="AD24" s="366" t="s">
        <v>560</v>
      </c>
      <c r="AE24" s="367">
        <v>20</v>
      </c>
      <c r="AF24" s="188" t="s">
        <v>132</v>
      </c>
      <c r="AG24" s="204">
        <v>85275</v>
      </c>
      <c r="AH24" s="204">
        <v>85275</v>
      </c>
      <c r="AI24" s="204">
        <v>25580</v>
      </c>
      <c r="AJ24" s="204">
        <v>42638</v>
      </c>
      <c r="AK24" s="204">
        <v>68221</v>
      </c>
      <c r="AL24" s="204">
        <v>17055</v>
      </c>
      <c r="AM24" s="204">
        <v>8528</v>
      </c>
      <c r="AN24" s="204">
        <v>8528</v>
      </c>
      <c r="AO24" s="204">
        <v>0</v>
      </c>
      <c r="AP24" s="204">
        <v>0</v>
      </c>
      <c r="AQ24" s="204">
        <v>0</v>
      </c>
      <c r="AR24" s="204">
        <v>0</v>
      </c>
      <c r="AS24" s="204">
        <v>0</v>
      </c>
      <c r="AT24" s="204">
        <v>0</v>
      </c>
      <c r="AU24" s="204">
        <v>0</v>
      </c>
      <c r="AV24" s="204">
        <v>170550</v>
      </c>
      <c r="AW24" s="368">
        <v>45292</v>
      </c>
      <c r="AX24" s="368">
        <v>45657</v>
      </c>
      <c r="AY24" s="188" t="s">
        <v>536</v>
      </c>
    </row>
    <row r="25" spans="2:51" ht="116.25" customHeight="1" x14ac:dyDescent="0.2">
      <c r="B25" s="375">
        <v>1</v>
      </c>
      <c r="C25" s="188" t="s">
        <v>315</v>
      </c>
      <c r="D25" s="23">
        <v>33</v>
      </c>
      <c r="E25" s="907" t="s">
        <v>357</v>
      </c>
      <c r="F25" s="24">
        <v>3301</v>
      </c>
      <c r="G25" s="188" t="s">
        <v>358</v>
      </c>
      <c r="H25" s="23">
        <v>3301073</v>
      </c>
      <c r="I25" s="188" t="s">
        <v>540</v>
      </c>
      <c r="J25" s="23">
        <v>3301073</v>
      </c>
      <c r="K25" s="188" t="s">
        <v>540</v>
      </c>
      <c r="L25" s="23">
        <v>330107301</v>
      </c>
      <c r="M25" s="188" t="s">
        <v>541</v>
      </c>
      <c r="N25" s="23">
        <v>330107301</v>
      </c>
      <c r="O25" s="188" t="s">
        <v>541</v>
      </c>
      <c r="P25" s="23">
        <v>600</v>
      </c>
      <c r="Q25" s="23"/>
      <c r="R25" s="23">
        <f t="shared" si="0"/>
        <v>600</v>
      </c>
      <c r="S25" s="24">
        <v>2020003630021</v>
      </c>
      <c r="T25" s="188" t="s">
        <v>531</v>
      </c>
      <c r="U25" s="80">
        <f t="shared" si="2"/>
        <v>0.87234117065205652</v>
      </c>
      <c r="V25" s="188" t="s">
        <v>532</v>
      </c>
      <c r="W25" s="188" t="s">
        <v>542</v>
      </c>
      <c r="X25" s="188" t="s">
        <v>561</v>
      </c>
      <c r="Y25" s="764">
        <v>1270621600</v>
      </c>
      <c r="Z25" s="764"/>
      <c r="AA25" s="764"/>
      <c r="AB25" s="764"/>
      <c r="AC25" s="365">
        <f t="shared" si="1"/>
        <v>1270621600</v>
      </c>
      <c r="AD25" s="280" t="s">
        <v>552</v>
      </c>
      <c r="AE25" s="371">
        <v>39</v>
      </c>
      <c r="AF25" s="188" t="s">
        <v>546</v>
      </c>
      <c r="AG25" s="204">
        <v>85275</v>
      </c>
      <c r="AH25" s="204">
        <v>85275</v>
      </c>
      <c r="AI25" s="204">
        <v>25580</v>
      </c>
      <c r="AJ25" s="204">
        <v>42638</v>
      </c>
      <c r="AK25" s="204">
        <v>68221</v>
      </c>
      <c r="AL25" s="204">
        <v>17055</v>
      </c>
      <c r="AM25" s="204">
        <v>8528</v>
      </c>
      <c r="AN25" s="204">
        <v>8528</v>
      </c>
      <c r="AO25" s="204">
        <v>0</v>
      </c>
      <c r="AP25" s="204">
        <v>0</v>
      </c>
      <c r="AQ25" s="204">
        <v>0</v>
      </c>
      <c r="AR25" s="204">
        <v>0</v>
      </c>
      <c r="AS25" s="204">
        <v>0</v>
      </c>
      <c r="AT25" s="204">
        <v>0</v>
      </c>
      <c r="AU25" s="204">
        <v>0</v>
      </c>
      <c r="AV25" s="204">
        <v>170550</v>
      </c>
      <c r="AW25" s="368" t="s">
        <v>562</v>
      </c>
      <c r="AX25" s="368">
        <v>45657</v>
      </c>
      <c r="AY25" s="188" t="s">
        <v>536</v>
      </c>
    </row>
    <row r="26" spans="2:51" ht="116.25" customHeight="1" x14ac:dyDescent="0.2">
      <c r="B26" s="375">
        <v>1</v>
      </c>
      <c r="C26" s="188" t="s">
        <v>315</v>
      </c>
      <c r="D26" s="23">
        <v>33</v>
      </c>
      <c r="E26" s="907" t="s">
        <v>357</v>
      </c>
      <c r="F26" s="24">
        <v>3301</v>
      </c>
      <c r="G26" s="188" t="s">
        <v>358</v>
      </c>
      <c r="H26" s="23">
        <v>3301073</v>
      </c>
      <c r="I26" s="188" t="s">
        <v>540</v>
      </c>
      <c r="J26" s="23">
        <v>3301073</v>
      </c>
      <c r="K26" s="188" t="s">
        <v>540</v>
      </c>
      <c r="L26" s="23">
        <v>330107301</v>
      </c>
      <c r="M26" s="188" t="s">
        <v>541</v>
      </c>
      <c r="N26" s="23">
        <v>330107301</v>
      </c>
      <c r="O26" s="188" t="s">
        <v>541</v>
      </c>
      <c r="P26" s="23">
        <v>600</v>
      </c>
      <c r="Q26" s="23"/>
      <c r="R26" s="23">
        <f t="shared" si="0"/>
        <v>600</v>
      </c>
      <c r="S26" s="24">
        <v>2020003630021</v>
      </c>
      <c r="T26" s="188" t="s">
        <v>531</v>
      </c>
      <c r="U26" s="80">
        <f t="shared" si="2"/>
        <v>0.87234117065205652</v>
      </c>
      <c r="V26" s="188" t="s">
        <v>532</v>
      </c>
      <c r="W26" s="188" t="s">
        <v>542</v>
      </c>
      <c r="X26" s="188" t="s">
        <v>563</v>
      </c>
      <c r="Y26" s="369">
        <v>279560160</v>
      </c>
      <c r="Z26" s="369"/>
      <c r="AA26" s="369"/>
      <c r="AB26" s="369"/>
      <c r="AC26" s="365">
        <f t="shared" si="1"/>
        <v>279560160</v>
      </c>
      <c r="AD26" s="366" t="s">
        <v>554</v>
      </c>
      <c r="AE26" s="65">
        <v>41</v>
      </c>
      <c r="AF26" s="188" t="s">
        <v>555</v>
      </c>
      <c r="AG26" s="204">
        <v>85275</v>
      </c>
      <c r="AH26" s="204">
        <v>85275</v>
      </c>
      <c r="AI26" s="204">
        <v>25580</v>
      </c>
      <c r="AJ26" s="204">
        <v>42638</v>
      </c>
      <c r="AK26" s="204">
        <v>68221</v>
      </c>
      <c r="AL26" s="204">
        <v>17055</v>
      </c>
      <c r="AM26" s="204">
        <v>8528</v>
      </c>
      <c r="AN26" s="204">
        <v>8528</v>
      </c>
      <c r="AO26" s="204">
        <v>0</v>
      </c>
      <c r="AP26" s="204">
        <v>0</v>
      </c>
      <c r="AQ26" s="204">
        <v>0</v>
      </c>
      <c r="AR26" s="204">
        <v>0</v>
      </c>
      <c r="AS26" s="204">
        <v>0</v>
      </c>
      <c r="AT26" s="204">
        <v>0</v>
      </c>
      <c r="AU26" s="204">
        <v>0</v>
      </c>
      <c r="AV26" s="204">
        <v>170550</v>
      </c>
      <c r="AW26" s="368">
        <v>45292</v>
      </c>
      <c r="AX26" s="368">
        <v>45657</v>
      </c>
      <c r="AY26" s="188" t="s">
        <v>536</v>
      </c>
    </row>
    <row r="27" spans="2:51" ht="116.25" customHeight="1" x14ac:dyDescent="0.2">
      <c r="B27" s="375">
        <v>1</v>
      </c>
      <c r="C27" s="188" t="s">
        <v>315</v>
      </c>
      <c r="D27" s="23">
        <v>33</v>
      </c>
      <c r="E27" s="907" t="s">
        <v>357</v>
      </c>
      <c r="F27" s="24">
        <v>3301</v>
      </c>
      <c r="G27" s="188" t="s">
        <v>358</v>
      </c>
      <c r="H27" s="23" t="s">
        <v>70</v>
      </c>
      <c r="I27" s="188" t="s">
        <v>564</v>
      </c>
      <c r="J27" s="23">
        <v>3301070</v>
      </c>
      <c r="K27" s="188" t="s">
        <v>565</v>
      </c>
      <c r="L27" s="23" t="s">
        <v>70</v>
      </c>
      <c r="M27" s="188" t="s">
        <v>566</v>
      </c>
      <c r="N27" s="23">
        <v>330107000</v>
      </c>
      <c r="O27" s="188" t="s">
        <v>182</v>
      </c>
      <c r="P27" s="23">
        <v>0.3</v>
      </c>
      <c r="Q27" s="23"/>
      <c r="R27" s="23">
        <f t="shared" si="0"/>
        <v>0.3</v>
      </c>
      <c r="S27" s="24">
        <v>2020003630021</v>
      </c>
      <c r="T27" s="188" t="s">
        <v>531</v>
      </c>
      <c r="U27" s="370">
        <f>Y27/SUM(Y11:Y31)</f>
        <v>8.7040110919052397E-3</v>
      </c>
      <c r="V27" s="188" t="s">
        <v>532</v>
      </c>
      <c r="W27" s="188" t="s">
        <v>567</v>
      </c>
      <c r="X27" s="188" t="s">
        <v>568</v>
      </c>
      <c r="Y27" s="369">
        <v>30000000</v>
      </c>
      <c r="Z27" s="369">
        <f>12900000+8100000</f>
        <v>21000000</v>
      </c>
      <c r="AA27" s="369"/>
      <c r="AB27" s="369"/>
      <c r="AC27" s="365">
        <f t="shared" si="1"/>
        <v>9000000</v>
      </c>
      <c r="AD27" s="366" t="s">
        <v>569</v>
      </c>
      <c r="AE27" s="367">
        <v>20</v>
      </c>
      <c r="AF27" s="188" t="s">
        <v>132</v>
      </c>
      <c r="AG27" s="204">
        <v>85275</v>
      </c>
      <c r="AH27" s="204">
        <v>85275</v>
      </c>
      <c r="AI27" s="204">
        <v>25580</v>
      </c>
      <c r="AJ27" s="204">
        <v>42638</v>
      </c>
      <c r="AK27" s="204">
        <v>68221</v>
      </c>
      <c r="AL27" s="204">
        <v>17055</v>
      </c>
      <c r="AM27" s="204">
        <v>8528</v>
      </c>
      <c r="AN27" s="204">
        <v>8528</v>
      </c>
      <c r="AO27" s="204">
        <v>0</v>
      </c>
      <c r="AP27" s="204">
        <v>0</v>
      </c>
      <c r="AQ27" s="204">
        <v>0</v>
      </c>
      <c r="AR27" s="204">
        <v>0</v>
      </c>
      <c r="AS27" s="204">
        <v>0</v>
      </c>
      <c r="AT27" s="204">
        <v>0</v>
      </c>
      <c r="AU27" s="204">
        <v>0</v>
      </c>
      <c r="AV27" s="204">
        <v>170550</v>
      </c>
      <c r="AW27" s="368">
        <v>45292</v>
      </c>
      <c r="AX27" s="368">
        <v>45657</v>
      </c>
      <c r="AY27" s="188" t="s">
        <v>536</v>
      </c>
    </row>
    <row r="28" spans="2:51" ht="116.25" customHeight="1" x14ac:dyDescent="0.2">
      <c r="B28" s="375">
        <v>1</v>
      </c>
      <c r="C28" s="188" t="s">
        <v>315</v>
      </c>
      <c r="D28" s="23">
        <v>33</v>
      </c>
      <c r="E28" s="907" t="s">
        <v>357</v>
      </c>
      <c r="F28" s="24">
        <v>3301</v>
      </c>
      <c r="G28" s="188" t="s">
        <v>358</v>
      </c>
      <c r="H28" s="23">
        <v>3301099</v>
      </c>
      <c r="I28" s="188" t="s">
        <v>570</v>
      </c>
      <c r="J28" s="23">
        <v>3301099</v>
      </c>
      <c r="K28" s="188" t="s">
        <v>570</v>
      </c>
      <c r="L28" s="23">
        <v>330109900</v>
      </c>
      <c r="M28" s="188" t="s">
        <v>571</v>
      </c>
      <c r="N28" s="23">
        <v>330109900</v>
      </c>
      <c r="O28" s="188" t="s">
        <v>571</v>
      </c>
      <c r="P28" s="23">
        <v>1</v>
      </c>
      <c r="Q28" s="23"/>
      <c r="R28" s="23">
        <f t="shared" si="0"/>
        <v>1</v>
      </c>
      <c r="S28" s="24">
        <v>2020003630021</v>
      </c>
      <c r="T28" s="188" t="s">
        <v>531</v>
      </c>
      <c r="U28" s="370">
        <f>Y28/SUM(Y11:Y31)</f>
        <v>2.3210696245080639E-2</v>
      </c>
      <c r="V28" s="188" t="s">
        <v>532</v>
      </c>
      <c r="W28" s="188" t="s">
        <v>572</v>
      </c>
      <c r="X28" s="188" t="s">
        <v>573</v>
      </c>
      <c r="Y28" s="369">
        <v>80000000</v>
      </c>
      <c r="Z28" s="369"/>
      <c r="AA28" s="369"/>
      <c r="AB28" s="369"/>
      <c r="AC28" s="365">
        <f t="shared" si="1"/>
        <v>80000000</v>
      </c>
      <c r="AD28" s="366" t="s">
        <v>574</v>
      </c>
      <c r="AE28" s="367">
        <v>20</v>
      </c>
      <c r="AF28" s="188" t="s">
        <v>132</v>
      </c>
      <c r="AG28" s="204">
        <v>85275</v>
      </c>
      <c r="AH28" s="204">
        <v>85275</v>
      </c>
      <c r="AI28" s="204">
        <v>25580</v>
      </c>
      <c r="AJ28" s="204">
        <v>42638</v>
      </c>
      <c r="AK28" s="204">
        <v>68221</v>
      </c>
      <c r="AL28" s="204">
        <v>17055</v>
      </c>
      <c r="AM28" s="204">
        <v>8528</v>
      </c>
      <c r="AN28" s="204">
        <v>8528</v>
      </c>
      <c r="AO28" s="204">
        <v>0</v>
      </c>
      <c r="AP28" s="204">
        <v>0</v>
      </c>
      <c r="AQ28" s="204">
        <v>0</v>
      </c>
      <c r="AR28" s="204">
        <v>0</v>
      </c>
      <c r="AS28" s="204">
        <v>0</v>
      </c>
      <c r="AT28" s="204">
        <v>0</v>
      </c>
      <c r="AU28" s="204">
        <v>0</v>
      </c>
      <c r="AV28" s="204">
        <v>170550</v>
      </c>
      <c r="AW28" s="368" t="s">
        <v>575</v>
      </c>
      <c r="AX28" s="368">
        <v>45657</v>
      </c>
      <c r="AY28" s="188" t="s">
        <v>536</v>
      </c>
    </row>
    <row r="29" spans="2:51" ht="116.25" customHeight="1" x14ac:dyDescent="0.2">
      <c r="B29" s="375">
        <v>1</v>
      </c>
      <c r="C29" s="188" t="s">
        <v>315</v>
      </c>
      <c r="D29" s="23">
        <v>33</v>
      </c>
      <c r="E29" s="907" t="s">
        <v>357</v>
      </c>
      <c r="F29" s="24">
        <v>3301</v>
      </c>
      <c r="G29" s="188" t="s">
        <v>358</v>
      </c>
      <c r="H29" s="23">
        <v>3301052</v>
      </c>
      <c r="I29" s="188" t="s">
        <v>576</v>
      </c>
      <c r="J29" s="23">
        <v>3301052</v>
      </c>
      <c r="K29" s="188" t="s">
        <v>576</v>
      </c>
      <c r="L29" s="23">
        <v>330105203</v>
      </c>
      <c r="M29" s="188" t="s">
        <v>577</v>
      </c>
      <c r="N29" s="23">
        <v>330105203</v>
      </c>
      <c r="O29" s="188" t="s">
        <v>577</v>
      </c>
      <c r="P29" s="23">
        <v>135</v>
      </c>
      <c r="Q29" s="23"/>
      <c r="R29" s="23">
        <f t="shared" si="0"/>
        <v>135</v>
      </c>
      <c r="S29" s="24">
        <v>2020003630021</v>
      </c>
      <c r="T29" s="188" t="s">
        <v>531</v>
      </c>
      <c r="U29" s="370">
        <f>SUM(Y29:Y31)/SUM(Y11:Y31)</f>
        <v>5.8026740612701598E-3</v>
      </c>
      <c r="V29" s="188" t="s">
        <v>532</v>
      </c>
      <c r="W29" s="188" t="s">
        <v>578</v>
      </c>
      <c r="X29" s="188" t="s">
        <v>579</v>
      </c>
      <c r="Y29" s="369">
        <v>10000000</v>
      </c>
      <c r="Z29" s="369"/>
      <c r="AA29" s="369"/>
      <c r="AB29" s="369"/>
      <c r="AC29" s="365">
        <f t="shared" si="1"/>
        <v>10000000</v>
      </c>
      <c r="AD29" s="372" t="s">
        <v>580</v>
      </c>
      <c r="AE29" s="367">
        <v>20</v>
      </c>
      <c r="AF29" s="188" t="s">
        <v>132</v>
      </c>
      <c r="AG29" s="204">
        <v>85275</v>
      </c>
      <c r="AH29" s="204">
        <v>85275</v>
      </c>
      <c r="AI29" s="204">
        <v>25580</v>
      </c>
      <c r="AJ29" s="204">
        <v>42638</v>
      </c>
      <c r="AK29" s="204">
        <v>68221</v>
      </c>
      <c r="AL29" s="204">
        <v>17055</v>
      </c>
      <c r="AM29" s="204">
        <v>8528</v>
      </c>
      <c r="AN29" s="204">
        <v>8528</v>
      </c>
      <c r="AO29" s="204">
        <v>0</v>
      </c>
      <c r="AP29" s="204">
        <v>0</v>
      </c>
      <c r="AQ29" s="204">
        <v>0</v>
      </c>
      <c r="AR29" s="204">
        <v>0</v>
      </c>
      <c r="AS29" s="204">
        <v>0</v>
      </c>
      <c r="AT29" s="204">
        <v>0</v>
      </c>
      <c r="AU29" s="204">
        <v>0</v>
      </c>
      <c r="AV29" s="204">
        <v>170550</v>
      </c>
      <c r="AW29" s="368">
        <v>45292</v>
      </c>
      <c r="AX29" s="368">
        <v>45657</v>
      </c>
      <c r="AY29" s="188" t="s">
        <v>536</v>
      </c>
    </row>
    <row r="30" spans="2:51" ht="116.25" customHeight="1" x14ac:dyDescent="0.2">
      <c r="B30" s="375">
        <v>1</v>
      </c>
      <c r="C30" s="188" t="s">
        <v>315</v>
      </c>
      <c r="D30" s="23">
        <v>33</v>
      </c>
      <c r="E30" s="907" t="s">
        <v>357</v>
      </c>
      <c r="F30" s="24">
        <v>3301</v>
      </c>
      <c r="G30" s="188" t="s">
        <v>358</v>
      </c>
      <c r="H30" s="23">
        <v>3301052</v>
      </c>
      <c r="I30" s="188" t="s">
        <v>576</v>
      </c>
      <c r="J30" s="23">
        <v>3301052</v>
      </c>
      <c r="K30" s="188" t="s">
        <v>576</v>
      </c>
      <c r="L30" s="23">
        <v>330105203</v>
      </c>
      <c r="M30" s="188" t="s">
        <v>577</v>
      </c>
      <c r="N30" s="23">
        <v>330105203</v>
      </c>
      <c r="O30" s="188" t="s">
        <v>577</v>
      </c>
      <c r="P30" s="23">
        <v>135</v>
      </c>
      <c r="Q30" s="23"/>
      <c r="R30" s="23">
        <f t="shared" si="0"/>
        <v>135</v>
      </c>
      <c r="S30" s="24">
        <v>2020003630021</v>
      </c>
      <c r="T30" s="188" t="s">
        <v>531</v>
      </c>
      <c r="U30" s="370">
        <f>SUM(Y29:Y31)/SUM(Y11:Y31)</f>
        <v>5.8026740612701598E-3</v>
      </c>
      <c r="V30" s="188" t="s">
        <v>532</v>
      </c>
      <c r="W30" s="188" t="s">
        <v>578</v>
      </c>
      <c r="X30" s="188" t="s">
        <v>579</v>
      </c>
      <c r="Y30" s="369">
        <v>5000000</v>
      </c>
      <c r="Z30" s="369"/>
      <c r="AA30" s="369"/>
      <c r="AB30" s="369"/>
      <c r="AC30" s="771">
        <f t="shared" si="1"/>
        <v>5000000</v>
      </c>
      <c r="AD30" s="372" t="s">
        <v>581</v>
      </c>
      <c r="AE30" s="367">
        <v>20</v>
      </c>
      <c r="AF30" s="188" t="s">
        <v>132</v>
      </c>
      <c r="AG30" s="204">
        <v>85275</v>
      </c>
      <c r="AH30" s="204">
        <v>85275</v>
      </c>
      <c r="AI30" s="204">
        <v>25580</v>
      </c>
      <c r="AJ30" s="204">
        <v>42638</v>
      </c>
      <c r="AK30" s="204">
        <v>68221</v>
      </c>
      <c r="AL30" s="204">
        <v>17055</v>
      </c>
      <c r="AM30" s="204">
        <v>8528</v>
      </c>
      <c r="AN30" s="204">
        <v>8528</v>
      </c>
      <c r="AO30" s="204">
        <v>0</v>
      </c>
      <c r="AP30" s="204">
        <v>0</v>
      </c>
      <c r="AQ30" s="204">
        <v>0</v>
      </c>
      <c r="AR30" s="204">
        <v>0</v>
      </c>
      <c r="AS30" s="204">
        <v>0</v>
      </c>
      <c r="AT30" s="204">
        <v>0</v>
      </c>
      <c r="AU30" s="204">
        <v>0</v>
      </c>
      <c r="AV30" s="204">
        <v>170550</v>
      </c>
      <c r="AW30" s="368" t="s">
        <v>582</v>
      </c>
      <c r="AX30" s="368">
        <v>45657</v>
      </c>
      <c r="AY30" s="188" t="s">
        <v>536</v>
      </c>
    </row>
    <row r="31" spans="2:51" ht="116.25" customHeight="1" x14ac:dyDescent="0.2">
      <c r="B31" s="375">
        <v>1</v>
      </c>
      <c r="C31" s="188" t="s">
        <v>315</v>
      </c>
      <c r="D31" s="23">
        <v>33</v>
      </c>
      <c r="E31" s="907" t="s">
        <v>357</v>
      </c>
      <c r="F31" s="24">
        <v>3301</v>
      </c>
      <c r="G31" s="188" t="s">
        <v>358</v>
      </c>
      <c r="H31" s="23">
        <v>3301052</v>
      </c>
      <c r="I31" s="188" t="s">
        <v>576</v>
      </c>
      <c r="J31" s="23">
        <v>3301052</v>
      </c>
      <c r="K31" s="188" t="s">
        <v>576</v>
      </c>
      <c r="L31" s="23">
        <v>330105203</v>
      </c>
      <c r="M31" s="188" t="s">
        <v>577</v>
      </c>
      <c r="N31" s="23">
        <v>330105203</v>
      </c>
      <c r="O31" s="188" t="s">
        <v>577</v>
      </c>
      <c r="P31" s="23">
        <v>135</v>
      </c>
      <c r="Q31" s="23"/>
      <c r="R31" s="23">
        <f t="shared" si="0"/>
        <v>135</v>
      </c>
      <c r="S31" s="24">
        <v>2020003630021</v>
      </c>
      <c r="T31" s="188" t="s">
        <v>531</v>
      </c>
      <c r="U31" s="370">
        <f>SUM(Y29:Y31)/SUM(Y11:Y31)</f>
        <v>5.8026740612701598E-3</v>
      </c>
      <c r="V31" s="188" t="s">
        <v>532</v>
      </c>
      <c r="W31" s="188" t="s">
        <v>578</v>
      </c>
      <c r="X31" s="188" t="s">
        <v>579</v>
      </c>
      <c r="Y31" s="369">
        <v>5000000</v>
      </c>
      <c r="Z31" s="770"/>
      <c r="AA31" s="763"/>
      <c r="AB31" s="766"/>
      <c r="AC31" s="768">
        <f t="shared" si="1"/>
        <v>5000000</v>
      </c>
      <c r="AD31" s="769" t="s">
        <v>580</v>
      </c>
      <c r="AE31" s="367">
        <v>20</v>
      </c>
      <c r="AF31" s="188" t="s">
        <v>132</v>
      </c>
      <c r="AG31" s="204">
        <v>85275</v>
      </c>
      <c r="AH31" s="204">
        <v>85275</v>
      </c>
      <c r="AI31" s="204">
        <v>25580</v>
      </c>
      <c r="AJ31" s="204">
        <v>42638</v>
      </c>
      <c r="AK31" s="204">
        <v>68221</v>
      </c>
      <c r="AL31" s="204">
        <v>17055</v>
      </c>
      <c r="AM31" s="204">
        <v>8528</v>
      </c>
      <c r="AN31" s="204">
        <v>8528</v>
      </c>
      <c r="AO31" s="204">
        <v>0</v>
      </c>
      <c r="AP31" s="204">
        <v>0</v>
      </c>
      <c r="AQ31" s="204">
        <v>0</v>
      </c>
      <c r="AR31" s="204">
        <v>0</v>
      </c>
      <c r="AS31" s="204">
        <v>0</v>
      </c>
      <c r="AT31" s="204">
        <v>0</v>
      </c>
      <c r="AU31" s="204">
        <v>0</v>
      </c>
      <c r="AV31" s="204">
        <v>170550</v>
      </c>
      <c r="AW31" s="368">
        <v>45292</v>
      </c>
      <c r="AX31" s="368">
        <v>45657</v>
      </c>
      <c r="AY31" s="188" t="s">
        <v>536</v>
      </c>
    </row>
    <row r="32" spans="2:51" ht="116.25" customHeight="1" x14ac:dyDescent="0.2">
      <c r="B32" s="375">
        <v>1</v>
      </c>
      <c r="C32" s="188" t="s">
        <v>315</v>
      </c>
      <c r="D32" s="23">
        <v>33</v>
      </c>
      <c r="E32" s="907" t="s">
        <v>357</v>
      </c>
      <c r="F32" s="24">
        <v>3301</v>
      </c>
      <c r="G32" s="188" t="s">
        <v>358</v>
      </c>
      <c r="H32" s="23">
        <v>3301085</v>
      </c>
      <c r="I32" s="188" t="s">
        <v>583</v>
      </c>
      <c r="J32" s="23">
        <v>3301085</v>
      </c>
      <c r="K32" s="188" t="s">
        <v>583</v>
      </c>
      <c r="L32" s="23">
        <v>330108500</v>
      </c>
      <c r="M32" s="188" t="s">
        <v>584</v>
      </c>
      <c r="N32" s="23">
        <v>330108500</v>
      </c>
      <c r="O32" s="188" t="s">
        <v>584</v>
      </c>
      <c r="P32" s="23">
        <v>115000</v>
      </c>
      <c r="Q32" s="23"/>
      <c r="R32" s="23">
        <f t="shared" si="0"/>
        <v>115000</v>
      </c>
      <c r="S32" s="24">
        <v>2020003630020</v>
      </c>
      <c r="T32" s="188" t="s">
        <v>585</v>
      </c>
      <c r="U32" s="80">
        <f>SUM($Y$32:$Y$36)/SUM($Y$32:$Y$38)</f>
        <v>0.77334615546510987</v>
      </c>
      <c r="V32" s="188" t="s">
        <v>586</v>
      </c>
      <c r="W32" s="188" t="s">
        <v>587</v>
      </c>
      <c r="X32" s="188" t="s">
        <v>588</v>
      </c>
      <c r="Y32" s="755">
        <v>5000000</v>
      </c>
      <c r="Z32" s="752"/>
      <c r="AA32" s="772"/>
      <c r="AB32" s="772"/>
      <c r="AC32" s="773">
        <f t="shared" si="1"/>
        <v>5000000</v>
      </c>
      <c r="AD32" s="774" t="s">
        <v>589</v>
      </c>
      <c r="AE32" s="367">
        <v>20</v>
      </c>
      <c r="AF32" s="188" t="s">
        <v>132</v>
      </c>
      <c r="AG32" s="374">
        <v>63500</v>
      </c>
      <c r="AH32" s="374">
        <v>51500</v>
      </c>
      <c r="AI32" s="374">
        <v>25915</v>
      </c>
      <c r="AJ32" s="374">
        <v>15281</v>
      </c>
      <c r="AK32" s="374">
        <v>46136</v>
      </c>
      <c r="AL32" s="374">
        <v>20914</v>
      </c>
      <c r="AM32" s="374">
        <v>252</v>
      </c>
      <c r="AN32" s="374">
        <v>1481</v>
      </c>
      <c r="AO32" s="374">
        <v>4</v>
      </c>
      <c r="AP32" s="374">
        <v>0.25449142982914685</v>
      </c>
      <c r="AQ32" s="374">
        <v>0</v>
      </c>
      <c r="AR32" s="374">
        <v>0</v>
      </c>
      <c r="AS32" s="374">
        <v>5</v>
      </c>
      <c r="AT32" s="374">
        <v>5003</v>
      </c>
      <c r="AU32" s="374">
        <v>9</v>
      </c>
      <c r="AV32" s="374">
        <v>115000</v>
      </c>
      <c r="AW32" s="368" t="s">
        <v>590</v>
      </c>
      <c r="AX32" s="368">
        <v>45657</v>
      </c>
      <c r="AY32" s="188" t="s">
        <v>536</v>
      </c>
    </row>
    <row r="33" spans="2:51" ht="116.25" customHeight="1" x14ac:dyDescent="0.2">
      <c r="B33" s="375">
        <v>1</v>
      </c>
      <c r="C33" s="188" t="s">
        <v>315</v>
      </c>
      <c r="D33" s="23">
        <v>33</v>
      </c>
      <c r="E33" s="907" t="s">
        <v>357</v>
      </c>
      <c r="F33" s="24">
        <v>3301</v>
      </c>
      <c r="G33" s="188" t="s">
        <v>358</v>
      </c>
      <c r="H33" s="23">
        <v>3301085</v>
      </c>
      <c r="I33" s="188" t="s">
        <v>583</v>
      </c>
      <c r="J33" s="23">
        <v>3301085</v>
      </c>
      <c r="K33" s="188" t="s">
        <v>583</v>
      </c>
      <c r="L33" s="23">
        <v>330108500</v>
      </c>
      <c r="M33" s="188" t="s">
        <v>584</v>
      </c>
      <c r="N33" s="23">
        <v>330108500</v>
      </c>
      <c r="O33" s="188" t="s">
        <v>584</v>
      </c>
      <c r="P33" s="23">
        <v>115000</v>
      </c>
      <c r="Q33" s="23"/>
      <c r="R33" s="23">
        <f t="shared" si="0"/>
        <v>115000</v>
      </c>
      <c r="S33" s="24">
        <v>2020003630020</v>
      </c>
      <c r="T33" s="188" t="s">
        <v>585</v>
      </c>
      <c r="U33" s="80">
        <f>SUM($Y$32:$Y$36)/SUM($Y$32:$Y$38)</f>
        <v>0.77334615546510987</v>
      </c>
      <c r="V33" s="188" t="s">
        <v>586</v>
      </c>
      <c r="W33" s="188" t="s">
        <v>587</v>
      </c>
      <c r="X33" s="188" t="s">
        <v>588</v>
      </c>
      <c r="Y33" s="755">
        <v>4000000</v>
      </c>
      <c r="Z33" s="752">
        <v>8100000</v>
      </c>
      <c r="AA33" s="752"/>
      <c r="AB33" s="752"/>
      <c r="AC33" s="759">
        <f t="shared" si="1"/>
        <v>-4100000</v>
      </c>
      <c r="AD33" s="373" t="s">
        <v>591</v>
      </c>
      <c r="AE33" s="367">
        <v>20</v>
      </c>
      <c r="AF33" s="188" t="s">
        <v>132</v>
      </c>
      <c r="AG33" s="374">
        <v>63500</v>
      </c>
      <c r="AH33" s="374">
        <v>51500</v>
      </c>
      <c r="AI33" s="374">
        <v>25915</v>
      </c>
      <c r="AJ33" s="374">
        <v>15281</v>
      </c>
      <c r="AK33" s="374">
        <v>46136</v>
      </c>
      <c r="AL33" s="374">
        <v>20914</v>
      </c>
      <c r="AM33" s="374">
        <v>252</v>
      </c>
      <c r="AN33" s="374">
        <v>1481</v>
      </c>
      <c r="AO33" s="374">
        <v>4</v>
      </c>
      <c r="AP33" s="374">
        <v>0.25449142982914685</v>
      </c>
      <c r="AQ33" s="374">
        <v>0</v>
      </c>
      <c r="AR33" s="374">
        <v>0</v>
      </c>
      <c r="AS33" s="374">
        <v>5</v>
      </c>
      <c r="AT33" s="374">
        <v>5003</v>
      </c>
      <c r="AU33" s="374">
        <v>9</v>
      </c>
      <c r="AV33" s="374">
        <v>115000</v>
      </c>
      <c r="AW33" s="368">
        <v>45292</v>
      </c>
      <c r="AX33" s="368">
        <v>45657</v>
      </c>
      <c r="AY33" s="188" t="s">
        <v>536</v>
      </c>
    </row>
    <row r="34" spans="2:51" ht="116.25" customHeight="1" x14ac:dyDescent="0.2">
      <c r="B34" s="375">
        <v>1</v>
      </c>
      <c r="C34" s="188" t="s">
        <v>315</v>
      </c>
      <c r="D34" s="23">
        <v>33</v>
      </c>
      <c r="E34" s="907" t="s">
        <v>357</v>
      </c>
      <c r="F34" s="24">
        <v>3301</v>
      </c>
      <c r="G34" s="188" t="s">
        <v>358</v>
      </c>
      <c r="H34" s="23">
        <v>3301085</v>
      </c>
      <c r="I34" s="188" t="s">
        <v>583</v>
      </c>
      <c r="J34" s="23">
        <v>3301085</v>
      </c>
      <c r="K34" s="188" t="s">
        <v>583</v>
      </c>
      <c r="L34" s="23">
        <v>330108500</v>
      </c>
      <c r="M34" s="188" t="s">
        <v>584</v>
      </c>
      <c r="N34" s="23">
        <v>330108500</v>
      </c>
      <c r="O34" s="188" t="s">
        <v>584</v>
      </c>
      <c r="P34" s="23">
        <v>115000</v>
      </c>
      <c r="Q34" s="23"/>
      <c r="R34" s="23">
        <f t="shared" si="0"/>
        <v>115000</v>
      </c>
      <c r="S34" s="24">
        <v>2020003630020</v>
      </c>
      <c r="T34" s="188" t="s">
        <v>585</v>
      </c>
      <c r="U34" s="80">
        <f>SUM($Y$32:$Y$36)/SUM($Y$32:$Y$38)</f>
        <v>0.77334615546510987</v>
      </c>
      <c r="V34" s="188" t="s">
        <v>586</v>
      </c>
      <c r="W34" s="188" t="s">
        <v>587</v>
      </c>
      <c r="X34" s="188" t="s">
        <v>588</v>
      </c>
      <c r="Y34" s="755">
        <v>100000000</v>
      </c>
      <c r="Z34" s="752"/>
      <c r="AA34" s="752"/>
      <c r="AB34" s="752"/>
      <c r="AC34" s="759">
        <f t="shared" si="1"/>
        <v>100000000</v>
      </c>
      <c r="AD34" s="373" t="s">
        <v>592</v>
      </c>
      <c r="AE34" s="375">
        <v>34</v>
      </c>
      <c r="AF34" s="188" t="s">
        <v>593</v>
      </c>
      <c r="AG34" s="374">
        <v>63500</v>
      </c>
      <c r="AH34" s="374">
        <v>51500</v>
      </c>
      <c r="AI34" s="374">
        <v>25915</v>
      </c>
      <c r="AJ34" s="374">
        <v>15281</v>
      </c>
      <c r="AK34" s="374">
        <v>46136</v>
      </c>
      <c r="AL34" s="374">
        <v>20914</v>
      </c>
      <c r="AM34" s="374">
        <v>252</v>
      </c>
      <c r="AN34" s="374">
        <v>1481</v>
      </c>
      <c r="AO34" s="374">
        <v>4</v>
      </c>
      <c r="AP34" s="374">
        <v>0.25449142982914702</v>
      </c>
      <c r="AQ34" s="374">
        <v>0</v>
      </c>
      <c r="AR34" s="374">
        <v>0</v>
      </c>
      <c r="AS34" s="374">
        <v>5</v>
      </c>
      <c r="AT34" s="374">
        <v>5003</v>
      </c>
      <c r="AU34" s="374">
        <v>9</v>
      </c>
      <c r="AV34" s="374">
        <v>115000</v>
      </c>
      <c r="AW34" s="368" t="s">
        <v>594</v>
      </c>
      <c r="AX34" s="368">
        <v>45657</v>
      </c>
      <c r="AY34" s="188" t="s">
        <v>536</v>
      </c>
    </row>
    <row r="35" spans="2:51" ht="116.25" customHeight="1" x14ac:dyDescent="0.2">
      <c r="B35" s="375">
        <v>1</v>
      </c>
      <c r="C35" s="188" t="s">
        <v>315</v>
      </c>
      <c r="D35" s="23">
        <v>33</v>
      </c>
      <c r="E35" s="907" t="s">
        <v>357</v>
      </c>
      <c r="F35" s="24">
        <v>3301</v>
      </c>
      <c r="G35" s="188" t="s">
        <v>358</v>
      </c>
      <c r="H35" s="23">
        <v>3301085</v>
      </c>
      <c r="I35" s="188" t="s">
        <v>583</v>
      </c>
      <c r="J35" s="23">
        <v>3301085</v>
      </c>
      <c r="K35" s="188" t="s">
        <v>583</v>
      </c>
      <c r="L35" s="23">
        <v>330108500</v>
      </c>
      <c r="M35" s="188" t="s">
        <v>584</v>
      </c>
      <c r="N35" s="23">
        <v>330108500</v>
      </c>
      <c r="O35" s="188" t="s">
        <v>584</v>
      </c>
      <c r="P35" s="23">
        <v>115000</v>
      </c>
      <c r="Q35" s="23"/>
      <c r="R35" s="23">
        <f t="shared" si="0"/>
        <v>115000</v>
      </c>
      <c r="S35" s="24">
        <v>2020003630020</v>
      </c>
      <c r="T35" s="188" t="s">
        <v>585</v>
      </c>
      <c r="U35" s="80">
        <f>SUM($Y$32:$Y$36)/SUM($Y$32:$Y$38)</f>
        <v>0.77334615546510987</v>
      </c>
      <c r="V35" s="188" t="s">
        <v>586</v>
      </c>
      <c r="W35" s="188" t="s">
        <v>587</v>
      </c>
      <c r="X35" s="188" t="s">
        <v>588</v>
      </c>
      <c r="Y35" s="755">
        <v>251000000</v>
      </c>
      <c r="Z35" s="752"/>
      <c r="AA35" s="752"/>
      <c r="AB35" s="752"/>
      <c r="AC35" s="759">
        <f t="shared" si="1"/>
        <v>251000000</v>
      </c>
      <c r="AD35" s="376" t="s">
        <v>595</v>
      </c>
      <c r="AE35" s="367">
        <v>20</v>
      </c>
      <c r="AF35" s="188" t="s">
        <v>132</v>
      </c>
      <c r="AG35" s="374">
        <v>63500</v>
      </c>
      <c r="AH35" s="374">
        <v>51500</v>
      </c>
      <c r="AI35" s="374">
        <v>25915</v>
      </c>
      <c r="AJ35" s="374">
        <v>15281</v>
      </c>
      <c r="AK35" s="374">
        <v>46136</v>
      </c>
      <c r="AL35" s="374">
        <v>20914</v>
      </c>
      <c r="AM35" s="374">
        <v>252</v>
      </c>
      <c r="AN35" s="374">
        <v>1481</v>
      </c>
      <c r="AO35" s="374">
        <v>4</v>
      </c>
      <c r="AP35" s="374">
        <v>0.25449142982914702</v>
      </c>
      <c r="AQ35" s="374">
        <v>0</v>
      </c>
      <c r="AR35" s="374">
        <v>0</v>
      </c>
      <c r="AS35" s="374">
        <v>5</v>
      </c>
      <c r="AT35" s="374">
        <v>5003</v>
      </c>
      <c r="AU35" s="374">
        <v>9</v>
      </c>
      <c r="AV35" s="374">
        <v>115000</v>
      </c>
      <c r="AW35" s="368">
        <v>45292</v>
      </c>
      <c r="AX35" s="368">
        <v>45657</v>
      </c>
      <c r="AY35" s="188" t="s">
        <v>536</v>
      </c>
    </row>
    <row r="36" spans="2:51" ht="116.25" customHeight="1" x14ac:dyDescent="0.2">
      <c r="B36" s="375">
        <v>1</v>
      </c>
      <c r="C36" s="188" t="s">
        <v>315</v>
      </c>
      <c r="D36" s="23">
        <v>33</v>
      </c>
      <c r="E36" s="907" t="s">
        <v>357</v>
      </c>
      <c r="F36" s="24">
        <v>3301</v>
      </c>
      <c r="G36" s="188" t="s">
        <v>358</v>
      </c>
      <c r="H36" s="23">
        <v>3301085</v>
      </c>
      <c r="I36" s="188" t="s">
        <v>583</v>
      </c>
      <c r="J36" s="23">
        <v>3301085</v>
      </c>
      <c r="K36" s="188" t="s">
        <v>583</v>
      </c>
      <c r="L36" s="23">
        <v>330108500</v>
      </c>
      <c r="M36" s="188" t="s">
        <v>584</v>
      </c>
      <c r="N36" s="23">
        <v>330108500</v>
      </c>
      <c r="O36" s="188" t="s">
        <v>584</v>
      </c>
      <c r="P36" s="23">
        <v>115000</v>
      </c>
      <c r="Q36" s="23"/>
      <c r="R36" s="23">
        <f t="shared" si="0"/>
        <v>115000</v>
      </c>
      <c r="S36" s="24">
        <v>2020003630020</v>
      </c>
      <c r="T36" s="188" t="s">
        <v>585</v>
      </c>
      <c r="U36" s="80">
        <f>SUM($Y$32:$Y$36)/SUM($Y$32:$Y$38)</f>
        <v>0.77334615546510987</v>
      </c>
      <c r="V36" s="188" t="s">
        <v>586</v>
      </c>
      <c r="W36" s="188" t="s">
        <v>587</v>
      </c>
      <c r="X36" s="188" t="s">
        <v>588</v>
      </c>
      <c r="Y36" s="756">
        <v>117682000</v>
      </c>
      <c r="Z36" s="761"/>
      <c r="AA36" s="761"/>
      <c r="AB36" s="761"/>
      <c r="AC36" s="759">
        <f t="shared" si="1"/>
        <v>117682000</v>
      </c>
      <c r="AD36" s="373" t="s">
        <v>596</v>
      </c>
      <c r="AE36" s="375">
        <v>34</v>
      </c>
      <c r="AF36" s="188" t="s">
        <v>593</v>
      </c>
      <c r="AG36" s="374">
        <v>63500</v>
      </c>
      <c r="AH36" s="374">
        <v>51500</v>
      </c>
      <c r="AI36" s="374">
        <v>25915</v>
      </c>
      <c r="AJ36" s="374">
        <v>15281</v>
      </c>
      <c r="AK36" s="374">
        <v>46136</v>
      </c>
      <c r="AL36" s="374">
        <v>20914</v>
      </c>
      <c r="AM36" s="374">
        <v>252</v>
      </c>
      <c r="AN36" s="374">
        <v>1481</v>
      </c>
      <c r="AO36" s="374">
        <v>4</v>
      </c>
      <c r="AP36" s="374">
        <v>0.25449142982914702</v>
      </c>
      <c r="AQ36" s="374">
        <v>0</v>
      </c>
      <c r="AR36" s="374">
        <v>0</v>
      </c>
      <c r="AS36" s="374">
        <v>5</v>
      </c>
      <c r="AT36" s="374">
        <v>5003</v>
      </c>
      <c r="AU36" s="374">
        <v>9</v>
      </c>
      <c r="AV36" s="374">
        <v>115000</v>
      </c>
      <c r="AW36" s="368" t="s">
        <v>597</v>
      </c>
      <c r="AX36" s="368">
        <v>45657</v>
      </c>
      <c r="AY36" s="188" t="s">
        <v>536</v>
      </c>
    </row>
    <row r="37" spans="2:51" ht="116.25" customHeight="1" x14ac:dyDescent="0.2">
      <c r="B37" s="375">
        <v>1</v>
      </c>
      <c r="C37" s="188" t="s">
        <v>315</v>
      </c>
      <c r="D37" s="23">
        <v>33</v>
      </c>
      <c r="E37" s="907" t="s">
        <v>357</v>
      </c>
      <c r="F37" s="24">
        <v>3301</v>
      </c>
      <c r="G37" s="188" t="s">
        <v>358</v>
      </c>
      <c r="H37" s="23">
        <v>3301100</v>
      </c>
      <c r="I37" s="188" t="s">
        <v>598</v>
      </c>
      <c r="J37" s="23">
        <v>3301100</v>
      </c>
      <c r="K37" s="188" t="s">
        <v>598</v>
      </c>
      <c r="L37" s="23" t="s">
        <v>599</v>
      </c>
      <c r="M37" s="188" t="s">
        <v>600</v>
      </c>
      <c r="N37" s="23">
        <v>330110000</v>
      </c>
      <c r="O37" s="188" t="s">
        <v>600</v>
      </c>
      <c r="P37" s="23">
        <v>10</v>
      </c>
      <c r="Q37" s="23"/>
      <c r="R37" s="23">
        <f t="shared" si="0"/>
        <v>10</v>
      </c>
      <c r="S37" s="24">
        <v>2020003630020</v>
      </c>
      <c r="T37" s="188" t="s">
        <v>585</v>
      </c>
      <c r="U37" s="80">
        <f>SUM(Y37:Y38)/SUM(Y32:Y38)</f>
        <v>0.22665384453489013</v>
      </c>
      <c r="V37" s="188" t="s">
        <v>586</v>
      </c>
      <c r="W37" s="188" t="s">
        <v>601</v>
      </c>
      <c r="X37" s="188" t="s">
        <v>602</v>
      </c>
      <c r="Y37" s="756">
        <v>100000000</v>
      </c>
      <c r="Z37" s="753"/>
      <c r="AA37" s="753"/>
      <c r="AB37" s="753"/>
      <c r="AC37" s="759">
        <f t="shared" si="1"/>
        <v>100000000</v>
      </c>
      <c r="AD37" s="373" t="s">
        <v>603</v>
      </c>
      <c r="AE37" s="377">
        <v>34</v>
      </c>
      <c r="AF37" s="188" t="s">
        <v>593</v>
      </c>
      <c r="AG37" s="374">
        <v>63500</v>
      </c>
      <c r="AH37" s="374">
        <v>51500</v>
      </c>
      <c r="AI37" s="374">
        <v>25915</v>
      </c>
      <c r="AJ37" s="374">
        <v>15281</v>
      </c>
      <c r="AK37" s="374">
        <v>46136</v>
      </c>
      <c r="AL37" s="374">
        <v>20914</v>
      </c>
      <c r="AM37" s="374">
        <v>252</v>
      </c>
      <c r="AN37" s="374">
        <v>1481</v>
      </c>
      <c r="AO37" s="374">
        <v>4</v>
      </c>
      <c r="AP37" s="374">
        <v>0.25449142982914702</v>
      </c>
      <c r="AQ37" s="374">
        <v>0</v>
      </c>
      <c r="AR37" s="374">
        <v>0</v>
      </c>
      <c r="AS37" s="374">
        <v>5</v>
      </c>
      <c r="AT37" s="374">
        <v>5003</v>
      </c>
      <c r="AU37" s="374">
        <v>9</v>
      </c>
      <c r="AV37" s="374">
        <v>115000</v>
      </c>
      <c r="AW37" s="368" t="s">
        <v>604</v>
      </c>
      <c r="AX37" s="368">
        <v>45657</v>
      </c>
      <c r="AY37" s="188" t="s">
        <v>536</v>
      </c>
    </row>
    <row r="38" spans="2:51" ht="101.25" customHeight="1" x14ac:dyDescent="0.2">
      <c r="B38" s="375">
        <v>1</v>
      </c>
      <c r="C38" s="188" t="s">
        <v>315</v>
      </c>
      <c r="D38" s="23">
        <v>33</v>
      </c>
      <c r="E38" s="907" t="s">
        <v>357</v>
      </c>
      <c r="F38" s="24">
        <v>3301</v>
      </c>
      <c r="G38" s="188" t="s">
        <v>358</v>
      </c>
      <c r="H38" s="23">
        <v>3301100</v>
      </c>
      <c r="I38" s="188" t="s">
        <v>598</v>
      </c>
      <c r="J38" s="23">
        <v>3301100</v>
      </c>
      <c r="K38" s="188" t="s">
        <v>598</v>
      </c>
      <c r="L38" s="23" t="s">
        <v>599</v>
      </c>
      <c r="M38" s="188" t="s">
        <v>600</v>
      </c>
      <c r="N38" s="23" t="s">
        <v>599</v>
      </c>
      <c r="O38" s="188" t="s">
        <v>600</v>
      </c>
      <c r="P38" s="23">
        <v>10</v>
      </c>
      <c r="Q38" s="23"/>
      <c r="R38" s="23">
        <f t="shared" si="0"/>
        <v>10</v>
      </c>
      <c r="S38" s="24">
        <v>2020003630020</v>
      </c>
      <c r="T38" s="188" t="s">
        <v>585</v>
      </c>
      <c r="U38" s="80">
        <f>SUM(Y37:Y38)/SUM(Y32:Y38)</f>
        <v>0.22665384453489013</v>
      </c>
      <c r="V38" s="188" t="s">
        <v>586</v>
      </c>
      <c r="W38" s="188" t="s">
        <v>601</v>
      </c>
      <c r="X38" s="188" t="s">
        <v>605</v>
      </c>
      <c r="Y38" s="756">
        <v>40000000</v>
      </c>
      <c r="Z38" s="753"/>
      <c r="AA38" s="753"/>
      <c r="AB38" s="753"/>
      <c r="AC38" s="759">
        <f t="shared" si="1"/>
        <v>40000000</v>
      </c>
      <c r="AD38" s="376" t="s">
        <v>606</v>
      </c>
      <c r="AE38" s="377">
        <v>20</v>
      </c>
      <c r="AF38" s="188" t="s">
        <v>132</v>
      </c>
      <c r="AG38" s="374">
        <v>63500</v>
      </c>
      <c r="AH38" s="374">
        <v>51500</v>
      </c>
      <c r="AI38" s="374">
        <v>25915</v>
      </c>
      <c r="AJ38" s="374">
        <v>15281</v>
      </c>
      <c r="AK38" s="374">
        <v>46136</v>
      </c>
      <c r="AL38" s="374">
        <v>20914</v>
      </c>
      <c r="AM38" s="374">
        <v>252</v>
      </c>
      <c r="AN38" s="374">
        <v>1481</v>
      </c>
      <c r="AO38" s="374">
        <v>4</v>
      </c>
      <c r="AP38" s="374">
        <v>0.25449142982914702</v>
      </c>
      <c r="AQ38" s="374">
        <v>0</v>
      </c>
      <c r="AR38" s="374">
        <v>0</v>
      </c>
      <c r="AS38" s="374">
        <v>5</v>
      </c>
      <c r="AT38" s="374">
        <v>5003</v>
      </c>
      <c r="AU38" s="374">
        <v>9</v>
      </c>
      <c r="AV38" s="374">
        <v>115000</v>
      </c>
      <c r="AW38" s="368">
        <v>45292</v>
      </c>
      <c r="AX38" s="368">
        <v>45657</v>
      </c>
      <c r="AY38" s="188" t="s">
        <v>536</v>
      </c>
    </row>
    <row r="39" spans="2:51" ht="116.25" customHeight="1" x14ac:dyDescent="0.2">
      <c r="B39" s="375">
        <v>1</v>
      </c>
      <c r="C39" s="188" t="s">
        <v>315</v>
      </c>
      <c r="D39" s="23">
        <v>33</v>
      </c>
      <c r="E39" s="907" t="s">
        <v>357</v>
      </c>
      <c r="F39" s="24">
        <v>3301</v>
      </c>
      <c r="G39" s="188" t="s">
        <v>358</v>
      </c>
      <c r="H39" s="23">
        <v>3301095</v>
      </c>
      <c r="I39" s="188" t="s">
        <v>607</v>
      </c>
      <c r="J39" s="23">
        <v>3301095</v>
      </c>
      <c r="K39" s="188" t="s">
        <v>607</v>
      </c>
      <c r="L39" s="23">
        <v>330109500</v>
      </c>
      <c r="M39" s="188" t="s">
        <v>608</v>
      </c>
      <c r="N39" s="23">
        <v>330109500</v>
      </c>
      <c r="O39" s="188" t="s">
        <v>608</v>
      </c>
      <c r="P39" s="23">
        <v>150</v>
      </c>
      <c r="Q39" s="23"/>
      <c r="R39" s="23">
        <f t="shared" si="0"/>
        <v>150</v>
      </c>
      <c r="S39" s="24">
        <v>2020003630072</v>
      </c>
      <c r="T39" s="188" t="s">
        <v>609</v>
      </c>
      <c r="U39" s="80">
        <f>SUM(Y39:Y40)/SUM(Y39:Y40)</f>
        <v>1</v>
      </c>
      <c r="V39" s="188" t="s">
        <v>610</v>
      </c>
      <c r="W39" s="188" t="s">
        <v>611</v>
      </c>
      <c r="X39" s="188" t="s">
        <v>612</v>
      </c>
      <c r="Y39" s="757">
        <v>20000000</v>
      </c>
      <c r="Z39" s="754"/>
      <c r="AA39" s="754"/>
      <c r="AB39" s="754"/>
      <c r="AC39" s="759">
        <f t="shared" si="1"/>
        <v>20000000</v>
      </c>
      <c r="AD39" s="373" t="s">
        <v>613</v>
      </c>
      <c r="AE39" s="377">
        <v>20</v>
      </c>
      <c r="AF39" s="188" t="s">
        <v>132</v>
      </c>
      <c r="AG39" s="204">
        <v>15</v>
      </c>
      <c r="AH39" s="204">
        <v>15</v>
      </c>
      <c r="AI39" s="204">
        <v>0</v>
      </c>
      <c r="AJ39" s="204">
        <v>0</v>
      </c>
      <c r="AK39" s="204">
        <v>0</v>
      </c>
      <c r="AL39" s="204">
        <v>30</v>
      </c>
      <c r="AM39" s="204">
        <v>0</v>
      </c>
      <c r="AN39" s="204">
        <v>0</v>
      </c>
      <c r="AO39" s="204">
        <v>0</v>
      </c>
      <c r="AP39" s="204">
        <v>0</v>
      </c>
      <c r="AQ39" s="204">
        <v>0</v>
      </c>
      <c r="AR39" s="204">
        <v>0</v>
      </c>
      <c r="AS39" s="204">
        <v>0</v>
      </c>
      <c r="AT39" s="204">
        <v>0</v>
      </c>
      <c r="AU39" s="204">
        <v>0</v>
      </c>
      <c r="AV39" s="204">
        <v>30</v>
      </c>
      <c r="AW39" s="368" t="s">
        <v>614</v>
      </c>
      <c r="AX39" s="368">
        <v>45657</v>
      </c>
      <c r="AY39" s="188" t="s">
        <v>536</v>
      </c>
    </row>
    <row r="40" spans="2:51" ht="116.25" customHeight="1" x14ac:dyDescent="0.2">
      <c r="B40" s="375">
        <v>1</v>
      </c>
      <c r="C40" s="188" t="s">
        <v>315</v>
      </c>
      <c r="D40" s="23">
        <v>33</v>
      </c>
      <c r="E40" s="907" t="s">
        <v>357</v>
      </c>
      <c r="F40" s="24">
        <v>3301</v>
      </c>
      <c r="G40" s="188" t="s">
        <v>358</v>
      </c>
      <c r="H40" s="23">
        <v>3301095</v>
      </c>
      <c r="I40" s="188" t="s">
        <v>607</v>
      </c>
      <c r="J40" s="23">
        <v>3301095</v>
      </c>
      <c r="K40" s="188" t="s">
        <v>607</v>
      </c>
      <c r="L40" s="23">
        <v>330109500</v>
      </c>
      <c r="M40" s="188" t="s">
        <v>608</v>
      </c>
      <c r="N40" s="23">
        <v>330109500</v>
      </c>
      <c r="O40" s="188" t="s">
        <v>608</v>
      </c>
      <c r="P40" s="23">
        <v>150</v>
      </c>
      <c r="Q40" s="23"/>
      <c r="R40" s="23">
        <f t="shared" si="0"/>
        <v>150</v>
      </c>
      <c r="S40" s="24">
        <v>2020003630072</v>
      </c>
      <c r="T40" s="188" t="s">
        <v>609</v>
      </c>
      <c r="U40" s="80">
        <f>SUM(Y39:Y40)/SUM(Y39:Y40)</f>
        <v>1</v>
      </c>
      <c r="V40" s="188" t="s">
        <v>610</v>
      </c>
      <c r="W40" s="188" t="s">
        <v>611</v>
      </c>
      <c r="X40" s="188" t="s">
        <v>615</v>
      </c>
      <c r="Y40" s="757">
        <v>317682000</v>
      </c>
      <c r="Z40" s="754"/>
      <c r="AA40" s="754"/>
      <c r="AB40" s="754"/>
      <c r="AC40" s="759">
        <f t="shared" si="1"/>
        <v>317682000</v>
      </c>
      <c r="AD40" s="373" t="s">
        <v>616</v>
      </c>
      <c r="AE40" s="377">
        <v>33</v>
      </c>
      <c r="AF40" s="188" t="s">
        <v>617</v>
      </c>
      <c r="AG40" s="204">
        <v>15</v>
      </c>
      <c r="AH40" s="204">
        <v>15</v>
      </c>
      <c r="AI40" s="204">
        <v>0</v>
      </c>
      <c r="AJ40" s="204">
        <v>0</v>
      </c>
      <c r="AK40" s="204">
        <v>0</v>
      </c>
      <c r="AL40" s="204">
        <v>30</v>
      </c>
      <c r="AM40" s="204">
        <v>0</v>
      </c>
      <c r="AN40" s="204">
        <v>0</v>
      </c>
      <c r="AO40" s="204">
        <v>0</v>
      </c>
      <c r="AP40" s="204">
        <v>0</v>
      </c>
      <c r="AQ40" s="204">
        <v>0</v>
      </c>
      <c r="AR40" s="204">
        <v>0</v>
      </c>
      <c r="AS40" s="204">
        <v>0</v>
      </c>
      <c r="AT40" s="204">
        <v>0</v>
      </c>
      <c r="AU40" s="204">
        <v>0</v>
      </c>
      <c r="AV40" s="204">
        <v>30</v>
      </c>
      <c r="AW40" s="368">
        <v>45292</v>
      </c>
      <c r="AX40" s="368">
        <v>45657</v>
      </c>
      <c r="AY40" s="188" t="s">
        <v>536</v>
      </c>
    </row>
    <row r="41" spans="2:51" ht="116.25" customHeight="1" x14ac:dyDescent="0.2">
      <c r="B41" s="375">
        <v>1</v>
      </c>
      <c r="C41" s="188" t="s">
        <v>315</v>
      </c>
      <c r="D41" s="23">
        <v>33</v>
      </c>
      <c r="E41" s="907" t="s">
        <v>357</v>
      </c>
      <c r="F41" s="24">
        <v>3302</v>
      </c>
      <c r="G41" s="188" t="s">
        <v>618</v>
      </c>
      <c r="H41" s="23">
        <v>3302042</v>
      </c>
      <c r="I41" s="188" t="s">
        <v>619</v>
      </c>
      <c r="J41" s="23">
        <v>3302042</v>
      </c>
      <c r="K41" s="188" t="s">
        <v>619</v>
      </c>
      <c r="L41" s="23">
        <v>330204200</v>
      </c>
      <c r="M41" s="188" t="s">
        <v>620</v>
      </c>
      <c r="N41" s="23">
        <v>330204200</v>
      </c>
      <c r="O41" s="188" t="s">
        <v>620</v>
      </c>
      <c r="P41" s="23">
        <v>12</v>
      </c>
      <c r="Q41" s="23"/>
      <c r="R41" s="23">
        <f t="shared" si="0"/>
        <v>12</v>
      </c>
      <c r="S41" s="24">
        <v>2020003630073</v>
      </c>
      <c r="T41" s="188" t="s">
        <v>621</v>
      </c>
      <c r="U41" s="370">
        <f>Y41/(SUM(Y41:Y45))</f>
        <v>0.28705112380514969</v>
      </c>
      <c r="V41" s="188" t="s">
        <v>622</v>
      </c>
      <c r="W41" s="188" t="s">
        <v>623</v>
      </c>
      <c r="X41" s="188" t="s">
        <v>624</v>
      </c>
      <c r="Y41" s="758">
        <v>70000000</v>
      </c>
      <c r="Z41" s="762">
        <f>9000000</f>
        <v>9000000</v>
      </c>
      <c r="AA41" s="762"/>
      <c r="AB41" s="762"/>
      <c r="AC41" s="759">
        <f t="shared" si="1"/>
        <v>61000000</v>
      </c>
      <c r="AD41" s="280" t="s">
        <v>625</v>
      </c>
      <c r="AE41" s="377">
        <v>20</v>
      </c>
      <c r="AF41" s="188" t="s">
        <v>132</v>
      </c>
      <c r="AG41" s="204">
        <v>85275</v>
      </c>
      <c r="AH41" s="204">
        <v>85275</v>
      </c>
      <c r="AI41" s="204">
        <v>25580</v>
      </c>
      <c r="AJ41" s="204">
        <v>42638</v>
      </c>
      <c r="AK41" s="204">
        <v>68221</v>
      </c>
      <c r="AL41" s="204">
        <v>17055</v>
      </c>
      <c r="AM41" s="204">
        <v>8528</v>
      </c>
      <c r="AN41" s="204">
        <v>8528</v>
      </c>
      <c r="AO41" s="204">
        <v>0</v>
      </c>
      <c r="AP41" s="204">
        <v>0</v>
      </c>
      <c r="AQ41" s="204">
        <v>0</v>
      </c>
      <c r="AR41" s="204">
        <v>0</v>
      </c>
      <c r="AS41" s="204">
        <v>0</v>
      </c>
      <c r="AT41" s="204">
        <v>0</v>
      </c>
      <c r="AU41" s="204">
        <v>0</v>
      </c>
      <c r="AV41" s="204">
        <v>170550</v>
      </c>
      <c r="AW41" s="368" t="s">
        <v>626</v>
      </c>
      <c r="AX41" s="368">
        <v>45657</v>
      </c>
      <c r="AY41" s="188" t="s">
        <v>536</v>
      </c>
    </row>
    <row r="42" spans="2:51" ht="116.25" customHeight="1" x14ac:dyDescent="0.2">
      <c r="B42" s="375">
        <v>1</v>
      </c>
      <c r="C42" s="188" t="s">
        <v>315</v>
      </c>
      <c r="D42" s="23">
        <v>33</v>
      </c>
      <c r="E42" s="907" t="s">
        <v>357</v>
      </c>
      <c r="F42" s="24">
        <v>3302</v>
      </c>
      <c r="G42" s="188" t="s">
        <v>618</v>
      </c>
      <c r="H42" s="23">
        <v>3302070</v>
      </c>
      <c r="I42" s="188" t="s">
        <v>627</v>
      </c>
      <c r="J42" s="23">
        <v>3302070</v>
      </c>
      <c r="K42" s="188" t="s">
        <v>628</v>
      </c>
      <c r="L42" s="23" t="s">
        <v>629</v>
      </c>
      <c r="M42" s="188" t="s">
        <v>600</v>
      </c>
      <c r="N42" s="23" t="s">
        <v>629</v>
      </c>
      <c r="O42" s="188" t="s">
        <v>600</v>
      </c>
      <c r="P42" s="23">
        <v>4</v>
      </c>
      <c r="Q42" s="23"/>
      <c r="R42" s="23">
        <f t="shared" si="0"/>
        <v>4</v>
      </c>
      <c r="S42" s="24">
        <v>2020003630073</v>
      </c>
      <c r="T42" s="188" t="s">
        <v>621</v>
      </c>
      <c r="U42" s="370">
        <f>SUM(Y42:Y45)/SUM(Y41:Y45)</f>
        <v>0.71294887619485026</v>
      </c>
      <c r="V42" s="188" t="s">
        <v>622</v>
      </c>
      <c r="W42" s="188" t="s">
        <v>630</v>
      </c>
      <c r="X42" s="188" t="s">
        <v>627</v>
      </c>
      <c r="Y42" s="378">
        <v>59000000</v>
      </c>
      <c r="Z42" s="760">
        <f>9000000</f>
        <v>9000000</v>
      </c>
      <c r="AA42" s="760"/>
      <c r="AB42" s="760"/>
      <c r="AC42" s="365">
        <f t="shared" si="1"/>
        <v>50000000</v>
      </c>
      <c r="AD42" s="373" t="s">
        <v>631</v>
      </c>
      <c r="AE42" s="377">
        <v>20</v>
      </c>
      <c r="AF42" s="188" t="s">
        <v>132</v>
      </c>
      <c r="AG42" s="204">
        <v>85275</v>
      </c>
      <c r="AH42" s="204">
        <v>85275</v>
      </c>
      <c r="AI42" s="204">
        <v>25580</v>
      </c>
      <c r="AJ42" s="204">
        <v>42638</v>
      </c>
      <c r="AK42" s="204">
        <v>68221</v>
      </c>
      <c r="AL42" s="204">
        <v>17055</v>
      </c>
      <c r="AM42" s="204">
        <v>8528</v>
      </c>
      <c r="AN42" s="204">
        <v>8528</v>
      </c>
      <c r="AO42" s="204">
        <v>0</v>
      </c>
      <c r="AP42" s="204">
        <v>0</v>
      </c>
      <c r="AQ42" s="204">
        <v>0</v>
      </c>
      <c r="AR42" s="204">
        <v>0</v>
      </c>
      <c r="AS42" s="204">
        <v>0</v>
      </c>
      <c r="AT42" s="204">
        <v>0</v>
      </c>
      <c r="AU42" s="204">
        <v>0</v>
      </c>
      <c r="AV42" s="204">
        <v>170550</v>
      </c>
      <c r="AW42" s="368">
        <v>45292</v>
      </c>
      <c r="AX42" s="368">
        <v>45657</v>
      </c>
      <c r="AY42" s="188" t="s">
        <v>536</v>
      </c>
    </row>
    <row r="43" spans="2:51" ht="116.25" customHeight="1" x14ac:dyDescent="0.2">
      <c r="B43" s="375">
        <v>1</v>
      </c>
      <c r="C43" s="188" t="s">
        <v>315</v>
      </c>
      <c r="D43" s="23">
        <v>33</v>
      </c>
      <c r="E43" s="907" t="s">
        <v>357</v>
      </c>
      <c r="F43" s="24">
        <v>3302</v>
      </c>
      <c r="G43" s="188" t="s">
        <v>618</v>
      </c>
      <c r="H43" s="23">
        <v>3302070</v>
      </c>
      <c r="I43" s="188" t="s">
        <v>627</v>
      </c>
      <c r="J43" s="23">
        <v>3302070</v>
      </c>
      <c r="K43" s="188" t="s">
        <v>628</v>
      </c>
      <c r="L43" s="23" t="s">
        <v>629</v>
      </c>
      <c r="M43" s="188" t="s">
        <v>600</v>
      </c>
      <c r="N43" s="23" t="s">
        <v>629</v>
      </c>
      <c r="O43" s="188" t="s">
        <v>600</v>
      </c>
      <c r="P43" s="23">
        <v>4</v>
      </c>
      <c r="Q43" s="23"/>
      <c r="R43" s="23">
        <f t="shared" si="0"/>
        <v>4</v>
      </c>
      <c r="S43" s="24">
        <v>2020003630073</v>
      </c>
      <c r="T43" s="188" t="s">
        <v>621</v>
      </c>
      <c r="U43" s="370">
        <f>SUM(Y42:Y45)/SUM(Y41:Y45)</f>
        <v>0.71294887619485026</v>
      </c>
      <c r="V43" s="188" t="s">
        <v>622</v>
      </c>
      <c r="W43" s="188" t="s">
        <v>630</v>
      </c>
      <c r="X43" s="188" t="s">
        <v>627</v>
      </c>
      <c r="Y43" s="378">
        <v>3000000</v>
      </c>
      <c r="Z43" s="378"/>
      <c r="AA43" s="378"/>
      <c r="AB43" s="378"/>
      <c r="AC43" s="365">
        <f t="shared" si="1"/>
        <v>3000000</v>
      </c>
      <c r="AD43" s="373" t="s">
        <v>632</v>
      </c>
      <c r="AE43" s="377">
        <v>20</v>
      </c>
      <c r="AF43" s="188" t="s">
        <v>132</v>
      </c>
      <c r="AG43" s="204">
        <v>85275</v>
      </c>
      <c r="AH43" s="204">
        <v>85275</v>
      </c>
      <c r="AI43" s="204">
        <v>25580</v>
      </c>
      <c r="AJ43" s="204">
        <v>42638</v>
      </c>
      <c r="AK43" s="204">
        <v>68221</v>
      </c>
      <c r="AL43" s="204">
        <v>17055</v>
      </c>
      <c r="AM43" s="204">
        <v>8528</v>
      </c>
      <c r="AN43" s="204">
        <v>8528</v>
      </c>
      <c r="AO43" s="204">
        <v>0</v>
      </c>
      <c r="AP43" s="204">
        <v>0</v>
      </c>
      <c r="AQ43" s="204">
        <v>0</v>
      </c>
      <c r="AR43" s="204">
        <v>0</v>
      </c>
      <c r="AS43" s="204">
        <v>0</v>
      </c>
      <c r="AT43" s="204">
        <v>0</v>
      </c>
      <c r="AU43" s="204">
        <v>0</v>
      </c>
      <c r="AV43" s="204">
        <v>170550</v>
      </c>
      <c r="AW43" s="368" t="s">
        <v>633</v>
      </c>
      <c r="AX43" s="368">
        <v>45657</v>
      </c>
      <c r="AY43" s="188" t="s">
        <v>536</v>
      </c>
    </row>
    <row r="44" spans="2:51" ht="116.25" customHeight="1" x14ac:dyDescent="0.2">
      <c r="B44" s="375">
        <v>1</v>
      </c>
      <c r="C44" s="188" t="s">
        <v>315</v>
      </c>
      <c r="D44" s="23">
        <v>33</v>
      </c>
      <c r="E44" s="907" t="s">
        <v>357</v>
      </c>
      <c r="F44" s="24">
        <v>3302</v>
      </c>
      <c r="G44" s="188" t="s">
        <v>618</v>
      </c>
      <c r="H44" s="23">
        <v>3302070</v>
      </c>
      <c r="I44" s="188" t="s">
        <v>627</v>
      </c>
      <c r="J44" s="23">
        <v>3302070</v>
      </c>
      <c r="K44" s="188" t="s">
        <v>628</v>
      </c>
      <c r="L44" s="23" t="s">
        <v>629</v>
      </c>
      <c r="M44" s="188" t="s">
        <v>600</v>
      </c>
      <c r="N44" s="23" t="s">
        <v>629</v>
      </c>
      <c r="O44" s="188" t="s">
        <v>600</v>
      </c>
      <c r="P44" s="23">
        <v>4</v>
      </c>
      <c r="Q44" s="23"/>
      <c r="R44" s="23">
        <f t="shared" si="0"/>
        <v>4</v>
      </c>
      <c r="S44" s="24">
        <v>2020003630073</v>
      </c>
      <c r="T44" s="188" t="s">
        <v>621</v>
      </c>
      <c r="U44" s="370">
        <f>SUM(Y42:Y45)/SUM(Y41:Y45)</f>
        <v>0.71294887619485026</v>
      </c>
      <c r="V44" s="188" t="s">
        <v>622</v>
      </c>
      <c r="W44" s="188" t="s">
        <v>630</v>
      </c>
      <c r="X44" s="188" t="s">
        <v>627</v>
      </c>
      <c r="Y44" s="378">
        <v>8000000</v>
      </c>
      <c r="Z44" s="378"/>
      <c r="AA44" s="378"/>
      <c r="AB44" s="378"/>
      <c r="AC44" s="365">
        <f t="shared" si="1"/>
        <v>8000000</v>
      </c>
      <c r="AD44" s="373" t="s">
        <v>634</v>
      </c>
      <c r="AE44" s="377">
        <v>20</v>
      </c>
      <c r="AF44" s="188" t="s">
        <v>132</v>
      </c>
      <c r="AG44" s="204">
        <v>85275</v>
      </c>
      <c r="AH44" s="204">
        <v>85275</v>
      </c>
      <c r="AI44" s="204">
        <v>25580</v>
      </c>
      <c r="AJ44" s="204">
        <v>42638</v>
      </c>
      <c r="AK44" s="204">
        <v>68221</v>
      </c>
      <c r="AL44" s="204">
        <v>17055</v>
      </c>
      <c r="AM44" s="204">
        <v>8528</v>
      </c>
      <c r="AN44" s="204">
        <v>8528</v>
      </c>
      <c r="AO44" s="204">
        <v>0</v>
      </c>
      <c r="AP44" s="204">
        <v>0</v>
      </c>
      <c r="AQ44" s="204">
        <v>0</v>
      </c>
      <c r="AR44" s="204">
        <v>0</v>
      </c>
      <c r="AS44" s="204">
        <v>0</v>
      </c>
      <c r="AT44" s="204">
        <v>0</v>
      </c>
      <c r="AU44" s="204">
        <v>0</v>
      </c>
      <c r="AV44" s="204">
        <v>170550</v>
      </c>
      <c r="AW44" s="368">
        <v>45292</v>
      </c>
      <c r="AX44" s="368">
        <v>45657</v>
      </c>
      <c r="AY44" s="188" t="s">
        <v>536</v>
      </c>
    </row>
    <row r="45" spans="2:51" ht="116.25" customHeight="1" x14ac:dyDescent="0.2">
      <c r="B45" s="375">
        <v>1</v>
      </c>
      <c r="C45" s="188" t="s">
        <v>315</v>
      </c>
      <c r="D45" s="23">
        <v>33</v>
      </c>
      <c r="E45" s="907" t="s">
        <v>357</v>
      </c>
      <c r="F45" s="24">
        <v>3302</v>
      </c>
      <c r="G45" s="188" t="s">
        <v>618</v>
      </c>
      <c r="H45" s="23">
        <v>3302070</v>
      </c>
      <c r="I45" s="188" t="s">
        <v>627</v>
      </c>
      <c r="J45" s="23">
        <v>3302070</v>
      </c>
      <c r="K45" s="188" t="s">
        <v>628</v>
      </c>
      <c r="L45" s="23" t="s">
        <v>629</v>
      </c>
      <c r="M45" s="188" t="s">
        <v>600</v>
      </c>
      <c r="N45" s="23" t="s">
        <v>629</v>
      </c>
      <c r="O45" s="188" t="s">
        <v>600</v>
      </c>
      <c r="P45" s="23">
        <v>4</v>
      </c>
      <c r="Q45" s="23"/>
      <c r="R45" s="23">
        <f t="shared" si="0"/>
        <v>4</v>
      </c>
      <c r="S45" s="24">
        <v>2020003630073</v>
      </c>
      <c r="T45" s="188" t="s">
        <v>621</v>
      </c>
      <c r="U45" s="370">
        <f>SUM(Y42:Y45)/SUM(Y41:Y45)</f>
        <v>0.71294887619485026</v>
      </c>
      <c r="V45" s="188" t="s">
        <v>622</v>
      </c>
      <c r="W45" s="188" t="s">
        <v>630</v>
      </c>
      <c r="X45" s="188" t="s">
        <v>627</v>
      </c>
      <c r="Y45" s="378">
        <v>103859000</v>
      </c>
      <c r="Z45" s="378"/>
      <c r="AA45" s="378"/>
      <c r="AB45" s="378"/>
      <c r="AC45" s="365">
        <f t="shared" si="1"/>
        <v>103859000</v>
      </c>
      <c r="AD45" s="373" t="s">
        <v>635</v>
      </c>
      <c r="AE45" s="377">
        <v>47</v>
      </c>
      <c r="AF45" s="188" t="s">
        <v>636</v>
      </c>
      <c r="AG45" s="204">
        <v>85275</v>
      </c>
      <c r="AH45" s="204">
        <v>85275</v>
      </c>
      <c r="AI45" s="204">
        <v>25580</v>
      </c>
      <c r="AJ45" s="204">
        <v>42638</v>
      </c>
      <c r="AK45" s="204">
        <v>68221</v>
      </c>
      <c r="AL45" s="204">
        <v>17055</v>
      </c>
      <c r="AM45" s="204">
        <v>8528</v>
      </c>
      <c r="AN45" s="204">
        <v>8528</v>
      </c>
      <c r="AO45" s="204">
        <v>0</v>
      </c>
      <c r="AP45" s="204">
        <v>0</v>
      </c>
      <c r="AQ45" s="204">
        <v>0</v>
      </c>
      <c r="AR45" s="204">
        <v>0</v>
      </c>
      <c r="AS45" s="204">
        <v>0</v>
      </c>
      <c r="AT45" s="204">
        <v>0</v>
      </c>
      <c r="AU45" s="204">
        <v>0</v>
      </c>
      <c r="AV45" s="204">
        <v>170550</v>
      </c>
      <c r="AW45" s="368" t="s">
        <v>637</v>
      </c>
      <c r="AX45" s="368">
        <v>45657</v>
      </c>
      <c r="AY45" s="188" t="s">
        <v>536</v>
      </c>
    </row>
    <row r="46" spans="2:51" x14ac:dyDescent="0.2">
      <c r="B46" s="379"/>
      <c r="C46" s="889"/>
      <c r="D46" s="896"/>
      <c r="E46" s="889"/>
      <c r="F46" s="896"/>
      <c r="G46" s="889"/>
      <c r="H46" s="896"/>
      <c r="I46" s="889"/>
      <c r="J46" s="896"/>
      <c r="K46" s="889"/>
      <c r="L46" s="896"/>
      <c r="M46" s="889"/>
      <c r="N46" s="306"/>
      <c r="O46" s="889"/>
      <c r="P46" s="896"/>
      <c r="Q46" s="306"/>
      <c r="R46" s="896"/>
      <c r="S46" s="306"/>
      <c r="T46" s="889"/>
      <c r="U46" s="896"/>
      <c r="V46" s="889"/>
      <c r="W46" s="889"/>
      <c r="X46" s="893" t="s">
        <v>25</v>
      </c>
      <c r="Y46" s="380">
        <f>SUM(Y11:Y45)</f>
        <v>4645909784.1999998</v>
      </c>
      <c r="Z46" s="380">
        <f>SUM(Z11:Z45)</f>
        <v>91900000</v>
      </c>
      <c r="AA46" s="380">
        <f>SUM(AA11:AA45)</f>
        <v>0</v>
      </c>
      <c r="AB46" s="380">
        <f>SUM(AB11:AB45)</f>
        <v>0</v>
      </c>
      <c r="AC46" s="380">
        <f>SUM(AC11:AC45)</f>
        <v>4554009784.1999998</v>
      </c>
      <c r="AD46" s="381"/>
      <c r="AE46" s="381"/>
      <c r="AF46" s="381"/>
      <c r="AG46" s="306"/>
      <c r="AH46" s="306"/>
      <c r="AI46" s="306"/>
      <c r="AJ46" s="306"/>
      <c r="AK46" s="306"/>
      <c r="AL46" s="306"/>
      <c r="AM46" s="306"/>
      <c r="AN46" s="306"/>
      <c r="AO46" s="306"/>
      <c r="AP46" s="306"/>
      <c r="AQ46" s="306"/>
      <c r="AR46" s="306"/>
      <c r="AS46" s="306"/>
      <c r="AT46" s="306"/>
      <c r="AU46" s="306"/>
      <c r="AV46" s="306"/>
      <c r="AW46" s="306"/>
      <c r="AX46" s="306"/>
      <c r="AY46" s="382"/>
    </row>
    <row r="47" spans="2:51" ht="40.5" customHeight="1" x14ac:dyDescent="0.2">
      <c r="Y47" s="384"/>
      <c r="Z47" s="384"/>
      <c r="AA47" s="384"/>
      <c r="AB47" s="384"/>
      <c r="AC47" s="384"/>
    </row>
    <row r="48" spans="2:51" ht="51" customHeight="1" x14ac:dyDescent="0.2">
      <c r="U48" s="910"/>
      <c r="AE48" s="385"/>
      <c r="AF48" s="385"/>
    </row>
    <row r="49" spans="10:32" ht="33" customHeight="1" x14ac:dyDescent="0.2">
      <c r="P49" s="1080" t="s">
        <v>638</v>
      </c>
      <c r="Q49" s="1080"/>
      <c r="R49" s="1080"/>
      <c r="S49" s="1080"/>
      <c r="T49" s="1080"/>
      <c r="AE49" s="385"/>
      <c r="AF49" s="385"/>
    </row>
    <row r="50" spans="10:32" x14ac:dyDescent="0.2">
      <c r="AE50" s="385"/>
      <c r="AF50" s="385"/>
    </row>
    <row r="51" spans="10:32" x14ac:dyDescent="0.2">
      <c r="AE51" s="385"/>
      <c r="AF51" s="385"/>
    </row>
    <row r="52" spans="10:32" x14ac:dyDescent="0.2">
      <c r="AE52" s="385"/>
      <c r="AF52" s="385"/>
    </row>
    <row r="53" spans="10:32" x14ac:dyDescent="0.2">
      <c r="J53" s="1076" t="s">
        <v>113</v>
      </c>
      <c r="K53" s="1076"/>
      <c r="L53" s="1077" t="s">
        <v>114</v>
      </c>
      <c r="M53" s="1078"/>
      <c r="N53" s="1077" t="s">
        <v>115</v>
      </c>
      <c r="O53" s="1078"/>
      <c r="AE53" s="385"/>
      <c r="AF53" s="385"/>
    </row>
    <row r="54" spans="10:32" x14ac:dyDescent="0.2">
      <c r="J54" s="1076" t="s">
        <v>116</v>
      </c>
      <c r="K54" s="1076"/>
      <c r="L54" s="1077" t="s">
        <v>117</v>
      </c>
      <c r="M54" s="1078"/>
      <c r="N54" s="1076" t="s">
        <v>118</v>
      </c>
      <c r="O54" s="1076"/>
      <c r="AE54" s="385"/>
      <c r="AF54" s="385"/>
    </row>
    <row r="55" spans="10:32" x14ac:dyDescent="0.2">
      <c r="J55" s="1076" t="s">
        <v>119</v>
      </c>
      <c r="K55" s="1076"/>
      <c r="L55" s="1077" t="s">
        <v>120</v>
      </c>
      <c r="M55" s="1078"/>
      <c r="N55" s="1076" t="s">
        <v>121</v>
      </c>
      <c r="O55" s="1076"/>
      <c r="AE55" s="385"/>
      <c r="AF55" s="385"/>
    </row>
  </sheetData>
  <autoFilter ref="B10:BV46" xr:uid="{AFB5FA7A-EBF3-412D-95E9-B43029873743}"/>
  <mergeCells count="32">
    <mergeCell ref="B8:C9"/>
    <mergeCell ref="D8:E9"/>
    <mergeCell ref="F8:G9"/>
    <mergeCell ref="H8:K9"/>
    <mergeCell ref="L8:O9"/>
    <mergeCell ref="B1:C7"/>
    <mergeCell ref="D1:AW1"/>
    <mergeCell ref="D2:AW4"/>
    <mergeCell ref="D5:AW5"/>
    <mergeCell ref="D6:AW6"/>
    <mergeCell ref="AW8:AW10"/>
    <mergeCell ref="AX8:AX10"/>
    <mergeCell ref="AY8:AY10"/>
    <mergeCell ref="AD9:AF9"/>
    <mergeCell ref="AG9:AH9"/>
    <mergeCell ref="AI9:AL9"/>
    <mergeCell ref="AM9:AR9"/>
    <mergeCell ref="AS9:AU9"/>
    <mergeCell ref="AV9:AV10"/>
    <mergeCell ref="AG8:AV8"/>
    <mergeCell ref="P49:T49"/>
    <mergeCell ref="J53:K53"/>
    <mergeCell ref="L53:M53"/>
    <mergeCell ref="N53:O53"/>
    <mergeCell ref="P8:R9"/>
    <mergeCell ref="S8:Y9"/>
    <mergeCell ref="J54:K54"/>
    <mergeCell ref="L54:M54"/>
    <mergeCell ref="N54:O54"/>
    <mergeCell ref="J55:K55"/>
    <mergeCell ref="L55:M55"/>
    <mergeCell ref="N55:O55"/>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BQ118"/>
  <sheetViews>
    <sheetView showGridLines="0" topLeftCell="A2" zoomScale="60" zoomScaleNormal="60" workbookViewId="0">
      <pane ySplit="9" topLeftCell="A44" activePane="bottomLeft" state="frozen"/>
      <selection activeCell="A8" sqref="A8"/>
      <selection pane="bottomLeft" activeCell="I14" sqref="I14"/>
    </sheetView>
  </sheetViews>
  <sheetFormatPr baseColWidth="10" defaultColWidth="11.42578125" defaultRowHeight="12.75" x14ac:dyDescent="0.2"/>
  <cols>
    <col min="1" max="1" width="10.28515625" style="895" customWidth="1"/>
    <col min="2" max="2" width="21.7109375" style="890" customWidth="1"/>
    <col min="3" max="3" width="11.42578125" style="895"/>
    <col min="4" max="4" width="13.5703125" style="890" customWidth="1"/>
    <col min="5" max="5" width="11.42578125" style="895"/>
    <col min="6" max="6" width="18.7109375" style="890" customWidth="1"/>
    <col min="7" max="7" width="11.42578125" style="895"/>
    <col min="8" max="8" width="31.5703125" style="890" customWidth="1"/>
    <col min="9" max="9" width="19.140625" style="895" customWidth="1"/>
    <col min="10" max="10" width="27.42578125" style="890" customWidth="1"/>
    <col min="11" max="11" width="16.140625" style="895" customWidth="1"/>
    <col min="12" max="12" width="20.28515625" style="890" customWidth="1"/>
    <col min="13" max="13" width="16.28515625" style="895" customWidth="1"/>
    <col min="14" max="14" width="20.42578125" style="890" customWidth="1"/>
    <col min="15" max="17" width="11.42578125" style="81"/>
    <col min="18" max="18" width="15.5703125" style="895" customWidth="1"/>
    <col min="19" max="19" width="38" style="890" customWidth="1"/>
    <col min="20" max="20" width="13.42578125" style="81" customWidth="1"/>
    <col min="21" max="21" width="36.140625" style="890" customWidth="1"/>
    <col min="22" max="22" width="27.7109375" style="890" customWidth="1"/>
    <col min="23" max="23" width="42.140625" style="890" customWidth="1"/>
    <col min="24" max="24" width="18.28515625" style="81" bestFit="1" customWidth="1"/>
    <col min="25" max="28" width="18.28515625" style="81" customWidth="1"/>
    <col min="29" max="29" width="42.85546875" style="81" customWidth="1"/>
    <col min="30" max="30" width="12.42578125" style="81" customWidth="1"/>
    <col min="31" max="32" width="11.42578125" style="81"/>
    <col min="33" max="34" width="7.5703125" style="81" bestFit="1" customWidth="1"/>
    <col min="35" max="35" width="9.28515625" style="81" customWidth="1"/>
    <col min="36" max="36" width="7.42578125" style="81" customWidth="1"/>
    <col min="37" max="37" width="9.42578125" style="81" customWidth="1"/>
    <col min="38" max="38" width="8.5703125" style="81" customWidth="1"/>
    <col min="39" max="39" width="5.7109375" style="81" bestFit="1" customWidth="1"/>
    <col min="40" max="40" width="6.5703125" style="81" bestFit="1" customWidth="1"/>
    <col min="41" max="41" width="6.7109375" style="81" customWidth="1"/>
    <col min="42" max="42" width="6.42578125" style="81" customWidth="1"/>
    <col min="43" max="43" width="6.28515625" style="81" customWidth="1"/>
    <col min="44" max="44" width="6.5703125" style="81" customWidth="1"/>
    <col min="45" max="45" width="6.7109375" style="81" customWidth="1"/>
    <col min="46" max="46" width="6.5703125" style="81" bestFit="1" customWidth="1"/>
    <col min="47" max="47" width="7.5703125" style="81" customWidth="1"/>
    <col min="48" max="48" width="8" style="81" customWidth="1"/>
    <col min="49" max="49" width="14.28515625" style="81" customWidth="1"/>
    <col min="50" max="50" width="14.42578125" style="81" customWidth="1"/>
    <col min="51" max="51" width="15.140625" style="81" customWidth="1"/>
    <col min="52" max="16345" width="11.42578125" style="81"/>
    <col min="16346" max="16384" width="11.42578125" style="81" bestFit="1" customWidth="1"/>
  </cols>
  <sheetData>
    <row r="1" spans="1:69" hidden="1" x14ac:dyDescent="0.2">
      <c r="A1" s="1073"/>
      <c r="B1" s="1073"/>
      <c r="C1" s="1104" t="s">
        <v>0</v>
      </c>
      <c r="D1" s="1104"/>
      <c r="E1" s="1104"/>
      <c r="F1" s="1104"/>
      <c r="G1" s="1104"/>
      <c r="H1" s="1104"/>
      <c r="I1" s="1104"/>
      <c r="J1" s="1104"/>
      <c r="K1" s="1104"/>
      <c r="L1" s="1104"/>
      <c r="M1" s="1104"/>
      <c r="N1" s="1104"/>
      <c r="O1" s="1104"/>
      <c r="P1" s="1104"/>
      <c r="Q1" s="1104"/>
      <c r="R1" s="1104"/>
      <c r="S1" s="1104"/>
      <c r="T1" s="1104"/>
      <c r="U1" s="1104"/>
      <c r="V1" s="1104"/>
      <c r="W1" s="1104"/>
      <c r="X1" s="1104"/>
      <c r="Y1" s="1104"/>
      <c r="Z1" s="1104"/>
      <c r="AA1" s="1104"/>
      <c r="AB1" s="1104"/>
      <c r="AC1" s="1104"/>
      <c r="AD1" s="1104"/>
      <c r="AE1" s="1104"/>
      <c r="AF1" s="1104"/>
      <c r="AG1" s="1104"/>
      <c r="AH1" s="1104"/>
      <c r="AI1" s="1104"/>
      <c r="AJ1" s="1104"/>
      <c r="AK1" s="1104"/>
      <c r="AL1" s="1104"/>
      <c r="AM1" s="1104"/>
      <c r="AN1" s="1104"/>
      <c r="AO1" s="1104"/>
      <c r="AP1" s="1104"/>
      <c r="AQ1" s="1104"/>
      <c r="AR1" s="1104"/>
      <c r="AS1" s="1104"/>
      <c r="AT1" s="1104"/>
      <c r="AU1" s="1104"/>
      <c r="AV1" s="1104"/>
      <c r="AW1" s="1104"/>
    </row>
    <row r="2" spans="1:69" s="45" customFormat="1" ht="18" customHeight="1" x14ac:dyDescent="0.2">
      <c r="A2" s="1073"/>
      <c r="B2" s="1073"/>
      <c r="C2" s="1105" t="s">
        <v>639</v>
      </c>
      <c r="D2" s="1106"/>
      <c r="E2" s="1106"/>
      <c r="F2" s="1106"/>
      <c r="G2" s="1106"/>
      <c r="H2" s="1106"/>
      <c r="I2" s="1106"/>
      <c r="J2" s="1106"/>
      <c r="K2" s="1106"/>
      <c r="L2" s="1106"/>
      <c r="M2" s="1106"/>
      <c r="N2" s="1106"/>
      <c r="O2" s="1106"/>
      <c r="P2" s="1106"/>
      <c r="Q2" s="1106"/>
      <c r="R2" s="1106"/>
      <c r="S2" s="1106"/>
      <c r="T2" s="1106"/>
      <c r="U2" s="1106"/>
      <c r="V2" s="1106"/>
      <c r="W2" s="1106"/>
      <c r="X2" s="1106"/>
      <c r="Y2" s="1106"/>
      <c r="Z2" s="1106"/>
      <c r="AA2" s="1106"/>
      <c r="AB2" s="1106"/>
      <c r="AC2" s="1106"/>
      <c r="AD2" s="1106"/>
      <c r="AE2" s="1106"/>
      <c r="AF2" s="1106"/>
      <c r="AG2" s="1106"/>
      <c r="AH2" s="1106"/>
      <c r="AI2" s="1106"/>
      <c r="AJ2" s="1106"/>
      <c r="AK2" s="1106"/>
      <c r="AL2" s="1106"/>
      <c r="AM2" s="1106"/>
      <c r="AN2" s="1106"/>
      <c r="AO2" s="1106"/>
      <c r="AP2" s="1106"/>
      <c r="AQ2" s="1106"/>
      <c r="AR2" s="1106"/>
      <c r="AS2" s="1106"/>
      <c r="AT2" s="1106"/>
      <c r="AU2" s="1106"/>
      <c r="AV2" s="1106"/>
      <c r="AW2" s="1107"/>
      <c r="AX2" s="2" t="s">
        <v>2</v>
      </c>
      <c r="AY2" s="2" t="s">
        <v>3</v>
      </c>
      <c r="AZ2" s="3"/>
      <c r="BA2" s="3"/>
      <c r="BB2" s="3"/>
      <c r="BC2" s="3"/>
      <c r="BD2" s="3"/>
      <c r="BE2" s="3"/>
      <c r="BF2" s="3"/>
      <c r="BG2" s="3"/>
      <c r="BH2" s="3"/>
      <c r="BI2" s="3"/>
      <c r="BJ2" s="3"/>
      <c r="BK2" s="3"/>
      <c r="BL2" s="3"/>
      <c r="BM2" s="3"/>
      <c r="BN2" s="3"/>
      <c r="BO2" s="3"/>
      <c r="BP2" s="3"/>
      <c r="BQ2" s="3"/>
    </row>
    <row r="3" spans="1:69" s="45" customFormat="1" ht="16.5" customHeight="1" x14ac:dyDescent="0.2">
      <c r="A3" s="1073"/>
      <c r="B3" s="1073"/>
      <c r="C3" s="1108"/>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c r="AG3" s="1109"/>
      <c r="AH3" s="1109"/>
      <c r="AI3" s="1109"/>
      <c r="AJ3" s="1109"/>
      <c r="AK3" s="1109"/>
      <c r="AL3" s="1109"/>
      <c r="AM3" s="1109"/>
      <c r="AN3" s="1109"/>
      <c r="AO3" s="1109"/>
      <c r="AP3" s="1109"/>
      <c r="AQ3" s="1109"/>
      <c r="AR3" s="1109"/>
      <c r="AS3" s="1109"/>
      <c r="AT3" s="1109"/>
      <c r="AU3" s="1109"/>
      <c r="AV3" s="1109"/>
      <c r="AW3" s="1110"/>
      <c r="AX3" s="2" t="s">
        <v>4</v>
      </c>
      <c r="AY3" s="49">
        <v>11</v>
      </c>
      <c r="AZ3" s="3"/>
      <c r="BA3" s="3"/>
      <c r="BB3" s="3"/>
      <c r="BC3" s="3"/>
      <c r="BD3" s="3"/>
      <c r="BE3" s="3"/>
      <c r="BF3" s="3"/>
      <c r="BG3" s="3"/>
      <c r="BH3" s="3"/>
      <c r="BI3" s="3"/>
      <c r="BJ3" s="3"/>
      <c r="BK3" s="3"/>
      <c r="BL3" s="3"/>
      <c r="BM3" s="3"/>
      <c r="BN3" s="3"/>
      <c r="BO3" s="3"/>
      <c r="BP3" s="3"/>
      <c r="BQ3" s="3"/>
    </row>
    <row r="4" spans="1:69" s="45" customFormat="1" ht="6.75" customHeight="1" x14ac:dyDescent="0.2">
      <c r="A4" s="1073"/>
      <c r="B4" s="1073"/>
      <c r="C4" s="1111"/>
      <c r="D4" s="1112"/>
      <c r="E4" s="1112"/>
      <c r="F4" s="1112"/>
      <c r="G4" s="1112"/>
      <c r="H4" s="1112"/>
      <c r="I4" s="1112"/>
      <c r="J4" s="1112"/>
      <c r="K4" s="1112"/>
      <c r="L4" s="1112"/>
      <c r="M4" s="1112"/>
      <c r="N4" s="1112"/>
      <c r="O4" s="1112"/>
      <c r="P4" s="1112"/>
      <c r="Q4" s="1112"/>
      <c r="R4" s="1112"/>
      <c r="S4" s="1112"/>
      <c r="T4" s="1112"/>
      <c r="U4" s="1112"/>
      <c r="V4" s="1112"/>
      <c r="W4" s="1112"/>
      <c r="X4" s="1112"/>
      <c r="Y4" s="1112"/>
      <c r="Z4" s="1112"/>
      <c r="AA4" s="1112"/>
      <c r="AB4" s="1112"/>
      <c r="AC4" s="1112"/>
      <c r="AD4" s="1112"/>
      <c r="AE4" s="1112"/>
      <c r="AF4" s="1112"/>
      <c r="AG4" s="1112"/>
      <c r="AH4" s="1112"/>
      <c r="AI4" s="1112"/>
      <c r="AJ4" s="1112"/>
      <c r="AK4" s="1112"/>
      <c r="AL4" s="1112"/>
      <c r="AM4" s="1112"/>
      <c r="AN4" s="1112"/>
      <c r="AO4" s="1112"/>
      <c r="AP4" s="1112"/>
      <c r="AQ4" s="1112"/>
      <c r="AR4" s="1112"/>
      <c r="AS4" s="1112"/>
      <c r="AT4" s="1112"/>
      <c r="AU4" s="1112"/>
      <c r="AV4" s="1112"/>
      <c r="AW4" s="1113"/>
      <c r="AX4" s="2" t="s">
        <v>5</v>
      </c>
      <c r="AY4" s="50">
        <v>44714</v>
      </c>
      <c r="AZ4" s="3"/>
      <c r="BA4" s="3"/>
      <c r="BB4" s="3"/>
      <c r="BC4" s="3"/>
      <c r="BD4" s="3"/>
      <c r="BE4" s="3"/>
      <c r="BF4" s="3"/>
      <c r="BG4" s="3"/>
      <c r="BH4" s="3"/>
      <c r="BI4" s="3"/>
      <c r="BJ4" s="3"/>
      <c r="BK4" s="3"/>
      <c r="BL4" s="3"/>
      <c r="BM4" s="3"/>
      <c r="BN4" s="3"/>
      <c r="BO4" s="3"/>
      <c r="BP4" s="3"/>
      <c r="BQ4" s="3"/>
    </row>
    <row r="5" spans="1:69" s="45" customFormat="1" ht="11.25" customHeight="1" x14ac:dyDescent="0.2">
      <c r="A5" s="1073"/>
      <c r="B5" s="1073"/>
      <c r="C5" s="989"/>
      <c r="D5" s="990"/>
      <c r="E5" s="990"/>
      <c r="F5" s="990"/>
      <c r="G5" s="990"/>
      <c r="H5" s="990"/>
      <c r="I5" s="990"/>
      <c r="J5" s="1114"/>
      <c r="K5" s="990"/>
      <c r="L5" s="1114"/>
      <c r="M5" s="990"/>
      <c r="N5" s="1114"/>
      <c r="O5" s="990"/>
      <c r="P5" s="990"/>
      <c r="Q5" s="990"/>
      <c r="R5" s="990"/>
      <c r="S5" s="1114"/>
      <c r="T5" s="990"/>
      <c r="U5" s="1114"/>
      <c r="V5" s="1114"/>
      <c r="W5" s="1114"/>
      <c r="X5" s="990"/>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1"/>
      <c r="AX5" s="2" t="s">
        <v>6</v>
      </c>
      <c r="AY5" s="7" t="s">
        <v>7</v>
      </c>
      <c r="AZ5" s="3"/>
      <c r="BA5" s="3"/>
      <c r="BB5" s="3"/>
      <c r="BC5" s="3"/>
      <c r="BD5" s="3"/>
      <c r="BE5" s="3"/>
      <c r="BF5" s="3"/>
      <c r="BG5" s="3"/>
      <c r="BH5" s="3"/>
      <c r="BI5" s="3"/>
      <c r="BJ5" s="3"/>
      <c r="BK5" s="3"/>
      <c r="BL5" s="3"/>
      <c r="BM5" s="3"/>
      <c r="BN5" s="3"/>
      <c r="BO5" s="3"/>
      <c r="BP5" s="3"/>
      <c r="BQ5" s="3"/>
    </row>
    <row r="6" spans="1:69" s="45" customFormat="1" ht="14.25" customHeight="1" x14ac:dyDescent="0.2">
      <c r="A6" s="1073"/>
      <c r="B6" s="1073"/>
      <c r="C6" s="992" t="s">
        <v>275</v>
      </c>
      <c r="D6" s="993"/>
      <c r="E6" s="993"/>
      <c r="F6" s="993"/>
      <c r="G6" s="993"/>
      <c r="H6" s="993"/>
      <c r="I6" s="993"/>
      <c r="J6" s="1115"/>
      <c r="K6" s="993"/>
      <c r="L6" s="1115"/>
      <c r="M6" s="993"/>
      <c r="N6" s="1115"/>
      <c r="O6" s="993"/>
      <c r="P6" s="993"/>
      <c r="Q6" s="993"/>
      <c r="R6" s="993"/>
      <c r="S6" s="1115"/>
      <c r="T6" s="993"/>
      <c r="U6" s="1115"/>
      <c r="V6" s="1115"/>
      <c r="W6" s="1115"/>
      <c r="X6" s="993"/>
      <c r="Y6" s="993"/>
      <c r="Z6" s="993"/>
      <c r="AA6" s="993"/>
      <c r="AB6" s="993"/>
      <c r="AC6" s="993"/>
      <c r="AD6" s="993"/>
      <c r="AE6" s="993"/>
      <c r="AF6" s="993"/>
      <c r="AG6" s="993"/>
      <c r="AH6" s="993"/>
      <c r="AI6" s="993"/>
      <c r="AJ6" s="993"/>
      <c r="AK6" s="993"/>
      <c r="AL6" s="993"/>
      <c r="AM6" s="993"/>
      <c r="AN6" s="993"/>
      <c r="AO6" s="993"/>
      <c r="AP6" s="993"/>
      <c r="AQ6" s="993"/>
      <c r="AR6" s="993"/>
      <c r="AS6" s="993"/>
      <c r="AT6" s="993"/>
      <c r="AU6" s="993"/>
      <c r="AV6" s="993"/>
      <c r="AW6" s="993"/>
      <c r="AX6" s="52"/>
      <c r="AY6" s="53"/>
      <c r="AZ6" s="3"/>
      <c r="BA6" s="3"/>
      <c r="BB6" s="3"/>
      <c r="BC6" s="3"/>
      <c r="BD6" s="3"/>
      <c r="BE6" s="3"/>
      <c r="BF6" s="3"/>
      <c r="BG6" s="3"/>
      <c r="BH6" s="3"/>
      <c r="BI6" s="3"/>
      <c r="BJ6" s="3"/>
      <c r="BK6" s="3"/>
      <c r="BL6" s="3"/>
      <c r="BM6" s="3"/>
      <c r="BN6" s="3"/>
      <c r="BO6" s="3"/>
      <c r="BP6" s="3"/>
      <c r="BQ6" s="3"/>
    </row>
    <row r="7" spans="1:69" s="45" customFormat="1" ht="21" customHeight="1" x14ac:dyDescent="0.2">
      <c r="A7" s="1074"/>
      <c r="B7" s="1074"/>
      <c r="C7" s="10"/>
      <c r="D7" s="891"/>
      <c r="E7" s="10"/>
      <c r="F7" s="891"/>
      <c r="G7" s="10"/>
      <c r="H7" s="891"/>
      <c r="I7" s="10"/>
      <c r="J7" s="891"/>
      <c r="K7" s="10"/>
      <c r="L7" s="891"/>
      <c r="M7" s="10"/>
      <c r="N7" s="891"/>
      <c r="O7" s="54"/>
      <c r="P7" s="54"/>
      <c r="Q7" s="54"/>
      <c r="R7" s="10"/>
      <c r="S7" s="891"/>
      <c r="T7" s="54"/>
      <c r="U7" s="891"/>
      <c r="V7" s="891"/>
      <c r="W7" s="891"/>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5"/>
      <c r="AZ7" s="3"/>
      <c r="BA7" s="3"/>
      <c r="BB7" s="3"/>
      <c r="BC7" s="3"/>
      <c r="BD7" s="3"/>
      <c r="BE7" s="3"/>
      <c r="BF7" s="3"/>
      <c r="BG7" s="3"/>
      <c r="BH7" s="3"/>
      <c r="BI7" s="3"/>
      <c r="BJ7" s="3"/>
      <c r="BK7" s="3"/>
      <c r="BL7" s="3"/>
      <c r="BM7" s="3"/>
      <c r="BN7" s="3"/>
      <c r="BO7" s="3"/>
      <c r="BP7" s="3"/>
      <c r="BQ7" s="3"/>
    </row>
    <row r="8" spans="1:69" x14ac:dyDescent="0.2">
      <c r="A8" s="966" t="s">
        <v>9</v>
      </c>
      <c r="B8" s="967"/>
      <c r="C8" s="966" t="s">
        <v>10</v>
      </c>
      <c r="D8" s="967"/>
      <c r="E8" s="966" t="s">
        <v>11</v>
      </c>
      <c r="F8" s="967"/>
      <c r="G8" s="966" t="s">
        <v>12</v>
      </c>
      <c r="H8" s="970"/>
      <c r="I8" s="970"/>
      <c r="J8" s="1098"/>
      <c r="K8" s="1067" t="s">
        <v>13</v>
      </c>
      <c r="L8" s="1100"/>
      <c r="M8" s="1068"/>
      <c r="N8" s="1101"/>
      <c r="O8" s="1067" t="s">
        <v>14</v>
      </c>
      <c r="P8" s="1068"/>
      <c r="Q8" s="1069"/>
      <c r="R8" s="1008" t="s">
        <v>15</v>
      </c>
      <c r="S8" s="1119"/>
      <c r="T8" s="1008"/>
      <c r="U8" s="1119"/>
      <c r="V8" s="1119"/>
      <c r="W8" s="1119"/>
      <c r="X8" s="1008"/>
      <c r="Y8" s="281"/>
      <c r="Z8" s="281"/>
      <c r="AA8" s="281"/>
      <c r="AB8" s="281"/>
      <c r="AC8" s="82"/>
      <c r="AD8" s="82"/>
      <c r="AE8" s="82"/>
      <c r="AF8" s="83"/>
      <c r="AG8" s="1002" t="s">
        <v>16</v>
      </c>
      <c r="AH8" s="1003"/>
      <c r="AI8" s="1003"/>
      <c r="AJ8" s="1003"/>
      <c r="AK8" s="1003"/>
      <c r="AL8" s="1003"/>
      <c r="AM8" s="1003"/>
      <c r="AN8" s="1003"/>
      <c r="AO8" s="1003"/>
      <c r="AP8" s="1003"/>
      <c r="AQ8" s="1003"/>
      <c r="AR8" s="1003"/>
      <c r="AS8" s="1003"/>
      <c r="AT8" s="1003"/>
      <c r="AU8" s="1003"/>
      <c r="AV8" s="1004"/>
      <c r="AW8" s="994" t="s">
        <v>17</v>
      </c>
      <c r="AX8" s="994" t="s">
        <v>18</v>
      </c>
      <c r="AY8" s="994" t="s">
        <v>19</v>
      </c>
    </row>
    <row r="9" spans="1:69" s="46" customFormat="1" x14ac:dyDescent="0.2">
      <c r="A9" s="968"/>
      <c r="B9" s="969"/>
      <c r="C9" s="968"/>
      <c r="D9" s="969"/>
      <c r="E9" s="968"/>
      <c r="F9" s="969"/>
      <c r="G9" s="968"/>
      <c r="H9" s="971"/>
      <c r="I9" s="971"/>
      <c r="J9" s="1099"/>
      <c r="K9" s="1070"/>
      <c r="L9" s="1102"/>
      <c r="M9" s="1071"/>
      <c r="N9" s="1103"/>
      <c r="O9" s="1070"/>
      <c r="P9" s="1071"/>
      <c r="Q9" s="1072"/>
      <c r="R9" s="1009"/>
      <c r="S9" s="1120"/>
      <c r="T9" s="1009"/>
      <c r="U9" s="1120"/>
      <c r="V9" s="1120"/>
      <c r="W9" s="1120"/>
      <c r="X9" s="1009"/>
      <c r="Y9" s="282"/>
      <c r="Z9" s="282"/>
      <c r="AA9" s="282"/>
      <c r="AB9" s="282"/>
      <c r="AC9" s="997" t="s">
        <v>20</v>
      </c>
      <c r="AD9" s="997"/>
      <c r="AE9" s="997"/>
      <c r="AF9" s="997"/>
      <c r="AG9" s="997" t="s">
        <v>21</v>
      </c>
      <c r="AH9" s="1075"/>
      <c r="AI9" s="999" t="s">
        <v>22</v>
      </c>
      <c r="AJ9" s="1075"/>
      <c r="AK9" s="1075"/>
      <c r="AL9" s="1075"/>
      <c r="AM9" s="1000" t="s">
        <v>23</v>
      </c>
      <c r="AN9" s="1075"/>
      <c r="AO9" s="1075"/>
      <c r="AP9" s="1075"/>
      <c r="AQ9" s="1075"/>
      <c r="AR9" s="1075"/>
      <c r="AS9" s="999" t="s">
        <v>24</v>
      </c>
      <c r="AT9" s="1075"/>
      <c r="AU9" s="1075"/>
      <c r="AV9" s="1001" t="s">
        <v>25</v>
      </c>
      <c r="AW9" s="995"/>
      <c r="AX9" s="995"/>
      <c r="AY9" s="995"/>
      <c r="AZ9" s="14"/>
      <c r="BA9" s="14"/>
      <c r="BB9" s="14"/>
      <c r="BC9" s="14"/>
      <c r="BD9" s="14"/>
      <c r="BE9" s="14"/>
      <c r="BF9" s="14"/>
      <c r="BG9" s="14"/>
      <c r="BH9" s="14"/>
      <c r="BI9" s="14"/>
      <c r="BJ9" s="14"/>
      <c r="BK9" s="14"/>
      <c r="BL9" s="14"/>
      <c r="BM9" s="14"/>
      <c r="BN9" s="14"/>
    </row>
    <row r="10" spans="1:69" s="47" customFormat="1" ht="110.25" customHeight="1" x14ac:dyDescent="0.2">
      <c r="A10" s="16" t="s">
        <v>26</v>
      </c>
      <c r="B10" s="17" t="s">
        <v>27</v>
      </c>
      <c r="C10" s="16" t="s">
        <v>26</v>
      </c>
      <c r="D10" s="17" t="s">
        <v>27</v>
      </c>
      <c r="E10" s="17" t="s">
        <v>26</v>
      </c>
      <c r="F10" s="17" t="s">
        <v>27</v>
      </c>
      <c r="G10" s="18" t="s">
        <v>28</v>
      </c>
      <c r="H10" s="18" t="s">
        <v>29</v>
      </c>
      <c r="I10" s="18" t="s">
        <v>30</v>
      </c>
      <c r="J10" s="18" t="s">
        <v>31</v>
      </c>
      <c r="K10" s="18" t="s">
        <v>28</v>
      </c>
      <c r="L10" s="18" t="s">
        <v>32</v>
      </c>
      <c r="M10" s="18" t="s">
        <v>33</v>
      </c>
      <c r="N10" s="18" t="s">
        <v>34</v>
      </c>
      <c r="O10" s="18" t="s">
        <v>35</v>
      </c>
      <c r="P10" s="18" t="s">
        <v>36</v>
      </c>
      <c r="Q10" s="18" t="s">
        <v>37</v>
      </c>
      <c r="R10" s="17" t="s">
        <v>38</v>
      </c>
      <c r="S10" s="17" t="s">
        <v>39</v>
      </c>
      <c r="T10" s="19" t="s">
        <v>40</v>
      </c>
      <c r="U10" s="17" t="s">
        <v>41</v>
      </c>
      <c r="V10" s="17" t="s">
        <v>42</v>
      </c>
      <c r="W10" s="17" t="s">
        <v>43</v>
      </c>
      <c r="X10" s="20" t="s">
        <v>640</v>
      </c>
      <c r="Y10" s="901" t="s">
        <v>45</v>
      </c>
      <c r="Z10" s="902" t="s">
        <v>46</v>
      </c>
      <c r="AA10" s="902" t="s">
        <v>47</v>
      </c>
      <c r="AB10" s="901" t="s">
        <v>48</v>
      </c>
      <c r="AC10" s="17" t="s">
        <v>49</v>
      </c>
      <c r="AD10" s="17" t="s">
        <v>50</v>
      </c>
      <c r="AE10" s="17" t="s">
        <v>51</v>
      </c>
      <c r="AF10" s="17" t="s">
        <v>52</v>
      </c>
      <c r="AG10" s="21" t="s">
        <v>53</v>
      </c>
      <c r="AH10" s="22" t="s">
        <v>54</v>
      </c>
      <c r="AI10" s="21" t="s">
        <v>55</v>
      </c>
      <c r="AJ10" s="21" t="s">
        <v>56</v>
      </c>
      <c r="AK10" s="21" t="s">
        <v>57</v>
      </c>
      <c r="AL10" s="21" t="s">
        <v>58</v>
      </c>
      <c r="AM10" s="21" t="s">
        <v>59</v>
      </c>
      <c r="AN10" s="21" t="s">
        <v>60</v>
      </c>
      <c r="AO10" s="21" t="s">
        <v>61</v>
      </c>
      <c r="AP10" s="21" t="s">
        <v>62</v>
      </c>
      <c r="AQ10" s="21" t="s">
        <v>63</v>
      </c>
      <c r="AR10" s="21" t="s">
        <v>64</v>
      </c>
      <c r="AS10" s="21" t="s">
        <v>65</v>
      </c>
      <c r="AT10" s="21" t="s">
        <v>66</v>
      </c>
      <c r="AU10" s="21" t="s">
        <v>67</v>
      </c>
      <c r="AV10" s="1001"/>
      <c r="AW10" s="996"/>
      <c r="AX10" s="996"/>
      <c r="AY10" s="996"/>
      <c r="AZ10" s="14"/>
      <c r="BA10" s="14"/>
      <c r="BB10" s="14"/>
      <c r="BC10" s="14"/>
      <c r="BD10" s="14"/>
      <c r="BE10" s="14"/>
      <c r="BF10" s="14"/>
      <c r="BG10" s="14"/>
      <c r="BH10" s="14"/>
      <c r="BI10" s="14"/>
      <c r="BJ10" s="14"/>
      <c r="BK10" s="14"/>
      <c r="BL10" s="14"/>
      <c r="BM10" s="14"/>
      <c r="BN10" s="14"/>
    </row>
    <row r="11" spans="1:69" s="383" customFormat="1" ht="63.75" x14ac:dyDescent="0.25">
      <c r="A11" s="205">
        <v>1</v>
      </c>
      <c r="B11" s="195" t="s">
        <v>315</v>
      </c>
      <c r="C11" s="205">
        <v>12</v>
      </c>
      <c r="D11" s="195" t="s">
        <v>316</v>
      </c>
      <c r="E11" s="205">
        <v>1202</v>
      </c>
      <c r="F11" s="195" t="s">
        <v>317</v>
      </c>
      <c r="G11" s="205">
        <v>1202004</v>
      </c>
      <c r="H11" s="195" t="s">
        <v>641</v>
      </c>
      <c r="I11" s="205">
        <v>1202004</v>
      </c>
      <c r="J11" s="195" t="s">
        <v>641</v>
      </c>
      <c r="K11" s="205">
        <v>120200400</v>
      </c>
      <c r="L11" s="195" t="s">
        <v>226</v>
      </c>
      <c r="M11" s="205">
        <v>120200400</v>
      </c>
      <c r="N11" s="195" t="s">
        <v>226</v>
      </c>
      <c r="O11" s="205">
        <v>12</v>
      </c>
      <c r="P11" s="205"/>
      <c r="Q11" s="205">
        <f>O11+P11</f>
        <v>12</v>
      </c>
      <c r="R11" s="210" t="s">
        <v>642</v>
      </c>
      <c r="S11" s="195" t="s">
        <v>643</v>
      </c>
      <c r="T11" s="483">
        <f>SUM($X$11:$X$17)/SUM($X$11:$X$17)</f>
        <v>1</v>
      </c>
      <c r="U11" s="195" t="s">
        <v>644</v>
      </c>
      <c r="V11" s="195" t="s">
        <v>645</v>
      </c>
      <c r="W11" s="195" t="s">
        <v>646</v>
      </c>
      <c r="X11" s="484">
        <v>30000000</v>
      </c>
      <c r="Y11" s="484">
        <f>14000000+15800000</f>
        <v>29800000</v>
      </c>
      <c r="Z11" s="484"/>
      <c r="AA11" s="484"/>
      <c r="AB11" s="484">
        <f>X11-Y11+Z11-AA11</f>
        <v>200000</v>
      </c>
      <c r="AC11" s="65" t="s">
        <v>647</v>
      </c>
      <c r="AD11" s="205"/>
      <c r="AE11" s="205">
        <v>20</v>
      </c>
      <c r="AF11" s="65" t="s">
        <v>132</v>
      </c>
      <c r="AG11" s="485">
        <v>291786</v>
      </c>
      <c r="AH11" s="485">
        <v>270331</v>
      </c>
      <c r="AI11" s="485">
        <v>102045</v>
      </c>
      <c r="AJ11" s="485">
        <v>39183</v>
      </c>
      <c r="AK11" s="485">
        <v>310195</v>
      </c>
      <c r="AL11" s="485">
        <v>110694</v>
      </c>
      <c r="AM11" s="485">
        <v>2145</v>
      </c>
      <c r="AN11" s="485">
        <v>12718</v>
      </c>
      <c r="AO11" s="485">
        <v>26</v>
      </c>
      <c r="AP11" s="485">
        <v>37</v>
      </c>
      <c r="AQ11" s="485">
        <v>0</v>
      </c>
      <c r="AR11" s="485">
        <v>0</v>
      </c>
      <c r="AS11" s="485">
        <v>44350</v>
      </c>
      <c r="AT11" s="485">
        <v>21944</v>
      </c>
      <c r="AU11" s="485">
        <v>75687</v>
      </c>
      <c r="AV11" s="486">
        <f t="shared" ref="AV11:AV19" si="0">AG11+AH11</f>
        <v>562117</v>
      </c>
      <c r="AW11" s="487">
        <v>45293</v>
      </c>
      <c r="AX11" s="487">
        <v>45657</v>
      </c>
      <c r="AY11" s="488" t="s">
        <v>648</v>
      </c>
    </row>
    <row r="12" spans="1:69" s="383" customFormat="1" ht="63.75" x14ac:dyDescent="0.25">
      <c r="A12" s="205">
        <v>1</v>
      </c>
      <c r="B12" s="195" t="s">
        <v>315</v>
      </c>
      <c r="C12" s="205">
        <v>12</v>
      </c>
      <c r="D12" s="195" t="s">
        <v>316</v>
      </c>
      <c r="E12" s="205">
        <v>1202</v>
      </c>
      <c r="F12" s="195" t="s">
        <v>317</v>
      </c>
      <c r="G12" s="205">
        <v>1202004</v>
      </c>
      <c r="H12" s="195" t="s">
        <v>641</v>
      </c>
      <c r="I12" s="205">
        <v>1202004</v>
      </c>
      <c r="J12" s="195" t="s">
        <v>641</v>
      </c>
      <c r="K12" s="205">
        <v>120200400</v>
      </c>
      <c r="L12" s="195" t="s">
        <v>226</v>
      </c>
      <c r="M12" s="205">
        <v>120200400</v>
      </c>
      <c r="N12" s="195" t="s">
        <v>226</v>
      </c>
      <c r="O12" s="205">
        <v>12</v>
      </c>
      <c r="P12" s="205"/>
      <c r="Q12" s="205">
        <f t="shared" ref="Q12:Q75" si="1">O12+P12</f>
        <v>12</v>
      </c>
      <c r="R12" s="210" t="s">
        <v>642</v>
      </c>
      <c r="S12" s="195" t="s">
        <v>643</v>
      </c>
      <c r="T12" s="483">
        <f t="shared" ref="T12:T17" si="2">SUM($X$11:$X$17)/SUM($X$11:$X$17)</f>
        <v>1</v>
      </c>
      <c r="U12" s="195" t="s">
        <v>644</v>
      </c>
      <c r="V12" s="195" t="s">
        <v>645</v>
      </c>
      <c r="W12" s="195" t="s">
        <v>649</v>
      </c>
      <c r="X12" s="484">
        <v>10000000</v>
      </c>
      <c r="Y12" s="484">
        <v>17200000</v>
      </c>
      <c r="Z12" s="484"/>
      <c r="AA12" s="484"/>
      <c r="AB12" s="484">
        <f t="shared" ref="AB12:AB17" si="3">X12-Y12+Z12-AA12</f>
        <v>-7200000</v>
      </c>
      <c r="AC12" s="65" t="s">
        <v>647</v>
      </c>
      <c r="AD12" s="205"/>
      <c r="AE12" s="205">
        <v>20</v>
      </c>
      <c r="AF12" s="65" t="s">
        <v>132</v>
      </c>
      <c r="AG12" s="485">
        <v>291786</v>
      </c>
      <c r="AH12" s="485">
        <v>270331</v>
      </c>
      <c r="AI12" s="485">
        <v>102045</v>
      </c>
      <c r="AJ12" s="485">
        <v>39183</v>
      </c>
      <c r="AK12" s="485">
        <v>310195</v>
      </c>
      <c r="AL12" s="485">
        <v>110694</v>
      </c>
      <c r="AM12" s="485">
        <v>2145</v>
      </c>
      <c r="AN12" s="485">
        <v>12718</v>
      </c>
      <c r="AO12" s="485">
        <v>26</v>
      </c>
      <c r="AP12" s="485">
        <v>37</v>
      </c>
      <c r="AQ12" s="485">
        <v>0</v>
      </c>
      <c r="AR12" s="485">
        <v>0</v>
      </c>
      <c r="AS12" s="485">
        <v>44350</v>
      </c>
      <c r="AT12" s="485">
        <v>21944</v>
      </c>
      <c r="AU12" s="485">
        <v>75687</v>
      </c>
      <c r="AV12" s="486">
        <f t="shared" si="0"/>
        <v>562117</v>
      </c>
      <c r="AW12" s="487">
        <v>45293</v>
      </c>
      <c r="AX12" s="487">
        <v>45657</v>
      </c>
      <c r="AY12" s="488" t="s">
        <v>648</v>
      </c>
    </row>
    <row r="13" spans="1:69" s="383" customFormat="1" ht="63.75" x14ac:dyDescent="0.25">
      <c r="A13" s="205">
        <v>1</v>
      </c>
      <c r="B13" s="195" t="s">
        <v>315</v>
      </c>
      <c r="C13" s="205">
        <v>12</v>
      </c>
      <c r="D13" s="195" t="s">
        <v>316</v>
      </c>
      <c r="E13" s="205">
        <v>1202</v>
      </c>
      <c r="F13" s="195" t="s">
        <v>317</v>
      </c>
      <c r="G13" s="205">
        <v>1202004</v>
      </c>
      <c r="H13" s="195" t="s">
        <v>641</v>
      </c>
      <c r="I13" s="205">
        <v>1202004</v>
      </c>
      <c r="J13" s="195" t="s">
        <v>641</v>
      </c>
      <c r="K13" s="205">
        <v>120200400</v>
      </c>
      <c r="L13" s="195" t="s">
        <v>226</v>
      </c>
      <c r="M13" s="205">
        <v>120200400</v>
      </c>
      <c r="N13" s="195" t="s">
        <v>226</v>
      </c>
      <c r="O13" s="205">
        <v>12</v>
      </c>
      <c r="P13" s="205"/>
      <c r="Q13" s="205">
        <f t="shared" si="1"/>
        <v>12</v>
      </c>
      <c r="R13" s="210" t="s">
        <v>642</v>
      </c>
      <c r="S13" s="195" t="s">
        <v>643</v>
      </c>
      <c r="T13" s="483">
        <f t="shared" si="2"/>
        <v>1</v>
      </c>
      <c r="U13" s="195" t="s">
        <v>644</v>
      </c>
      <c r="V13" s="195" t="s">
        <v>645</v>
      </c>
      <c r="W13" s="195" t="s">
        <v>650</v>
      </c>
      <c r="X13" s="484">
        <v>11000000</v>
      </c>
      <c r="Y13" s="484"/>
      <c r="Z13" s="484"/>
      <c r="AA13" s="484"/>
      <c r="AB13" s="484">
        <f t="shared" si="3"/>
        <v>11000000</v>
      </c>
      <c r="AC13" s="65" t="s">
        <v>647</v>
      </c>
      <c r="AD13" s="205"/>
      <c r="AE13" s="205">
        <v>20</v>
      </c>
      <c r="AF13" s="65" t="s">
        <v>132</v>
      </c>
      <c r="AG13" s="485">
        <v>291786</v>
      </c>
      <c r="AH13" s="485">
        <v>270331</v>
      </c>
      <c r="AI13" s="485">
        <v>102045</v>
      </c>
      <c r="AJ13" s="485">
        <v>39183</v>
      </c>
      <c r="AK13" s="485">
        <v>310195</v>
      </c>
      <c r="AL13" s="485">
        <v>110694</v>
      </c>
      <c r="AM13" s="485">
        <v>2145</v>
      </c>
      <c r="AN13" s="485">
        <v>12718</v>
      </c>
      <c r="AO13" s="485">
        <v>26</v>
      </c>
      <c r="AP13" s="485">
        <v>37</v>
      </c>
      <c r="AQ13" s="485">
        <v>0</v>
      </c>
      <c r="AR13" s="485">
        <v>0</v>
      </c>
      <c r="AS13" s="485">
        <v>44350</v>
      </c>
      <c r="AT13" s="485">
        <v>21944</v>
      </c>
      <c r="AU13" s="485">
        <v>75687</v>
      </c>
      <c r="AV13" s="486">
        <f t="shared" si="0"/>
        <v>562117</v>
      </c>
      <c r="AW13" s="487">
        <v>45293</v>
      </c>
      <c r="AX13" s="487">
        <v>45657</v>
      </c>
      <c r="AY13" s="488" t="s">
        <v>648</v>
      </c>
    </row>
    <row r="14" spans="1:69" s="383" customFormat="1" ht="63.75" x14ac:dyDescent="0.25">
      <c r="A14" s="205">
        <v>1</v>
      </c>
      <c r="B14" s="195" t="s">
        <v>315</v>
      </c>
      <c r="C14" s="205">
        <v>12</v>
      </c>
      <c r="D14" s="195" t="s">
        <v>316</v>
      </c>
      <c r="E14" s="205">
        <v>1202</v>
      </c>
      <c r="F14" s="195" t="s">
        <v>317</v>
      </c>
      <c r="G14" s="205">
        <v>1202004</v>
      </c>
      <c r="H14" s="195" t="s">
        <v>641</v>
      </c>
      <c r="I14" s="205">
        <v>1202004</v>
      </c>
      <c r="J14" s="195" t="s">
        <v>641</v>
      </c>
      <c r="K14" s="205">
        <v>120200400</v>
      </c>
      <c r="L14" s="195" t="s">
        <v>226</v>
      </c>
      <c r="M14" s="205">
        <v>120200400</v>
      </c>
      <c r="N14" s="195" t="s">
        <v>226</v>
      </c>
      <c r="O14" s="205">
        <v>12</v>
      </c>
      <c r="P14" s="205"/>
      <c r="Q14" s="205">
        <f t="shared" si="1"/>
        <v>12</v>
      </c>
      <c r="R14" s="210" t="s">
        <v>642</v>
      </c>
      <c r="S14" s="195" t="s">
        <v>643</v>
      </c>
      <c r="T14" s="483">
        <f t="shared" si="2"/>
        <v>1</v>
      </c>
      <c r="U14" s="195" t="s">
        <v>644</v>
      </c>
      <c r="V14" s="195" t="s">
        <v>645</v>
      </c>
      <c r="W14" s="195" t="s">
        <v>651</v>
      </c>
      <c r="X14" s="484">
        <v>3000000</v>
      </c>
      <c r="Y14" s="484"/>
      <c r="Z14" s="484"/>
      <c r="AA14" s="484"/>
      <c r="AB14" s="484">
        <f t="shared" si="3"/>
        <v>3000000</v>
      </c>
      <c r="AC14" s="65" t="s">
        <v>652</v>
      </c>
      <c r="AD14" s="205"/>
      <c r="AE14" s="205">
        <v>20</v>
      </c>
      <c r="AF14" s="65" t="s">
        <v>132</v>
      </c>
      <c r="AG14" s="485">
        <v>291786</v>
      </c>
      <c r="AH14" s="485">
        <v>270331</v>
      </c>
      <c r="AI14" s="485">
        <v>102045</v>
      </c>
      <c r="AJ14" s="485">
        <v>39183</v>
      </c>
      <c r="AK14" s="485">
        <v>310195</v>
      </c>
      <c r="AL14" s="485">
        <v>110694</v>
      </c>
      <c r="AM14" s="485">
        <v>2145</v>
      </c>
      <c r="AN14" s="485">
        <v>12718</v>
      </c>
      <c r="AO14" s="485">
        <v>26</v>
      </c>
      <c r="AP14" s="485">
        <v>37</v>
      </c>
      <c r="AQ14" s="485">
        <v>0</v>
      </c>
      <c r="AR14" s="485">
        <v>0</v>
      </c>
      <c r="AS14" s="485">
        <v>44350</v>
      </c>
      <c r="AT14" s="485">
        <v>21944</v>
      </c>
      <c r="AU14" s="485">
        <v>75687</v>
      </c>
      <c r="AV14" s="486">
        <f t="shared" si="0"/>
        <v>562117</v>
      </c>
      <c r="AW14" s="487">
        <v>45293</v>
      </c>
      <c r="AX14" s="487">
        <v>45657</v>
      </c>
      <c r="AY14" s="488" t="s">
        <v>648</v>
      </c>
    </row>
    <row r="15" spans="1:69" s="383" customFormat="1" ht="63.75" x14ac:dyDescent="0.25">
      <c r="A15" s="205">
        <v>1</v>
      </c>
      <c r="B15" s="195" t="s">
        <v>315</v>
      </c>
      <c r="C15" s="205">
        <v>12</v>
      </c>
      <c r="D15" s="195" t="s">
        <v>316</v>
      </c>
      <c r="E15" s="205">
        <v>1202</v>
      </c>
      <c r="F15" s="195" t="s">
        <v>317</v>
      </c>
      <c r="G15" s="205">
        <v>1202004</v>
      </c>
      <c r="H15" s="195" t="s">
        <v>641</v>
      </c>
      <c r="I15" s="205">
        <v>1202004</v>
      </c>
      <c r="J15" s="195" t="s">
        <v>641</v>
      </c>
      <c r="K15" s="205">
        <v>120200400</v>
      </c>
      <c r="L15" s="195" t="s">
        <v>226</v>
      </c>
      <c r="M15" s="205">
        <v>120200400</v>
      </c>
      <c r="N15" s="195" t="s">
        <v>226</v>
      </c>
      <c r="O15" s="205">
        <v>12</v>
      </c>
      <c r="P15" s="205"/>
      <c r="Q15" s="205">
        <f t="shared" si="1"/>
        <v>12</v>
      </c>
      <c r="R15" s="210" t="s">
        <v>642</v>
      </c>
      <c r="S15" s="195" t="s">
        <v>643</v>
      </c>
      <c r="T15" s="483">
        <f t="shared" si="2"/>
        <v>1</v>
      </c>
      <c r="U15" s="195" t="s">
        <v>644</v>
      </c>
      <c r="V15" s="195" t="s">
        <v>645</v>
      </c>
      <c r="W15" s="195" t="s">
        <v>653</v>
      </c>
      <c r="X15" s="484">
        <v>3000000</v>
      </c>
      <c r="Y15" s="484"/>
      <c r="Z15" s="484"/>
      <c r="AA15" s="484"/>
      <c r="AB15" s="484">
        <f t="shared" si="3"/>
        <v>3000000</v>
      </c>
      <c r="AC15" s="65" t="s">
        <v>654</v>
      </c>
      <c r="AD15" s="205"/>
      <c r="AE15" s="205">
        <v>20</v>
      </c>
      <c r="AF15" s="65" t="s">
        <v>132</v>
      </c>
      <c r="AG15" s="485">
        <v>291786</v>
      </c>
      <c r="AH15" s="485">
        <v>270331</v>
      </c>
      <c r="AI15" s="485">
        <v>102045</v>
      </c>
      <c r="AJ15" s="485">
        <v>39183</v>
      </c>
      <c r="AK15" s="485">
        <v>310195</v>
      </c>
      <c r="AL15" s="485">
        <v>110694</v>
      </c>
      <c r="AM15" s="485">
        <v>2145</v>
      </c>
      <c r="AN15" s="485">
        <v>12718</v>
      </c>
      <c r="AO15" s="485">
        <v>26</v>
      </c>
      <c r="AP15" s="485">
        <v>37</v>
      </c>
      <c r="AQ15" s="485">
        <v>0</v>
      </c>
      <c r="AR15" s="485">
        <v>0</v>
      </c>
      <c r="AS15" s="485">
        <v>44350</v>
      </c>
      <c r="AT15" s="485">
        <v>21944</v>
      </c>
      <c r="AU15" s="485">
        <v>75687</v>
      </c>
      <c r="AV15" s="486">
        <f t="shared" si="0"/>
        <v>562117</v>
      </c>
      <c r="AW15" s="487">
        <v>45293</v>
      </c>
      <c r="AX15" s="487">
        <v>45657</v>
      </c>
      <c r="AY15" s="488" t="s">
        <v>648</v>
      </c>
    </row>
    <row r="16" spans="1:69" s="383" customFormat="1" ht="63.75" x14ac:dyDescent="0.25">
      <c r="A16" s="205">
        <v>1</v>
      </c>
      <c r="B16" s="195" t="s">
        <v>315</v>
      </c>
      <c r="C16" s="205">
        <v>12</v>
      </c>
      <c r="D16" s="195" t="s">
        <v>316</v>
      </c>
      <c r="E16" s="205">
        <v>1202</v>
      </c>
      <c r="F16" s="195" t="s">
        <v>317</v>
      </c>
      <c r="G16" s="205">
        <v>1202004</v>
      </c>
      <c r="H16" s="195" t="s">
        <v>641</v>
      </c>
      <c r="I16" s="205">
        <v>1202004</v>
      </c>
      <c r="J16" s="195" t="s">
        <v>641</v>
      </c>
      <c r="K16" s="205">
        <v>120200400</v>
      </c>
      <c r="L16" s="195" t="s">
        <v>226</v>
      </c>
      <c r="M16" s="205">
        <v>120200400</v>
      </c>
      <c r="N16" s="195" t="s">
        <v>226</v>
      </c>
      <c r="O16" s="205">
        <v>12</v>
      </c>
      <c r="P16" s="205"/>
      <c r="Q16" s="205">
        <f t="shared" si="1"/>
        <v>12</v>
      </c>
      <c r="R16" s="210" t="s">
        <v>642</v>
      </c>
      <c r="S16" s="195" t="s">
        <v>643</v>
      </c>
      <c r="T16" s="483">
        <f t="shared" si="2"/>
        <v>1</v>
      </c>
      <c r="U16" s="195" t="s">
        <v>644</v>
      </c>
      <c r="V16" s="195" t="s">
        <v>645</v>
      </c>
      <c r="W16" s="195" t="s">
        <v>655</v>
      </c>
      <c r="X16" s="484">
        <v>3000000</v>
      </c>
      <c r="Y16" s="484"/>
      <c r="Z16" s="484"/>
      <c r="AA16" s="484"/>
      <c r="AB16" s="484">
        <f t="shared" si="3"/>
        <v>3000000</v>
      </c>
      <c r="AC16" s="65" t="s">
        <v>647</v>
      </c>
      <c r="AD16" s="205"/>
      <c r="AE16" s="205">
        <v>20</v>
      </c>
      <c r="AF16" s="65" t="s">
        <v>132</v>
      </c>
      <c r="AG16" s="485">
        <v>291786</v>
      </c>
      <c r="AH16" s="485">
        <v>270331</v>
      </c>
      <c r="AI16" s="485">
        <v>102045</v>
      </c>
      <c r="AJ16" s="485">
        <v>39183</v>
      </c>
      <c r="AK16" s="485">
        <v>310195</v>
      </c>
      <c r="AL16" s="485">
        <v>110694</v>
      </c>
      <c r="AM16" s="485">
        <v>2145</v>
      </c>
      <c r="AN16" s="485">
        <v>12718</v>
      </c>
      <c r="AO16" s="485">
        <v>26</v>
      </c>
      <c r="AP16" s="485">
        <v>37</v>
      </c>
      <c r="AQ16" s="485">
        <v>0</v>
      </c>
      <c r="AR16" s="485">
        <v>0</v>
      </c>
      <c r="AS16" s="485">
        <v>44350</v>
      </c>
      <c r="AT16" s="485">
        <v>21944</v>
      </c>
      <c r="AU16" s="485">
        <v>75687</v>
      </c>
      <c r="AV16" s="486">
        <f t="shared" si="0"/>
        <v>562117</v>
      </c>
      <c r="AW16" s="487">
        <v>45293</v>
      </c>
      <c r="AX16" s="487">
        <v>45657</v>
      </c>
      <c r="AY16" s="488" t="s">
        <v>648</v>
      </c>
    </row>
    <row r="17" spans="1:51" s="383" customFormat="1" ht="63.75" x14ac:dyDescent="0.25">
      <c r="A17" s="205">
        <v>1</v>
      </c>
      <c r="B17" s="195" t="s">
        <v>315</v>
      </c>
      <c r="C17" s="205">
        <v>12</v>
      </c>
      <c r="D17" s="195" t="s">
        <v>316</v>
      </c>
      <c r="E17" s="205">
        <v>1202</v>
      </c>
      <c r="F17" s="195" t="s">
        <v>317</v>
      </c>
      <c r="G17" s="205">
        <v>1202004</v>
      </c>
      <c r="H17" s="195" t="s">
        <v>641</v>
      </c>
      <c r="I17" s="205">
        <v>1202004</v>
      </c>
      <c r="J17" s="195" t="s">
        <v>641</v>
      </c>
      <c r="K17" s="205">
        <v>120200400</v>
      </c>
      <c r="L17" s="195" t="s">
        <v>226</v>
      </c>
      <c r="M17" s="205">
        <v>120200400</v>
      </c>
      <c r="N17" s="195" t="s">
        <v>226</v>
      </c>
      <c r="O17" s="205">
        <v>12</v>
      </c>
      <c r="P17" s="205"/>
      <c r="Q17" s="205">
        <f t="shared" si="1"/>
        <v>12</v>
      </c>
      <c r="R17" s="210" t="s">
        <v>642</v>
      </c>
      <c r="S17" s="195" t="s">
        <v>643</v>
      </c>
      <c r="T17" s="483">
        <f t="shared" si="2"/>
        <v>1</v>
      </c>
      <c r="U17" s="195" t="s">
        <v>644</v>
      </c>
      <c r="V17" s="195" t="s">
        <v>645</v>
      </c>
      <c r="W17" s="195" t="s">
        <v>656</v>
      </c>
      <c r="X17" s="484">
        <v>20000000</v>
      </c>
      <c r="Y17" s="484">
        <f>9000000+5200000+5800000</f>
        <v>20000000</v>
      </c>
      <c r="Z17" s="484"/>
      <c r="AA17" s="484"/>
      <c r="AB17" s="484">
        <f t="shared" si="3"/>
        <v>0</v>
      </c>
      <c r="AC17" s="65" t="s">
        <v>647</v>
      </c>
      <c r="AD17" s="205"/>
      <c r="AE17" s="205">
        <v>20</v>
      </c>
      <c r="AF17" s="65" t="s">
        <v>132</v>
      </c>
      <c r="AG17" s="485">
        <v>291786</v>
      </c>
      <c r="AH17" s="485">
        <v>270331</v>
      </c>
      <c r="AI17" s="485">
        <v>102045</v>
      </c>
      <c r="AJ17" s="485">
        <v>39183</v>
      </c>
      <c r="AK17" s="485">
        <v>310195</v>
      </c>
      <c r="AL17" s="485">
        <v>110694</v>
      </c>
      <c r="AM17" s="485">
        <v>2145</v>
      </c>
      <c r="AN17" s="485">
        <v>12718</v>
      </c>
      <c r="AO17" s="485">
        <v>26</v>
      </c>
      <c r="AP17" s="485">
        <v>37</v>
      </c>
      <c r="AQ17" s="485">
        <v>0</v>
      </c>
      <c r="AR17" s="485">
        <v>0</v>
      </c>
      <c r="AS17" s="485">
        <v>44350</v>
      </c>
      <c r="AT17" s="485">
        <v>21944</v>
      </c>
      <c r="AU17" s="485">
        <v>75687</v>
      </c>
      <c r="AV17" s="486">
        <f t="shared" si="0"/>
        <v>562117</v>
      </c>
      <c r="AW17" s="487">
        <v>45293</v>
      </c>
      <c r="AX17" s="487">
        <v>45657</v>
      </c>
      <c r="AY17" s="488" t="s">
        <v>648</v>
      </c>
    </row>
    <row r="18" spans="1:51" s="383" customFormat="1" ht="76.5" x14ac:dyDescent="0.25">
      <c r="A18" s="205">
        <v>1</v>
      </c>
      <c r="B18" s="195" t="s">
        <v>315</v>
      </c>
      <c r="C18" s="205">
        <v>12</v>
      </c>
      <c r="D18" s="195" t="s">
        <v>316</v>
      </c>
      <c r="E18" s="205">
        <v>1203</v>
      </c>
      <c r="F18" s="195" t="s">
        <v>657</v>
      </c>
      <c r="G18" s="205">
        <v>1203002</v>
      </c>
      <c r="H18" s="195" t="s">
        <v>658</v>
      </c>
      <c r="I18" s="205">
        <v>1203002</v>
      </c>
      <c r="J18" s="195" t="s">
        <v>658</v>
      </c>
      <c r="K18" s="205">
        <v>120300200</v>
      </c>
      <c r="L18" s="195" t="s">
        <v>659</v>
      </c>
      <c r="M18" s="205">
        <v>120300200</v>
      </c>
      <c r="N18" s="195" t="s">
        <v>659</v>
      </c>
      <c r="O18" s="205">
        <v>50</v>
      </c>
      <c r="P18" s="205"/>
      <c r="Q18" s="205">
        <f t="shared" si="1"/>
        <v>50</v>
      </c>
      <c r="R18" s="210" t="s">
        <v>660</v>
      </c>
      <c r="S18" s="195" t="s">
        <v>661</v>
      </c>
      <c r="T18" s="483">
        <f>SUM($X$18:$X$19)/SUM($X$18:$X$19)</f>
        <v>1</v>
      </c>
      <c r="U18" s="195" t="s">
        <v>662</v>
      </c>
      <c r="V18" s="195" t="s">
        <v>663</v>
      </c>
      <c r="W18" s="195" t="s">
        <v>664</v>
      </c>
      <c r="X18" s="484">
        <v>20000000</v>
      </c>
      <c r="Y18" s="484">
        <f>10000000+5000000</f>
        <v>15000000</v>
      </c>
      <c r="Z18" s="484"/>
      <c r="AA18" s="484"/>
      <c r="AB18" s="484">
        <f>X18-Y18+Z18-AA18</f>
        <v>5000000</v>
      </c>
      <c r="AC18" s="205" t="s">
        <v>665</v>
      </c>
      <c r="AD18" s="205"/>
      <c r="AE18" s="205">
        <v>20</v>
      </c>
      <c r="AF18" s="65" t="s">
        <v>132</v>
      </c>
      <c r="AG18" s="485">
        <v>291786</v>
      </c>
      <c r="AH18" s="485">
        <v>270331</v>
      </c>
      <c r="AI18" s="485">
        <v>102045</v>
      </c>
      <c r="AJ18" s="485">
        <v>39183</v>
      </c>
      <c r="AK18" s="485">
        <v>310195</v>
      </c>
      <c r="AL18" s="485">
        <v>110694</v>
      </c>
      <c r="AM18" s="485">
        <v>2145</v>
      </c>
      <c r="AN18" s="485">
        <v>12718</v>
      </c>
      <c r="AO18" s="485">
        <v>26</v>
      </c>
      <c r="AP18" s="485">
        <v>37</v>
      </c>
      <c r="AQ18" s="485">
        <v>0</v>
      </c>
      <c r="AR18" s="485">
        <v>0</v>
      </c>
      <c r="AS18" s="485">
        <v>44350</v>
      </c>
      <c r="AT18" s="485">
        <v>21944</v>
      </c>
      <c r="AU18" s="485">
        <v>75687</v>
      </c>
      <c r="AV18" s="486">
        <f t="shared" si="0"/>
        <v>562117</v>
      </c>
      <c r="AW18" s="487">
        <v>45293</v>
      </c>
      <c r="AX18" s="487">
        <v>45657</v>
      </c>
      <c r="AY18" s="488" t="s">
        <v>648</v>
      </c>
    </row>
    <row r="19" spans="1:51" s="383" customFormat="1" ht="76.5" x14ac:dyDescent="0.25">
      <c r="A19" s="205">
        <v>1</v>
      </c>
      <c r="B19" s="195" t="s">
        <v>315</v>
      </c>
      <c r="C19" s="205">
        <v>12</v>
      </c>
      <c r="D19" s="195" t="s">
        <v>316</v>
      </c>
      <c r="E19" s="205">
        <v>1203</v>
      </c>
      <c r="F19" s="195" t="s">
        <v>657</v>
      </c>
      <c r="G19" s="205">
        <v>1203002</v>
      </c>
      <c r="H19" s="195" t="s">
        <v>658</v>
      </c>
      <c r="I19" s="205">
        <v>1203002</v>
      </c>
      <c r="J19" s="195" t="s">
        <v>658</v>
      </c>
      <c r="K19" s="205">
        <v>120300200</v>
      </c>
      <c r="L19" s="195" t="s">
        <v>659</v>
      </c>
      <c r="M19" s="205">
        <v>120300200</v>
      </c>
      <c r="N19" s="195" t="s">
        <v>659</v>
      </c>
      <c r="O19" s="205">
        <v>50</v>
      </c>
      <c r="P19" s="205"/>
      <c r="Q19" s="205">
        <f t="shared" si="1"/>
        <v>50</v>
      </c>
      <c r="R19" s="210" t="s">
        <v>660</v>
      </c>
      <c r="S19" s="195" t="s">
        <v>661</v>
      </c>
      <c r="T19" s="483">
        <f>SUM($X$18:$X$19)/SUM($X$18:$X$19)</f>
        <v>1</v>
      </c>
      <c r="U19" s="195" t="s">
        <v>662</v>
      </c>
      <c r="V19" s="195" t="s">
        <v>663</v>
      </c>
      <c r="W19" s="195" t="s">
        <v>666</v>
      </c>
      <c r="X19" s="484">
        <v>20000000</v>
      </c>
      <c r="Y19" s="484"/>
      <c r="Z19" s="484"/>
      <c r="AA19" s="484"/>
      <c r="AB19" s="484">
        <f t="shared" ref="AB19:AB82" si="4">X19-Y19+Z19-AA19</f>
        <v>20000000</v>
      </c>
      <c r="AC19" s="205" t="s">
        <v>665</v>
      </c>
      <c r="AD19" s="205"/>
      <c r="AE19" s="205">
        <v>20</v>
      </c>
      <c r="AF19" s="65" t="s">
        <v>132</v>
      </c>
      <c r="AG19" s="485">
        <v>291786</v>
      </c>
      <c r="AH19" s="485">
        <v>270331</v>
      </c>
      <c r="AI19" s="485">
        <v>102045</v>
      </c>
      <c r="AJ19" s="485">
        <v>39183</v>
      </c>
      <c r="AK19" s="485">
        <v>310195</v>
      </c>
      <c r="AL19" s="485">
        <v>110694</v>
      </c>
      <c r="AM19" s="485">
        <v>2145</v>
      </c>
      <c r="AN19" s="485">
        <v>12718</v>
      </c>
      <c r="AO19" s="485">
        <v>26</v>
      </c>
      <c r="AP19" s="485">
        <v>37</v>
      </c>
      <c r="AQ19" s="485">
        <v>0</v>
      </c>
      <c r="AR19" s="485">
        <v>0</v>
      </c>
      <c r="AS19" s="485">
        <v>44350</v>
      </c>
      <c r="AT19" s="485">
        <v>21944</v>
      </c>
      <c r="AU19" s="485">
        <v>75687</v>
      </c>
      <c r="AV19" s="486">
        <f t="shared" si="0"/>
        <v>562117</v>
      </c>
      <c r="AW19" s="487">
        <v>45293</v>
      </c>
      <c r="AX19" s="487">
        <v>45657</v>
      </c>
      <c r="AY19" s="488" t="s">
        <v>648</v>
      </c>
    </row>
    <row r="20" spans="1:51" s="383" customFormat="1" ht="102" x14ac:dyDescent="0.25">
      <c r="A20" s="205">
        <v>1</v>
      </c>
      <c r="B20" s="195" t="s">
        <v>315</v>
      </c>
      <c r="C20" s="205">
        <v>12</v>
      </c>
      <c r="D20" s="195" t="s">
        <v>316</v>
      </c>
      <c r="E20" s="205">
        <v>1206</v>
      </c>
      <c r="F20" s="195" t="s">
        <v>667</v>
      </c>
      <c r="G20" s="205">
        <v>1206005</v>
      </c>
      <c r="H20" s="195" t="s">
        <v>668</v>
      </c>
      <c r="I20" s="205">
        <v>1206005</v>
      </c>
      <c r="J20" s="195" t="s">
        <v>668</v>
      </c>
      <c r="K20" s="205">
        <v>120600500</v>
      </c>
      <c r="L20" s="195" t="s">
        <v>669</v>
      </c>
      <c r="M20" s="205">
        <v>120600500</v>
      </c>
      <c r="N20" s="195" t="s">
        <v>669</v>
      </c>
      <c r="O20" s="205">
        <v>35</v>
      </c>
      <c r="P20" s="205"/>
      <c r="Q20" s="205">
        <f t="shared" si="1"/>
        <v>35</v>
      </c>
      <c r="R20" s="210" t="s">
        <v>670</v>
      </c>
      <c r="S20" s="195" t="s">
        <v>671</v>
      </c>
      <c r="T20" s="483">
        <f>SUM($X$20:$X$22)/SUM($X$20:$X$22)</f>
        <v>1</v>
      </c>
      <c r="U20" s="195" t="s">
        <v>672</v>
      </c>
      <c r="V20" s="195" t="s">
        <v>673</v>
      </c>
      <c r="W20" s="195" t="s">
        <v>674</v>
      </c>
      <c r="X20" s="484">
        <v>16000000</v>
      </c>
      <c r="Y20" s="484"/>
      <c r="Z20" s="484"/>
      <c r="AA20" s="484"/>
      <c r="AB20" s="484">
        <f t="shared" si="4"/>
        <v>16000000</v>
      </c>
      <c r="AC20" s="205" t="s">
        <v>675</v>
      </c>
      <c r="AD20" s="205"/>
      <c r="AE20" s="205">
        <v>20</v>
      </c>
      <c r="AF20" s="65" t="s">
        <v>132</v>
      </c>
      <c r="AG20" s="485">
        <v>290</v>
      </c>
      <c r="AH20" s="485">
        <v>1260</v>
      </c>
      <c r="AI20" s="485"/>
      <c r="AJ20" s="485">
        <v>150</v>
      </c>
      <c r="AK20" s="485">
        <v>1350</v>
      </c>
      <c r="AL20" s="485">
        <v>50</v>
      </c>
      <c r="AM20" s="485"/>
      <c r="AN20" s="485"/>
      <c r="AO20" s="485"/>
      <c r="AP20" s="485"/>
      <c r="AQ20" s="485"/>
      <c r="AR20" s="485"/>
      <c r="AS20" s="485"/>
      <c r="AT20" s="485"/>
      <c r="AU20" s="485"/>
      <c r="AV20" s="486">
        <f t="shared" ref="AV20:AV25" si="5">AI20+AJ20+AK20+AL20</f>
        <v>1550</v>
      </c>
      <c r="AW20" s="487">
        <v>45293</v>
      </c>
      <c r="AX20" s="487">
        <v>45657</v>
      </c>
      <c r="AY20" s="488" t="s">
        <v>648</v>
      </c>
    </row>
    <row r="21" spans="1:51" s="383" customFormat="1" ht="102" x14ac:dyDescent="0.25">
      <c r="A21" s="205">
        <v>1</v>
      </c>
      <c r="B21" s="195" t="s">
        <v>315</v>
      </c>
      <c r="C21" s="205">
        <v>12</v>
      </c>
      <c r="D21" s="195" t="s">
        <v>316</v>
      </c>
      <c r="E21" s="205">
        <v>1206</v>
      </c>
      <c r="F21" s="195" t="s">
        <v>667</v>
      </c>
      <c r="G21" s="205">
        <v>1206005</v>
      </c>
      <c r="H21" s="195" t="s">
        <v>668</v>
      </c>
      <c r="I21" s="205">
        <v>1206005</v>
      </c>
      <c r="J21" s="195" t="s">
        <v>668</v>
      </c>
      <c r="K21" s="205">
        <v>120600500</v>
      </c>
      <c r="L21" s="195" t="s">
        <v>669</v>
      </c>
      <c r="M21" s="205">
        <v>120600500</v>
      </c>
      <c r="N21" s="195" t="s">
        <v>669</v>
      </c>
      <c r="O21" s="205">
        <v>35</v>
      </c>
      <c r="P21" s="205"/>
      <c r="Q21" s="205">
        <f t="shared" si="1"/>
        <v>35</v>
      </c>
      <c r="R21" s="210" t="s">
        <v>670</v>
      </c>
      <c r="S21" s="195" t="s">
        <v>671</v>
      </c>
      <c r="T21" s="483">
        <f>SUM($X$20:$X$22)/SUM($X$20:$X$22)</f>
        <v>1</v>
      </c>
      <c r="U21" s="195" t="s">
        <v>672</v>
      </c>
      <c r="V21" s="195" t="s">
        <v>673</v>
      </c>
      <c r="W21" s="195" t="s">
        <v>676</v>
      </c>
      <c r="X21" s="484">
        <v>23000000</v>
      </c>
      <c r="Y21" s="484">
        <f>14800000</f>
        <v>14800000</v>
      </c>
      <c r="Z21" s="484"/>
      <c r="AA21" s="484"/>
      <c r="AB21" s="484">
        <f t="shared" si="4"/>
        <v>8200000</v>
      </c>
      <c r="AC21" s="205" t="s">
        <v>675</v>
      </c>
      <c r="AD21" s="205"/>
      <c r="AE21" s="205">
        <v>20</v>
      </c>
      <c r="AF21" s="65" t="s">
        <v>132</v>
      </c>
      <c r="AG21" s="485">
        <v>290</v>
      </c>
      <c r="AH21" s="485">
        <v>1260</v>
      </c>
      <c r="AI21" s="485"/>
      <c r="AJ21" s="485">
        <v>150</v>
      </c>
      <c r="AK21" s="485">
        <v>1350</v>
      </c>
      <c r="AL21" s="485">
        <v>50</v>
      </c>
      <c r="AM21" s="485"/>
      <c r="AN21" s="485"/>
      <c r="AO21" s="485"/>
      <c r="AP21" s="485"/>
      <c r="AQ21" s="485"/>
      <c r="AR21" s="485"/>
      <c r="AS21" s="485"/>
      <c r="AT21" s="485"/>
      <c r="AU21" s="485"/>
      <c r="AV21" s="486">
        <f t="shared" si="5"/>
        <v>1550</v>
      </c>
      <c r="AW21" s="487">
        <v>45293</v>
      </c>
      <c r="AX21" s="487">
        <v>45657</v>
      </c>
      <c r="AY21" s="488" t="s">
        <v>648</v>
      </c>
    </row>
    <row r="22" spans="1:51" s="383" customFormat="1" ht="102" x14ac:dyDescent="0.25">
      <c r="A22" s="205">
        <v>1</v>
      </c>
      <c r="B22" s="195" t="s">
        <v>315</v>
      </c>
      <c r="C22" s="205">
        <v>12</v>
      </c>
      <c r="D22" s="195" t="s">
        <v>316</v>
      </c>
      <c r="E22" s="205">
        <v>1206</v>
      </c>
      <c r="F22" s="195" t="s">
        <v>667</v>
      </c>
      <c r="G22" s="205">
        <v>1206005</v>
      </c>
      <c r="H22" s="195" t="s">
        <v>668</v>
      </c>
      <c r="I22" s="205">
        <v>1206005</v>
      </c>
      <c r="J22" s="195" t="s">
        <v>668</v>
      </c>
      <c r="K22" s="205">
        <v>120600500</v>
      </c>
      <c r="L22" s="195" t="s">
        <v>669</v>
      </c>
      <c r="M22" s="205">
        <v>120600500</v>
      </c>
      <c r="N22" s="195" t="s">
        <v>669</v>
      </c>
      <c r="O22" s="205">
        <v>35</v>
      </c>
      <c r="P22" s="205"/>
      <c r="Q22" s="205">
        <f t="shared" si="1"/>
        <v>35</v>
      </c>
      <c r="R22" s="210" t="s">
        <v>670</v>
      </c>
      <c r="S22" s="195" t="s">
        <v>671</v>
      </c>
      <c r="T22" s="483">
        <f>SUM($X$20:$X$22)/SUM($X$20:$X$22)</f>
        <v>1</v>
      </c>
      <c r="U22" s="195" t="s">
        <v>672</v>
      </c>
      <c r="V22" s="195" t="s">
        <v>673</v>
      </c>
      <c r="W22" s="195" t="s">
        <v>677</v>
      </c>
      <c r="X22" s="484">
        <v>1000000</v>
      </c>
      <c r="Y22" s="484"/>
      <c r="Z22" s="484"/>
      <c r="AA22" s="484"/>
      <c r="AB22" s="484">
        <f t="shared" si="4"/>
        <v>1000000</v>
      </c>
      <c r="AC22" s="205" t="s">
        <v>678</v>
      </c>
      <c r="AD22" s="205"/>
      <c r="AE22" s="205">
        <v>20</v>
      </c>
      <c r="AF22" s="65" t="s">
        <v>132</v>
      </c>
      <c r="AG22" s="485">
        <v>290</v>
      </c>
      <c r="AH22" s="485">
        <v>1260</v>
      </c>
      <c r="AI22" s="485"/>
      <c r="AJ22" s="485">
        <v>150</v>
      </c>
      <c r="AK22" s="485">
        <v>1350</v>
      </c>
      <c r="AL22" s="485">
        <v>50</v>
      </c>
      <c r="AM22" s="485"/>
      <c r="AN22" s="485"/>
      <c r="AO22" s="485"/>
      <c r="AP22" s="485"/>
      <c r="AQ22" s="485"/>
      <c r="AR22" s="485"/>
      <c r="AS22" s="485"/>
      <c r="AT22" s="485"/>
      <c r="AU22" s="485"/>
      <c r="AV22" s="486">
        <f t="shared" si="5"/>
        <v>1550</v>
      </c>
      <c r="AW22" s="487">
        <v>45293</v>
      </c>
      <c r="AX22" s="487">
        <v>45657</v>
      </c>
      <c r="AY22" s="488" t="s">
        <v>648</v>
      </c>
    </row>
    <row r="23" spans="1:51" s="383" customFormat="1" ht="89.25" x14ac:dyDescent="0.25">
      <c r="A23" s="205">
        <v>1</v>
      </c>
      <c r="B23" s="195" t="s">
        <v>315</v>
      </c>
      <c r="C23" s="205">
        <v>22</v>
      </c>
      <c r="D23" s="195" t="s">
        <v>335</v>
      </c>
      <c r="E23" s="205">
        <v>2201</v>
      </c>
      <c r="F23" s="195" t="s">
        <v>679</v>
      </c>
      <c r="G23" s="205">
        <v>2201068</v>
      </c>
      <c r="H23" s="195" t="s">
        <v>680</v>
      </c>
      <c r="I23" s="205">
        <v>2201068</v>
      </c>
      <c r="J23" s="195" t="s">
        <v>680</v>
      </c>
      <c r="K23" s="205">
        <v>220106800</v>
      </c>
      <c r="L23" s="195" t="s">
        <v>681</v>
      </c>
      <c r="M23" s="205">
        <v>220106800</v>
      </c>
      <c r="N23" s="195" t="s">
        <v>681</v>
      </c>
      <c r="O23" s="205">
        <v>72</v>
      </c>
      <c r="P23" s="205"/>
      <c r="Q23" s="205">
        <f t="shared" si="1"/>
        <v>72</v>
      </c>
      <c r="R23" s="210" t="s">
        <v>682</v>
      </c>
      <c r="S23" s="195" t="s">
        <v>683</v>
      </c>
      <c r="T23" s="483">
        <f>SUM($X$23:$X$25)/SUM($X$23:$X$25)</f>
        <v>1</v>
      </c>
      <c r="U23" s="195" t="s">
        <v>684</v>
      </c>
      <c r="V23" s="195" t="s">
        <v>685</v>
      </c>
      <c r="W23" s="195" t="s">
        <v>685</v>
      </c>
      <c r="X23" s="484">
        <v>20000000</v>
      </c>
      <c r="Y23" s="484">
        <v>5400000</v>
      </c>
      <c r="Z23" s="484"/>
      <c r="AA23" s="484"/>
      <c r="AB23" s="484">
        <f t="shared" si="4"/>
        <v>14600000</v>
      </c>
      <c r="AC23" s="65" t="s">
        <v>686</v>
      </c>
      <c r="AD23" s="205"/>
      <c r="AE23" s="205">
        <v>20</v>
      </c>
      <c r="AF23" s="65" t="s">
        <v>132</v>
      </c>
      <c r="AG23" s="485">
        <v>19507</v>
      </c>
      <c r="AH23" s="485">
        <v>19809</v>
      </c>
      <c r="AI23" s="485">
        <v>27714</v>
      </c>
      <c r="AJ23" s="485">
        <v>10230</v>
      </c>
      <c r="AK23" s="485">
        <v>1292</v>
      </c>
      <c r="AL23" s="485">
        <v>80</v>
      </c>
      <c r="AM23" s="485">
        <v>291</v>
      </c>
      <c r="AN23" s="485">
        <v>334</v>
      </c>
      <c r="AO23" s="485">
        <v>0</v>
      </c>
      <c r="AP23" s="485">
        <v>0</v>
      </c>
      <c r="AQ23" s="485">
        <v>0</v>
      </c>
      <c r="AR23" s="485">
        <v>0</v>
      </c>
      <c r="AS23" s="485">
        <v>3158</v>
      </c>
      <c r="AT23" s="485">
        <v>2437</v>
      </c>
      <c r="AU23" s="485">
        <v>990</v>
      </c>
      <c r="AV23" s="486">
        <f t="shared" si="5"/>
        <v>39316</v>
      </c>
      <c r="AW23" s="487">
        <v>45293</v>
      </c>
      <c r="AX23" s="487">
        <v>45657</v>
      </c>
      <c r="AY23" s="488" t="s">
        <v>648</v>
      </c>
    </row>
    <row r="24" spans="1:51" s="383" customFormat="1" ht="89.25" x14ac:dyDescent="0.25">
      <c r="A24" s="205">
        <v>1</v>
      </c>
      <c r="B24" s="195" t="s">
        <v>315</v>
      </c>
      <c r="C24" s="205">
        <v>22</v>
      </c>
      <c r="D24" s="195" t="s">
        <v>335</v>
      </c>
      <c r="E24" s="205">
        <v>2201</v>
      </c>
      <c r="F24" s="195" t="s">
        <v>679</v>
      </c>
      <c r="G24" s="205">
        <v>2201068</v>
      </c>
      <c r="H24" s="195" t="s">
        <v>680</v>
      </c>
      <c r="I24" s="205">
        <v>2201068</v>
      </c>
      <c r="J24" s="195" t="s">
        <v>680</v>
      </c>
      <c r="K24" s="205">
        <v>220106800</v>
      </c>
      <c r="L24" s="195" t="s">
        <v>681</v>
      </c>
      <c r="M24" s="205">
        <v>220106800</v>
      </c>
      <c r="N24" s="195" t="s">
        <v>681</v>
      </c>
      <c r="O24" s="205">
        <v>72</v>
      </c>
      <c r="P24" s="205"/>
      <c r="Q24" s="205">
        <f t="shared" si="1"/>
        <v>72</v>
      </c>
      <c r="R24" s="210" t="s">
        <v>682</v>
      </c>
      <c r="S24" s="195" t="s">
        <v>683</v>
      </c>
      <c r="T24" s="483">
        <f>SUM($X$23:$X$25)/SUM($X$23:$X$25)</f>
        <v>1</v>
      </c>
      <c r="U24" s="195" t="s">
        <v>684</v>
      </c>
      <c r="V24" s="195" t="s">
        <v>685</v>
      </c>
      <c r="W24" s="195" t="s">
        <v>687</v>
      </c>
      <c r="X24" s="484">
        <v>20000000</v>
      </c>
      <c r="Y24" s="484">
        <f>5400000+3900000</f>
        <v>9300000</v>
      </c>
      <c r="Z24" s="484"/>
      <c r="AA24" s="484"/>
      <c r="AB24" s="484">
        <f t="shared" si="4"/>
        <v>10700000</v>
      </c>
      <c r="AC24" s="65" t="s">
        <v>686</v>
      </c>
      <c r="AD24" s="205"/>
      <c r="AE24" s="205">
        <v>20</v>
      </c>
      <c r="AF24" s="65" t="s">
        <v>132</v>
      </c>
      <c r="AG24" s="485">
        <v>19507</v>
      </c>
      <c r="AH24" s="485">
        <v>19809</v>
      </c>
      <c r="AI24" s="485">
        <v>27714</v>
      </c>
      <c r="AJ24" s="485">
        <v>10230</v>
      </c>
      <c r="AK24" s="485">
        <v>1292</v>
      </c>
      <c r="AL24" s="485">
        <v>80</v>
      </c>
      <c r="AM24" s="485">
        <v>291</v>
      </c>
      <c r="AN24" s="485">
        <v>334</v>
      </c>
      <c r="AO24" s="485">
        <v>0</v>
      </c>
      <c r="AP24" s="485">
        <v>0</v>
      </c>
      <c r="AQ24" s="485">
        <v>0</v>
      </c>
      <c r="AR24" s="485">
        <v>0</v>
      </c>
      <c r="AS24" s="485">
        <v>3158</v>
      </c>
      <c r="AT24" s="485">
        <v>2437</v>
      </c>
      <c r="AU24" s="485">
        <v>990</v>
      </c>
      <c r="AV24" s="486">
        <f t="shared" si="5"/>
        <v>39316</v>
      </c>
      <c r="AW24" s="487">
        <v>45293</v>
      </c>
      <c r="AX24" s="487">
        <v>45657</v>
      </c>
      <c r="AY24" s="488" t="s">
        <v>648</v>
      </c>
    </row>
    <row r="25" spans="1:51" s="383" customFormat="1" ht="89.25" x14ac:dyDescent="0.25">
      <c r="A25" s="205">
        <v>1</v>
      </c>
      <c r="B25" s="195" t="s">
        <v>315</v>
      </c>
      <c r="C25" s="205">
        <v>22</v>
      </c>
      <c r="D25" s="195" t="s">
        <v>335</v>
      </c>
      <c r="E25" s="205">
        <v>2201</v>
      </c>
      <c r="F25" s="195" t="s">
        <v>679</v>
      </c>
      <c r="G25" s="205">
        <v>2201068</v>
      </c>
      <c r="H25" s="195" t="s">
        <v>680</v>
      </c>
      <c r="I25" s="205">
        <v>2201068</v>
      </c>
      <c r="J25" s="195" t="s">
        <v>680</v>
      </c>
      <c r="K25" s="205">
        <v>220106800</v>
      </c>
      <c r="L25" s="195" t="s">
        <v>681</v>
      </c>
      <c r="M25" s="205">
        <v>220106800</v>
      </c>
      <c r="N25" s="195" t="s">
        <v>681</v>
      </c>
      <c r="O25" s="205">
        <v>72</v>
      </c>
      <c r="P25" s="205"/>
      <c r="Q25" s="205">
        <f t="shared" si="1"/>
        <v>72</v>
      </c>
      <c r="R25" s="210" t="s">
        <v>682</v>
      </c>
      <c r="S25" s="195" t="s">
        <v>683</v>
      </c>
      <c r="T25" s="483">
        <f>SUM($X$23:$X$25)/SUM($X$23:$X$25)</f>
        <v>1</v>
      </c>
      <c r="U25" s="195" t="s">
        <v>684</v>
      </c>
      <c r="V25" s="195" t="s">
        <v>685</v>
      </c>
      <c r="W25" s="195" t="s">
        <v>688</v>
      </c>
      <c r="X25" s="484">
        <v>20000000</v>
      </c>
      <c r="Y25" s="484">
        <v>5400000</v>
      </c>
      <c r="Z25" s="484"/>
      <c r="AA25" s="484"/>
      <c r="AB25" s="484">
        <f t="shared" si="4"/>
        <v>14600000</v>
      </c>
      <c r="AC25" s="205" t="s">
        <v>686</v>
      </c>
      <c r="AD25" s="205"/>
      <c r="AE25" s="205">
        <v>20</v>
      </c>
      <c r="AF25" s="65" t="s">
        <v>132</v>
      </c>
      <c r="AG25" s="485">
        <v>19507</v>
      </c>
      <c r="AH25" s="485">
        <v>19809</v>
      </c>
      <c r="AI25" s="485">
        <v>27714</v>
      </c>
      <c r="AJ25" s="485">
        <v>10230</v>
      </c>
      <c r="AK25" s="485">
        <v>1292</v>
      </c>
      <c r="AL25" s="485">
        <v>80</v>
      </c>
      <c r="AM25" s="485">
        <v>291</v>
      </c>
      <c r="AN25" s="485">
        <v>334</v>
      </c>
      <c r="AO25" s="485">
        <v>0</v>
      </c>
      <c r="AP25" s="485">
        <v>0</v>
      </c>
      <c r="AQ25" s="485">
        <v>0</v>
      </c>
      <c r="AR25" s="485">
        <v>0</v>
      </c>
      <c r="AS25" s="485">
        <v>3158</v>
      </c>
      <c r="AT25" s="485">
        <v>2437</v>
      </c>
      <c r="AU25" s="485">
        <v>990</v>
      </c>
      <c r="AV25" s="486">
        <f t="shared" si="5"/>
        <v>39316</v>
      </c>
      <c r="AW25" s="487">
        <v>45293</v>
      </c>
      <c r="AX25" s="487">
        <v>45657</v>
      </c>
      <c r="AY25" s="488" t="s">
        <v>648</v>
      </c>
    </row>
    <row r="26" spans="1:51" s="383" customFormat="1" ht="102" x14ac:dyDescent="0.25">
      <c r="A26" s="205">
        <v>1</v>
      </c>
      <c r="B26" s="195" t="s">
        <v>315</v>
      </c>
      <c r="C26" s="205">
        <v>41</v>
      </c>
      <c r="D26" s="195" t="s">
        <v>689</v>
      </c>
      <c r="E26" s="205">
        <v>4101</v>
      </c>
      <c r="F26" s="195" t="s">
        <v>690</v>
      </c>
      <c r="G26" s="205">
        <v>4101023</v>
      </c>
      <c r="H26" s="195" t="s">
        <v>691</v>
      </c>
      <c r="I26" s="205">
        <v>4101023</v>
      </c>
      <c r="J26" s="195" t="s">
        <v>691</v>
      </c>
      <c r="K26" s="205">
        <v>410102300</v>
      </c>
      <c r="L26" s="195" t="s">
        <v>692</v>
      </c>
      <c r="M26" s="205">
        <v>410102300</v>
      </c>
      <c r="N26" s="195" t="s">
        <v>692</v>
      </c>
      <c r="O26" s="205">
        <v>900</v>
      </c>
      <c r="P26" s="205"/>
      <c r="Q26" s="205">
        <f t="shared" si="1"/>
        <v>900</v>
      </c>
      <c r="R26" s="210" t="s">
        <v>693</v>
      </c>
      <c r="S26" s="195" t="s">
        <v>694</v>
      </c>
      <c r="T26" s="483">
        <f>SUM($X$26:$X$33)/SUM($X$26:$X$48)</f>
        <v>0.34615384615384615</v>
      </c>
      <c r="U26" s="195" t="s">
        <v>695</v>
      </c>
      <c r="V26" s="195" t="s">
        <v>696</v>
      </c>
      <c r="W26" s="195" t="s">
        <v>697</v>
      </c>
      <c r="X26" s="781">
        <v>10000000</v>
      </c>
      <c r="Y26" s="484"/>
      <c r="Z26" s="484"/>
      <c r="AA26" s="484"/>
      <c r="AB26" s="484">
        <f t="shared" si="4"/>
        <v>10000000</v>
      </c>
      <c r="AC26" s="205" t="s">
        <v>698</v>
      </c>
      <c r="AD26" s="205"/>
      <c r="AE26" s="205">
        <v>20</v>
      </c>
      <c r="AF26" s="65" t="s">
        <v>132</v>
      </c>
      <c r="AG26" s="485">
        <v>23022</v>
      </c>
      <c r="AH26" s="485">
        <v>20392</v>
      </c>
      <c r="AI26" s="485">
        <v>6024</v>
      </c>
      <c r="AJ26" s="485">
        <v>4684</v>
      </c>
      <c r="AK26" s="485">
        <v>27478</v>
      </c>
      <c r="AL26" s="485">
        <v>5228</v>
      </c>
      <c r="AM26" s="485">
        <v>1963</v>
      </c>
      <c r="AN26" s="485">
        <v>2207</v>
      </c>
      <c r="AO26" s="485">
        <v>96</v>
      </c>
      <c r="AP26" s="485">
        <v>58</v>
      </c>
      <c r="AQ26" s="485">
        <v>0</v>
      </c>
      <c r="AR26" s="485">
        <v>59</v>
      </c>
      <c r="AS26" s="485">
        <v>15466</v>
      </c>
      <c r="AT26" s="485">
        <v>2644</v>
      </c>
      <c r="AU26" s="485">
        <v>43414</v>
      </c>
      <c r="AV26" s="486">
        <f t="shared" ref="AV26:AV51" si="6">+AG26+AH26</f>
        <v>43414</v>
      </c>
      <c r="AW26" s="487">
        <v>45293</v>
      </c>
      <c r="AX26" s="487">
        <v>45657</v>
      </c>
      <c r="AY26" s="488" t="s">
        <v>648</v>
      </c>
    </row>
    <row r="27" spans="1:51" s="383" customFormat="1" ht="102" x14ac:dyDescent="0.25">
      <c r="A27" s="205">
        <v>1</v>
      </c>
      <c r="B27" s="195" t="s">
        <v>315</v>
      </c>
      <c r="C27" s="205">
        <v>41</v>
      </c>
      <c r="D27" s="195" t="s">
        <v>689</v>
      </c>
      <c r="E27" s="205">
        <v>4101</v>
      </c>
      <c r="F27" s="195" t="s">
        <v>690</v>
      </c>
      <c r="G27" s="205">
        <v>4101023</v>
      </c>
      <c r="H27" s="195" t="s">
        <v>691</v>
      </c>
      <c r="I27" s="205">
        <v>4101023</v>
      </c>
      <c r="J27" s="195" t="s">
        <v>691</v>
      </c>
      <c r="K27" s="205">
        <v>410102300</v>
      </c>
      <c r="L27" s="195" t="s">
        <v>692</v>
      </c>
      <c r="M27" s="205">
        <v>410102300</v>
      </c>
      <c r="N27" s="195" t="s">
        <v>692</v>
      </c>
      <c r="O27" s="205">
        <v>900</v>
      </c>
      <c r="P27" s="205"/>
      <c r="Q27" s="205">
        <f t="shared" si="1"/>
        <v>900</v>
      </c>
      <c r="R27" s="210" t="s">
        <v>693</v>
      </c>
      <c r="S27" s="195" t="s">
        <v>694</v>
      </c>
      <c r="T27" s="483">
        <f t="shared" ref="T27:T33" si="7">SUM($X$26:$X$33)/SUM($X$26:$X$48)</f>
        <v>0.34615384615384615</v>
      </c>
      <c r="U27" s="195" t="s">
        <v>695</v>
      </c>
      <c r="V27" s="195" t="s">
        <v>696</v>
      </c>
      <c r="W27" s="195" t="s">
        <v>699</v>
      </c>
      <c r="X27" s="781">
        <v>35000000</v>
      </c>
      <c r="Y27" s="484">
        <f>10000000</f>
        <v>10000000</v>
      </c>
      <c r="Z27" s="484"/>
      <c r="AA27" s="484"/>
      <c r="AB27" s="484">
        <f t="shared" si="4"/>
        <v>25000000</v>
      </c>
      <c r="AC27" s="205" t="s">
        <v>698</v>
      </c>
      <c r="AD27" s="205"/>
      <c r="AE27" s="205">
        <v>20</v>
      </c>
      <c r="AF27" s="65" t="s">
        <v>132</v>
      </c>
      <c r="AG27" s="485">
        <v>23022</v>
      </c>
      <c r="AH27" s="485">
        <v>20392</v>
      </c>
      <c r="AI27" s="485">
        <v>6024</v>
      </c>
      <c r="AJ27" s="485">
        <v>4684</v>
      </c>
      <c r="AK27" s="485">
        <v>27478</v>
      </c>
      <c r="AL27" s="485">
        <v>5228</v>
      </c>
      <c r="AM27" s="485">
        <v>1963</v>
      </c>
      <c r="AN27" s="485">
        <v>2207</v>
      </c>
      <c r="AO27" s="485">
        <v>96</v>
      </c>
      <c r="AP27" s="485">
        <v>58</v>
      </c>
      <c r="AQ27" s="485">
        <v>0</v>
      </c>
      <c r="AR27" s="485">
        <v>59</v>
      </c>
      <c r="AS27" s="485">
        <v>15466</v>
      </c>
      <c r="AT27" s="485">
        <v>2644</v>
      </c>
      <c r="AU27" s="485">
        <v>43414</v>
      </c>
      <c r="AV27" s="486">
        <f t="shared" si="6"/>
        <v>43414</v>
      </c>
      <c r="AW27" s="487">
        <v>45293</v>
      </c>
      <c r="AX27" s="487">
        <v>45657</v>
      </c>
      <c r="AY27" s="488" t="s">
        <v>648</v>
      </c>
    </row>
    <row r="28" spans="1:51" s="383" customFormat="1" ht="102" x14ac:dyDescent="0.25">
      <c r="A28" s="205">
        <v>1</v>
      </c>
      <c r="B28" s="195" t="s">
        <v>315</v>
      </c>
      <c r="C28" s="205">
        <v>41</v>
      </c>
      <c r="D28" s="195" t="s">
        <v>689</v>
      </c>
      <c r="E28" s="205">
        <v>4101</v>
      </c>
      <c r="F28" s="195" t="s">
        <v>690</v>
      </c>
      <c r="G28" s="205">
        <v>4101023</v>
      </c>
      <c r="H28" s="195" t="s">
        <v>691</v>
      </c>
      <c r="I28" s="205">
        <v>4101023</v>
      </c>
      <c r="J28" s="195" t="s">
        <v>691</v>
      </c>
      <c r="K28" s="205">
        <v>410102300</v>
      </c>
      <c r="L28" s="195" t="s">
        <v>692</v>
      </c>
      <c r="M28" s="205">
        <v>410102300</v>
      </c>
      <c r="N28" s="195" t="s">
        <v>692</v>
      </c>
      <c r="O28" s="205">
        <v>900</v>
      </c>
      <c r="P28" s="205"/>
      <c r="Q28" s="205">
        <f t="shared" si="1"/>
        <v>900</v>
      </c>
      <c r="R28" s="210" t="s">
        <v>693</v>
      </c>
      <c r="S28" s="195" t="s">
        <v>694</v>
      </c>
      <c r="T28" s="483">
        <f t="shared" si="7"/>
        <v>0.34615384615384615</v>
      </c>
      <c r="U28" s="195" t="s">
        <v>695</v>
      </c>
      <c r="V28" s="195" t="s">
        <v>696</v>
      </c>
      <c r="W28" s="195" t="s">
        <v>700</v>
      </c>
      <c r="X28" s="781">
        <v>15000000</v>
      </c>
      <c r="Y28" s="484"/>
      <c r="Z28" s="484"/>
      <c r="AA28" s="484"/>
      <c r="AB28" s="484">
        <f t="shared" si="4"/>
        <v>15000000</v>
      </c>
      <c r="AC28" s="205" t="s">
        <v>698</v>
      </c>
      <c r="AD28" s="205"/>
      <c r="AE28" s="205">
        <v>20</v>
      </c>
      <c r="AF28" s="65" t="s">
        <v>132</v>
      </c>
      <c r="AG28" s="485">
        <v>23022</v>
      </c>
      <c r="AH28" s="485">
        <v>20392</v>
      </c>
      <c r="AI28" s="485">
        <v>6024</v>
      </c>
      <c r="AJ28" s="485">
        <v>4684</v>
      </c>
      <c r="AK28" s="485">
        <v>27478</v>
      </c>
      <c r="AL28" s="485">
        <v>5228</v>
      </c>
      <c r="AM28" s="485">
        <v>1963</v>
      </c>
      <c r="AN28" s="485">
        <v>2207</v>
      </c>
      <c r="AO28" s="485">
        <v>96</v>
      </c>
      <c r="AP28" s="485">
        <v>58</v>
      </c>
      <c r="AQ28" s="485">
        <v>0</v>
      </c>
      <c r="AR28" s="485">
        <v>59</v>
      </c>
      <c r="AS28" s="485">
        <v>15466</v>
      </c>
      <c r="AT28" s="485">
        <v>2644</v>
      </c>
      <c r="AU28" s="485">
        <v>43414</v>
      </c>
      <c r="AV28" s="486">
        <f t="shared" si="6"/>
        <v>43414</v>
      </c>
      <c r="AW28" s="487">
        <v>45293</v>
      </c>
      <c r="AX28" s="487">
        <v>45657</v>
      </c>
      <c r="AY28" s="488" t="s">
        <v>648</v>
      </c>
    </row>
    <row r="29" spans="1:51" s="383" customFormat="1" ht="102" x14ac:dyDescent="0.25">
      <c r="A29" s="205">
        <v>1</v>
      </c>
      <c r="B29" s="195" t="s">
        <v>315</v>
      </c>
      <c r="C29" s="205">
        <v>41</v>
      </c>
      <c r="D29" s="195" t="s">
        <v>689</v>
      </c>
      <c r="E29" s="205">
        <v>4101</v>
      </c>
      <c r="F29" s="195" t="s">
        <v>690</v>
      </c>
      <c r="G29" s="205">
        <v>4101023</v>
      </c>
      <c r="H29" s="195" t="s">
        <v>691</v>
      </c>
      <c r="I29" s="205">
        <v>4101023</v>
      </c>
      <c r="J29" s="195" t="s">
        <v>691</v>
      </c>
      <c r="K29" s="205">
        <v>410102300</v>
      </c>
      <c r="L29" s="195" t="s">
        <v>692</v>
      </c>
      <c r="M29" s="205">
        <v>410102300</v>
      </c>
      <c r="N29" s="195" t="s">
        <v>692</v>
      </c>
      <c r="O29" s="205">
        <v>900</v>
      </c>
      <c r="P29" s="205"/>
      <c r="Q29" s="205">
        <f t="shared" si="1"/>
        <v>900</v>
      </c>
      <c r="R29" s="210" t="s">
        <v>693</v>
      </c>
      <c r="S29" s="195" t="s">
        <v>694</v>
      </c>
      <c r="T29" s="483">
        <f t="shared" si="7"/>
        <v>0.34615384615384615</v>
      </c>
      <c r="U29" s="195" t="s">
        <v>695</v>
      </c>
      <c r="V29" s="195" t="s">
        <v>696</v>
      </c>
      <c r="W29" s="195" t="s">
        <v>701</v>
      </c>
      <c r="X29" s="781">
        <v>5000000</v>
      </c>
      <c r="Y29" s="484"/>
      <c r="Z29" s="484"/>
      <c r="AA29" s="484"/>
      <c r="AB29" s="484">
        <f t="shared" si="4"/>
        <v>5000000</v>
      </c>
      <c r="AC29" s="205" t="s">
        <v>698</v>
      </c>
      <c r="AD29" s="205"/>
      <c r="AE29" s="205">
        <v>20</v>
      </c>
      <c r="AF29" s="65" t="s">
        <v>132</v>
      </c>
      <c r="AG29" s="485">
        <v>23022</v>
      </c>
      <c r="AH29" s="485">
        <v>20392</v>
      </c>
      <c r="AI29" s="485">
        <v>6024</v>
      </c>
      <c r="AJ29" s="485">
        <v>4684</v>
      </c>
      <c r="AK29" s="485">
        <v>27478</v>
      </c>
      <c r="AL29" s="485">
        <v>5228</v>
      </c>
      <c r="AM29" s="485">
        <v>1963</v>
      </c>
      <c r="AN29" s="485">
        <v>2207</v>
      </c>
      <c r="AO29" s="485">
        <v>96</v>
      </c>
      <c r="AP29" s="485">
        <v>58</v>
      </c>
      <c r="AQ29" s="485">
        <v>0</v>
      </c>
      <c r="AR29" s="485">
        <v>59</v>
      </c>
      <c r="AS29" s="485">
        <v>15466</v>
      </c>
      <c r="AT29" s="485">
        <v>2644</v>
      </c>
      <c r="AU29" s="485">
        <v>43414</v>
      </c>
      <c r="AV29" s="486">
        <f t="shared" si="6"/>
        <v>43414</v>
      </c>
      <c r="AW29" s="487">
        <v>45293</v>
      </c>
      <c r="AX29" s="487">
        <v>45657</v>
      </c>
      <c r="AY29" s="488" t="s">
        <v>648</v>
      </c>
    </row>
    <row r="30" spans="1:51" s="383" customFormat="1" ht="102" x14ac:dyDescent="0.25">
      <c r="A30" s="205">
        <v>1</v>
      </c>
      <c r="B30" s="195" t="s">
        <v>315</v>
      </c>
      <c r="C30" s="205">
        <v>41</v>
      </c>
      <c r="D30" s="195" t="s">
        <v>689</v>
      </c>
      <c r="E30" s="205">
        <v>4101</v>
      </c>
      <c r="F30" s="195" t="s">
        <v>690</v>
      </c>
      <c r="G30" s="205">
        <v>4101023</v>
      </c>
      <c r="H30" s="195" t="s">
        <v>691</v>
      </c>
      <c r="I30" s="205">
        <v>4101023</v>
      </c>
      <c r="J30" s="195" t="s">
        <v>691</v>
      </c>
      <c r="K30" s="205">
        <v>410102300</v>
      </c>
      <c r="L30" s="195" t="s">
        <v>692</v>
      </c>
      <c r="M30" s="205">
        <v>410102300</v>
      </c>
      <c r="N30" s="195" t="s">
        <v>692</v>
      </c>
      <c r="O30" s="205">
        <v>900</v>
      </c>
      <c r="P30" s="205"/>
      <c r="Q30" s="205">
        <f t="shared" si="1"/>
        <v>900</v>
      </c>
      <c r="R30" s="210" t="s">
        <v>693</v>
      </c>
      <c r="S30" s="195" t="s">
        <v>694</v>
      </c>
      <c r="T30" s="483">
        <f t="shared" si="7"/>
        <v>0.34615384615384615</v>
      </c>
      <c r="U30" s="195" t="s">
        <v>695</v>
      </c>
      <c r="V30" s="195" t="s">
        <v>696</v>
      </c>
      <c r="W30" s="195" t="s">
        <v>702</v>
      </c>
      <c r="X30" s="781">
        <v>5000000</v>
      </c>
      <c r="Y30" s="484"/>
      <c r="Z30" s="484"/>
      <c r="AA30" s="484"/>
      <c r="AB30" s="484">
        <f t="shared" si="4"/>
        <v>5000000</v>
      </c>
      <c r="AC30" s="205" t="s">
        <v>698</v>
      </c>
      <c r="AD30" s="205"/>
      <c r="AE30" s="205">
        <v>20</v>
      </c>
      <c r="AF30" s="65" t="s">
        <v>132</v>
      </c>
      <c r="AG30" s="485">
        <v>23022</v>
      </c>
      <c r="AH30" s="485">
        <v>20392</v>
      </c>
      <c r="AI30" s="485">
        <v>6024</v>
      </c>
      <c r="AJ30" s="485">
        <v>4684</v>
      </c>
      <c r="AK30" s="485">
        <v>27478</v>
      </c>
      <c r="AL30" s="485">
        <v>5228</v>
      </c>
      <c r="AM30" s="485">
        <v>1963</v>
      </c>
      <c r="AN30" s="485">
        <v>2207</v>
      </c>
      <c r="AO30" s="485">
        <v>96</v>
      </c>
      <c r="AP30" s="485">
        <v>58</v>
      </c>
      <c r="AQ30" s="485">
        <v>0</v>
      </c>
      <c r="AR30" s="485">
        <v>59</v>
      </c>
      <c r="AS30" s="485">
        <v>15466</v>
      </c>
      <c r="AT30" s="485">
        <v>2644</v>
      </c>
      <c r="AU30" s="485">
        <v>43414</v>
      </c>
      <c r="AV30" s="486">
        <f t="shared" si="6"/>
        <v>43414</v>
      </c>
      <c r="AW30" s="487">
        <v>45293</v>
      </c>
      <c r="AX30" s="487">
        <v>45657</v>
      </c>
      <c r="AY30" s="488" t="s">
        <v>648</v>
      </c>
    </row>
    <row r="31" spans="1:51" s="383" customFormat="1" ht="102" x14ac:dyDescent="0.25">
      <c r="A31" s="205">
        <v>1</v>
      </c>
      <c r="B31" s="195" t="s">
        <v>315</v>
      </c>
      <c r="C31" s="205">
        <v>41</v>
      </c>
      <c r="D31" s="195" t="s">
        <v>689</v>
      </c>
      <c r="E31" s="205">
        <v>4101</v>
      </c>
      <c r="F31" s="195" t="s">
        <v>690</v>
      </c>
      <c r="G31" s="205">
        <v>4101023</v>
      </c>
      <c r="H31" s="195" t="s">
        <v>691</v>
      </c>
      <c r="I31" s="205">
        <v>4101023</v>
      </c>
      <c r="J31" s="195" t="s">
        <v>691</v>
      </c>
      <c r="K31" s="205">
        <v>410102300</v>
      </c>
      <c r="L31" s="195" t="s">
        <v>692</v>
      </c>
      <c r="M31" s="205">
        <v>410102300</v>
      </c>
      <c r="N31" s="195" t="s">
        <v>692</v>
      </c>
      <c r="O31" s="205">
        <v>900</v>
      </c>
      <c r="P31" s="205"/>
      <c r="Q31" s="205">
        <f t="shared" si="1"/>
        <v>900</v>
      </c>
      <c r="R31" s="210" t="s">
        <v>693</v>
      </c>
      <c r="S31" s="195" t="s">
        <v>694</v>
      </c>
      <c r="T31" s="483">
        <f t="shared" si="7"/>
        <v>0.34615384615384615</v>
      </c>
      <c r="U31" s="195" t="s">
        <v>695</v>
      </c>
      <c r="V31" s="195" t="s">
        <v>696</v>
      </c>
      <c r="W31" s="195" t="s">
        <v>703</v>
      </c>
      <c r="X31" s="781">
        <v>6000000</v>
      </c>
      <c r="Y31" s="484"/>
      <c r="Z31" s="484"/>
      <c r="AA31" s="484"/>
      <c r="AB31" s="484">
        <f t="shared" si="4"/>
        <v>6000000</v>
      </c>
      <c r="AC31" s="205" t="s">
        <v>698</v>
      </c>
      <c r="AD31" s="205"/>
      <c r="AE31" s="205">
        <v>20</v>
      </c>
      <c r="AF31" s="65" t="s">
        <v>132</v>
      </c>
      <c r="AG31" s="485">
        <v>23022</v>
      </c>
      <c r="AH31" s="485">
        <v>20392</v>
      </c>
      <c r="AI31" s="485">
        <v>6024</v>
      </c>
      <c r="AJ31" s="485">
        <v>4684</v>
      </c>
      <c r="AK31" s="485">
        <v>27478</v>
      </c>
      <c r="AL31" s="485">
        <v>5228</v>
      </c>
      <c r="AM31" s="485">
        <v>1963</v>
      </c>
      <c r="AN31" s="485">
        <v>2207</v>
      </c>
      <c r="AO31" s="485">
        <v>96</v>
      </c>
      <c r="AP31" s="485">
        <v>58</v>
      </c>
      <c r="AQ31" s="485">
        <v>0</v>
      </c>
      <c r="AR31" s="485">
        <v>59</v>
      </c>
      <c r="AS31" s="485">
        <v>15466</v>
      </c>
      <c r="AT31" s="485">
        <v>2644</v>
      </c>
      <c r="AU31" s="485">
        <v>43414</v>
      </c>
      <c r="AV31" s="486">
        <f t="shared" si="6"/>
        <v>43414</v>
      </c>
      <c r="AW31" s="487">
        <v>45293</v>
      </c>
      <c r="AX31" s="487">
        <v>45657</v>
      </c>
      <c r="AY31" s="488" t="s">
        <v>648</v>
      </c>
    </row>
    <row r="32" spans="1:51" s="383" customFormat="1" ht="102" x14ac:dyDescent="0.25">
      <c r="A32" s="205">
        <v>1</v>
      </c>
      <c r="B32" s="195" t="s">
        <v>315</v>
      </c>
      <c r="C32" s="205">
        <v>41</v>
      </c>
      <c r="D32" s="195" t="s">
        <v>689</v>
      </c>
      <c r="E32" s="205">
        <v>4101</v>
      </c>
      <c r="F32" s="195" t="s">
        <v>690</v>
      </c>
      <c r="G32" s="205">
        <v>4101023</v>
      </c>
      <c r="H32" s="195" t="s">
        <v>691</v>
      </c>
      <c r="I32" s="205">
        <v>4101023</v>
      </c>
      <c r="J32" s="195" t="s">
        <v>691</v>
      </c>
      <c r="K32" s="205">
        <v>410102300</v>
      </c>
      <c r="L32" s="195" t="s">
        <v>692</v>
      </c>
      <c r="M32" s="205">
        <v>410102300</v>
      </c>
      <c r="N32" s="195" t="s">
        <v>692</v>
      </c>
      <c r="O32" s="205">
        <v>900</v>
      </c>
      <c r="P32" s="205"/>
      <c r="Q32" s="205">
        <f t="shared" si="1"/>
        <v>900</v>
      </c>
      <c r="R32" s="210" t="s">
        <v>693</v>
      </c>
      <c r="S32" s="195" t="s">
        <v>694</v>
      </c>
      <c r="T32" s="483">
        <f t="shared" si="7"/>
        <v>0.34615384615384615</v>
      </c>
      <c r="U32" s="195" t="s">
        <v>695</v>
      </c>
      <c r="V32" s="195" t="s">
        <v>696</v>
      </c>
      <c r="W32" s="195" t="s">
        <v>704</v>
      </c>
      <c r="X32" s="781">
        <v>4000000</v>
      </c>
      <c r="Y32" s="484"/>
      <c r="Z32" s="484"/>
      <c r="AA32" s="484"/>
      <c r="AB32" s="484">
        <f t="shared" si="4"/>
        <v>4000000</v>
      </c>
      <c r="AC32" s="205" t="s">
        <v>698</v>
      </c>
      <c r="AD32" s="205"/>
      <c r="AE32" s="205">
        <v>20</v>
      </c>
      <c r="AF32" s="65" t="s">
        <v>132</v>
      </c>
      <c r="AG32" s="485">
        <v>23022</v>
      </c>
      <c r="AH32" s="485">
        <v>20392</v>
      </c>
      <c r="AI32" s="485">
        <v>6024</v>
      </c>
      <c r="AJ32" s="485">
        <v>4684</v>
      </c>
      <c r="AK32" s="485">
        <v>27478</v>
      </c>
      <c r="AL32" s="485">
        <v>5228</v>
      </c>
      <c r="AM32" s="485">
        <v>1963</v>
      </c>
      <c r="AN32" s="485">
        <v>2207</v>
      </c>
      <c r="AO32" s="485">
        <v>96</v>
      </c>
      <c r="AP32" s="485">
        <v>58</v>
      </c>
      <c r="AQ32" s="485">
        <v>0</v>
      </c>
      <c r="AR32" s="485">
        <v>59</v>
      </c>
      <c r="AS32" s="485">
        <v>15466</v>
      </c>
      <c r="AT32" s="485">
        <v>2644</v>
      </c>
      <c r="AU32" s="485">
        <v>43414</v>
      </c>
      <c r="AV32" s="486">
        <f t="shared" si="6"/>
        <v>43414</v>
      </c>
      <c r="AW32" s="487">
        <v>45293</v>
      </c>
      <c r="AX32" s="487">
        <v>45657</v>
      </c>
      <c r="AY32" s="488" t="s">
        <v>648</v>
      </c>
    </row>
    <row r="33" spans="1:51" s="383" customFormat="1" ht="102" x14ac:dyDescent="0.25">
      <c r="A33" s="205">
        <v>1</v>
      </c>
      <c r="B33" s="195" t="s">
        <v>315</v>
      </c>
      <c r="C33" s="205">
        <v>41</v>
      </c>
      <c r="D33" s="195" t="s">
        <v>689</v>
      </c>
      <c r="E33" s="205">
        <v>4101</v>
      </c>
      <c r="F33" s="195" t="s">
        <v>690</v>
      </c>
      <c r="G33" s="205">
        <v>4101023</v>
      </c>
      <c r="H33" s="195" t="s">
        <v>691</v>
      </c>
      <c r="I33" s="205">
        <v>4101023</v>
      </c>
      <c r="J33" s="195" t="s">
        <v>691</v>
      </c>
      <c r="K33" s="205">
        <v>410102300</v>
      </c>
      <c r="L33" s="195" t="s">
        <v>692</v>
      </c>
      <c r="M33" s="205">
        <v>410102300</v>
      </c>
      <c r="N33" s="195" t="s">
        <v>692</v>
      </c>
      <c r="O33" s="205">
        <v>900</v>
      </c>
      <c r="P33" s="205"/>
      <c r="Q33" s="205">
        <f t="shared" si="1"/>
        <v>900</v>
      </c>
      <c r="R33" s="210" t="s">
        <v>693</v>
      </c>
      <c r="S33" s="195" t="s">
        <v>694</v>
      </c>
      <c r="T33" s="483">
        <f t="shared" si="7"/>
        <v>0.34615384615384615</v>
      </c>
      <c r="U33" s="195" t="s">
        <v>695</v>
      </c>
      <c r="V33" s="195" t="s">
        <v>696</v>
      </c>
      <c r="W33" s="195" t="s">
        <v>705</v>
      </c>
      <c r="X33" s="781">
        <v>10000000</v>
      </c>
      <c r="Y33" s="484"/>
      <c r="Z33" s="484"/>
      <c r="AA33" s="484"/>
      <c r="AB33" s="484">
        <f t="shared" si="4"/>
        <v>10000000</v>
      </c>
      <c r="AC33" s="205" t="s">
        <v>698</v>
      </c>
      <c r="AD33" s="205"/>
      <c r="AE33" s="205">
        <v>20</v>
      </c>
      <c r="AF33" s="65" t="s">
        <v>132</v>
      </c>
      <c r="AG33" s="485">
        <v>23022</v>
      </c>
      <c r="AH33" s="485">
        <v>20392</v>
      </c>
      <c r="AI33" s="485">
        <v>6024</v>
      </c>
      <c r="AJ33" s="485">
        <v>4684</v>
      </c>
      <c r="AK33" s="485">
        <v>27478</v>
      </c>
      <c r="AL33" s="485">
        <v>5228</v>
      </c>
      <c r="AM33" s="485">
        <v>1963</v>
      </c>
      <c r="AN33" s="485">
        <v>2207</v>
      </c>
      <c r="AO33" s="485">
        <v>96</v>
      </c>
      <c r="AP33" s="485">
        <v>58</v>
      </c>
      <c r="AQ33" s="485">
        <v>0</v>
      </c>
      <c r="AR33" s="485">
        <v>59</v>
      </c>
      <c r="AS33" s="485">
        <v>15466</v>
      </c>
      <c r="AT33" s="485">
        <v>2644</v>
      </c>
      <c r="AU33" s="485">
        <v>43414</v>
      </c>
      <c r="AV33" s="486">
        <f t="shared" si="6"/>
        <v>43414</v>
      </c>
      <c r="AW33" s="487">
        <v>45293</v>
      </c>
      <c r="AX33" s="487">
        <v>45657</v>
      </c>
      <c r="AY33" s="488" t="s">
        <v>648</v>
      </c>
    </row>
    <row r="34" spans="1:51" s="383" customFormat="1" ht="102" x14ac:dyDescent="0.25">
      <c r="A34" s="205">
        <v>1</v>
      </c>
      <c r="B34" s="195" t="s">
        <v>315</v>
      </c>
      <c r="C34" s="205">
        <v>41</v>
      </c>
      <c r="D34" s="195" t="s">
        <v>689</v>
      </c>
      <c r="E34" s="205">
        <v>4101</v>
      </c>
      <c r="F34" s="195" t="s">
        <v>690</v>
      </c>
      <c r="G34" s="205">
        <v>4101025</v>
      </c>
      <c r="H34" s="195" t="s">
        <v>706</v>
      </c>
      <c r="I34" s="205">
        <v>4101025</v>
      </c>
      <c r="J34" s="195" t="s">
        <v>706</v>
      </c>
      <c r="K34" s="205">
        <v>410102511</v>
      </c>
      <c r="L34" s="195" t="s">
        <v>707</v>
      </c>
      <c r="M34" s="205">
        <v>410102511</v>
      </c>
      <c r="N34" s="195" t="s">
        <v>707</v>
      </c>
      <c r="O34" s="205">
        <v>50</v>
      </c>
      <c r="P34" s="205"/>
      <c r="Q34" s="205">
        <f t="shared" si="1"/>
        <v>50</v>
      </c>
      <c r="R34" s="210" t="s">
        <v>693</v>
      </c>
      <c r="S34" s="195" t="s">
        <v>694</v>
      </c>
      <c r="T34" s="483">
        <f>SUM($X$34:$X$36)/SUM($X$26:$X$48)</f>
        <v>0.19230769230769232</v>
      </c>
      <c r="U34" s="195" t="s">
        <v>695</v>
      </c>
      <c r="V34" s="195" t="s">
        <v>708</v>
      </c>
      <c r="W34" s="195" t="s">
        <v>709</v>
      </c>
      <c r="X34" s="484">
        <v>29000000</v>
      </c>
      <c r="Y34" s="484"/>
      <c r="Z34" s="484"/>
      <c r="AA34" s="484"/>
      <c r="AB34" s="484">
        <f t="shared" si="4"/>
        <v>29000000</v>
      </c>
      <c r="AC34" s="205" t="s">
        <v>710</v>
      </c>
      <c r="AD34" s="205"/>
      <c r="AE34" s="205">
        <v>20</v>
      </c>
      <c r="AF34" s="65" t="s">
        <v>132</v>
      </c>
      <c r="AG34" s="485">
        <v>23022</v>
      </c>
      <c r="AH34" s="485">
        <v>20392</v>
      </c>
      <c r="AI34" s="485">
        <v>6024</v>
      </c>
      <c r="AJ34" s="485">
        <v>4684</v>
      </c>
      <c r="AK34" s="485">
        <v>27478</v>
      </c>
      <c r="AL34" s="485">
        <v>5228</v>
      </c>
      <c r="AM34" s="485">
        <v>1963</v>
      </c>
      <c r="AN34" s="485">
        <v>2207</v>
      </c>
      <c r="AO34" s="485">
        <v>96</v>
      </c>
      <c r="AP34" s="485">
        <v>58</v>
      </c>
      <c r="AQ34" s="485">
        <v>0</v>
      </c>
      <c r="AR34" s="485">
        <v>59</v>
      </c>
      <c r="AS34" s="485">
        <v>15466</v>
      </c>
      <c r="AT34" s="485">
        <v>2644</v>
      </c>
      <c r="AU34" s="485">
        <v>43414</v>
      </c>
      <c r="AV34" s="486">
        <f t="shared" si="6"/>
        <v>43414</v>
      </c>
      <c r="AW34" s="487">
        <v>45293</v>
      </c>
      <c r="AX34" s="487">
        <v>45657</v>
      </c>
      <c r="AY34" s="488" t="s">
        <v>648</v>
      </c>
    </row>
    <row r="35" spans="1:51" s="383" customFormat="1" ht="102" x14ac:dyDescent="0.25">
      <c r="A35" s="205">
        <v>1</v>
      </c>
      <c r="B35" s="195" t="s">
        <v>315</v>
      </c>
      <c r="C35" s="205">
        <v>41</v>
      </c>
      <c r="D35" s="195" t="s">
        <v>689</v>
      </c>
      <c r="E35" s="205">
        <v>4101</v>
      </c>
      <c r="F35" s="195" t="s">
        <v>690</v>
      </c>
      <c r="G35" s="205">
        <v>4101025</v>
      </c>
      <c r="H35" s="195" t="s">
        <v>706</v>
      </c>
      <c r="I35" s="205">
        <v>4101025</v>
      </c>
      <c r="J35" s="195" t="s">
        <v>706</v>
      </c>
      <c r="K35" s="205">
        <v>410102511</v>
      </c>
      <c r="L35" s="195" t="s">
        <v>707</v>
      </c>
      <c r="M35" s="205">
        <v>410102511</v>
      </c>
      <c r="N35" s="195" t="s">
        <v>707</v>
      </c>
      <c r="O35" s="205">
        <v>50</v>
      </c>
      <c r="P35" s="205"/>
      <c r="Q35" s="205">
        <f t="shared" si="1"/>
        <v>50</v>
      </c>
      <c r="R35" s="210" t="s">
        <v>693</v>
      </c>
      <c r="S35" s="195" t="s">
        <v>694</v>
      </c>
      <c r="T35" s="483">
        <f>SUM($X$34:$X$36)/SUM($X$26:$X$48)</f>
        <v>0.19230769230769232</v>
      </c>
      <c r="U35" s="195" t="s">
        <v>695</v>
      </c>
      <c r="V35" s="195" t="s">
        <v>708</v>
      </c>
      <c r="W35" s="195" t="s">
        <v>711</v>
      </c>
      <c r="X35" s="484">
        <v>18000000</v>
      </c>
      <c r="Y35" s="484"/>
      <c r="Z35" s="484"/>
      <c r="AA35" s="484"/>
      <c r="AB35" s="484">
        <f t="shared" si="4"/>
        <v>18000000</v>
      </c>
      <c r="AC35" s="205" t="s">
        <v>710</v>
      </c>
      <c r="AD35" s="205"/>
      <c r="AE35" s="205">
        <v>20</v>
      </c>
      <c r="AF35" s="65" t="s">
        <v>132</v>
      </c>
      <c r="AG35" s="485">
        <v>23022</v>
      </c>
      <c r="AH35" s="485">
        <v>20392</v>
      </c>
      <c r="AI35" s="485">
        <v>6024</v>
      </c>
      <c r="AJ35" s="485">
        <v>4684</v>
      </c>
      <c r="AK35" s="485">
        <v>27478</v>
      </c>
      <c r="AL35" s="485">
        <v>5228</v>
      </c>
      <c r="AM35" s="485">
        <v>1963</v>
      </c>
      <c r="AN35" s="485">
        <v>2207</v>
      </c>
      <c r="AO35" s="485">
        <v>96</v>
      </c>
      <c r="AP35" s="485">
        <v>58</v>
      </c>
      <c r="AQ35" s="485">
        <v>0</v>
      </c>
      <c r="AR35" s="485">
        <v>59</v>
      </c>
      <c r="AS35" s="485">
        <v>15466</v>
      </c>
      <c r="AT35" s="485">
        <v>2644</v>
      </c>
      <c r="AU35" s="485">
        <v>43414</v>
      </c>
      <c r="AV35" s="486">
        <f t="shared" si="6"/>
        <v>43414</v>
      </c>
      <c r="AW35" s="487">
        <v>45293</v>
      </c>
      <c r="AX35" s="487">
        <v>45657</v>
      </c>
      <c r="AY35" s="488" t="s">
        <v>648</v>
      </c>
    </row>
    <row r="36" spans="1:51" s="383" customFormat="1" ht="102" x14ac:dyDescent="0.25">
      <c r="A36" s="205">
        <v>1</v>
      </c>
      <c r="B36" s="195" t="s">
        <v>315</v>
      </c>
      <c r="C36" s="205">
        <v>41</v>
      </c>
      <c r="D36" s="195" t="s">
        <v>689</v>
      </c>
      <c r="E36" s="205">
        <v>4101</v>
      </c>
      <c r="F36" s="195" t="s">
        <v>690</v>
      </c>
      <c r="G36" s="205">
        <v>4101025</v>
      </c>
      <c r="H36" s="195" t="s">
        <v>706</v>
      </c>
      <c r="I36" s="205">
        <v>4101025</v>
      </c>
      <c r="J36" s="195" t="s">
        <v>706</v>
      </c>
      <c r="K36" s="205">
        <v>410102511</v>
      </c>
      <c r="L36" s="195" t="s">
        <v>707</v>
      </c>
      <c r="M36" s="205">
        <v>410102511</v>
      </c>
      <c r="N36" s="195" t="s">
        <v>707</v>
      </c>
      <c r="O36" s="205">
        <v>50</v>
      </c>
      <c r="P36" s="205"/>
      <c r="Q36" s="205">
        <f t="shared" si="1"/>
        <v>50</v>
      </c>
      <c r="R36" s="210" t="s">
        <v>693</v>
      </c>
      <c r="S36" s="195" t="s">
        <v>694</v>
      </c>
      <c r="T36" s="483">
        <f>SUM($X$34:$X$36)/SUM($X$26:$X$48)</f>
        <v>0.19230769230769232</v>
      </c>
      <c r="U36" s="195" t="s">
        <v>695</v>
      </c>
      <c r="V36" s="195" t="s">
        <v>708</v>
      </c>
      <c r="W36" s="195" t="s">
        <v>712</v>
      </c>
      <c r="X36" s="484">
        <v>3000000</v>
      </c>
      <c r="Y36" s="484"/>
      <c r="Z36" s="484"/>
      <c r="AA36" s="484"/>
      <c r="AB36" s="484">
        <f t="shared" si="4"/>
        <v>3000000</v>
      </c>
      <c r="AC36" s="205" t="s">
        <v>713</v>
      </c>
      <c r="AD36" s="205"/>
      <c r="AE36" s="205">
        <v>20</v>
      </c>
      <c r="AF36" s="65" t="s">
        <v>132</v>
      </c>
      <c r="AG36" s="485">
        <v>23022</v>
      </c>
      <c r="AH36" s="485">
        <v>20392</v>
      </c>
      <c r="AI36" s="485">
        <v>6024</v>
      </c>
      <c r="AJ36" s="485">
        <v>4684</v>
      </c>
      <c r="AK36" s="485">
        <v>27478</v>
      </c>
      <c r="AL36" s="485">
        <v>5228</v>
      </c>
      <c r="AM36" s="485">
        <v>1963</v>
      </c>
      <c r="AN36" s="485">
        <v>2207</v>
      </c>
      <c r="AO36" s="485">
        <v>96</v>
      </c>
      <c r="AP36" s="485">
        <v>58</v>
      </c>
      <c r="AQ36" s="485">
        <v>0</v>
      </c>
      <c r="AR36" s="485">
        <v>59</v>
      </c>
      <c r="AS36" s="485">
        <v>15466</v>
      </c>
      <c r="AT36" s="485">
        <v>2644</v>
      </c>
      <c r="AU36" s="485">
        <v>43414</v>
      </c>
      <c r="AV36" s="486">
        <f t="shared" si="6"/>
        <v>43414</v>
      </c>
      <c r="AW36" s="487">
        <v>45293</v>
      </c>
      <c r="AX36" s="487">
        <v>45657</v>
      </c>
      <c r="AY36" s="488" t="s">
        <v>648</v>
      </c>
    </row>
    <row r="37" spans="1:51" s="383" customFormat="1" ht="102" x14ac:dyDescent="0.25">
      <c r="A37" s="205">
        <v>1</v>
      </c>
      <c r="B37" s="195" t="s">
        <v>315</v>
      </c>
      <c r="C37" s="205">
        <v>41</v>
      </c>
      <c r="D37" s="195" t="s">
        <v>689</v>
      </c>
      <c r="E37" s="205">
        <v>4101</v>
      </c>
      <c r="F37" s="195" t="s">
        <v>690</v>
      </c>
      <c r="G37" s="205">
        <v>4101038</v>
      </c>
      <c r="H37" s="195" t="s">
        <v>714</v>
      </c>
      <c r="I37" s="205">
        <v>4101038</v>
      </c>
      <c r="J37" s="195" t="s">
        <v>714</v>
      </c>
      <c r="K37" s="205">
        <v>410103800</v>
      </c>
      <c r="L37" s="195" t="s">
        <v>715</v>
      </c>
      <c r="M37" s="205">
        <v>410103800</v>
      </c>
      <c r="N37" s="195" t="s">
        <v>715</v>
      </c>
      <c r="O37" s="205">
        <v>12</v>
      </c>
      <c r="P37" s="205"/>
      <c r="Q37" s="205">
        <f t="shared" si="1"/>
        <v>12</v>
      </c>
      <c r="R37" s="210" t="s">
        <v>693</v>
      </c>
      <c r="S37" s="195" t="s">
        <v>694</v>
      </c>
      <c r="T37" s="483">
        <f>SUM($X$37:$X$43)/SUM($X$26:$X$48)</f>
        <v>0.19230769230769232</v>
      </c>
      <c r="U37" s="195" t="s">
        <v>695</v>
      </c>
      <c r="V37" s="195" t="s">
        <v>716</v>
      </c>
      <c r="W37" s="195" t="s">
        <v>717</v>
      </c>
      <c r="X37" s="484">
        <v>7000000</v>
      </c>
      <c r="Y37" s="484"/>
      <c r="Z37" s="484"/>
      <c r="AA37" s="484"/>
      <c r="AB37" s="484">
        <f t="shared" si="4"/>
        <v>7000000</v>
      </c>
      <c r="AC37" s="205" t="s">
        <v>718</v>
      </c>
      <c r="AD37" s="205"/>
      <c r="AE37" s="205">
        <v>20</v>
      </c>
      <c r="AF37" s="65" t="s">
        <v>132</v>
      </c>
      <c r="AG37" s="485">
        <v>23022</v>
      </c>
      <c r="AH37" s="485">
        <v>20392</v>
      </c>
      <c r="AI37" s="485">
        <v>6024</v>
      </c>
      <c r="AJ37" s="485">
        <v>4684</v>
      </c>
      <c r="AK37" s="485">
        <v>27478</v>
      </c>
      <c r="AL37" s="485">
        <v>5228</v>
      </c>
      <c r="AM37" s="485">
        <v>1963</v>
      </c>
      <c r="AN37" s="485">
        <v>2207</v>
      </c>
      <c r="AO37" s="485">
        <v>96</v>
      </c>
      <c r="AP37" s="485">
        <v>58</v>
      </c>
      <c r="AQ37" s="485">
        <v>0</v>
      </c>
      <c r="AR37" s="485">
        <v>59</v>
      </c>
      <c r="AS37" s="485">
        <v>15466</v>
      </c>
      <c r="AT37" s="485">
        <v>2644</v>
      </c>
      <c r="AU37" s="485">
        <v>43414</v>
      </c>
      <c r="AV37" s="486">
        <f t="shared" si="6"/>
        <v>43414</v>
      </c>
      <c r="AW37" s="487">
        <v>45293</v>
      </c>
      <c r="AX37" s="487">
        <v>45657</v>
      </c>
      <c r="AY37" s="488" t="s">
        <v>648</v>
      </c>
    </row>
    <row r="38" spans="1:51" s="383" customFormat="1" ht="102" x14ac:dyDescent="0.25">
      <c r="A38" s="205">
        <v>1</v>
      </c>
      <c r="B38" s="195" t="s">
        <v>315</v>
      </c>
      <c r="C38" s="205">
        <v>41</v>
      </c>
      <c r="D38" s="195" t="s">
        <v>689</v>
      </c>
      <c r="E38" s="205">
        <v>4101</v>
      </c>
      <c r="F38" s="195" t="s">
        <v>690</v>
      </c>
      <c r="G38" s="205">
        <v>4101038</v>
      </c>
      <c r="H38" s="195" t="s">
        <v>714</v>
      </c>
      <c r="I38" s="205">
        <v>4101038</v>
      </c>
      <c r="J38" s="195" t="s">
        <v>714</v>
      </c>
      <c r="K38" s="205">
        <v>410103800</v>
      </c>
      <c r="L38" s="195" t="s">
        <v>715</v>
      </c>
      <c r="M38" s="205">
        <v>410103800</v>
      </c>
      <c r="N38" s="195" t="s">
        <v>715</v>
      </c>
      <c r="O38" s="205">
        <v>12</v>
      </c>
      <c r="P38" s="205"/>
      <c r="Q38" s="205">
        <f t="shared" si="1"/>
        <v>12</v>
      </c>
      <c r="R38" s="210" t="s">
        <v>693</v>
      </c>
      <c r="S38" s="195" t="s">
        <v>694</v>
      </c>
      <c r="T38" s="483">
        <f t="shared" ref="T38:T43" si="8">SUM($X$37:$X$43)/SUM($X$26:$X$48)</f>
        <v>0.19230769230769232</v>
      </c>
      <c r="U38" s="195" t="s">
        <v>695</v>
      </c>
      <c r="V38" s="195" t="s">
        <v>716</v>
      </c>
      <c r="W38" s="195" t="s">
        <v>719</v>
      </c>
      <c r="X38" s="484">
        <v>23000000</v>
      </c>
      <c r="Y38" s="484"/>
      <c r="Z38" s="484"/>
      <c r="AA38" s="484"/>
      <c r="AB38" s="484">
        <f t="shared" si="4"/>
        <v>23000000</v>
      </c>
      <c r="AC38" s="205" t="s">
        <v>718</v>
      </c>
      <c r="AD38" s="205"/>
      <c r="AE38" s="205">
        <v>20</v>
      </c>
      <c r="AF38" s="65" t="s">
        <v>132</v>
      </c>
      <c r="AG38" s="485">
        <v>23022</v>
      </c>
      <c r="AH38" s="485">
        <v>20392</v>
      </c>
      <c r="AI38" s="485">
        <v>6024</v>
      </c>
      <c r="AJ38" s="485">
        <v>4684</v>
      </c>
      <c r="AK38" s="485">
        <v>27478</v>
      </c>
      <c r="AL38" s="485">
        <v>5228</v>
      </c>
      <c r="AM38" s="485">
        <v>1963</v>
      </c>
      <c r="AN38" s="485">
        <v>2207</v>
      </c>
      <c r="AO38" s="485">
        <v>96</v>
      </c>
      <c r="AP38" s="485">
        <v>58</v>
      </c>
      <c r="AQ38" s="485">
        <v>0</v>
      </c>
      <c r="AR38" s="485">
        <v>59</v>
      </c>
      <c r="AS38" s="485">
        <v>15466</v>
      </c>
      <c r="AT38" s="485">
        <v>2644</v>
      </c>
      <c r="AU38" s="485">
        <v>43414</v>
      </c>
      <c r="AV38" s="486">
        <f t="shared" si="6"/>
        <v>43414</v>
      </c>
      <c r="AW38" s="487">
        <v>45293</v>
      </c>
      <c r="AX38" s="487">
        <v>45657</v>
      </c>
      <c r="AY38" s="488" t="s">
        <v>648</v>
      </c>
    </row>
    <row r="39" spans="1:51" s="383" customFormat="1" ht="102" x14ac:dyDescent="0.25">
      <c r="A39" s="205">
        <v>1</v>
      </c>
      <c r="B39" s="195" t="s">
        <v>315</v>
      </c>
      <c r="C39" s="205">
        <v>41</v>
      </c>
      <c r="D39" s="195" t="s">
        <v>689</v>
      </c>
      <c r="E39" s="205">
        <v>4101</v>
      </c>
      <c r="F39" s="195" t="s">
        <v>690</v>
      </c>
      <c r="G39" s="205">
        <v>4101038</v>
      </c>
      <c r="H39" s="195" t="s">
        <v>714</v>
      </c>
      <c r="I39" s="205">
        <v>4101038</v>
      </c>
      <c r="J39" s="195" t="s">
        <v>714</v>
      </c>
      <c r="K39" s="205">
        <v>410103800</v>
      </c>
      <c r="L39" s="195" t="s">
        <v>715</v>
      </c>
      <c r="M39" s="205">
        <v>410103800</v>
      </c>
      <c r="N39" s="195" t="s">
        <v>715</v>
      </c>
      <c r="O39" s="205">
        <v>12</v>
      </c>
      <c r="P39" s="205"/>
      <c r="Q39" s="205">
        <f t="shared" si="1"/>
        <v>12</v>
      </c>
      <c r="R39" s="210" t="s">
        <v>693</v>
      </c>
      <c r="S39" s="195" t="s">
        <v>694</v>
      </c>
      <c r="T39" s="483">
        <f t="shared" si="8"/>
        <v>0.19230769230769232</v>
      </c>
      <c r="U39" s="195" t="s">
        <v>695</v>
      </c>
      <c r="V39" s="195" t="s">
        <v>716</v>
      </c>
      <c r="W39" s="195" t="s">
        <v>720</v>
      </c>
      <c r="X39" s="484">
        <v>1000000</v>
      </c>
      <c r="Y39" s="484"/>
      <c r="Z39" s="484"/>
      <c r="AA39" s="484"/>
      <c r="AB39" s="484">
        <f t="shared" si="4"/>
        <v>1000000</v>
      </c>
      <c r="AC39" s="205" t="s">
        <v>721</v>
      </c>
      <c r="AD39" s="205"/>
      <c r="AE39" s="205">
        <v>20</v>
      </c>
      <c r="AF39" s="65" t="s">
        <v>132</v>
      </c>
      <c r="AG39" s="485">
        <v>23022</v>
      </c>
      <c r="AH39" s="485">
        <v>20392</v>
      </c>
      <c r="AI39" s="485">
        <v>6024</v>
      </c>
      <c r="AJ39" s="485">
        <v>4684</v>
      </c>
      <c r="AK39" s="485">
        <v>27478</v>
      </c>
      <c r="AL39" s="485">
        <v>5228</v>
      </c>
      <c r="AM39" s="485">
        <v>1963</v>
      </c>
      <c r="AN39" s="485">
        <v>2207</v>
      </c>
      <c r="AO39" s="485">
        <v>96</v>
      </c>
      <c r="AP39" s="485">
        <v>58</v>
      </c>
      <c r="AQ39" s="485">
        <v>0</v>
      </c>
      <c r="AR39" s="485">
        <v>59</v>
      </c>
      <c r="AS39" s="485">
        <v>15466</v>
      </c>
      <c r="AT39" s="485">
        <v>2644</v>
      </c>
      <c r="AU39" s="485">
        <v>43414</v>
      </c>
      <c r="AV39" s="486">
        <f t="shared" si="6"/>
        <v>43414</v>
      </c>
      <c r="AW39" s="487">
        <v>45293</v>
      </c>
      <c r="AX39" s="487">
        <v>45657</v>
      </c>
      <c r="AY39" s="488" t="s">
        <v>648</v>
      </c>
    </row>
    <row r="40" spans="1:51" s="383" customFormat="1" ht="102" x14ac:dyDescent="0.25">
      <c r="A40" s="205">
        <v>1</v>
      </c>
      <c r="B40" s="195" t="s">
        <v>315</v>
      </c>
      <c r="C40" s="205">
        <v>41</v>
      </c>
      <c r="D40" s="195" t="s">
        <v>689</v>
      </c>
      <c r="E40" s="205">
        <v>4101</v>
      </c>
      <c r="F40" s="195" t="s">
        <v>690</v>
      </c>
      <c r="G40" s="205">
        <v>4101038</v>
      </c>
      <c r="H40" s="195" t="s">
        <v>714</v>
      </c>
      <c r="I40" s="205">
        <v>4101038</v>
      </c>
      <c r="J40" s="195" t="s">
        <v>714</v>
      </c>
      <c r="K40" s="205">
        <v>410103800</v>
      </c>
      <c r="L40" s="195" t="s">
        <v>715</v>
      </c>
      <c r="M40" s="205">
        <v>410103800</v>
      </c>
      <c r="N40" s="195" t="s">
        <v>715</v>
      </c>
      <c r="O40" s="205">
        <v>12</v>
      </c>
      <c r="P40" s="205"/>
      <c r="Q40" s="205">
        <f t="shared" si="1"/>
        <v>12</v>
      </c>
      <c r="R40" s="210" t="s">
        <v>693</v>
      </c>
      <c r="S40" s="195" t="s">
        <v>694</v>
      </c>
      <c r="T40" s="483">
        <f t="shared" si="8"/>
        <v>0.19230769230769232</v>
      </c>
      <c r="U40" s="195" t="s">
        <v>695</v>
      </c>
      <c r="V40" s="195" t="s">
        <v>716</v>
      </c>
      <c r="W40" s="195" t="s">
        <v>722</v>
      </c>
      <c r="X40" s="484">
        <v>9000000</v>
      </c>
      <c r="Y40" s="484"/>
      <c r="Z40" s="484"/>
      <c r="AA40" s="484"/>
      <c r="AB40" s="484">
        <f t="shared" si="4"/>
        <v>9000000</v>
      </c>
      <c r="AC40" s="205" t="s">
        <v>718</v>
      </c>
      <c r="AD40" s="205"/>
      <c r="AE40" s="205">
        <v>20</v>
      </c>
      <c r="AF40" s="65" t="s">
        <v>132</v>
      </c>
      <c r="AG40" s="485">
        <v>23022</v>
      </c>
      <c r="AH40" s="485">
        <v>20392</v>
      </c>
      <c r="AI40" s="485">
        <v>6024</v>
      </c>
      <c r="AJ40" s="485">
        <v>4684</v>
      </c>
      <c r="AK40" s="485">
        <v>27478</v>
      </c>
      <c r="AL40" s="485">
        <v>5228</v>
      </c>
      <c r="AM40" s="485">
        <v>1963</v>
      </c>
      <c r="AN40" s="485">
        <v>2207</v>
      </c>
      <c r="AO40" s="485">
        <v>96</v>
      </c>
      <c r="AP40" s="485">
        <v>58</v>
      </c>
      <c r="AQ40" s="485">
        <v>0</v>
      </c>
      <c r="AR40" s="485">
        <v>59</v>
      </c>
      <c r="AS40" s="485">
        <v>15466</v>
      </c>
      <c r="AT40" s="485">
        <v>2644</v>
      </c>
      <c r="AU40" s="485">
        <v>43414</v>
      </c>
      <c r="AV40" s="486">
        <f t="shared" si="6"/>
        <v>43414</v>
      </c>
      <c r="AW40" s="487">
        <v>45293</v>
      </c>
      <c r="AX40" s="487">
        <v>45657</v>
      </c>
      <c r="AY40" s="488" t="s">
        <v>648</v>
      </c>
    </row>
    <row r="41" spans="1:51" s="383" customFormat="1" ht="102" x14ac:dyDescent="0.25">
      <c r="A41" s="205">
        <v>1</v>
      </c>
      <c r="B41" s="195" t="s">
        <v>315</v>
      </c>
      <c r="C41" s="205">
        <v>41</v>
      </c>
      <c r="D41" s="195" t="s">
        <v>689</v>
      </c>
      <c r="E41" s="205">
        <v>4101</v>
      </c>
      <c r="F41" s="195" t="s">
        <v>690</v>
      </c>
      <c r="G41" s="205">
        <v>4101038</v>
      </c>
      <c r="H41" s="195" t="s">
        <v>714</v>
      </c>
      <c r="I41" s="205">
        <v>4101038</v>
      </c>
      <c r="J41" s="195" t="s">
        <v>714</v>
      </c>
      <c r="K41" s="205">
        <v>410103800</v>
      </c>
      <c r="L41" s="195" t="s">
        <v>715</v>
      </c>
      <c r="M41" s="205">
        <v>410103800</v>
      </c>
      <c r="N41" s="195" t="s">
        <v>715</v>
      </c>
      <c r="O41" s="205">
        <v>12</v>
      </c>
      <c r="P41" s="205"/>
      <c r="Q41" s="205">
        <f t="shared" si="1"/>
        <v>12</v>
      </c>
      <c r="R41" s="210" t="s">
        <v>693</v>
      </c>
      <c r="S41" s="195" t="s">
        <v>694</v>
      </c>
      <c r="T41" s="483">
        <f t="shared" si="8"/>
        <v>0.19230769230769232</v>
      </c>
      <c r="U41" s="195" t="s">
        <v>695</v>
      </c>
      <c r="V41" s="195" t="s">
        <v>716</v>
      </c>
      <c r="W41" s="195" t="s">
        <v>712</v>
      </c>
      <c r="X41" s="484">
        <v>1000000</v>
      </c>
      <c r="Y41" s="484"/>
      <c r="Z41" s="484"/>
      <c r="AA41" s="484"/>
      <c r="AB41" s="484">
        <f t="shared" si="4"/>
        <v>1000000</v>
      </c>
      <c r="AC41" s="205" t="s">
        <v>723</v>
      </c>
      <c r="AD41" s="205"/>
      <c r="AE41" s="205">
        <v>20</v>
      </c>
      <c r="AF41" s="65" t="s">
        <v>132</v>
      </c>
      <c r="AG41" s="485">
        <v>23022</v>
      </c>
      <c r="AH41" s="485">
        <v>20392</v>
      </c>
      <c r="AI41" s="485">
        <v>6024</v>
      </c>
      <c r="AJ41" s="485">
        <v>4684</v>
      </c>
      <c r="AK41" s="485">
        <v>27478</v>
      </c>
      <c r="AL41" s="485">
        <v>5228</v>
      </c>
      <c r="AM41" s="485">
        <v>1963</v>
      </c>
      <c r="AN41" s="485">
        <v>2207</v>
      </c>
      <c r="AO41" s="485">
        <v>96</v>
      </c>
      <c r="AP41" s="485">
        <v>58</v>
      </c>
      <c r="AQ41" s="485">
        <v>0</v>
      </c>
      <c r="AR41" s="485">
        <v>59</v>
      </c>
      <c r="AS41" s="485">
        <v>15466</v>
      </c>
      <c r="AT41" s="485">
        <v>2644</v>
      </c>
      <c r="AU41" s="485">
        <v>43414</v>
      </c>
      <c r="AV41" s="486">
        <f t="shared" si="6"/>
        <v>43414</v>
      </c>
      <c r="AW41" s="487">
        <v>45293</v>
      </c>
      <c r="AX41" s="487">
        <v>45657</v>
      </c>
      <c r="AY41" s="488" t="s">
        <v>648</v>
      </c>
    </row>
    <row r="42" spans="1:51" s="383" customFormat="1" ht="102" x14ac:dyDescent="0.25">
      <c r="A42" s="205">
        <v>1</v>
      </c>
      <c r="B42" s="195" t="s">
        <v>315</v>
      </c>
      <c r="C42" s="205">
        <v>41</v>
      </c>
      <c r="D42" s="195" t="s">
        <v>689</v>
      </c>
      <c r="E42" s="205">
        <v>4101</v>
      </c>
      <c r="F42" s="195" t="s">
        <v>690</v>
      </c>
      <c r="G42" s="205">
        <v>4101038</v>
      </c>
      <c r="H42" s="195" t="s">
        <v>714</v>
      </c>
      <c r="I42" s="205">
        <v>4101038</v>
      </c>
      <c r="J42" s="195" t="s">
        <v>714</v>
      </c>
      <c r="K42" s="205">
        <v>410103800</v>
      </c>
      <c r="L42" s="195" t="s">
        <v>715</v>
      </c>
      <c r="M42" s="205">
        <v>410103800</v>
      </c>
      <c r="N42" s="195" t="s">
        <v>715</v>
      </c>
      <c r="O42" s="205">
        <v>12</v>
      </c>
      <c r="P42" s="205"/>
      <c r="Q42" s="205">
        <f t="shared" si="1"/>
        <v>12</v>
      </c>
      <c r="R42" s="210" t="s">
        <v>693</v>
      </c>
      <c r="S42" s="195" t="s">
        <v>694</v>
      </c>
      <c r="T42" s="483">
        <f t="shared" si="8"/>
        <v>0.19230769230769232</v>
      </c>
      <c r="U42" s="195" t="s">
        <v>695</v>
      </c>
      <c r="V42" s="195" t="s">
        <v>716</v>
      </c>
      <c r="W42" s="195" t="s">
        <v>724</v>
      </c>
      <c r="X42" s="484">
        <v>6000000</v>
      </c>
      <c r="Y42" s="484"/>
      <c r="Z42" s="484"/>
      <c r="AA42" s="484"/>
      <c r="AB42" s="484">
        <f t="shared" si="4"/>
        <v>6000000</v>
      </c>
      <c r="AC42" s="205" t="s">
        <v>718</v>
      </c>
      <c r="AD42" s="205"/>
      <c r="AE42" s="205">
        <v>20</v>
      </c>
      <c r="AF42" s="65" t="s">
        <v>132</v>
      </c>
      <c r="AG42" s="485">
        <v>23022</v>
      </c>
      <c r="AH42" s="485">
        <v>20392</v>
      </c>
      <c r="AI42" s="485">
        <v>6024</v>
      </c>
      <c r="AJ42" s="485">
        <v>4684</v>
      </c>
      <c r="AK42" s="485">
        <v>27478</v>
      </c>
      <c r="AL42" s="485">
        <v>5228</v>
      </c>
      <c r="AM42" s="485">
        <v>1963</v>
      </c>
      <c r="AN42" s="485">
        <v>2207</v>
      </c>
      <c r="AO42" s="485">
        <v>96</v>
      </c>
      <c r="AP42" s="485">
        <v>58</v>
      </c>
      <c r="AQ42" s="485">
        <v>0</v>
      </c>
      <c r="AR42" s="485">
        <v>59</v>
      </c>
      <c r="AS42" s="485">
        <v>15466</v>
      </c>
      <c r="AT42" s="485">
        <v>2644</v>
      </c>
      <c r="AU42" s="485">
        <v>43414</v>
      </c>
      <c r="AV42" s="486">
        <f t="shared" si="6"/>
        <v>43414</v>
      </c>
      <c r="AW42" s="487">
        <v>45293</v>
      </c>
      <c r="AX42" s="487">
        <v>45657</v>
      </c>
      <c r="AY42" s="488" t="s">
        <v>648</v>
      </c>
    </row>
    <row r="43" spans="1:51" s="383" customFormat="1" ht="102" x14ac:dyDescent="0.25">
      <c r="A43" s="205">
        <v>1</v>
      </c>
      <c r="B43" s="195" t="s">
        <v>315</v>
      </c>
      <c r="C43" s="205">
        <v>41</v>
      </c>
      <c r="D43" s="195" t="s">
        <v>689</v>
      </c>
      <c r="E43" s="205">
        <v>4101</v>
      </c>
      <c r="F43" s="195" t="s">
        <v>690</v>
      </c>
      <c r="G43" s="205">
        <v>4101038</v>
      </c>
      <c r="H43" s="195" t="s">
        <v>714</v>
      </c>
      <c r="I43" s="205">
        <v>4101038</v>
      </c>
      <c r="J43" s="195" t="s">
        <v>714</v>
      </c>
      <c r="K43" s="205">
        <v>410103800</v>
      </c>
      <c r="L43" s="195" t="s">
        <v>715</v>
      </c>
      <c r="M43" s="205">
        <v>410103800</v>
      </c>
      <c r="N43" s="195" t="s">
        <v>715</v>
      </c>
      <c r="O43" s="205">
        <v>12</v>
      </c>
      <c r="P43" s="205"/>
      <c r="Q43" s="205">
        <f t="shared" si="1"/>
        <v>12</v>
      </c>
      <c r="R43" s="210" t="s">
        <v>693</v>
      </c>
      <c r="S43" s="195" t="s">
        <v>694</v>
      </c>
      <c r="T43" s="483">
        <f t="shared" si="8"/>
        <v>0.19230769230769232</v>
      </c>
      <c r="U43" s="195" t="s">
        <v>695</v>
      </c>
      <c r="V43" s="195" t="s">
        <v>716</v>
      </c>
      <c r="W43" s="195" t="s">
        <v>725</v>
      </c>
      <c r="X43" s="484">
        <v>3000000</v>
      </c>
      <c r="Y43" s="484"/>
      <c r="Z43" s="484"/>
      <c r="AA43" s="484"/>
      <c r="AB43" s="484">
        <f t="shared" si="4"/>
        <v>3000000</v>
      </c>
      <c r="AC43" s="205" t="s">
        <v>718</v>
      </c>
      <c r="AD43" s="205"/>
      <c r="AE43" s="205">
        <v>20</v>
      </c>
      <c r="AF43" s="65" t="s">
        <v>132</v>
      </c>
      <c r="AG43" s="485">
        <v>23022</v>
      </c>
      <c r="AH43" s="485">
        <v>20392</v>
      </c>
      <c r="AI43" s="485">
        <v>6024</v>
      </c>
      <c r="AJ43" s="485">
        <v>4684</v>
      </c>
      <c r="AK43" s="485">
        <v>27478</v>
      </c>
      <c r="AL43" s="485">
        <v>5228</v>
      </c>
      <c r="AM43" s="485">
        <v>1963</v>
      </c>
      <c r="AN43" s="485">
        <v>2207</v>
      </c>
      <c r="AO43" s="485">
        <v>96</v>
      </c>
      <c r="AP43" s="485">
        <v>58</v>
      </c>
      <c r="AQ43" s="485">
        <v>0</v>
      </c>
      <c r="AR43" s="485">
        <v>59</v>
      </c>
      <c r="AS43" s="485">
        <v>15466</v>
      </c>
      <c r="AT43" s="485">
        <v>2644</v>
      </c>
      <c r="AU43" s="485">
        <v>43414</v>
      </c>
      <c r="AV43" s="486">
        <f t="shared" si="6"/>
        <v>43414</v>
      </c>
      <c r="AW43" s="487">
        <v>45293</v>
      </c>
      <c r="AX43" s="487">
        <v>45657</v>
      </c>
      <c r="AY43" s="488" t="s">
        <v>648</v>
      </c>
    </row>
    <row r="44" spans="1:51" s="383" customFormat="1" ht="102" x14ac:dyDescent="0.25">
      <c r="A44" s="205">
        <v>1</v>
      </c>
      <c r="B44" s="195" t="s">
        <v>315</v>
      </c>
      <c r="C44" s="205">
        <v>41</v>
      </c>
      <c r="D44" s="195" t="s">
        <v>689</v>
      </c>
      <c r="E44" s="205">
        <v>4101</v>
      </c>
      <c r="F44" s="195" t="s">
        <v>690</v>
      </c>
      <c r="G44" s="205">
        <v>4101073</v>
      </c>
      <c r="H44" s="195" t="s">
        <v>726</v>
      </c>
      <c r="I44" s="205">
        <v>4101073</v>
      </c>
      <c r="J44" s="195" t="s">
        <v>726</v>
      </c>
      <c r="K44" s="205">
        <v>410107300</v>
      </c>
      <c r="L44" s="195" t="s">
        <v>727</v>
      </c>
      <c r="M44" s="205">
        <v>410107300</v>
      </c>
      <c r="N44" s="195" t="s">
        <v>727</v>
      </c>
      <c r="O44" s="205">
        <v>75</v>
      </c>
      <c r="P44" s="205"/>
      <c r="Q44" s="205">
        <f t="shared" si="1"/>
        <v>75</v>
      </c>
      <c r="R44" s="210" t="s">
        <v>693</v>
      </c>
      <c r="S44" s="195" t="s">
        <v>694</v>
      </c>
      <c r="T44" s="483">
        <f>SUM($X$44:$X$44)/SUM($X$26:$X$48)</f>
        <v>0.19230769230769232</v>
      </c>
      <c r="U44" s="195" t="s">
        <v>695</v>
      </c>
      <c r="V44" s="195" t="s">
        <v>728</v>
      </c>
      <c r="W44" s="195" t="s">
        <v>729</v>
      </c>
      <c r="X44" s="484">
        <v>50000000</v>
      </c>
      <c r="Y44" s="484"/>
      <c r="Z44" s="484"/>
      <c r="AA44" s="484"/>
      <c r="AB44" s="484">
        <f t="shared" si="4"/>
        <v>50000000</v>
      </c>
      <c r="AC44" s="205" t="s">
        <v>730</v>
      </c>
      <c r="AD44" s="205"/>
      <c r="AE44" s="205">
        <v>20</v>
      </c>
      <c r="AF44" s="65" t="s">
        <v>132</v>
      </c>
      <c r="AG44" s="485">
        <v>23022</v>
      </c>
      <c r="AH44" s="485">
        <v>20392</v>
      </c>
      <c r="AI44" s="485">
        <v>6024</v>
      </c>
      <c r="AJ44" s="485">
        <v>4684</v>
      </c>
      <c r="AK44" s="485">
        <v>27478</v>
      </c>
      <c r="AL44" s="485">
        <v>5228</v>
      </c>
      <c r="AM44" s="485">
        <v>1963</v>
      </c>
      <c r="AN44" s="485">
        <v>2207</v>
      </c>
      <c r="AO44" s="485">
        <v>96</v>
      </c>
      <c r="AP44" s="485">
        <v>58</v>
      </c>
      <c r="AQ44" s="485">
        <v>0</v>
      </c>
      <c r="AR44" s="485">
        <v>59</v>
      </c>
      <c r="AS44" s="485">
        <v>15466</v>
      </c>
      <c r="AT44" s="485">
        <v>2644</v>
      </c>
      <c r="AU44" s="485">
        <v>43414</v>
      </c>
      <c r="AV44" s="486">
        <f t="shared" si="6"/>
        <v>43414</v>
      </c>
      <c r="AW44" s="487">
        <v>45293</v>
      </c>
      <c r="AX44" s="487">
        <v>45657</v>
      </c>
      <c r="AY44" s="488" t="s">
        <v>648</v>
      </c>
    </row>
    <row r="45" spans="1:51" s="383" customFormat="1" ht="102" x14ac:dyDescent="0.25">
      <c r="A45" s="205">
        <v>1</v>
      </c>
      <c r="B45" s="195" t="s">
        <v>315</v>
      </c>
      <c r="C45" s="205">
        <v>41</v>
      </c>
      <c r="D45" s="195" t="s">
        <v>689</v>
      </c>
      <c r="E45" s="205">
        <v>4101</v>
      </c>
      <c r="F45" s="195" t="s">
        <v>690</v>
      </c>
      <c r="G45" s="205">
        <v>4101011</v>
      </c>
      <c r="H45" s="195" t="s">
        <v>731</v>
      </c>
      <c r="I45" s="205">
        <v>4101011</v>
      </c>
      <c r="J45" s="195" t="s">
        <v>731</v>
      </c>
      <c r="K45" s="205">
        <v>410101100</v>
      </c>
      <c r="L45" s="195" t="s">
        <v>732</v>
      </c>
      <c r="M45" s="205">
        <v>410101100</v>
      </c>
      <c r="N45" s="195" t="s">
        <v>732</v>
      </c>
      <c r="O45" s="205">
        <v>3</v>
      </c>
      <c r="P45" s="205"/>
      <c r="Q45" s="205">
        <f t="shared" si="1"/>
        <v>3</v>
      </c>
      <c r="R45" s="210" t="s">
        <v>693</v>
      </c>
      <c r="S45" s="195" t="s">
        <v>694</v>
      </c>
      <c r="T45" s="483">
        <f>SUM($X$45:$X$48)/SUM($X$26:$X$48)</f>
        <v>7.6923076923076927E-2</v>
      </c>
      <c r="U45" s="195" t="s">
        <v>695</v>
      </c>
      <c r="V45" s="195" t="s">
        <v>733</v>
      </c>
      <c r="W45" s="195" t="s">
        <v>734</v>
      </c>
      <c r="X45" s="484">
        <v>6000000</v>
      </c>
      <c r="Y45" s="484">
        <f>3000000</f>
        <v>3000000</v>
      </c>
      <c r="Z45" s="484"/>
      <c r="AA45" s="484"/>
      <c r="AB45" s="484">
        <f t="shared" si="4"/>
        <v>3000000</v>
      </c>
      <c r="AC45" s="205" t="s">
        <v>735</v>
      </c>
      <c r="AD45" s="205"/>
      <c r="AE45" s="205">
        <v>20</v>
      </c>
      <c r="AF45" s="65" t="s">
        <v>132</v>
      </c>
      <c r="AG45" s="485">
        <v>23022</v>
      </c>
      <c r="AH45" s="485">
        <v>20392</v>
      </c>
      <c r="AI45" s="485">
        <v>6024</v>
      </c>
      <c r="AJ45" s="485">
        <v>4684</v>
      </c>
      <c r="AK45" s="485">
        <v>27478</v>
      </c>
      <c r="AL45" s="485">
        <v>5228</v>
      </c>
      <c r="AM45" s="485">
        <v>1963</v>
      </c>
      <c r="AN45" s="485">
        <v>2207</v>
      </c>
      <c r="AO45" s="485">
        <v>96</v>
      </c>
      <c r="AP45" s="485">
        <v>58</v>
      </c>
      <c r="AQ45" s="485">
        <v>0</v>
      </c>
      <c r="AR45" s="485">
        <v>59</v>
      </c>
      <c r="AS45" s="485">
        <v>15466</v>
      </c>
      <c r="AT45" s="485">
        <v>2644</v>
      </c>
      <c r="AU45" s="485">
        <v>43414</v>
      </c>
      <c r="AV45" s="486">
        <f t="shared" si="6"/>
        <v>43414</v>
      </c>
      <c r="AW45" s="487">
        <v>45293</v>
      </c>
      <c r="AX45" s="487">
        <v>45657</v>
      </c>
      <c r="AY45" s="488" t="s">
        <v>648</v>
      </c>
    </row>
    <row r="46" spans="1:51" s="383" customFormat="1" ht="102" x14ac:dyDescent="0.25">
      <c r="A46" s="205">
        <v>1</v>
      </c>
      <c r="B46" s="195" t="s">
        <v>315</v>
      </c>
      <c r="C46" s="205">
        <v>41</v>
      </c>
      <c r="D46" s="195" t="s">
        <v>689</v>
      </c>
      <c r="E46" s="205">
        <v>4101</v>
      </c>
      <c r="F46" s="195" t="s">
        <v>690</v>
      </c>
      <c r="G46" s="205">
        <v>4101011</v>
      </c>
      <c r="H46" s="195" t="s">
        <v>731</v>
      </c>
      <c r="I46" s="205">
        <v>4101011</v>
      </c>
      <c r="J46" s="195" t="s">
        <v>731</v>
      </c>
      <c r="K46" s="205">
        <v>410101100</v>
      </c>
      <c r="L46" s="195" t="s">
        <v>732</v>
      </c>
      <c r="M46" s="205">
        <v>410101100</v>
      </c>
      <c r="N46" s="195" t="s">
        <v>732</v>
      </c>
      <c r="O46" s="205">
        <v>3</v>
      </c>
      <c r="P46" s="205"/>
      <c r="Q46" s="205">
        <f t="shared" si="1"/>
        <v>3</v>
      </c>
      <c r="R46" s="210" t="s">
        <v>693</v>
      </c>
      <c r="S46" s="195" t="s">
        <v>694</v>
      </c>
      <c r="T46" s="483">
        <f>SUM($X$45:$X$48)/SUM($X$26:$X$48)</f>
        <v>7.6923076923076927E-2</v>
      </c>
      <c r="U46" s="195" t="s">
        <v>695</v>
      </c>
      <c r="V46" s="195" t="s">
        <v>733</v>
      </c>
      <c r="W46" s="195" t="s">
        <v>712</v>
      </c>
      <c r="X46" s="484">
        <v>5000000</v>
      </c>
      <c r="Y46" s="484"/>
      <c r="Z46" s="484"/>
      <c r="AA46" s="484"/>
      <c r="AB46" s="484">
        <f t="shared" si="4"/>
        <v>5000000</v>
      </c>
      <c r="AC46" s="205" t="s">
        <v>736</v>
      </c>
      <c r="AD46" s="205"/>
      <c r="AE46" s="205">
        <v>20</v>
      </c>
      <c r="AF46" s="65" t="s">
        <v>132</v>
      </c>
      <c r="AG46" s="485">
        <v>23022</v>
      </c>
      <c r="AH46" s="485">
        <v>20392</v>
      </c>
      <c r="AI46" s="485">
        <v>6024</v>
      </c>
      <c r="AJ46" s="485">
        <v>4684</v>
      </c>
      <c r="AK46" s="485">
        <v>27478</v>
      </c>
      <c r="AL46" s="485">
        <v>5228</v>
      </c>
      <c r="AM46" s="485">
        <v>1963</v>
      </c>
      <c r="AN46" s="485">
        <v>2207</v>
      </c>
      <c r="AO46" s="485">
        <v>96</v>
      </c>
      <c r="AP46" s="485">
        <v>58</v>
      </c>
      <c r="AQ46" s="485">
        <v>0</v>
      </c>
      <c r="AR46" s="485">
        <v>59</v>
      </c>
      <c r="AS46" s="485">
        <v>15466</v>
      </c>
      <c r="AT46" s="485">
        <v>2644</v>
      </c>
      <c r="AU46" s="485">
        <v>43414</v>
      </c>
      <c r="AV46" s="486">
        <f t="shared" si="6"/>
        <v>43414</v>
      </c>
      <c r="AW46" s="487">
        <v>45293</v>
      </c>
      <c r="AX46" s="487">
        <v>45657</v>
      </c>
      <c r="AY46" s="488" t="s">
        <v>648</v>
      </c>
    </row>
    <row r="47" spans="1:51" s="383" customFormat="1" ht="102" x14ac:dyDescent="0.25">
      <c r="A47" s="205">
        <v>1</v>
      </c>
      <c r="B47" s="195" t="s">
        <v>315</v>
      </c>
      <c r="C47" s="205">
        <v>41</v>
      </c>
      <c r="D47" s="195" t="s">
        <v>689</v>
      </c>
      <c r="E47" s="205">
        <v>4101</v>
      </c>
      <c r="F47" s="195" t="s">
        <v>690</v>
      </c>
      <c r="G47" s="205">
        <v>4101011</v>
      </c>
      <c r="H47" s="195" t="s">
        <v>731</v>
      </c>
      <c r="I47" s="205">
        <v>4101011</v>
      </c>
      <c r="J47" s="195" t="s">
        <v>731</v>
      </c>
      <c r="K47" s="205">
        <v>410101100</v>
      </c>
      <c r="L47" s="195" t="s">
        <v>732</v>
      </c>
      <c r="M47" s="205">
        <v>410101100</v>
      </c>
      <c r="N47" s="195" t="s">
        <v>732</v>
      </c>
      <c r="O47" s="205">
        <v>3</v>
      </c>
      <c r="P47" s="205"/>
      <c r="Q47" s="205">
        <f t="shared" si="1"/>
        <v>3</v>
      </c>
      <c r="R47" s="210" t="s">
        <v>693</v>
      </c>
      <c r="S47" s="195" t="s">
        <v>694</v>
      </c>
      <c r="T47" s="483">
        <f>SUM($X$45:$X$48)/SUM($X$26:$X$48)</f>
        <v>7.6923076923076927E-2</v>
      </c>
      <c r="U47" s="195" t="s">
        <v>695</v>
      </c>
      <c r="V47" s="195" t="s">
        <v>733</v>
      </c>
      <c r="W47" s="195" t="s">
        <v>737</v>
      </c>
      <c r="X47" s="484">
        <v>6000000</v>
      </c>
      <c r="Y47" s="484"/>
      <c r="Z47" s="484"/>
      <c r="AA47" s="484"/>
      <c r="AB47" s="484">
        <f t="shared" si="4"/>
        <v>6000000</v>
      </c>
      <c r="AC47" s="205" t="s">
        <v>735</v>
      </c>
      <c r="AD47" s="205"/>
      <c r="AE47" s="205">
        <v>20</v>
      </c>
      <c r="AF47" s="65" t="s">
        <v>132</v>
      </c>
      <c r="AG47" s="485">
        <v>23022</v>
      </c>
      <c r="AH47" s="485">
        <v>20392</v>
      </c>
      <c r="AI47" s="485">
        <v>6024</v>
      </c>
      <c r="AJ47" s="485">
        <v>4684</v>
      </c>
      <c r="AK47" s="485">
        <v>27478</v>
      </c>
      <c r="AL47" s="485">
        <v>5228</v>
      </c>
      <c r="AM47" s="485">
        <v>1963</v>
      </c>
      <c r="AN47" s="485">
        <v>2207</v>
      </c>
      <c r="AO47" s="485">
        <v>96</v>
      </c>
      <c r="AP47" s="485">
        <v>58</v>
      </c>
      <c r="AQ47" s="485">
        <v>0</v>
      </c>
      <c r="AR47" s="485">
        <v>59</v>
      </c>
      <c r="AS47" s="485">
        <v>15466</v>
      </c>
      <c r="AT47" s="485">
        <v>2644</v>
      </c>
      <c r="AU47" s="485">
        <v>43414</v>
      </c>
      <c r="AV47" s="486">
        <f t="shared" si="6"/>
        <v>43414</v>
      </c>
      <c r="AW47" s="487">
        <v>45293</v>
      </c>
      <c r="AX47" s="487">
        <v>45657</v>
      </c>
      <c r="AY47" s="488" t="s">
        <v>648</v>
      </c>
    </row>
    <row r="48" spans="1:51" s="383" customFormat="1" ht="102" x14ac:dyDescent="0.25">
      <c r="A48" s="205">
        <v>1</v>
      </c>
      <c r="B48" s="195" t="s">
        <v>315</v>
      </c>
      <c r="C48" s="205">
        <v>41</v>
      </c>
      <c r="D48" s="195" t="s">
        <v>689</v>
      </c>
      <c r="E48" s="205">
        <v>4101</v>
      </c>
      <c r="F48" s="195" t="s">
        <v>690</v>
      </c>
      <c r="G48" s="205">
        <v>4101011</v>
      </c>
      <c r="H48" s="195" t="s">
        <v>731</v>
      </c>
      <c r="I48" s="205">
        <v>4101011</v>
      </c>
      <c r="J48" s="195" t="s">
        <v>731</v>
      </c>
      <c r="K48" s="205">
        <v>410101100</v>
      </c>
      <c r="L48" s="195" t="s">
        <v>732</v>
      </c>
      <c r="M48" s="205">
        <v>410101100</v>
      </c>
      <c r="N48" s="195" t="s">
        <v>732</v>
      </c>
      <c r="O48" s="205">
        <v>3</v>
      </c>
      <c r="P48" s="205"/>
      <c r="Q48" s="205">
        <f t="shared" si="1"/>
        <v>3</v>
      </c>
      <c r="R48" s="210" t="s">
        <v>693</v>
      </c>
      <c r="S48" s="195" t="s">
        <v>694</v>
      </c>
      <c r="T48" s="483">
        <f>SUM($X$45:$X$48)/SUM($X$26:$X$48)</f>
        <v>7.6923076923076927E-2</v>
      </c>
      <c r="U48" s="195" t="s">
        <v>695</v>
      </c>
      <c r="V48" s="195" t="s">
        <v>733</v>
      </c>
      <c r="W48" s="195" t="s">
        <v>738</v>
      </c>
      <c r="X48" s="484">
        <v>3000000</v>
      </c>
      <c r="Y48" s="484"/>
      <c r="Z48" s="484"/>
      <c r="AA48" s="484"/>
      <c r="AB48" s="484">
        <f t="shared" si="4"/>
        <v>3000000</v>
      </c>
      <c r="AC48" s="205" t="s">
        <v>735</v>
      </c>
      <c r="AD48" s="205"/>
      <c r="AE48" s="205">
        <v>20</v>
      </c>
      <c r="AF48" s="65" t="s">
        <v>132</v>
      </c>
      <c r="AG48" s="485">
        <v>23022</v>
      </c>
      <c r="AH48" s="485">
        <v>20392</v>
      </c>
      <c r="AI48" s="485">
        <v>6024</v>
      </c>
      <c r="AJ48" s="485">
        <v>4684</v>
      </c>
      <c r="AK48" s="485">
        <v>27478</v>
      </c>
      <c r="AL48" s="485">
        <v>5228</v>
      </c>
      <c r="AM48" s="485">
        <v>1963</v>
      </c>
      <c r="AN48" s="485">
        <v>2207</v>
      </c>
      <c r="AO48" s="485">
        <v>96</v>
      </c>
      <c r="AP48" s="485">
        <v>58</v>
      </c>
      <c r="AQ48" s="485">
        <v>0</v>
      </c>
      <c r="AR48" s="485">
        <v>59</v>
      </c>
      <c r="AS48" s="485">
        <v>15466</v>
      </c>
      <c r="AT48" s="485">
        <v>2644</v>
      </c>
      <c r="AU48" s="485">
        <v>43414</v>
      </c>
      <c r="AV48" s="486">
        <f t="shared" si="6"/>
        <v>43414</v>
      </c>
      <c r="AW48" s="487">
        <v>45293</v>
      </c>
      <c r="AX48" s="487">
        <v>45657</v>
      </c>
      <c r="AY48" s="488" t="s">
        <v>648</v>
      </c>
    </row>
    <row r="49" spans="1:51" s="383" customFormat="1" ht="88.5" customHeight="1" x14ac:dyDescent="0.25">
      <c r="A49" s="205">
        <v>1</v>
      </c>
      <c r="B49" s="195" t="s">
        <v>315</v>
      </c>
      <c r="C49" s="205">
        <v>41</v>
      </c>
      <c r="D49" s="195" t="s">
        <v>689</v>
      </c>
      <c r="E49" s="205">
        <v>4103</v>
      </c>
      <c r="F49" s="195" t="s">
        <v>739</v>
      </c>
      <c r="G49" s="205" t="s">
        <v>70</v>
      </c>
      <c r="H49" s="195" t="s">
        <v>740</v>
      </c>
      <c r="I49" s="205">
        <v>4103052</v>
      </c>
      <c r="J49" s="195" t="s">
        <v>741</v>
      </c>
      <c r="K49" s="205" t="s">
        <v>70</v>
      </c>
      <c r="L49" s="195" t="s">
        <v>742</v>
      </c>
      <c r="M49" s="205">
        <v>410305201</v>
      </c>
      <c r="N49" s="195" t="s">
        <v>743</v>
      </c>
      <c r="O49" s="205">
        <v>25</v>
      </c>
      <c r="P49" s="205"/>
      <c r="Q49" s="205">
        <f t="shared" si="1"/>
        <v>25</v>
      </c>
      <c r="R49" s="210" t="s">
        <v>744</v>
      </c>
      <c r="S49" s="195" t="s">
        <v>745</v>
      </c>
      <c r="T49" s="483">
        <f>SUM($X$49:$X$51)/SUM($X$49:$X$51)</f>
        <v>1</v>
      </c>
      <c r="U49" s="195" t="s">
        <v>746</v>
      </c>
      <c r="V49" s="195" t="s">
        <v>747</v>
      </c>
      <c r="W49" s="195" t="s">
        <v>748</v>
      </c>
      <c r="X49" s="484">
        <v>16000000</v>
      </c>
      <c r="Y49" s="484">
        <f>4000000</f>
        <v>4000000</v>
      </c>
      <c r="Z49" s="484"/>
      <c r="AA49" s="484"/>
      <c r="AB49" s="484">
        <f t="shared" si="4"/>
        <v>12000000</v>
      </c>
      <c r="AC49" s="205" t="s">
        <v>749</v>
      </c>
      <c r="AD49" s="205"/>
      <c r="AE49" s="205">
        <v>20</v>
      </c>
      <c r="AF49" s="65" t="s">
        <v>132</v>
      </c>
      <c r="AG49" s="485">
        <v>91</v>
      </c>
      <c r="AH49" s="485">
        <v>237</v>
      </c>
      <c r="AI49" s="485">
        <v>0</v>
      </c>
      <c r="AJ49" s="485">
        <v>0</v>
      </c>
      <c r="AK49" s="485">
        <v>0</v>
      </c>
      <c r="AL49" s="485">
        <v>0</v>
      </c>
      <c r="AM49" s="485">
        <v>0</v>
      </c>
      <c r="AN49" s="485">
        <v>0</v>
      </c>
      <c r="AO49" s="485">
        <v>0</v>
      </c>
      <c r="AP49" s="485">
        <v>0</v>
      </c>
      <c r="AQ49" s="485">
        <v>0</v>
      </c>
      <c r="AR49" s="485">
        <v>0</v>
      </c>
      <c r="AS49" s="485">
        <v>0</v>
      </c>
      <c r="AT49" s="485">
        <v>0</v>
      </c>
      <c r="AU49" s="485">
        <v>0</v>
      </c>
      <c r="AV49" s="486">
        <f t="shared" si="6"/>
        <v>328</v>
      </c>
      <c r="AW49" s="487">
        <v>45293</v>
      </c>
      <c r="AX49" s="487">
        <v>45657</v>
      </c>
      <c r="AY49" s="488" t="s">
        <v>648</v>
      </c>
    </row>
    <row r="50" spans="1:51" s="383" customFormat="1" ht="88.5" customHeight="1" x14ac:dyDescent="0.25">
      <c r="A50" s="205">
        <v>1</v>
      </c>
      <c r="B50" s="195" t="s">
        <v>315</v>
      </c>
      <c r="C50" s="205">
        <v>41</v>
      </c>
      <c r="D50" s="195" t="s">
        <v>689</v>
      </c>
      <c r="E50" s="205">
        <v>4103</v>
      </c>
      <c r="F50" s="195" t="s">
        <v>739</v>
      </c>
      <c r="G50" s="205" t="s">
        <v>70</v>
      </c>
      <c r="H50" s="195" t="s">
        <v>740</v>
      </c>
      <c r="I50" s="205">
        <v>4103052</v>
      </c>
      <c r="J50" s="195" t="s">
        <v>741</v>
      </c>
      <c r="K50" s="205" t="s">
        <v>70</v>
      </c>
      <c r="L50" s="195" t="s">
        <v>742</v>
      </c>
      <c r="M50" s="205">
        <v>410305201</v>
      </c>
      <c r="N50" s="195" t="s">
        <v>743</v>
      </c>
      <c r="O50" s="205">
        <v>25</v>
      </c>
      <c r="P50" s="205"/>
      <c r="Q50" s="205">
        <f t="shared" si="1"/>
        <v>25</v>
      </c>
      <c r="R50" s="210" t="s">
        <v>744</v>
      </c>
      <c r="S50" s="195" t="s">
        <v>745</v>
      </c>
      <c r="T50" s="483">
        <f>SUM($X$49:$X$51)/SUM($X$49:$X$51)</f>
        <v>1</v>
      </c>
      <c r="U50" s="195" t="s">
        <v>746</v>
      </c>
      <c r="V50" s="195" t="s">
        <v>747</v>
      </c>
      <c r="W50" s="195" t="s">
        <v>750</v>
      </c>
      <c r="X50" s="484">
        <v>4000000</v>
      </c>
      <c r="Y50" s="484"/>
      <c r="Z50" s="484"/>
      <c r="AA50" s="484"/>
      <c r="AB50" s="484">
        <f t="shared" si="4"/>
        <v>4000000</v>
      </c>
      <c r="AC50" s="205" t="s">
        <v>749</v>
      </c>
      <c r="AD50" s="205"/>
      <c r="AE50" s="205">
        <v>20</v>
      </c>
      <c r="AF50" s="65" t="s">
        <v>132</v>
      </c>
      <c r="AG50" s="485">
        <v>91</v>
      </c>
      <c r="AH50" s="485">
        <v>237</v>
      </c>
      <c r="AI50" s="485">
        <v>0</v>
      </c>
      <c r="AJ50" s="485">
        <v>0</v>
      </c>
      <c r="AK50" s="485">
        <v>0</v>
      </c>
      <c r="AL50" s="485">
        <v>0</v>
      </c>
      <c r="AM50" s="485">
        <v>0</v>
      </c>
      <c r="AN50" s="485">
        <v>0</v>
      </c>
      <c r="AO50" s="485">
        <v>0</v>
      </c>
      <c r="AP50" s="485">
        <v>0</v>
      </c>
      <c r="AQ50" s="485">
        <v>0</v>
      </c>
      <c r="AR50" s="485">
        <v>0</v>
      </c>
      <c r="AS50" s="485">
        <v>0</v>
      </c>
      <c r="AT50" s="485">
        <v>0</v>
      </c>
      <c r="AU50" s="485">
        <v>0</v>
      </c>
      <c r="AV50" s="486">
        <f t="shared" si="6"/>
        <v>328</v>
      </c>
      <c r="AW50" s="487">
        <v>45293</v>
      </c>
      <c r="AX50" s="487">
        <v>45657</v>
      </c>
      <c r="AY50" s="488" t="s">
        <v>648</v>
      </c>
    </row>
    <row r="51" spans="1:51" s="383" customFormat="1" ht="88.5" customHeight="1" x14ac:dyDescent="0.25">
      <c r="A51" s="205">
        <v>1</v>
      </c>
      <c r="B51" s="195" t="s">
        <v>315</v>
      </c>
      <c r="C51" s="205">
        <v>41</v>
      </c>
      <c r="D51" s="195" t="s">
        <v>689</v>
      </c>
      <c r="E51" s="205">
        <v>4103</v>
      </c>
      <c r="F51" s="195" t="s">
        <v>739</v>
      </c>
      <c r="G51" s="205" t="s">
        <v>70</v>
      </c>
      <c r="H51" s="195" t="s">
        <v>740</v>
      </c>
      <c r="I51" s="205">
        <v>4103052</v>
      </c>
      <c r="J51" s="195" t="s">
        <v>741</v>
      </c>
      <c r="K51" s="205" t="s">
        <v>70</v>
      </c>
      <c r="L51" s="195" t="s">
        <v>742</v>
      </c>
      <c r="M51" s="205">
        <v>410305201</v>
      </c>
      <c r="N51" s="195" t="s">
        <v>743</v>
      </c>
      <c r="O51" s="205">
        <v>25</v>
      </c>
      <c r="P51" s="205"/>
      <c r="Q51" s="205">
        <f t="shared" si="1"/>
        <v>25</v>
      </c>
      <c r="R51" s="210" t="s">
        <v>744</v>
      </c>
      <c r="S51" s="195" t="s">
        <v>745</v>
      </c>
      <c r="T51" s="483">
        <f>SUM($X$49:$X$51)/SUM($X$49:$X$51)</f>
        <v>1</v>
      </c>
      <c r="U51" s="195" t="s">
        <v>746</v>
      </c>
      <c r="V51" s="195" t="s">
        <v>747</v>
      </c>
      <c r="W51" s="195" t="s">
        <v>751</v>
      </c>
      <c r="X51" s="484">
        <v>5000000</v>
      </c>
      <c r="Y51" s="484">
        <f>2000000</f>
        <v>2000000</v>
      </c>
      <c r="Z51" s="484"/>
      <c r="AA51" s="484"/>
      <c r="AB51" s="484">
        <f t="shared" si="4"/>
        <v>3000000</v>
      </c>
      <c r="AC51" s="205" t="s">
        <v>749</v>
      </c>
      <c r="AD51" s="205"/>
      <c r="AE51" s="205">
        <v>20</v>
      </c>
      <c r="AF51" s="65" t="s">
        <v>132</v>
      </c>
      <c r="AG51" s="485">
        <v>91</v>
      </c>
      <c r="AH51" s="485">
        <v>237</v>
      </c>
      <c r="AI51" s="485">
        <v>0</v>
      </c>
      <c r="AJ51" s="485">
        <v>0</v>
      </c>
      <c r="AK51" s="485">
        <v>0</v>
      </c>
      <c r="AL51" s="485">
        <v>0</v>
      </c>
      <c r="AM51" s="485">
        <v>0</v>
      </c>
      <c r="AN51" s="485">
        <v>0</v>
      </c>
      <c r="AO51" s="485">
        <v>0</v>
      </c>
      <c r="AP51" s="485">
        <v>0</v>
      </c>
      <c r="AQ51" s="485">
        <v>0</v>
      </c>
      <c r="AR51" s="485">
        <v>0</v>
      </c>
      <c r="AS51" s="485">
        <v>0</v>
      </c>
      <c r="AT51" s="485">
        <v>0</v>
      </c>
      <c r="AU51" s="485">
        <v>0</v>
      </c>
      <c r="AV51" s="486">
        <f t="shared" si="6"/>
        <v>328</v>
      </c>
      <c r="AW51" s="487">
        <v>45293</v>
      </c>
      <c r="AX51" s="487">
        <v>45657</v>
      </c>
      <c r="AY51" s="488" t="s">
        <v>648</v>
      </c>
    </row>
    <row r="52" spans="1:51" s="383" customFormat="1" ht="76.5" x14ac:dyDescent="0.25">
      <c r="A52" s="205">
        <v>1</v>
      </c>
      <c r="B52" s="195" t="s">
        <v>315</v>
      </c>
      <c r="C52" s="205">
        <v>45</v>
      </c>
      <c r="D52" s="195" t="s">
        <v>68</v>
      </c>
      <c r="E52" s="205">
        <v>4501</v>
      </c>
      <c r="F52" s="195" t="s">
        <v>752</v>
      </c>
      <c r="G52" s="205" t="s">
        <v>70</v>
      </c>
      <c r="H52" s="195" t="s">
        <v>753</v>
      </c>
      <c r="I52" s="205">
        <v>4501029</v>
      </c>
      <c r="J52" s="195" t="s">
        <v>754</v>
      </c>
      <c r="K52" s="205" t="s">
        <v>70</v>
      </c>
      <c r="L52" s="195" t="s">
        <v>755</v>
      </c>
      <c r="M52" s="205">
        <v>450102900</v>
      </c>
      <c r="N52" s="195" t="s">
        <v>756</v>
      </c>
      <c r="O52" s="205">
        <v>5</v>
      </c>
      <c r="P52" s="205"/>
      <c r="Q52" s="205">
        <f t="shared" si="1"/>
        <v>5</v>
      </c>
      <c r="R52" s="210" t="s">
        <v>757</v>
      </c>
      <c r="S52" s="195" t="s">
        <v>758</v>
      </c>
      <c r="T52" s="483">
        <f>SUM($X$52:$X$61)/SUM($X$52:$X$61)</f>
        <v>1</v>
      </c>
      <c r="U52" s="195" t="s">
        <v>759</v>
      </c>
      <c r="V52" s="195" t="s">
        <v>760</v>
      </c>
      <c r="W52" s="195" t="s">
        <v>761</v>
      </c>
      <c r="X52" s="484">
        <v>600000000</v>
      </c>
      <c r="Y52" s="484"/>
      <c r="Z52" s="484"/>
      <c r="AA52" s="484"/>
      <c r="AB52" s="484">
        <f t="shared" si="4"/>
        <v>600000000</v>
      </c>
      <c r="AC52" s="205" t="s">
        <v>762</v>
      </c>
      <c r="AD52" s="205"/>
      <c r="AE52" s="205">
        <v>42</v>
      </c>
      <c r="AF52" s="65" t="s">
        <v>763</v>
      </c>
      <c r="AG52" s="485">
        <v>291786</v>
      </c>
      <c r="AH52" s="485">
        <v>270331</v>
      </c>
      <c r="AI52" s="485">
        <v>102045</v>
      </c>
      <c r="AJ52" s="485">
        <v>0</v>
      </c>
      <c r="AK52" s="485">
        <v>310195</v>
      </c>
      <c r="AL52" s="485">
        <v>110694</v>
      </c>
      <c r="AM52" s="485">
        <v>2145</v>
      </c>
      <c r="AN52" s="485">
        <v>12718</v>
      </c>
      <c r="AO52" s="485">
        <v>26</v>
      </c>
      <c r="AP52" s="485">
        <v>37</v>
      </c>
      <c r="AQ52" s="485">
        <v>0</v>
      </c>
      <c r="AR52" s="485">
        <v>0</v>
      </c>
      <c r="AS52" s="485">
        <v>44350</v>
      </c>
      <c r="AT52" s="485">
        <v>21944</v>
      </c>
      <c r="AU52" s="485">
        <v>75687</v>
      </c>
      <c r="AV52" s="486">
        <f t="shared" ref="AV52:AV64" si="9">AG52+AH52</f>
        <v>562117</v>
      </c>
      <c r="AW52" s="487">
        <v>45293</v>
      </c>
      <c r="AX52" s="487">
        <v>45657</v>
      </c>
      <c r="AY52" s="488" t="s">
        <v>648</v>
      </c>
    </row>
    <row r="53" spans="1:51" s="383" customFormat="1" ht="76.5" x14ac:dyDescent="0.25">
      <c r="A53" s="205">
        <v>1</v>
      </c>
      <c r="B53" s="195" t="s">
        <v>315</v>
      </c>
      <c r="C53" s="205">
        <v>45</v>
      </c>
      <c r="D53" s="195" t="s">
        <v>68</v>
      </c>
      <c r="E53" s="205">
        <v>4501</v>
      </c>
      <c r="F53" s="195" t="s">
        <v>752</v>
      </c>
      <c r="G53" s="205" t="s">
        <v>70</v>
      </c>
      <c r="H53" s="195" t="s">
        <v>753</v>
      </c>
      <c r="I53" s="205">
        <v>4501029</v>
      </c>
      <c r="J53" s="195" t="s">
        <v>754</v>
      </c>
      <c r="K53" s="205" t="s">
        <v>70</v>
      </c>
      <c r="L53" s="195" t="s">
        <v>755</v>
      </c>
      <c r="M53" s="205">
        <v>450102900</v>
      </c>
      <c r="N53" s="195" t="s">
        <v>756</v>
      </c>
      <c r="O53" s="205">
        <v>5</v>
      </c>
      <c r="P53" s="205"/>
      <c r="Q53" s="205">
        <f t="shared" si="1"/>
        <v>5</v>
      </c>
      <c r="R53" s="210" t="s">
        <v>757</v>
      </c>
      <c r="S53" s="195" t="s">
        <v>758</v>
      </c>
      <c r="T53" s="483">
        <f t="shared" ref="T53:T61" si="10">SUM($X$52:$X$61)/SUM($X$52:$X$61)</f>
        <v>1</v>
      </c>
      <c r="U53" s="195" t="s">
        <v>759</v>
      </c>
      <c r="V53" s="195" t="s">
        <v>760</v>
      </c>
      <c r="W53" s="195" t="s">
        <v>764</v>
      </c>
      <c r="X53" s="484">
        <v>100000000</v>
      </c>
      <c r="Y53" s="484"/>
      <c r="Z53" s="484"/>
      <c r="AA53" s="484"/>
      <c r="AB53" s="484">
        <f t="shared" si="4"/>
        <v>100000000</v>
      </c>
      <c r="AC53" s="205" t="s">
        <v>765</v>
      </c>
      <c r="AD53" s="205"/>
      <c r="AE53" s="205">
        <v>42</v>
      </c>
      <c r="AF53" s="65" t="s">
        <v>763</v>
      </c>
      <c r="AG53" s="485">
        <v>291786</v>
      </c>
      <c r="AH53" s="485">
        <v>270331</v>
      </c>
      <c r="AI53" s="485">
        <v>102045</v>
      </c>
      <c r="AJ53" s="485">
        <v>39183</v>
      </c>
      <c r="AK53" s="485">
        <v>310195</v>
      </c>
      <c r="AL53" s="485">
        <v>110694</v>
      </c>
      <c r="AM53" s="485">
        <v>2145</v>
      </c>
      <c r="AN53" s="485">
        <v>12718</v>
      </c>
      <c r="AO53" s="485">
        <v>26</v>
      </c>
      <c r="AP53" s="485">
        <v>37</v>
      </c>
      <c r="AQ53" s="485">
        <v>0</v>
      </c>
      <c r="AR53" s="485">
        <v>0</v>
      </c>
      <c r="AS53" s="485">
        <v>44350</v>
      </c>
      <c r="AT53" s="485">
        <v>21944</v>
      </c>
      <c r="AU53" s="485">
        <v>75687</v>
      </c>
      <c r="AV53" s="486">
        <f t="shared" si="9"/>
        <v>562117</v>
      </c>
      <c r="AW53" s="487">
        <v>45293</v>
      </c>
      <c r="AX53" s="487">
        <v>45657</v>
      </c>
      <c r="AY53" s="488" t="s">
        <v>648</v>
      </c>
    </row>
    <row r="54" spans="1:51" s="383" customFormat="1" ht="76.5" x14ac:dyDescent="0.25">
      <c r="A54" s="205">
        <v>1</v>
      </c>
      <c r="B54" s="195" t="s">
        <v>315</v>
      </c>
      <c r="C54" s="205">
        <v>45</v>
      </c>
      <c r="D54" s="195" t="s">
        <v>68</v>
      </c>
      <c r="E54" s="205">
        <v>4501</v>
      </c>
      <c r="F54" s="195" t="s">
        <v>752</v>
      </c>
      <c r="G54" s="205" t="s">
        <v>70</v>
      </c>
      <c r="H54" s="195" t="s">
        <v>753</v>
      </c>
      <c r="I54" s="205">
        <v>4501029</v>
      </c>
      <c r="J54" s="195" t="s">
        <v>754</v>
      </c>
      <c r="K54" s="205" t="s">
        <v>70</v>
      </c>
      <c r="L54" s="195" t="s">
        <v>755</v>
      </c>
      <c r="M54" s="205">
        <v>450102900</v>
      </c>
      <c r="N54" s="195" t="s">
        <v>756</v>
      </c>
      <c r="O54" s="205">
        <v>5</v>
      </c>
      <c r="P54" s="205"/>
      <c r="Q54" s="205">
        <f t="shared" si="1"/>
        <v>5</v>
      </c>
      <c r="R54" s="210" t="s">
        <v>757</v>
      </c>
      <c r="S54" s="195" t="s">
        <v>758</v>
      </c>
      <c r="T54" s="483">
        <f t="shared" si="10"/>
        <v>1</v>
      </c>
      <c r="U54" s="195" t="s">
        <v>759</v>
      </c>
      <c r="V54" s="195" t="s">
        <v>760</v>
      </c>
      <c r="W54" s="195" t="s">
        <v>766</v>
      </c>
      <c r="X54" s="484">
        <v>1064968000</v>
      </c>
      <c r="Y54" s="484"/>
      <c r="Z54" s="484"/>
      <c r="AA54" s="484"/>
      <c r="AB54" s="484">
        <f t="shared" si="4"/>
        <v>1064968000</v>
      </c>
      <c r="AC54" s="205" t="s">
        <v>767</v>
      </c>
      <c r="AD54" s="205"/>
      <c r="AE54" s="205">
        <v>42</v>
      </c>
      <c r="AF54" s="65" t="s">
        <v>763</v>
      </c>
      <c r="AG54" s="485">
        <v>291786</v>
      </c>
      <c r="AH54" s="485">
        <v>270331</v>
      </c>
      <c r="AI54" s="485">
        <v>102045</v>
      </c>
      <c r="AJ54" s="485">
        <v>39183</v>
      </c>
      <c r="AK54" s="485">
        <v>310195</v>
      </c>
      <c r="AL54" s="485">
        <v>110694</v>
      </c>
      <c r="AM54" s="485">
        <v>2145</v>
      </c>
      <c r="AN54" s="485">
        <v>12718</v>
      </c>
      <c r="AO54" s="485">
        <v>26</v>
      </c>
      <c r="AP54" s="485">
        <v>37</v>
      </c>
      <c r="AQ54" s="485">
        <v>0</v>
      </c>
      <c r="AR54" s="485">
        <v>0</v>
      </c>
      <c r="AS54" s="485">
        <v>44350</v>
      </c>
      <c r="AT54" s="485">
        <v>21944</v>
      </c>
      <c r="AU54" s="485">
        <v>75687</v>
      </c>
      <c r="AV54" s="486">
        <f t="shared" si="9"/>
        <v>562117</v>
      </c>
      <c r="AW54" s="487">
        <v>45293</v>
      </c>
      <c r="AX54" s="487">
        <v>45657</v>
      </c>
      <c r="AY54" s="488" t="s">
        <v>648</v>
      </c>
    </row>
    <row r="55" spans="1:51" s="383" customFormat="1" ht="76.5" x14ac:dyDescent="0.25">
      <c r="A55" s="205">
        <v>1</v>
      </c>
      <c r="B55" s="195" t="s">
        <v>315</v>
      </c>
      <c r="C55" s="205">
        <v>45</v>
      </c>
      <c r="D55" s="195" t="s">
        <v>68</v>
      </c>
      <c r="E55" s="205">
        <v>4501</v>
      </c>
      <c r="F55" s="195" t="s">
        <v>752</v>
      </c>
      <c r="G55" s="205" t="s">
        <v>70</v>
      </c>
      <c r="H55" s="195" t="s">
        <v>753</v>
      </c>
      <c r="I55" s="205">
        <v>4501029</v>
      </c>
      <c r="J55" s="195" t="s">
        <v>754</v>
      </c>
      <c r="K55" s="205" t="s">
        <v>70</v>
      </c>
      <c r="L55" s="195" t="s">
        <v>755</v>
      </c>
      <c r="M55" s="205">
        <v>450102900</v>
      </c>
      <c r="N55" s="195" t="s">
        <v>756</v>
      </c>
      <c r="O55" s="205">
        <v>5</v>
      </c>
      <c r="P55" s="205"/>
      <c r="Q55" s="205">
        <f t="shared" si="1"/>
        <v>5</v>
      </c>
      <c r="R55" s="210" t="s">
        <v>757</v>
      </c>
      <c r="S55" s="195" t="s">
        <v>758</v>
      </c>
      <c r="T55" s="483">
        <f t="shared" si="10"/>
        <v>1</v>
      </c>
      <c r="U55" s="195" t="s">
        <v>759</v>
      </c>
      <c r="V55" s="195" t="s">
        <v>760</v>
      </c>
      <c r="W55" s="195" t="s">
        <v>768</v>
      </c>
      <c r="X55" s="484">
        <v>37000000</v>
      </c>
      <c r="Y55" s="484">
        <f>10000000+10000000+7000000+10000000</f>
        <v>37000000</v>
      </c>
      <c r="Z55" s="484"/>
      <c r="AA55" s="484"/>
      <c r="AB55" s="484">
        <f t="shared" si="4"/>
        <v>0</v>
      </c>
      <c r="AC55" s="205" t="s">
        <v>767</v>
      </c>
      <c r="AD55" s="205"/>
      <c r="AE55" s="205">
        <v>42</v>
      </c>
      <c r="AF55" s="65" t="s">
        <v>763</v>
      </c>
      <c r="AG55" s="485">
        <v>291786</v>
      </c>
      <c r="AH55" s="485">
        <v>270331</v>
      </c>
      <c r="AI55" s="485">
        <v>102045</v>
      </c>
      <c r="AJ55" s="485">
        <v>39183</v>
      </c>
      <c r="AK55" s="485">
        <v>310195</v>
      </c>
      <c r="AL55" s="485">
        <v>110694</v>
      </c>
      <c r="AM55" s="485">
        <v>2145</v>
      </c>
      <c r="AN55" s="485">
        <v>12718</v>
      </c>
      <c r="AO55" s="485">
        <v>26</v>
      </c>
      <c r="AP55" s="485">
        <v>37</v>
      </c>
      <c r="AQ55" s="485">
        <v>0</v>
      </c>
      <c r="AR55" s="485">
        <v>0</v>
      </c>
      <c r="AS55" s="485">
        <v>44350</v>
      </c>
      <c r="AT55" s="485">
        <v>21944</v>
      </c>
      <c r="AU55" s="485">
        <v>75687</v>
      </c>
      <c r="AV55" s="486">
        <f t="shared" si="9"/>
        <v>562117</v>
      </c>
      <c r="AW55" s="487">
        <v>45293</v>
      </c>
      <c r="AX55" s="487">
        <v>45657</v>
      </c>
      <c r="AY55" s="488" t="s">
        <v>648</v>
      </c>
    </row>
    <row r="56" spans="1:51" s="383" customFormat="1" ht="76.5" x14ac:dyDescent="0.25">
      <c r="A56" s="205">
        <v>1</v>
      </c>
      <c r="B56" s="195" t="s">
        <v>315</v>
      </c>
      <c r="C56" s="205">
        <v>45</v>
      </c>
      <c r="D56" s="195" t="s">
        <v>68</v>
      </c>
      <c r="E56" s="205">
        <v>4501</v>
      </c>
      <c r="F56" s="195" t="s">
        <v>752</v>
      </c>
      <c r="G56" s="205" t="s">
        <v>70</v>
      </c>
      <c r="H56" s="195" t="s">
        <v>753</v>
      </c>
      <c r="I56" s="205">
        <v>4501029</v>
      </c>
      <c r="J56" s="195" t="s">
        <v>754</v>
      </c>
      <c r="K56" s="205" t="s">
        <v>70</v>
      </c>
      <c r="L56" s="195" t="s">
        <v>755</v>
      </c>
      <c r="M56" s="205">
        <v>450102900</v>
      </c>
      <c r="N56" s="195" t="s">
        <v>756</v>
      </c>
      <c r="O56" s="205">
        <v>5</v>
      </c>
      <c r="P56" s="205"/>
      <c r="Q56" s="205">
        <f t="shared" si="1"/>
        <v>5</v>
      </c>
      <c r="R56" s="210" t="s">
        <v>757</v>
      </c>
      <c r="S56" s="195" t="s">
        <v>758</v>
      </c>
      <c r="T56" s="483">
        <f t="shared" si="10"/>
        <v>1</v>
      </c>
      <c r="U56" s="195" t="s">
        <v>759</v>
      </c>
      <c r="V56" s="195" t="s">
        <v>760</v>
      </c>
      <c r="W56" s="195" t="s">
        <v>769</v>
      </c>
      <c r="X56" s="484">
        <v>10000000</v>
      </c>
      <c r="Y56" s="484"/>
      <c r="Z56" s="484"/>
      <c r="AA56" s="484"/>
      <c r="AB56" s="484">
        <f t="shared" si="4"/>
        <v>10000000</v>
      </c>
      <c r="AC56" s="205" t="s">
        <v>770</v>
      </c>
      <c r="AD56" s="205"/>
      <c r="AE56" s="205">
        <v>42</v>
      </c>
      <c r="AF56" s="65" t="s">
        <v>763</v>
      </c>
      <c r="AG56" s="485">
        <v>291786</v>
      </c>
      <c r="AH56" s="485">
        <v>270331</v>
      </c>
      <c r="AI56" s="485">
        <v>102045</v>
      </c>
      <c r="AJ56" s="485">
        <v>39183</v>
      </c>
      <c r="AK56" s="485">
        <v>310195</v>
      </c>
      <c r="AL56" s="485">
        <v>110694</v>
      </c>
      <c r="AM56" s="485">
        <v>2145</v>
      </c>
      <c r="AN56" s="485">
        <v>12718</v>
      </c>
      <c r="AO56" s="485">
        <v>26</v>
      </c>
      <c r="AP56" s="485">
        <v>37</v>
      </c>
      <c r="AQ56" s="485">
        <v>0</v>
      </c>
      <c r="AR56" s="485">
        <v>0</v>
      </c>
      <c r="AS56" s="485">
        <v>44350</v>
      </c>
      <c r="AT56" s="485">
        <v>21944</v>
      </c>
      <c r="AU56" s="485">
        <v>75687</v>
      </c>
      <c r="AV56" s="486">
        <f t="shared" si="9"/>
        <v>562117</v>
      </c>
      <c r="AW56" s="487">
        <v>45293</v>
      </c>
      <c r="AX56" s="487">
        <v>45657</v>
      </c>
      <c r="AY56" s="488" t="s">
        <v>648</v>
      </c>
    </row>
    <row r="57" spans="1:51" s="383" customFormat="1" ht="76.5" x14ac:dyDescent="0.25">
      <c r="A57" s="205">
        <v>1</v>
      </c>
      <c r="B57" s="195" t="s">
        <v>315</v>
      </c>
      <c r="C57" s="205">
        <v>45</v>
      </c>
      <c r="D57" s="195" t="s">
        <v>68</v>
      </c>
      <c r="E57" s="205">
        <v>4501</v>
      </c>
      <c r="F57" s="195" t="s">
        <v>752</v>
      </c>
      <c r="G57" s="205" t="s">
        <v>70</v>
      </c>
      <c r="H57" s="195" t="s">
        <v>753</v>
      </c>
      <c r="I57" s="205">
        <v>4501029</v>
      </c>
      <c r="J57" s="195" t="s">
        <v>754</v>
      </c>
      <c r="K57" s="205" t="s">
        <v>70</v>
      </c>
      <c r="L57" s="195" t="s">
        <v>755</v>
      </c>
      <c r="M57" s="205">
        <v>450102900</v>
      </c>
      <c r="N57" s="195" t="s">
        <v>756</v>
      </c>
      <c r="O57" s="205">
        <v>5</v>
      </c>
      <c r="P57" s="205"/>
      <c r="Q57" s="205">
        <f t="shared" si="1"/>
        <v>5</v>
      </c>
      <c r="R57" s="210" t="s">
        <v>757</v>
      </c>
      <c r="S57" s="195" t="s">
        <v>758</v>
      </c>
      <c r="T57" s="483">
        <f t="shared" si="10"/>
        <v>1</v>
      </c>
      <c r="U57" s="195" t="s">
        <v>759</v>
      </c>
      <c r="V57" s="195" t="s">
        <v>760</v>
      </c>
      <c r="W57" s="195" t="s">
        <v>771</v>
      </c>
      <c r="X57" s="484">
        <v>80000000</v>
      </c>
      <c r="Y57" s="484"/>
      <c r="Z57" s="484"/>
      <c r="AA57" s="484"/>
      <c r="AB57" s="484">
        <f t="shared" si="4"/>
        <v>80000000</v>
      </c>
      <c r="AC57" s="205" t="s">
        <v>767</v>
      </c>
      <c r="AD57" s="205"/>
      <c r="AE57" s="205">
        <v>42</v>
      </c>
      <c r="AF57" s="65" t="s">
        <v>763</v>
      </c>
      <c r="AG57" s="485">
        <v>291786</v>
      </c>
      <c r="AH57" s="485">
        <v>270331</v>
      </c>
      <c r="AI57" s="485">
        <v>102045</v>
      </c>
      <c r="AJ57" s="485">
        <v>39183</v>
      </c>
      <c r="AK57" s="485">
        <v>310195</v>
      </c>
      <c r="AL57" s="485">
        <v>110694</v>
      </c>
      <c r="AM57" s="485">
        <v>2145</v>
      </c>
      <c r="AN57" s="485">
        <v>12718</v>
      </c>
      <c r="AO57" s="485">
        <v>26</v>
      </c>
      <c r="AP57" s="485">
        <v>37</v>
      </c>
      <c r="AQ57" s="485">
        <v>0</v>
      </c>
      <c r="AR57" s="485">
        <v>0</v>
      </c>
      <c r="AS57" s="485">
        <v>44350</v>
      </c>
      <c r="AT57" s="485">
        <v>21944</v>
      </c>
      <c r="AU57" s="485">
        <v>75687</v>
      </c>
      <c r="AV57" s="486">
        <f t="shared" si="9"/>
        <v>562117</v>
      </c>
      <c r="AW57" s="487">
        <v>45293</v>
      </c>
      <c r="AX57" s="487">
        <v>45657</v>
      </c>
      <c r="AY57" s="488" t="s">
        <v>648</v>
      </c>
    </row>
    <row r="58" spans="1:51" s="383" customFormat="1" ht="76.5" x14ac:dyDescent="0.25">
      <c r="A58" s="205">
        <v>1</v>
      </c>
      <c r="B58" s="195" t="s">
        <v>315</v>
      </c>
      <c r="C58" s="205">
        <v>45</v>
      </c>
      <c r="D58" s="195" t="s">
        <v>68</v>
      </c>
      <c r="E58" s="205">
        <v>4501</v>
      </c>
      <c r="F58" s="195" t="s">
        <v>752</v>
      </c>
      <c r="G58" s="205" t="s">
        <v>70</v>
      </c>
      <c r="H58" s="195" t="s">
        <v>753</v>
      </c>
      <c r="I58" s="205">
        <v>4501029</v>
      </c>
      <c r="J58" s="195" t="s">
        <v>754</v>
      </c>
      <c r="K58" s="205" t="s">
        <v>70</v>
      </c>
      <c r="L58" s="195" t="s">
        <v>755</v>
      </c>
      <c r="M58" s="205">
        <v>450102900</v>
      </c>
      <c r="N58" s="195" t="s">
        <v>756</v>
      </c>
      <c r="O58" s="205">
        <v>5</v>
      </c>
      <c r="P58" s="205"/>
      <c r="Q58" s="205">
        <f t="shared" si="1"/>
        <v>5</v>
      </c>
      <c r="R58" s="210" t="s">
        <v>757</v>
      </c>
      <c r="S58" s="195" t="s">
        <v>758</v>
      </c>
      <c r="T58" s="483">
        <f t="shared" si="10"/>
        <v>1</v>
      </c>
      <c r="U58" s="195" t="s">
        <v>759</v>
      </c>
      <c r="V58" s="195" t="s">
        <v>760</v>
      </c>
      <c r="W58" s="195" t="s">
        <v>772</v>
      </c>
      <c r="X58" s="484">
        <v>50000000</v>
      </c>
      <c r="Y58" s="484"/>
      <c r="Z58" s="484"/>
      <c r="AA58" s="484"/>
      <c r="AB58" s="484">
        <f t="shared" si="4"/>
        <v>50000000</v>
      </c>
      <c r="AC58" s="205" t="s">
        <v>767</v>
      </c>
      <c r="AD58" s="205"/>
      <c r="AE58" s="205">
        <v>42</v>
      </c>
      <c r="AF58" s="65" t="s">
        <v>763</v>
      </c>
      <c r="AG58" s="485">
        <v>291786</v>
      </c>
      <c r="AH58" s="485">
        <v>270331</v>
      </c>
      <c r="AI58" s="485">
        <v>102045</v>
      </c>
      <c r="AJ58" s="485">
        <v>39183</v>
      </c>
      <c r="AK58" s="485">
        <v>310195</v>
      </c>
      <c r="AL58" s="485">
        <v>110694</v>
      </c>
      <c r="AM58" s="485">
        <v>2145</v>
      </c>
      <c r="AN58" s="485">
        <v>12718</v>
      </c>
      <c r="AO58" s="485">
        <v>26</v>
      </c>
      <c r="AP58" s="485">
        <v>37</v>
      </c>
      <c r="AQ58" s="485">
        <v>0</v>
      </c>
      <c r="AR58" s="485">
        <v>0</v>
      </c>
      <c r="AS58" s="485">
        <v>44350</v>
      </c>
      <c r="AT58" s="485">
        <v>21944</v>
      </c>
      <c r="AU58" s="485">
        <v>75687</v>
      </c>
      <c r="AV58" s="486">
        <f t="shared" si="9"/>
        <v>562117</v>
      </c>
      <c r="AW58" s="487">
        <v>45293</v>
      </c>
      <c r="AX58" s="487">
        <v>45657</v>
      </c>
      <c r="AY58" s="488" t="s">
        <v>648</v>
      </c>
    </row>
    <row r="59" spans="1:51" s="383" customFormat="1" ht="76.5" x14ac:dyDescent="0.25">
      <c r="A59" s="205">
        <v>1</v>
      </c>
      <c r="B59" s="195" t="s">
        <v>315</v>
      </c>
      <c r="C59" s="205">
        <v>45</v>
      </c>
      <c r="D59" s="195" t="s">
        <v>68</v>
      </c>
      <c r="E59" s="205">
        <v>4501</v>
      </c>
      <c r="F59" s="195" t="s">
        <v>752</v>
      </c>
      <c r="G59" s="205" t="s">
        <v>70</v>
      </c>
      <c r="H59" s="195" t="s">
        <v>753</v>
      </c>
      <c r="I59" s="205">
        <v>4501029</v>
      </c>
      <c r="J59" s="195" t="s">
        <v>754</v>
      </c>
      <c r="K59" s="205" t="s">
        <v>70</v>
      </c>
      <c r="L59" s="195" t="s">
        <v>755</v>
      </c>
      <c r="M59" s="205">
        <v>450102900</v>
      </c>
      <c r="N59" s="195" t="s">
        <v>756</v>
      </c>
      <c r="O59" s="205">
        <v>5</v>
      </c>
      <c r="P59" s="205"/>
      <c r="Q59" s="205">
        <f t="shared" si="1"/>
        <v>5</v>
      </c>
      <c r="R59" s="210" t="s">
        <v>757</v>
      </c>
      <c r="S59" s="195" t="s">
        <v>758</v>
      </c>
      <c r="T59" s="483">
        <f t="shared" si="10"/>
        <v>1</v>
      </c>
      <c r="U59" s="195" t="s">
        <v>759</v>
      </c>
      <c r="V59" s="195" t="s">
        <v>760</v>
      </c>
      <c r="W59" s="195" t="s">
        <v>773</v>
      </c>
      <c r="X59" s="484">
        <v>20000000</v>
      </c>
      <c r="Y59" s="484"/>
      <c r="Z59" s="484"/>
      <c r="AA59" s="484"/>
      <c r="AB59" s="484">
        <f t="shared" si="4"/>
        <v>20000000</v>
      </c>
      <c r="AC59" s="205" t="s">
        <v>774</v>
      </c>
      <c r="AD59" s="205"/>
      <c r="AE59" s="205">
        <v>42</v>
      </c>
      <c r="AF59" s="65" t="s">
        <v>763</v>
      </c>
      <c r="AG59" s="485">
        <v>291786</v>
      </c>
      <c r="AH59" s="485">
        <v>270331</v>
      </c>
      <c r="AI59" s="485">
        <v>102045</v>
      </c>
      <c r="AJ59" s="485">
        <v>39183</v>
      </c>
      <c r="AK59" s="485">
        <v>310195</v>
      </c>
      <c r="AL59" s="485">
        <v>110694</v>
      </c>
      <c r="AM59" s="485">
        <v>2145</v>
      </c>
      <c r="AN59" s="485">
        <v>12718</v>
      </c>
      <c r="AO59" s="485">
        <v>26</v>
      </c>
      <c r="AP59" s="485">
        <v>37</v>
      </c>
      <c r="AQ59" s="485">
        <v>0</v>
      </c>
      <c r="AR59" s="485">
        <v>0</v>
      </c>
      <c r="AS59" s="485">
        <v>44350</v>
      </c>
      <c r="AT59" s="485">
        <v>21944</v>
      </c>
      <c r="AU59" s="485">
        <v>75687</v>
      </c>
      <c r="AV59" s="486">
        <f t="shared" si="9"/>
        <v>562117</v>
      </c>
      <c r="AW59" s="487">
        <v>45293</v>
      </c>
      <c r="AX59" s="487">
        <v>45657</v>
      </c>
      <c r="AY59" s="488" t="s">
        <v>648</v>
      </c>
    </row>
    <row r="60" spans="1:51" s="383" customFormat="1" ht="76.5" x14ac:dyDescent="0.25">
      <c r="A60" s="205">
        <v>1</v>
      </c>
      <c r="B60" s="195" t="s">
        <v>315</v>
      </c>
      <c r="C60" s="205">
        <v>45</v>
      </c>
      <c r="D60" s="195" t="s">
        <v>68</v>
      </c>
      <c r="E60" s="205">
        <v>4501</v>
      </c>
      <c r="F60" s="195" t="s">
        <v>752</v>
      </c>
      <c r="G60" s="205" t="s">
        <v>70</v>
      </c>
      <c r="H60" s="195" t="s">
        <v>753</v>
      </c>
      <c r="I60" s="205">
        <v>4501029</v>
      </c>
      <c r="J60" s="195" t="s">
        <v>754</v>
      </c>
      <c r="K60" s="205" t="s">
        <v>70</v>
      </c>
      <c r="L60" s="195" t="s">
        <v>755</v>
      </c>
      <c r="M60" s="205">
        <v>450102900</v>
      </c>
      <c r="N60" s="195" t="s">
        <v>756</v>
      </c>
      <c r="O60" s="205">
        <v>5</v>
      </c>
      <c r="P60" s="205"/>
      <c r="Q60" s="205">
        <f t="shared" si="1"/>
        <v>5</v>
      </c>
      <c r="R60" s="210" t="s">
        <v>757</v>
      </c>
      <c r="S60" s="195" t="s">
        <v>758</v>
      </c>
      <c r="T60" s="483">
        <f t="shared" si="10"/>
        <v>1</v>
      </c>
      <c r="U60" s="195" t="s">
        <v>759</v>
      </c>
      <c r="V60" s="195" t="s">
        <v>760</v>
      </c>
      <c r="W60" s="195" t="s">
        <v>775</v>
      </c>
      <c r="X60" s="484">
        <v>30000000</v>
      </c>
      <c r="Y60" s="484"/>
      <c r="Z60" s="484"/>
      <c r="AA60" s="484"/>
      <c r="AB60" s="484">
        <f t="shared" si="4"/>
        <v>30000000</v>
      </c>
      <c r="AC60" s="205" t="s">
        <v>767</v>
      </c>
      <c r="AD60" s="205"/>
      <c r="AE60" s="205">
        <v>42</v>
      </c>
      <c r="AF60" s="65" t="s">
        <v>763</v>
      </c>
      <c r="AG60" s="485">
        <v>291786</v>
      </c>
      <c r="AH60" s="485">
        <v>270331</v>
      </c>
      <c r="AI60" s="485">
        <v>102045</v>
      </c>
      <c r="AJ60" s="485">
        <v>39183</v>
      </c>
      <c r="AK60" s="485">
        <v>310195</v>
      </c>
      <c r="AL60" s="485">
        <v>110694</v>
      </c>
      <c r="AM60" s="485">
        <v>2145</v>
      </c>
      <c r="AN60" s="485">
        <v>12718</v>
      </c>
      <c r="AO60" s="485">
        <v>26</v>
      </c>
      <c r="AP60" s="485">
        <v>37</v>
      </c>
      <c r="AQ60" s="485">
        <v>0</v>
      </c>
      <c r="AR60" s="485">
        <v>0</v>
      </c>
      <c r="AS60" s="485">
        <v>44350</v>
      </c>
      <c r="AT60" s="485">
        <v>21944</v>
      </c>
      <c r="AU60" s="485">
        <v>75687</v>
      </c>
      <c r="AV60" s="486">
        <f t="shared" si="9"/>
        <v>562117</v>
      </c>
      <c r="AW60" s="487">
        <v>45293</v>
      </c>
      <c r="AX60" s="487">
        <v>45657</v>
      </c>
      <c r="AY60" s="488" t="s">
        <v>648</v>
      </c>
    </row>
    <row r="61" spans="1:51" s="383" customFormat="1" ht="76.5" x14ac:dyDescent="0.25">
      <c r="A61" s="205">
        <v>1</v>
      </c>
      <c r="B61" s="195" t="s">
        <v>315</v>
      </c>
      <c r="C61" s="205">
        <v>45</v>
      </c>
      <c r="D61" s="195" t="s">
        <v>68</v>
      </c>
      <c r="E61" s="205">
        <v>4501</v>
      </c>
      <c r="F61" s="195" t="s">
        <v>752</v>
      </c>
      <c r="G61" s="205" t="s">
        <v>70</v>
      </c>
      <c r="H61" s="195" t="s">
        <v>753</v>
      </c>
      <c r="I61" s="205">
        <v>4501029</v>
      </c>
      <c r="J61" s="195" t="s">
        <v>754</v>
      </c>
      <c r="K61" s="205" t="s">
        <v>70</v>
      </c>
      <c r="L61" s="195" t="s">
        <v>755</v>
      </c>
      <c r="M61" s="205">
        <v>450102900</v>
      </c>
      <c r="N61" s="195" t="s">
        <v>756</v>
      </c>
      <c r="O61" s="205">
        <v>5</v>
      </c>
      <c r="P61" s="205"/>
      <c r="Q61" s="205">
        <f t="shared" si="1"/>
        <v>5</v>
      </c>
      <c r="R61" s="210" t="s">
        <v>757</v>
      </c>
      <c r="S61" s="195" t="s">
        <v>758</v>
      </c>
      <c r="T61" s="483">
        <f t="shared" si="10"/>
        <v>1</v>
      </c>
      <c r="U61" s="195" t="s">
        <v>759</v>
      </c>
      <c r="V61" s="195" t="s">
        <v>760</v>
      </c>
      <c r="W61" s="195" t="s">
        <v>776</v>
      </c>
      <c r="X61" s="484">
        <v>500000000</v>
      </c>
      <c r="Y61" s="484"/>
      <c r="Z61" s="484"/>
      <c r="AA61" s="484"/>
      <c r="AB61" s="484">
        <f t="shared" si="4"/>
        <v>500000000</v>
      </c>
      <c r="AC61" s="205" t="s">
        <v>767</v>
      </c>
      <c r="AD61" s="205"/>
      <c r="AE61" s="205">
        <v>42</v>
      </c>
      <c r="AF61" s="65" t="s">
        <v>763</v>
      </c>
      <c r="AG61" s="485">
        <v>291786</v>
      </c>
      <c r="AH61" s="485">
        <v>270331</v>
      </c>
      <c r="AI61" s="485">
        <v>102045</v>
      </c>
      <c r="AJ61" s="485">
        <v>39183</v>
      </c>
      <c r="AK61" s="485">
        <v>310195</v>
      </c>
      <c r="AL61" s="485">
        <v>110694</v>
      </c>
      <c r="AM61" s="485">
        <v>2145</v>
      </c>
      <c r="AN61" s="485">
        <v>12718</v>
      </c>
      <c r="AO61" s="485">
        <v>26</v>
      </c>
      <c r="AP61" s="485">
        <v>37</v>
      </c>
      <c r="AQ61" s="485">
        <v>0</v>
      </c>
      <c r="AR61" s="485">
        <v>0</v>
      </c>
      <c r="AS61" s="485">
        <v>44350</v>
      </c>
      <c r="AT61" s="485">
        <v>21944</v>
      </c>
      <c r="AU61" s="485">
        <v>75687</v>
      </c>
      <c r="AV61" s="486">
        <f t="shared" si="9"/>
        <v>562117</v>
      </c>
      <c r="AW61" s="487">
        <v>45293</v>
      </c>
      <c r="AX61" s="487">
        <v>45657</v>
      </c>
      <c r="AY61" s="488" t="s">
        <v>648</v>
      </c>
    </row>
    <row r="62" spans="1:51" s="383" customFormat="1" ht="102.75" customHeight="1" x14ac:dyDescent="0.25">
      <c r="A62" s="205">
        <v>1</v>
      </c>
      <c r="B62" s="195" t="s">
        <v>315</v>
      </c>
      <c r="C62" s="205">
        <v>45</v>
      </c>
      <c r="D62" s="195" t="s">
        <v>68</v>
      </c>
      <c r="E62" s="205">
        <v>4501</v>
      </c>
      <c r="F62" s="195" t="s">
        <v>752</v>
      </c>
      <c r="G62" s="205">
        <v>4501001</v>
      </c>
      <c r="H62" s="195" t="s">
        <v>224</v>
      </c>
      <c r="I62" s="205">
        <v>4501001</v>
      </c>
      <c r="J62" s="195" t="s">
        <v>224</v>
      </c>
      <c r="K62" s="205">
        <v>450100100</v>
      </c>
      <c r="L62" s="195" t="s">
        <v>777</v>
      </c>
      <c r="M62" s="205">
        <v>450100100</v>
      </c>
      <c r="N62" s="195" t="s">
        <v>777</v>
      </c>
      <c r="O62" s="205">
        <v>12</v>
      </c>
      <c r="P62" s="205"/>
      <c r="Q62" s="205">
        <f t="shared" si="1"/>
        <v>12</v>
      </c>
      <c r="R62" s="210" t="s">
        <v>778</v>
      </c>
      <c r="S62" s="195" t="s">
        <v>779</v>
      </c>
      <c r="T62" s="483">
        <f>SUM($X$62:$X$64)/SUM($X$62:$X$64)</f>
        <v>1</v>
      </c>
      <c r="U62" s="195" t="s">
        <v>780</v>
      </c>
      <c r="V62" s="195" t="s">
        <v>781</v>
      </c>
      <c r="W62" s="195" t="s">
        <v>782</v>
      </c>
      <c r="X62" s="484">
        <v>30000000</v>
      </c>
      <c r="Y62" s="484">
        <f>9000000+4800000+7400000</f>
        <v>21200000</v>
      </c>
      <c r="Z62" s="484"/>
      <c r="AA62" s="484"/>
      <c r="AB62" s="484">
        <f t="shared" si="4"/>
        <v>8800000</v>
      </c>
      <c r="AC62" s="205" t="s">
        <v>783</v>
      </c>
      <c r="AD62" s="205"/>
      <c r="AE62" s="205">
        <v>20</v>
      </c>
      <c r="AF62" s="65" t="s">
        <v>132</v>
      </c>
      <c r="AG62" s="485">
        <v>291786</v>
      </c>
      <c r="AH62" s="485">
        <v>270331</v>
      </c>
      <c r="AI62" s="485">
        <v>102045</v>
      </c>
      <c r="AJ62" s="485">
        <v>39183</v>
      </c>
      <c r="AK62" s="485">
        <v>310195</v>
      </c>
      <c r="AL62" s="485">
        <v>110694</v>
      </c>
      <c r="AM62" s="485">
        <v>2145</v>
      </c>
      <c r="AN62" s="485">
        <v>12718</v>
      </c>
      <c r="AO62" s="485">
        <v>26</v>
      </c>
      <c r="AP62" s="485">
        <v>37</v>
      </c>
      <c r="AQ62" s="485"/>
      <c r="AR62" s="485"/>
      <c r="AS62" s="485">
        <v>44350</v>
      </c>
      <c r="AT62" s="485">
        <v>21944</v>
      </c>
      <c r="AU62" s="485">
        <v>75687</v>
      </c>
      <c r="AV62" s="486">
        <f t="shared" si="9"/>
        <v>562117</v>
      </c>
      <c r="AW62" s="487">
        <v>45293</v>
      </c>
      <c r="AX62" s="487">
        <v>45657</v>
      </c>
      <c r="AY62" s="488" t="s">
        <v>648</v>
      </c>
    </row>
    <row r="63" spans="1:51" s="383" customFormat="1" ht="102.75" customHeight="1" x14ac:dyDescent="0.25">
      <c r="A63" s="205">
        <v>1</v>
      </c>
      <c r="B63" s="195" t="s">
        <v>315</v>
      </c>
      <c r="C63" s="205">
        <v>45</v>
      </c>
      <c r="D63" s="195" t="s">
        <v>68</v>
      </c>
      <c r="E63" s="205">
        <v>4501</v>
      </c>
      <c r="F63" s="195" t="s">
        <v>752</v>
      </c>
      <c r="G63" s="205">
        <v>4501001</v>
      </c>
      <c r="H63" s="195" t="s">
        <v>224</v>
      </c>
      <c r="I63" s="205">
        <v>4501001</v>
      </c>
      <c r="J63" s="195" t="s">
        <v>224</v>
      </c>
      <c r="K63" s="205">
        <v>450100100</v>
      </c>
      <c r="L63" s="195" t="s">
        <v>777</v>
      </c>
      <c r="M63" s="205">
        <v>450100100</v>
      </c>
      <c r="N63" s="195" t="s">
        <v>777</v>
      </c>
      <c r="O63" s="205">
        <v>12</v>
      </c>
      <c r="P63" s="205"/>
      <c r="Q63" s="205">
        <f t="shared" si="1"/>
        <v>12</v>
      </c>
      <c r="R63" s="210" t="s">
        <v>778</v>
      </c>
      <c r="S63" s="195" t="s">
        <v>779</v>
      </c>
      <c r="T63" s="483">
        <f>SUM($X$62:$X$64)/SUM($X$62:$X$64)</f>
        <v>1</v>
      </c>
      <c r="U63" s="195" t="s">
        <v>780</v>
      </c>
      <c r="V63" s="195" t="s">
        <v>781</v>
      </c>
      <c r="W63" s="195" t="s">
        <v>784</v>
      </c>
      <c r="X63" s="484">
        <v>2000000</v>
      </c>
      <c r="Y63" s="484"/>
      <c r="Z63" s="484"/>
      <c r="AA63" s="484"/>
      <c r="AB63" s="484">
        <f t="shared" si="4"/>
        <v>2000000</v>
      </c>
      <c r="AC63" s="205" t="s">
        <v>785</v>
      </c>
      <c r="AD63" s="205"/>
      <c r="AE63" s="205">
        <v>20</v>
      </c>
      <c r="AF63" s="65" t="s">
        <v>132</v>
      </c>
      <c r="AG63" s="485">
        <v>291786</v>
      </c>
      <c r="AH63" s="485">
        <v>270331</v>
      </c>
      <c r="AI63" s="485">
        <v>102045</v>
      </c>
      <c r="AJ63" s="485">
        <v>39183</v>
      </c>
      <c r="AK63" s="485">
        <v>310195</v>
      </c>
      <c r="AL63" s="485">
        <v>110694</v>
      </c>
      <c r="AM63" s="485">
        <v>2145</v>
      </c>
      <c r="AN63" s="485">
        <v>12718</v>
      </c>
      <c r="AO63" s="485">
        <v>26</v>
      </c>
      <c r="AP63" s="485">
        <v>37</v>
      </c>
      <c r="AQ63" s="485"/>
      <c r="AR63" s="485"/>
      <c r="AS63" s="485">
        <v>44350</v>
      </c>
      <c r="AT63" s="485">
        <v>21944</v>
      </c>
      <c r="AU63" s="485">
        <v>75687</v>
      </c>
      <c r="AV63" s="486">
        <f t="shared" si="9"/>
        <v>562117</v>
      </c>
      <c r="AW63" s="487">
        <v>45293</v>
      </c>
      <c r="AX63" s="487">
        <v>45657</v>
      </c>
      <c r="AY63" s="488" t="s">
        <v>648</v>
      </c>
    </row>
    <row r="64" spans="1:51" s="383" customFormat="1" ht="102.75" customHeight="1" x14ac:dyDescent="0.25">
      <c r="A64" s="205">
        <v>1</v>
      </c>
      <c r="B64" s="195" t="s">
        <v>315</v>
      </c>
      <c r="C64" s="205">
        <v>45</v>
      </c>
      <c r="D64" s="195" t="s">
        <v>68</v>
      </c>
      <c r="E64" s="205">
        <v>4501</v>
      </c>
      <c r="F64" s="195" t="s">
        <v>752</v>
      </c>
      <c r="G64" s="205">
        <v>4501001</v>
      </c>
      <c r="H64" s="195" t="s">
        <v>224</v>
      </c>
      <c r="I64" s="205">
        <v>4501001</v>
      </c>
      <c r="J64" s="195" t="s">
        <v>224</v>
      </c>
      <c r="K64" s="205">
        <v>450100100</v>
      </c>
      <c r="L64" s="195" t="s">
        <v>777</v>
      </c>
      <c r="M64" s="205">
        <v>450100100</v>
      </c>
      <c r="N64" s="195" t="s">
        <v>777</v>
      </c>
      <c r="O64" s="205">
        <v>12</v>
      </c>
      <c r="P64" s="205"/>
      <c r="Q64" s="205">
        <f t="shared" si="1"/>
        <v>12</v>
      </c>
      <c r="R64" s="210" t="s">
        <v>778</v>
      </c>
      <c r="S64" s="195" t="s">
        <v>779</v>
      </c>
      <c r="T64" s="483">
        <f>SUM($X$62:$X$64)/SUM($X$62:$X$64)</f>
        <v>1</v>
      </c>
      <c r="U64" s="195" t="s">
        <v>780</v>
      </c>
      <c r="V64" s="195" t="s">
        <v>781</v>
      </c>
      <c r="W64" s="195" t="s">
        <v>784</v>
      </c>
      <c r="X64" s="484">
        <v>18000000</v>
      </c>
      <c r="Y64" s="484"/>
      <c r="Z64" s="484"/>
      <c r="AA64" s="484"/>
      <c r="AB64" s="484">
        <f t="shared" si="4"/>
        <v>18000000</v>
      </c>
      <c r="AC64" s="205" t="s">
        <v>783</v>
      </c>
      <c r="AD64" s="205"/>
      <c r="AE64" s="205">
        <v>20</v>
      </c>
      <c r="AF64" s="65" t="s">
        <v>132</v>
      </c>
      <c r="AG64" s="485">
        <v>291786</v>
      </c>
      <c r="AH64" s="485">
        <v>270331</v>
      </c>
      <c r="AI64" s="485">
        <v>102045</v>
      </c>
      <c r="AJ64" s="485">
        <v>39183</v>
      </c>
      <c r="AK64" s="485">
        <v>310195</v>
      </c>
      <c r="AL64" s="485">
        <v>110694</v>
      </c>
      <c r="AM64" s="485">
        <v>2145</v>
      </c>
      <c r="AN64" s="485">
        <v>12718</v>
      </c>
      <c r="AO64" s="485">
        <v>26</v>
      </c>
      <c r="AP64" s="485">
        <v>37</v>
      </c>
      <c r="AQ64" s="485"/>
      <c r="AR64" s="485"/>
      <c r="AS64" s="485">
        <v>44350</v>
      </c>
      <c r="AT64" s="485">
        <v>21944</v>
      </c>
      <c r="AU64" s="485">
        <v>75687</v>
      </c>
      <c r="AV64" s="486">
        <f t="shared" si="9"/>
        <v>562117</v>
      </c>
      <c r="AW64" s="487">
        <v>45293</v>
      </c>
      <c r="AX64" s="487">
        <v>45657</v>
      </c>
      <c r="AY64" s="488" t="s">
        <v>648</v>
      </c>
    </row>
    <row r="65" spans="1:51" s="383" customFormat="1" ht="76.5" x14ac:dyDescent="0.25">
      <c r="A65" s="205">
        <v>3</v>
      </c>
      <c r="B65" s="195" t="s">
        <v>403</v>
      </c>
      <c r="C65" s="205">
        <v>32</v>
      </c>
      <c r="D65" s="195" t="s">
        <v>431</v>
      </c>
      <c r="E65" s="205">
        <v>3205</v>
      </c>
      <c r="F65" s="195" t="s">
        <v>432</v>
      </c>
      <c r="G65" s="205">
        <v>3205002</v>
      </c>
      <c r="H65" s="195" t="s">
        <v>786</v>
      </c>
      <c r="I65" s="205">
        <v>3205002</v>
      </c>
      <c r="J65" s="195" t="s">
        <v>786</v>
      </c>
      <c r="K65" s="205">
        <v>320500200</v>
      </c>
      <c r="L65" s="195" t="s">
        <v>787</v>
      </c>
      <c r="M65" s="205">
        <v>320500200</v>
      </c>
      <c r="N65" s="195" t="s">
        <v>787</v>
      </c>
      <c r="O65" s="205">
        <v>3</v>
      </c>
      <c r="P65" s="205"/>
      <c r="Q65" s="205">
        <f t="shared" si="1"/>
        <v>3</v>
      </c>
      <c r="R65" s="210" t="s">
        <v>788</v>
      </c>
      <c r="S65" s="195" t="s">
        <v>789</v>
      </c>
      <c r="T65" s="483">
        <f>SUM($X$65:$X$66)/SUM($X$65:$X$66)</f>
        <v>1</v>
      </c>
      <c r="U65" s="195" t="s">
        <v>790</v>
      </c>
      <c r="V65" s="195" t="s">
        <v>791</v>
      </c>
      <c r="W65" s="195" t="s">
        <v>792</v>
      </c>
      <c r="X65" s="484">
        <v>50000000</v>
      </c>
      <c r="Y65" s="484"/>
      <c r="Z65" s="484"/>
      <c r="AA65" s="484"/>
      <c r="AB65" s="484">
        <f t="shared" si="4"/>
        <v>50000000</v>
      </c>
      <c r="AC65" s="205" t="s">
        <v>793</v>
      </c>
      <c r="AD65" s="205"/>
      <c r="AE65" s="205">
        <v>20</v>
      </c>
      <c r="AF65" s="65" t="s">
        <v>132</v>
      </c>
      <c r="AG65" s="485">
        <v>181571</v>
      </c>
      <c r="AH65" s="485">
        <v>173060</v>
      </c>
      <c r="AI65" s="485">
        <v>98942</v>
      </c>
      <c r="AJ65" s="485">
        <v>114369</v>
      </c>
      <c r="AK65" s="485">
        <v>114368</v>
      </c>
      <c r="AL65" s="485">
        <v>26952</v>
      </c>
      <c r="AM65" s="485"/>
      <c r="AN65" s="485"/>
      <c r="AO65" s="485"/>
      <c r="AP65" s="485"/>
      <c r="AQ65" s="485"/>
      <c r="AR65" s="485"/>
      <c r="AS65" s="485"/>
      <c r="AT65" s="485"/>
      <c r="AU65" s="485"/>
      <c r="AV65" s="486">
        <f t="shared" ref="AV65:AV78" si="11">AI65+AJ65+AK65+AL65</f>
        <v>354631</v>
      </c>
      <c r="AW65" s="487">
        <v>45293</v>
      </c>
      <c r="AX65" s="487">
        <v>45657</v>
      </c>
      <c r="AY65" s="488" t="s">
        <v>648</v>
      </c>
    </row>
    <row r="66" spans="1:51" s="383" customFormat="1" ht="76.5" x14ac:dyDescent="0.25">
      <c r="A66" s="205">
        <v>3</v>
      </c>
      <c r="B66" s="195" t="s">
        <v>403</v>
      </c>
      <c r="C66" s="205">
        <v>32</v>
      </c>
      <c r="D66" s="195" t="s">
        <v>431</v>
      </c>
      <c r="E66" s="205">
        <v>3205</v>
      </c>
      <c r="F66" s="195" t="s">
        <v>432</v>
      </c>
      <c r="G66" s="205">
        <v>3205002</v>
      </c>
      <c r="H66" s="195" t="s">
        <v>786</v>
      </c>
      <c r="I66" s="205">
        <v>3205002</v>
      </c>
      <c r="J66" s="195" t="s">
        <v>786</v>
      </c>
      <c r="K66" s="205">
        <v>320500200</v>
      </c>
      <c r="L66" s="195" t="s">
        <v>787</v>
      </c>
      <c r="M66" s="205">
        <v>320500200</v>
      </c>
      <c r="N66" s="195" t="s">
        <v>787</v>
      </c>
      <c r="O66" s="205">
        <v>3</v>
      </c>
      <c r="P66" s="205"/>
      <c r="Q66" s="205">
        <f t="shared" si="1"/>
        <v>3</v>
      </c>
      <c r="R66" s="210" t="s">
        <v>788</v>
      </c>
      <c r="S66" s="195" t="s">
        <v>789</v>
      </c>
      <c r="T66" s="483">
        <f>SUM($X$65:$X$66)/SUM($X$65:$X$66)</f>
        <v>1</v>
      </c>
      <c r="U66" s="195" t="s">
        <v>790</v>
      </c>
      <c r="V66" s="195" t="s">
        <v>791</v>
      </c>
      <c r="W66" s="195" t="s">
        <v>794</v>
      </c>
      <c r="X66" s="484">
        <v>50000000</v>
      </c>
      <c r="Y66" s="484">
        <f>24000000</f>
        <v>24000000</v>
      </c>
      <c r="Z66" s="484"/>
      <c r="AA66" s="484"/>
      <c r="AB66" s="484">
        <f t="shared" si="4"/>
        <v>26000000</v>
      </c>
      <c r="AC66" s="205" t="s">
        <v>793</v>
      </c>
      <c r="AD66" s="205"/>
      <c r="AE66" s="205">
        <v>20</v>
      </c>
      <c r="AF66" s="65" t="s">
        <v>132</v>
      </c>
      <c r="AG66" s="485">
        <v>181571</v>
      </c>
      <c r="AH66" s="485">
        <v>173060</v>
      </c>
      <c r="AI66" s="485">
        <v>98942</v>
      </c>
      <c r="AJ66" s="485">
        <v>114369</v>
      </c>
      <c r="AK66" s="485">
        <v>114368</v>
      </c>
      <c r="AL66" s="485">
        <v>26952</v>
      </c>
      <c r="AM66" s="485"/>
      <c r="AN66" s="485"/>
      <c r="AO66" s="485"/>
      <c r="AP66" s="485"/>
      <c r="AQ66" s="485"/>
      <c r="AR66" s="485"/>
      <c r="AS66" s="485"/>
      <c r="AT66" s="485"/>
      <c r="AU66" s="485"/>
      <c r="AV66" s="486">
        <f t="shared" si="11"/>
        <v>354631</v>
      </c>
      <c r="AW66" s="487">
        <v>45293</v>
      </c>
      <c r="AX66" s="487">
        <v>45657</v>
      </c>
      <c r="AY66" s="488" t="s">
        <v>648</v>
      </c>
    </row>
    <row r="67" spans="1:51" s="383" customFormat="1" ht="114.75" x14ac:dyDescent="0.25">
      <c r="A67" s="205">
        <v>3</v>
      </c>
      <c r="B67" s="195" t="s">
        <v>403</v>
      </c>
      <c r="C67" s="205">
        <v>45</v>
      </c>
      <c r="D67" s="195" t="s">
        <v>68</v>
      </c>
      <c r="E67" s="205">
        <v>4503</v>
      </c>
      <c r="F67" s="195" t="s">
        <v>795</v>
      </c>
      <c r="G67" s="205">
        <v>4503002</v>
      </c>
      <c r="H67" s="195" t="s">
        <v>796</v>
      </c>
      <c r="I67" s="205">
        <v>4503002</v>
      </c>
      <c r="J67" s="195" t="s">
        <v>796</v>
      </c>
      <c r="K67" s="205">
        <v>450300200</v>
      </c>
      <c r="L67" s="195" t="s">
        <v>530</v>
      </c>
      <c r="M67" s="205">
        <v>450300200</v>
      </c>
      <c r="N67" s="195" t="s">
        <v>530</v>
      </c>
      <c r="O67" s="205">
        <v>5000</v>
      </c>
      <c r="P67" s="205"/>
      <c r="Q67" s="205">
        <f t="shared" si="1"/>
        <v>5000</v>
      </c>
      <c r="R67" s="210" t="s">
        <v>797</v>
      </c>
      <c r="S67" s="195" t="s">
        <v>798</v>
      </c>
      <c r="T67" s="483">
        <f>SUM($X$67:$X$69)/SUM($X$67:$X$78)</f>
        <v>0.22033898305084745</v>
      </c>
      <c r="U67" s="195" t="s">
        <v>799</v>
      </c>
      <c r="V67" s="195" t="s">
        <v>800</v>
      </c>
      <c r="W67" s="195" t="s">
        <v>801</v>
      </c>
      <c r="X67" s="484">
        <v>59000000</v>
      </c>
      <c r="Y67" s="484">
        <f>11000000+3900000</f>
        <v>14900000</v>
      </c>
      <c r="Z67" s="484"/>
      <c r="AA67" s="484"/>
      <c r="AB67" s="484">
        <f t="shared" si="4"/>
        <v>44100000</v>
      </c>
      <c r="AC67" s="205" t="s">
        <v>802</v>
      </c>
      <c r="AD67" s="205"/>
      <c r="AE67" s="205">
        <v>20</v>
      </c>
      <c r="AF67" s="65" t="s">
        <v>132</v>
      </c>
      <c r="AG67" s="485">
        <v>296582</v>
      </c>
      <c r="AH67" s="485">
        <v>284952</v>
      </c>
      <c r="AI67" s="485">
        <v>135545</v>
      </c>
      <c r="AJ67" s="485">
        <v>44254</v>
      </c>
      <c r="AK67" s="485">
        <v>309146</v>
      </c>
      <c r="AL67" s="485">
        <v>92589</v>
      </c>
      <c r="AM67" s="485">
        <v>2145</v>
      </c>
      <c r="AN67" s="485">
        <v>12718</v>
      </c>
      <c r="AO67" s="485">
        <v>0</v>
      </c>
      <c r="AP67" s="485">
        <v>0</v>
      </c>
      <c r="AQ67" s="485">
        <v>0</v>
      </c>
      <c r="AR67" s="485">
        <v>0</v>
      </c>
      <c r="AS67" s="485">
        <v>0</v>
      </c>
      <c r="AT67" s="485">
        <v>0</v>
      </c>
      <c r="AU67" s="485">
        <v>0</v>
      </c>
      <c r="AV67" s="486">
        <f t="shared" si="11"/>
        <v>581534</v>
      </c>
      <c r="AW67" s="487">
        <v>45293</v>
      </c>
      <c r="AX67" s="487">
        <v>45657</v>
      </c>
      <c r="AY67" s="488" t="s">
        <v>648</v>
      </c>
    </row>
    <row r="68" spans="1:51" s="383" customFormat="1" ht="114.75" x14ac:dyDescent="0.25">
      <c r="A68" s="205">
        <v>3</v>
      </c>
      <c r="B68" s="195" t="s">
        <v>403</v>
      </c>
      <c r="C68" s="205">
        <v>45</v>
      </c>
      <c r="D68" s="195" t="s">
        <v>68</v>
      </c>
      <c r="E68" s="205">
        <v>4503</v>
      </c>
      <c r="F68" s="195" t="s">
        <v>795</v>
      </c>
      <c r="G68" s="205">
        <v>4503002</v>
      </c>
      <c r="H68" s="195" t="s">
        <v>796</v>
      </c>
      <c r="I68" s="205">
        <v>4503002</v>
      </c>
      <c r="J68" s="195" t="s">
        <v>796</v>
      </c>
      <c r="K68" s="205">
        <v>450300200</v>
      </c>
      <c r="L68" s="195" t="s">
        <v>530</v>
      </c>
      <c r="M68" s="205">
        <v>450300200</v>
      </c>
      <c r="N68" s="195" t="s">
        <v>530</v>
      </c>
      <c r="O68" s="205">
        <v>5000</v>
      </c>
      <c r="P68" s="205"/>
      <c r="Q68" s="205">
        <f t="shared" si="1"/>
        <v>5000</v>
      </c>
      <c r="R68" s="210" t="s">
        <v>797</v>
      </c>
      <c r="S68" s="195" t="s">
        <v>798</v>
      </c>
      <c r="T68" s="483">
        <f>SUM($X$67:$X$69)/SUM($X$67:$X$78)</f>
        <v>0.22033898305084745</v>
      </c>
      <c r="U68" s="195" t="s">
        <v>799</v>
      </c>
      <c r="V68" s="195" t="s">
        <v>800</v>
      </c>
      <c r="W68" s="195" t="s">
        <v>803</v>
      </c>
      <c r="X68" s="484">
        <v>2000000</v>
      </c>
      <c r="Y68" s="484"/>
      <c r="Z68" s="484"/>
      <c r="AA68" s="484"/>
      <c r="AB68" s="484">
        <f t="shared" si="4"/>
        <v>2000000</v>
      </c>
      <c r="AC68" s="205" t="s">
        <v>804</v>
      </c>
      <c r="AD68" s="205"/>
      <c r="AE68" s="205">
        <v>20</v>
      </c>
      <c r="AF68" s="65" t="s">
        <v>132</v>
      </c>
      <c r="AG68" s="485">
        <v>296582</v>
      </c>
      <c r="AH68" s="485">
        <v>284952</v>
      </c>
      <c r="AI68" s="485">
        <v>135545</v>
      </c>
      <c r="AJ68" s="485">
        <v>44254</v>
      </c>
      <c r="AK68" s="485">
        <v>309146</v>
      </c>
      <c r="AL68" s="485">
        <v>92589</v>
      </c>
      <c r="AM68" s="485">
        <v>2145</v>
      </c>
      <c r="AN68" s="485">
        <v>12718</v>
      </c>
      <c r="AO68" s="485">
        <v>0</v>
      </c>
      <c r="AP68" s="485">
        <v>0</v>
      </c>
      <c r="AQ68" s="485">
        <v>0</v>
      </c>
      <c r="AR68" s="485">
        <v>0</v>
      </c>
      <c r="AS68" s="485">
        <v>0</v>
      </c>
      <c r="AT68" s="485">
        <v>0</v>
      </c>
      <c r="AU68" s="485">
        <v>0</v>
      </c>
      <c r="AV68" s="486">
        <f t="shared" si="11"/>
        <v>581534</v>
      </c>
      <c r="AW68" s="487">
        <v>45293</v>
      </c>
      <c r="AX68" s="487">
        <v>45657</v>
      </c>
      <c r="AY68" s="488" t="s">
        <v>648</v>
      </c>
    </row>
    <row r="69" spans="1:51" s="383" customFormat="1" ht="114.75" x14ac:dyDescent="0.25">
      <c r="A69" s="205">
        <v>3</v>
      </c>
      <c r="B69" s="195" t="s">
        <v>403</v>
      </c>
      <c r="C69" s="205">
        <v>45</v>
      </c>
      <c r="D69" s="195" t="s">
        <v>68</v>
      </c>
      <c r="E69" s="205">
        <v>4503</v>
      </c>
      <c r="F69" s="195" t="s">
        <v>795</v>
      </c>
      <c r="G69" s="205">
        <v>4503002</v>
      </c>
      <c r="H69" s="195" t="s">
        <v>796</v>
      </c>
      <c r="I69" s="205">
        <v>4503002</v>
      </c>
      <c r="J69" s="195" t="s">
        <v>796</v>
      </c>
      <c r="K69" s="205">
        <v>450300200</v>
      </c>
      <c r="L69" s="195" t="s">
        <v>530</v>
      </c>
      <c r="M69" s="205">
        <v>450300200</v>
      </c>
      <c r="N69" s="195" t="s">
        <v>530</v>
      </c>
      <c r="O69" s="205">
        <v>5000</v>
      </c>
      <c r="P69" s="205"/>
      <c r="Q69" s="205">
        <f t="shared" si="1"/>
        <v>5000</v>
      </c>
      <c r="R69" s="210" t="s">
        <v>797</v>
      </c>
      <c r="S69" s="195" t="s">
        <v>798</v>
      </c>
      <c r="T69" s="483">
        <f>SUM($X$67:$X$69)/SUM($X$67:$X$78)</f>
        <v>0.22033898305084745</v>
      </c>
      <c r="U69" s="195" t="s">
        <v>799</v>
      </c>
      <c r="V69" s="195" t="s">
        <v>800</v>
      </c>
      <c r="W69" s="195" t="s">
        <v>805</v>
      </c>
      <c r="X69" s="484">
        <v>4000000</v>
      </c>
      <c r="Y69" s="484"/>
      <c r="Z69" s="484"/>
      <c r="AA69" s="484"/>
      <c r="AB69" s="484">
        <f t="shared" si="4"/>
        <v>4000000</v>
      </c>
      <c r="AC69" s="205" t="s">
        <v>806</v>
      </c>
      <c r="AD69" s="205"/>
      <c r="AE69" s="205">
        <v>20</v>
      </c>
      <c r="AF69" s="65" t="s">
        <v>132</v>
      </c>
      <c r="AG69" s="485">
        <v>296582</v>
      </c>
      <c r="AH69" s="485">
        <v>284952</v>
      </c>
      <c r="AI69" s="485">
        <v>135545</v>
      </c>
      <c r="AJ69" s="485">
        <v>44254</v>
      </c>
      <c r="AK69" s="485">
        <v>309146</v>
      </c>
      <c r="AL69" s="485">
        <v>92589</v>
      </c>
      <c r="AM69" s="485">
        <v>2145</v>
      </c>
      <c r="AN69" s="485">
        <v>12718</v>
      </c>
      <c r="AO69" s="485">
        <v>0</v>
      </c>
      <c r="AP69" s="485">
        <v>0</v>
      </c>
      <c r="AQ69" s="485">
        <v>0</v>
      </c>
      <c r="AR69" s="485">
        <v>0</v>
      </c>
      <c r="AS69" s="485">
        <v>0</v>
      </c>
      <c r="AT69" s="485">
        <v>0</v>
      </c>
      <c r="AU69" s="485">
        <v>0</v>
      </c>
      <c r="AV69" s="486">
        <f t="shared" si="11"/>
        <v>581534</v>
      </c>
      <c r="AW69" s="487">
        <v>45293</v>
      </c>
      <c r="AX69" s="487">
        <v>45657</v>
      </c>
      <c r="AY69" s="488" t="s">
        <v>648</v>
      </c>
    </row>
    <row r="70" spans="1:51" s="383" customFormat="1" ht="114.75" x14ac:dyDescent="0.25">
      <c r="A70" s="205">
        <v>3</v>
      </c>
      <c r="B70" s="195" t="s">
        <v>403</v>
      </c>
      <c r="C70" s="205">
        <v>45</v>
      </c>
      <c r="D70" s="195" t="s">
        <v>68</v>
      </c>
      <c r="E70" s="205">
        <v>4503</v>
      </c>
      <c r="F70" s="195" t="s">
        <v>795</v>
      </c>
      <c r="G70" s="205">
        <v>4503003</v>
      </c>
      <c r="H70" s="195" t="s">
        <v>224</v>
      </c>
      <c r="I70" s="205">
        <v>4503003</v>
      </c>
      <c r="J70" s="195" t="s">
        <v>224</v>
      </c>
      <c r="K70" s="205">
        <v>450300300</v>
      </c>
      <c r="L70" s="195" t="s">
        <v>807</v>
      </c>
      <c r="M70" s="205">
        <v>450300300</v>
      </c>
      <c r="N70" s="195" t="s">
        <v>807</v>
      </c>
      <c r="O70" s="205">
        <v>12</v>
      </c>
      <c r="P70" s="205"/>
      <c r="Q70" s="205">
        <f t="shared" si="1"/>
        <v>12</v>
      </c>
      <c r="R70" s="210" t="s">
        <v>797</v>
      </c>
      <c r="S70" s="195" t="s">
        <v>798</v>
      </c>
      <c r="T70" s="483">
        <f>SUM($X$70:$X$77)/SUM($X$67:$X$78)</f>
        <v>0.66101694915254239</v>
      </c>
      <c r="U70" s="195" t="s">
        <v>799</v>
      </c>
      <c r="V70" s="195" t="s">
        <v>808</v>
      </c>
      <c r="W70" s="195" t="s">
        <v>809</v>
      </c>
      <c r="X70" s="484">
        <v>5000000</v>
      </c>
      <c r="Y70" s="484"/>
      <c r="Z70" s="484"/>
      <c r="AA70" s="484"/>
      <c r="AB70" s="484">
        <f t="shared" si="4"/>
        <v>5000000</v>
      </c>
      <c r="AC70" s="205" t="s">
        <v>810</v>
      </c>
      <c r="AD70" s="205"/>
      <c r="AE70" s="205">
        <v>20</v>
      </c>
      <c r="AF70" s="65" t="s">
        <v>132</v>
      </c>
      <c r="AG70" s="485">
        <v>296582</v>
      </c>
      <c r="AH70" s="485">
        <v>284952</v>
      </c>
      <c r="AI70" s="485">
        <v>135545</v>
      </c>
      <c r="AJ70" s="485">
        <v>44254</v>
      </c>
      <c r="AK70" s="485">
        <v>309146</v>
      </c>
      <c r="AL70" s="485">
        <v>92589</v>
      </c>
      <c r="AM70" s="485">
        <v>2145</v>
      </c>
      <c r="AN70" s="485">
        <v>12718</v>
      </c>
      <c r="AO70" s="485">
        <v>0</v>
      </c>
      <c r="AP70" s="485">
        <v>0</v>
      </c>
      <c r="AQ70" s="485">
        <v>0</v>
      </c>
      <c r="AR70" s="485">
        <v>0</v>
      </c>
      <c r="AS70" s="485">
        <v>0</v>
      </c>
      <c r="AT70" s="485">
        <v>0</v>
      </c>
      <c r="AU70" s="485">
        <v>0</v>
      </c>
      <c r="AV70" s="486">
        <f t="shared" si="11"/>
        <v>581534</v>
      </c>
      <c r="AW70" s="487">
        <v>45293</v>
      </c>
      <c r="AX70" s="487">
        <v>45657</v>
      </c>
      <c r="AY70" s="488" t="s">
        <v>648</v>
      </c>
    </row>
    <row r="71" spans="1:51" s="383" customFormat="1" ht="114.75" x14ac:dyDescent="0.25">
      <c r="A71" s="205">
        <v>3</v>
      </c>
      <c r="B71" s="195" t="s">
        <v>403</v>
      </c>
      <c r="C71" s="205">
        <v>45</v>
      </c>
      <c r="D71" s="195" t="s">
        <v>68</v>
      </c>
      <c r="E71" s="205">
        <v>4503</v>
      </c>
      <c r="F71" s="195" t="s">
        <v>795</v>
      </c>
      <c r="G71" s="205">
        <v>4503003</v>
      </c>
      <c r="H71" s="195" t="s">
        <v>224</v>
      </c>
      <c r="I71" s="205">
        <v>4503003</v>
      </c>
      <c r="J71" s="195" t="s">
        <v>224</v>
      </c>
      <c r="K71" s="205">
        <v>450300300</v>
      </c>
      <c r="L71" s="195" t="s">
        <v>807</v>
      </c>
      <c r="M71" s="205">
        <v>450300300</v>
      </c>
      <c r="N71" s="195" t="s">
        <v>807</v>
      </c>
      <c r="O71" s="205">
        <v>12</v>
      </c>
      <c r="P71" s="205"/>
      <c r="Q71" s="205">
        <f t="shared" si="1"/>
        <v>12</v>
      </c>
      <c r="R71" s="210" t="s">
        <v>797</v>
      </c>
      <c r="S71" s="195" t="s">
        <v>798</v>
      </c>
      <c r="T71" s="483">
        <f t="shared" ref="T71:T77" si="12">SUM($X$70:$X$77)/SUM($X$67:$X$78)</f>
        <v>0.66101694915254239</v>
      </c>
      <c r="U71" s="195" t="s">
        <v>799</v>
      </c>
      <c r="V71" s="195" t="s">
        <v>808</v>
      </c>
      <c r="W71" s="195" t="s">
        <v>811</v>
      </c>
      <c r="X71" s="484">
        <v>110000000</v>
      </c>
      <c r="Y71" s="484">
        <f>14800000+25800000</f>
        <v>40600000</v>
      </c>
      <c r="Z71" s="484"/>
      <c r="AA71" s="484"/>
      <c r="AB71" s="484">
        <f t="shared" si="4"/>
        <v>69400000</v>
      </c>
      <c r="AC71" s="65" t="s">
        <v>812</v>
      </c>
      <c r="AD71" s="205"/>
      <c r="AE71" s="205">
        <v>20</v>
      </c>
      <c r="AF71" s="65" t="s">
        <v>132</v>
      </c>
      <c r="AG71" s="485">
        <v>296582</v>
      </c>
      <c r="AH71" s="485">
        <v>284952</v>
      </c>
      <c r="AI71" s="485">
        <v>135545</v>
      </c>
      <c r="AJ71" s="485">
        <v>44254</v>
      </c>
      <c r="AK71" s="485">
        <v>309146</v>
      </c>
      <c r="AL71" s="485">
        <v>92589</v>
      </c>
      <c r="AM71" s="485">
        <v>2145</v>
      </c>
      <c r="AN71" s="485">
        <v>12718</v>
      </c>
      <c r="AO71" s="485">
        <v>0</v>
      </c>
      <c r="AP71" s="485">
        <v>0</v>
      </c>
      <c r="AQ71" s="485">
        <v>0</v>
      </c>
      <c r="AR71" s="485">
        <v>0</v>
      </c>
      <c r="AS71" s="485">
        <v>0</v>
      </c>
      <c r="AT71" s="485">
        <v>0</v>
      </c>
      <c r="AU71" s="485">
        <v>0</v>
      </c>
      <c r="AV71" s="486">
        <f t="shared" si="11"/>
        <v>581534</v>
      </c>
      <c r="AW71" s="487">
        <v>45293</v>
      </c>
      <c r="AX71" s="487">
        <v>45657</v>
      </c>
      <c r="AY71" s="488" t="s">
        <v>648</v>
      </c>
    </row>
    <row r="72" spans="1:51" s="383" customFormat="1" ht="114.75" x14ac:dyDescent="0.25">
      <c r="A72" s="205">
        <v>3</v>
      </c>
      <c r="B72" s="195" t="s">
        <v>403</v>
      </c>
      <c r="C72" s="205">
        <v>45</v>
      </c>
      <c r="D72" s="195" t="s">
        <v>68</v>
      </c>
      <c r="E72" s="205">
        <v>4503</v>
      </c>
      <c r="F72" s="195" t="s">
        <v>795</v>
      </c>
      <c r="G72" s="205">
        <v>4503003</v>
      </c>
      <c r="H72" s="195" t="s">
        <v>224</v>
      </c>
      <c r="I72" s="205">
        <v>4503003</v>
      </c>
      <c r="J72" s="195" t="s">
        <v>224</v>
      </c>
      <c r="K72" s="205">
        <v>450300300</v>
      </c>
      <c r="L72" s="195" t="s">
        <v>807</v>
      </c>
      <c r="M72" s="205">
        <v>450300300</v>
      </c>
      <c r="N72" s="195" t="s">
        <v>807</v>
      </c>
      <c r="O72" s="205">
        <v>12</v>
      </c>
      <c r="P72" s="205"/>
      <c r="Q72" s="205">
        <f t="shared" si="1"/>
        <v>12</v>
      </c>
      <c r="R72" s="210" t="s">
        <v>797</v>
      </c>
      <c r="S72" s="195" t="s">
        <v>798</v>
      </c>
      <c r="T72" s="483">
        <f t="shared" si="12"/>
        <v>0.66101694915254239</v>
      </c>
      <c r="U72" s="195" t="s">
        <v>799</v>
      </c>
      <c r="V72" s="195" t="s">
        <v>808</v>
      </c>
      <c r="W72" s="195" t="s">
        <v>813</v>
      </c>
      <c r="X72" s="484">
        <v>30000000</v>
      </c>
      <c r="Y72" s="484">
        <v>11100000</v>
      </c>
      <c r="Z72" s="484"/>
      <c r="AA72" s="484"/>
      <c r="AB72" s="484">
        <f t="shared" si="4"/>
        <v>18900000</v>
      </c>
      <c r="AC72" s="205" t="s">
        <v>814</v>
      </c>
      <c r="AD72" s="205"/>
      <c r="AE72" s="205">
        <v>20</v>
      </c>
      <c r="AF72" s="65" t="s">
        <v>132</v>
      </c>
      <c r="AG72" s="485">
        <v>296582</v>
      </c>
      <c r="AH72" s="485">
        <v>284952</v>
      </c>
      <c r="AI72" s="485">
        <v>135545</v>
      </c>
      <c r="AJ72" s="485">
        <v>44254</v>
      </c>
      <c r="AK72" s="485">
        <v>309146</v>
      </c>
      <c r="AL72" s="485">
        <v>92589</v>
      </c>
      <c r="AM72" s="485">
        <v>2145</v>
      </c>
      <c r="AN72" s="485">
        <v>12718</v>
      </c>
      <c r="AO72" s="485">
        <v>0</v>
      </c>
      <c r="AP72" s="485">
        <v>0</v>
      </c>
      <c r="AQ72" s="485">
        <v>0</v>
      </c>
      <c r="AR72" s="485">
        <v>0</v>
      </c>
      <c r="AS72" s="485">
        <v>0</v>
      </c>
      <c r="AT72" s="485">
        <v>0</v>
      </c>
      <c r="AU72" s="485">
        <v>0</v>
      </c>
      <c r="AV72" s="486">
        <f t="shared" si="11"/>
        <v>581534</v>
      </c>
      <c r="AW72" s="487">
        <v>45293</v>
      </c>
      <c r="AX72" s="487">
        <v>45657</v>
      </c>
      <c r="AY72" s="488" t="s">
        <v>648</v>
      </c>
    </row>
    <row r="73" spans="1:51" s="383" customFormat="1" ht="114.75" x14ac:dyDescent="0.25">
      <c r="A73" s="205">
        <v>3</v>
      </c>
      <c r="B73" s="195" t="s">
        <v>403</v>
      </c>
      <c r="C73" s="205">
        <v>45</v>
      </c>
      <c r="D73" s="195" t="s">
        <v>68</v>
      </c>
      <c r="E73" s="205">
        <v>4503</v>
      </c>
      <c r="F73" s="195" t="s">
        <v>795</v>
      </c>
      <c r="G73" s="205">
        <v>4503003</v>
      </c>
      <c r="H73" s="195" t="s">
        <v>224</v>
      </c>
      <c r="I73" s="205">
        <v>4503003</v>
      </c>
      <c r="J73" s="195" t="s">
        <v>224</v>
      </c>
      <c r="K73" s="205">
        <v>450300300</v>
      </c>
      <c r="L73" s="195" t="s">
        <v>807</v>
      </c>
      <c r="M73" s="205">
        <v>450300300</v>
      </c>
      <c r="N73" s="195" t="s">
        <v>807</v>
      </c>
      <c r="O73" s="205">
        <v>12</v>
      </c>
      <c r="P73" s="205"/>
      <c r="Q73" s="205">
        <f t="shared" si="1"/>
        <v>12</v>
      </c>
      <c r="R73" s="210" t="s">
        <v>797</v>
      </c>
      <c r="S73" s="195" t="s">
        <v>798</v>
      </c>
      <c r="T73" s="483">
        <f t="shared" si="12"/>
        <v>0.66101694915254239</v>
      </c>
      <c r="U73" s="195" t="s">
        <v>799</v>
      </c>
      <c r="V73" s="195" t="s">
        <v>808</v>
      </c>
      <c r="W73" s="195" t="s">
        <v>815</v>
      </c>
      <c r="X73" s="484">
        <v>5000000</v>
      </c>
      <c r="Y73" s="484"/>
      <c r="Z73" s="484"/>
      <c r="AA73" s="484"/>
      <c r="AB73" s="484">
        <f t="shared" si="4"/>
        <v>5000000</v>
      </c>
      <c r="AC73" s="205" t="s">
        <v>814</v>
      </c>
      <c r="AD73" s="205"/>
      <c r="AE73" s="205">
        <v>20</v>
      </c>
      <c r="AF73" s="65" t="s">
        <v>132</v>
      </c>
      <c r="AG73" s="485">
        <v>296582</v>
      </c>
      <c r="AH73" s="485">
        <v>284952</v>
      </c>
      <c r="AI73" s="485">
        <v>135545</v>
      </c>
      <c r="AJ73" s="485">
        <v>44254</v>
      </c>
      <c r="AK73" s="485">
        <v>309146</v>
      </c>
      <c r="AL73" s="485">
        <v>92589</v>
      </c>
      <c r="AM73" s="485">
        <v>2145</v>
      </c>
      <c r="AN73" s="485">
        <v>12718</v>
      </c>
      <c r="AO73" s="485">
        <v>0</v>
      </c>
      <c r="AP73" s="485">
        <v>0</v>
      </c>
      <c r="AQ73" s="485">
        <v>0</v>
      </c>
      <c r="AR73" s="485">
        <v>0</v>
      </c>
      <c r="AS73" s="485">
        <v>0</v>
      </c>
      <c r="AT73" s="485">
        <v>0</v>
      </c>
      <c r="AU73" s="485">
        <v>0</v>
      </c>
      <c r="AV73" s="486">
        <f t="shared" si="11"/>
        <v>581534</v>
      </c>
      <c r="AW73" s="487">
        <v>45293</v>
      </c>
      <c r="AX73" s="487">
        <v>45657</v>
      </c>
      <c r="AY73" s="488" t="s">
        <v>648</v>
      </c>
    </row>
    <row r="74" spans="1:51" s="383" customFormat="1" ht="114.75" x14ac:dyDescent="0.25">
      <c r="A74" s="205">
        <v>3</v>
      </c>
      <c r="B74" s="195" t="s">
        <v>403</v>
      </c>
      <c r="C74" s="205">
        <v>45</v>
      </c>
      <c r="D74" s="195" t="s">
        <v>68</v>
      </c>
      <c r="E74" s="205">
        <v>4503</v>
      </c>
      <c r="F74" s="195" t="s">
        <v>795</v>
      </c>
      <c r="G74" s="205">
        <v>4503003</v>
      </c>
      <c r="H74" s="195" t="s">
        <v>224</v>
      </c>
      <c r="I74" s="205">
        <v>4503003</v>
      </c>
      <c r="J74" s="195" t="s">
        <v>224</v>
      </c>
      <c r="K74" s="205">
        <v>450300300</v>
      </c>
      <c r="L74" s="195" t="s">
        <v>807</v>
      </c>
      <c r="M74" s="205">
        <v>450300300</v>
      </c>
      <c r="N74" s="195" t="s">
        <v>807</v>
      </c>
      <c r="O74" s="205">
        <v>12</v>
      </c>
      <c r="P74" s="205"/>
      <c r="Q74" s="205">
        <f t="shared" si="1"/>
        <v>12</v>
      </c>
      <c r="R74" s="210" t="s">
        <v>797</v>
      </c>
      <c r="S74" s="195" t="s">
        <v>798</v>
      </c>
      <c r="T74" s="483">
        <f t="shared" si="12"/>
        <v>0.66101694915254239</v>
      </c>
      <c r="U74" s="195" t="s">
        <v>799</v>
      </c>
      <c r="V74" s="195" t="s">
        <v>808</v>
      </c>
      <c r="W74" s="195" t="s">
        <v>816</v>
      </c>
      <c r="X74" s="484">
        <v>15000000</v>
      </c>
      <c r="Y74" s="484"/>
      <c r="Z74" s="484"/>
      <c r="AA74" s="484"/>
      <c r="AB74" s="484">
        <f t="shared" si="4"/>
        <v>15000000</v>
      </c>
      <c r="AC74" s="205" t="s">
        <v>817</v>
      </c>
      <c r="AD74" s="205"/>
      <c r="AE74" s="205">
        <v>20</v>
      </c>
      <c r="AF74" s="65" t="s">
        <v>132</v>
      </c>
      <c r="AG74" s="485">
        <v>296582</v>
      </c>
      <c r="AH74" s="485">
        <v>284952</v>
      </c>
      <c r="AI74" s="485">
        <v>135545</v>
      </c>
      <c r="AJ74" s="485">
        <v>44254</v>
      </c>
      <c r="AK74" s="485">
        <v>309146</v>
      </c>
      <c r="AL74" s="485">
        <v>92589</v>
      </c>
      <c r="AM74" s="485">
        <v>2145</v>
      </c>
      <c r="AN74" s="485">
        <v>12718</v>
      </c>
      <c r="AO74" s="485">
        <v>0</v>
      </c>
      <c r="AP74" s="485">
        <v>0</v>
      </c>
      <c r="AQ74" s="485">
        <v>0</v>
      </c>
      <c r="AR74" s="485">
        <v>0</v>
      </c>
      <c r="AS74" s="485">
        <v>0</v>
      </c>
      <c r="AT74" s="485">
        <v>0</v>
      </c>
      <c r="AU74" s="485">
        <v>0</v>
      </c>
      <c r="AV74" s="486">
        <f t="shared" si="11"/>
        <v>581534</v>
      </c>
      <c r="AW74" s="487">
        <v>45293</v>
      </c>
      <c r="AX74" s="487">
        <v>45657</v>
      </c>
      <c r="AY74" s="488" t="s">
        <v>648</v>
      </c>
    </row>
    <row r="75" spans="1:51" s="383" customFormat="1" ht="114.75" x14ac:dyDescent="0.25">
      <c r="A75" s="205">
        <v>3</v>
      </c>
      <c r="B75" s="195" t="s">
        <v>403</v>
      </c>
      <c r="C75" s="205">
        <v>45</v>
      </c>
      <c r="D75" s="195" t="s">
        <v>68</v>
      </c>
      <c r="E75" s="205">
        <v>4503</v>
      </c>
      <c r="F75" s="195" t="s">
        <v>795</v>
      </c>
      <c r="G75" s="205">
        <v>4503003</v>
      </c>
      <c r="H75" s="195" t="s">
        <v>224</v>
      </c>
      <c r="I75" s="205">
        <v>4503003</v>
      </c>
      <c r="J75" s="195" t="s">
        <v>224</v>
      </c>
      <c r="K75" s="205">
        <v>450300300</v>
      </c>
      <c r="L75" s="195" t="s">
        <v>807</v>
      </c>
      <c r="M75" s="205">
        <v>450300300</v>
      </c>
      <c r="N75" s="195" t="s">
        <v>807</v>
      </c>
      <c r="O75" s="205">
        <v>12</v>
      </c>
      <c r="P75" s="205"/>
      <c r="Q75" s="205">
        <f t="shared" si="1"/>
        <v>12</v>
      </c>
      <c r="R75" s="210" t="s">
        <v>797</v>
      </c>
      <c r="S75" s="195" t="s">
        <v>798</v>
      </c>
      <c r="T75" s="483">
        <f t="shared" si="12"/>
        <v>0.66101694915254239</v>
      </c>
      <c r="U75" s="195" t="s">
        <v>799</v>
      </c>
      <c r="V75" s="195" t="s">
        <v>808</v>
      </c>
      <c r="W75" s="195" t="s">
        <v>818</v>
      </c>
      <c r="X75" s="484">
        <v>5000000</v>
      </c>
      <c r="Y75" s="484"/>
      <c r="Z75" s="484"/>
      <c r="AA75" s="484"/>
      <c r="AB75" s="484">
        <f t="shared" si="4"/>
        <v>5000000</v>
      </c>
      <c r="AC75" s="205" t="s">
        <v>814</v>
      </c>
      <c r="AD75" s="205"/>
      <c r="AE75" s="205">
        <v>20</v>
      </c>
      <c r="AF75" s="65" t="s">
        <v>132</v>
      </c>
      <c r="AG75" s="485">
        <v>296582</v>
      </c>
      <c r="AH75" s="485">
        <v>284952</v>
      </c>
      <c r="AI75" s="485">
        <v>135545</v>
      </c>
      <c r="AJ75" s="485">
        <v>44254</v>
      </c>
      <c r="AK75" s="485">
        <v>309146</v>
      </c>
      <c r="AL75" s="485">
        <v>92589</v>
      </c>
      <c r="AM75" s="485">
        <v>2145</v>
      </c>
      <c r="AN75" s="485">
        <v>12718</v>
      </c>
      <c r="AO75" s="485">
        <v>0</v>
      </c>
      <c r="AP75" s="485">
        <v>0</v>
      </c>
      <c r="AQ75" s="485">
        <v>0</v>
      </c>
      <c r="AR75" s="485">
        <v>0</v>
      </c>
      <c r="AS75" s="485">
        <v>0</v>
      </c>
      <c r="AT75" s="485">
        <v>0</v>
      </c>
      <c r="AU75" s="485">
        <v>0</v>
      </c>
      <c r="AV75" s="486">
        <f t="shared" si="11"/>
        <v>581534</v>
      </c>
      <c r="AW75" s="487">
        <v>45293</v>
      </c>
      <c r="AX75" s="487">
        <v>45657</v>
      </c>
      <c r="AY75" s="488" t="s">
        <v>648</v>
      </c>
    </row>
    <row r="76" spans="1:51" s="383" customFormat="1" ht="114.75" x14ac:dyDescent="0.25">
      <c r="A76" s="205">
        <v>3</v>
      </c>
      <c r="B76" s="195" t="s">
        <v>403</v>
      </c>
      <c r="C76" s="205">
        <v>45</v>
      </c>
      <c r="D76" s="195" t="s">
        <v>68</v>
      </c>
      <c r="E76" s="205">
        <v>4503</v>
      </c>
      <c r="F76" s="195" t="s">
        <v>795</v>
      </c>
      <c r="G76" s="205">
        <v>4503003</v>
      </c>
      <c r="H76" s="195" t="s">
        <v>224</v>
      </c>
      <c r="I76" s="205">
        <v>4503003</v>
      </c>
      <c r="J76" s="195" t="s">
        <v>224</v>
      </c>
      <c r="K76" s="205">
        <v>450300300</v>
      </c>
      <c r="L76" s="195" t="s">
        <v>807</v>
      </c>
      <c r="M76" s="205">
        <v>450300300</v>
      </c>
      <c r="N76" s="195" t="s">
        <v>807</v>
      </c>
      <c r="O76" s="205">
        <v>12</v>
      </c>
      <c r="P76" s="205"/>
      <c r="Q76" s="205">
        <f t="shared" ref="Q76:Q108" si="13">O76+P76</f>
        <v>12</v>
      </c>
      <c r="R76" s="210" t="s">
        <v>797</v>
      </c>
      <c r="S76" s="195" t="s">
        <v>798</v>
      </c>
      <c r="T76" s="483">
        <f t="shared" si="12"/>
        <v>0.66101694915254239</v>
      </c>
      <c r="U76" s="195" t="s">
        <v>799</v>
      </c>
      <c r="V76" s="195" t="s">
        <v>808</v>
      </c>
      <c r="W76" s="195" t="s">
        <v>819</v>
      </c>
      <c r="X76" s="484">
        <v>20000000</v>
      </c>
      <c r="Y76" s="484">
        <f>5000000+7000000</f>
        <v>12000000</v>
      </c>
      <c r="Z76" s="484"/>
      <c r="AA76" s="484"/>
      <c r="AB76" s="484">
        <f t="shared" si="4"/>
        <v>8000000</v>
      </c>
      <c r="AC76" s="205" t="s">
        <v>814</v>
      </c>
      <c r="AD76" s="205"/>
      <c r="AE76" s="205">
        <v>20</v>
      </c>
      <c r="AF76" s="65" t="s">
        <v>132</v>
      </c>
      <c r="AG76" s="485">
        <v>296582</v>
      </c>
      <c r="AH76" s="485">
        <v>284952</v>
      </c>
      <c r="AI76" s="485">
        <v>135545</v>
      </c>
      <c r="AJ76" s="485">
        <v>44254</v>
      </c>
      <c r="AK76" s="485">
        <v>309146</v>
      </c>
      <c r="AL76" s="485">
        <v>92589</v>
      </c>
      <c r="AM76" s="485">
        <v>2145</v>
      </c>
      <c r="AN76" s="485">
        <v>12718</v>
      </c>
      <c r="AO76" s="485">
        <v>0</v>
      </c>
      <c r="AP76" s="485">
        <v>0</v>
      </c>
      <c r="AQ76" s="485">
        <v>0</v>
      </c>
      <c r="AR76" s="485">
        <v>0</v>
      </c>
      <c r="AS76" s="485">
        <v>0</v>
      </c>
      <c r="AT76" s="485">
        <v>0</v>
      </c>
      <c r="AU76" s="485">
        <v>0</v>
      </c>
      <c r="AV76" s="486">
        <f t="shared" si="11"/>
        <v>581534</v>
      </c>
      <c r="AW76" s="487">
        <v>45293</v>
      </c>
      <c r="AX76" s="487">
        <v>45657</v>
      </c>
      <c r="AY76" s="488" t="s">
        <v>648</v>
      </c>
    </row>
    <row r="77" spans="1:51" s="383" customFormat="1" ht="114.75" x14ac:dyDescent="0.25">
      <c r="A77" s="205">
        <v>3</v>
      </c>
      <c r="B77" s="195" t="s">
        <v>403</v>
      </c>
      <c r="C77" s="205">
        <v>45</v>
      </c>
      <c r="D77" s="195" t="s">
        <v>68</v>
      </c>
      <c r="E77" s="205">
        <v>4503</v>
      </c>
      <c r="F77" s="195" t="s">
        <v>795</v>
      </c>
      <c r="G77" s="205">
        <v>4503003</v>
      </c>
      <c r="H77" s="195" t="s">
        <v>224</v>
      </c>
      <c r="I77" s="205">
        <v>4503003</v>
      </c>
      <c r="J77" s="195" t="s">
        <v>224</v>
      </c>
      <c r="K77" s="205">
        <v>450300300</v>
      </c>
      <c r="L77" s="195" t="s">
        <v>807</v>
      </c>
      <c r="M77" s="205">
        <v>450300300</v>
      </c>
      <c r="N77" s="195" t="s">
        <v>807</v>
      </c>
      <c r="O77" s="205">
        <v>12</v>
      </c>
      <c r="P77" s="205"/>
      <c r="Q77" s="205">
        <f t="shared" si="13"/>
        <v>12</v>
      </c>
      <c r="R77" s="210" t="s">
        <v>797</v>
      </c>
      <c r="S77" s="195" t="s">
        <v>798</v>
      </c>
      <c r="T77" s="483">
        <f t="shared" si="12"/>
        <v>0.66101694915254239</v>
      </c>
      <c r="U77" s="195" t="s">
        <v>799</v>
      </c>
      <c r="V77" s="195" t="s">
        <v>808</v>
      </c>
      <c r="W77" s="195" t="s">
        <v>820</v>
      </c>
      <c r="X77" s="484">
        <v>5000000</v>
      </c>
      <c r="Y77" s="484"/>
      <c r="Z77" s="484"/>
      <c r="AA77" s="484"/>
      <c r="AB77" s="484">
        <f t="shared" si="4"/>
        <v>5000000</v>
      </c>
      <c r="AC77" s="205" t="s">
        <v>821</v>
      </c>
      <c r="AD77" s="205"/>
      <c r="AE77" s="205">
        <v>20</v>
      </c>
      <c r="AF77" s="65" t="s">
        <v>132</v>
      </c>
      <c r="AG77" s="485">
        <v>296582</v>
      </c>
      <c r="AH77" s="485">
        <v>284952</v>
      </c>
      <c r="AI77" s="485">
        <v>135545</v>
      </c>
      <c r="AJ77" s="485">
        <v>44254</v>
      </c>
      <c r="AK77" s="485">
        <v>309146</v>
      </c>
      <c r="AL77" s="485">
        <v>92589</v>
      </c>
      <c r="AM77" s="485">
        <v>2145</v>
      </c>
      <c r="AN77" s="485">
        <v>12718</v>
      </c>
      <c r="AO77" s="485">
        <v>0</v>
      </c>
      <c r="AP77" s="485">
        <v>0</v>
      </c>
      <c r="AQ77" s="485">
        <v>0</v>
      </c>
      <c r="AR77" s="485">
        <v>0</v>
      </c>
      <c r="AS77" s="485">
        <v>0</v>
      </c>
      <c r="AT77" s="485">
        <v>0</v>
      </c>
      <c r="AU77" s="485">
        <v>0</v>
      </c>
      <c r="AV77" s="486">
        <f t="shared" si="11"/>
        <v>581534</v>
      </c>
      <c r="AW77" s="487">
        <v>45293</v>
      </c>
      <c r="AX77" s="487">
        <v>45657</v>
      </c>
      <c r="AY77" s="488" t="s">
        <v>648</v>
      </c>
    </row>
    <row r="78" spans="1:51" s="383" customFormat="1" ht="114.75" x14ac:dyDescent="0.25">
      <c r="A78" s="205">
        <v>3</v>
      </c>
      <c r="B78" s="195" t="s">
        <v>403</v>
      </c>
      <c r="C78" s="205">
        <v>45</v>
      </c>
      <c r="D78" s="195" t="s">
        <v>68</v>
      </c>
      <c r="E78" s="205">
        <v>4503</v>
      </c>
      <c r="F78" s="195" t="s">
        <v>795</v>
      </c>
      <c r="G78" s="205">
        <v>4503004</v>
      </c>
      <c r="H78" s="195" t="s">
        <v>822</v>
      </c>
      <c r="I78" s="205">
        <v>4503016</v>
      </c>
      <c r="J78" s="195" t="s">
        <v>823</v>
      </c>
      <c r="K78" s="205" t="s">
        <v>70</v>
      </c>
      <c r="L78" s="195" t="s">
        <v>824</v>
      </c>
      <c r="M78" s="205">
        <v>450301600</v>
      </c>
      <c r="N78" s="195" t="s">
        <v>825</v>
      </c>
      <c r="O78" s="205">
        <v>1</v>
      </c>
      <c r="P78" s="205"/>
      <c r="Q78" s="205">
        <f t="shared" si="13"/>
        <v>1</v>
      </c>
      <c r="R78" s="210" t="s">
        <v>797</v>
      </c>
      <c r="S78" s="195" t="s">
        <v>798</v>
      </c>
      <c r="T78" s="483">
        <f>SUM($X$78:$X$78)/SUM($X$67:$X$78)</f>
        <v>0.11864406779661017</v>
      </c>
      <c r="U78" s="195" t="s">
        <v>799</v>
      </c>
      <c r="V78" s="195" t="s">
        <v>826</v>
      </c>
      <c r="W78" s="195" t="s">
        <v>827</v>
      </c>
      <c r="X78" s="484">
        <v>35000000</v>
      </c>
      <c r="Y78" s="484"/>
      <c r="Z78" s="484"/>
      <c r="AA78" s="484"/>
      <c r="AB78" s="484">
        <f t="shared" si="4"/>
        <v>35000000</v>
      </c>
      <c r="AC78" s="205" t="s">
        <v>828</v>
      </c>
      <c r="AD78" s="205"/>
      <c r="AE78" s="205">
        <v>20</v>
      </c>
      <c r="AF78" s="65" t="s">
        <v>132</v>
      </c>
      <c r="AG78" s="485">
        <v>296582</v>
      </c>
      <c r="AH78" s="485">
        <v>284952</v>
      </c>
      <c r="AI78" s="485">
        <v>135545</v>
      </c>
      <c r="AJ78" s="485">
        <v>44254</v>
      </c>
      <c r="AK78" s="485">
        <v>309146</v>
      </c>
      <c r="AL78" s="485">
        <v>92589</v>
      </c>
      <c r="AM78" s="485">
        <v>2145</v>
      </c>
      <c r="AN78" s="485">
        <v>12718</v>
      </c>
      <c r="AO78" s="485">
        <v>0</v>
      </c>
      <c r="AP78" s="485">
        <v>0</v>
      </c>
      <c r="AQ78" s="485">
        <v>0</v>
      </c>
      <c r="AR78" s="485">
        <v>0</v>
      </c>
      <c r="AS78" s="485">
        <v>0</v>
      </c>
      <c r="AT78" s="485">
        <v>0</v>
      </c>
      <c r="AU78" s="485">
        <v>0</v>
      </c>
      <c r="AV78" s="486">
        <f t="shared" si="11"/>
        <v>581534</v>
      </c>
      <c r="AW78" s="487">
        <v>45293</v>
      </c>
      <c r="AX78" s="487">
        <v>45657</v>
      </c>
      <c r="AY78" s="488" t="s">
        <v>648</v>
      </c>
    </row>
    <row r="79" spans="1:51" s="383" customFormat="1" ht="114.75" x14ac:dyDescent="0.25">
      <c r="A79" s="205">
        <v>4</v>
      </c>
      <c r="B79" s="195" t="s">
        <v>124</v>
      </c>
      <c r="C79" s="205">
        <v>45</v>
      </c>
      <c r="D79" s="195" t="s">
        <v>68</v>
      </c>
      <c r="E79" s="205">
        <v>4502</v>
      </c>
      <c r="F79" s="195" t="s">
        <v>125</v>
      </c>
      <c r="G79" s="205">
        <v>4502024</v>
      </c>
      <c r="H79" s="195" t="s">
        <v>829</v>
      </c>
      <c r="I79" s="205">
        <v>4502024</v>
      </c>
      <c r="J79" s="195" t="s">
        <v>829</v>
      </c>
      <c r="K79" s="205">
        <v>450202400</v>
      </c>
      <c r="L79" s="195" t="s">
        <v>830</v>
      </c>
      <c r="M79" s="205">
        <v>450202400</v>
      </c>
      <c r="N79" s="195" t="s">
        <v>830</v>
      </c>
      <c r="O79" s="205">
        <v>10</v>
      </c>
      <c r="P79" s="205"/>
      <c r="Q79" s="205">
        <f t="shared" si="13"/>
        <v>10</v>
      </c>
      <c r="R79" s="210" t="s">
        <v>831</v>
      </c>
      <c r="S79" s="195" t="s">
        <v>832</v>
      </c>
      <c r="T79" s="483">
        <f>SUM($X$79:$X$86)/SUM($X$79:$X$86)</f>
        <v>1</v>
      </c>
      <c r="U79" s="195" t="s">
        <v>833</v>
      </c>
      <c r="V79" s="195" t="s">
        <v>834</v>
      </c>
      <c r="W79" s="195" t="s">
        <v>720</v>
      </c>
      <c r="X79" s="484">
        <v>2000000</v>
      </c>
      <c r="Y79" s="484"/>
      <c r="Z79" s="484"/>
      <c r="AA79" s="484"/>
      <c r="AB79" s="484">
        <f t="shared" si="4"/>
        <v>2000000</v>
      </c>
      <c r="AC79" s="205" t="s">
        <v>835</v>
      </c>
      <c r="AD79" s="205"/>
      <c r="AE79" s="205">
        <v>20</v>
      </c>
      <c r="AF79" s="65" t="s">
        <v>132</v>
      </c>
      <c r="AG79" s="485">
        <v>245646</v>
      </c>
      <c r="AH79" s="485">
        <v>263994</v>
      </c>
      <c r="AI79" s="485">
        <v>135592</v>
      </c>
      <c r="AJ79" s="485">
        <v>44252</v>
      </c>
      <c r="AK79" s="485">
        <v>237257</v>
      </c>
      <c r="AL79" s="485">
        <v>92539</v>
      </c>
      <c r="AM79" s="485">
        <v>2883</v>
      </c>
      <c r="AN79" s="485">
        <v>6058</v>
      </c>
      <c r="AO79" s="485">
        <v>0</v>
      </c>
      <c r="AP79" s="485">
        <v>0</v>
      </c>
      <c r="AQ79" s="485">
        <v>0</v>
      </c>
      <c r="AR79" s="485">
        <v>0</v>
      </c>
      <c r="AS79" s="485">
        <v>0</v>
      </c>
      <c r="AT79" s="485">
        <v>42555</v>
      </c>
      <c r="AU79" s="485">
        <v>43342</v>
      </c>
      <c r="AV79" s="486">
        <f t="shared" ref="AV79:AV86" si="14">AG79+AH79</f>
        <v>509640</v>
      </c>
      <c r="AW79" s="487">
        <v>45293</v>
      </c>
      <c r="AX79" s="487">
        <v>45657</v>
      </c>
      <c r="AY79" s="488" t="s">
        <v>648</v>
      </c>
    </row>
    <row r="80" spans="1:51" s="383" customFormat="1" ht="114.75" x14ac:dyDescent="0.25">
      <c r="A80" s="205">
        <v>4</v>
      </c>
      <c r="B80" s="195" t="s">
        <v>124</v>
      </c>
      <c r="C80" s="205">
        <v>45</v>
      </c>
      <c r="D80" s="195" t="s">
        <v>68</v>
      </c>
      <c r="E80" s="205">
        <v>4502</v>
      </c>
      <c r="F80" s="195" t="s">
        <v>125</v>
      </c>
      <c r="G80" s="205">
        <v>4502024</v>
      </c>
      <c r="H80" s="195" t="s">
        <v>829</v>
      </c>
      <c r="I80" s="205">
        <v>4502024</v>
      </c>
      <c r="J80" s="195" t="s">
        <v>829</v>
      </c>
      <c r="K80" s="205">
        <v>450202400</v>
      </c>
      <c r="L80" s="195" t="s">
        <v>830</v>
      </c>
      <c r="M80" s="205">
        <v>450202400</v>
      </c>
      <c r="N80" s="195" t="s">
        <v>830</v>
      </c>
      <c r="O80" s="205">
        <v>10</v>
      </c>
      <c r="P80" s="205"/>
      <c r="Q80" s="205">
        <f t="shared" si="13"/>
        <v>10</v>
      </c>
      <c r="R80" s="210" t="s">
        <v>831</v>
      </c>
      <c r="S80" s="195" t="s">
        <v>832</v>
      </c>
      <c r="T80" s="483">
        <f t="shared" ref="T80:T86" si="15">SUM($X$79:$X$86)/SUM($X$79:$X$86)</f>
        <v>1</v>
      </c>
      <c r="U80" s="195" t="s">
        <v>833</v>
      </c>
      <c r="V80" s="195" t="s">
        <v>834</v>
      </c>
      <c r="W80" s="195" t="s">
        <v>836</v>
      </c>
      <c r="X80" s="484">
        <v>2000000</v>
      </c>
      <c r="Y80" s="484"/>
      <c r="Z80" s="484"/>
      <c r="AA80" s="484"/>
      <c r="AB80" s="484">
        <f t="shared" si="4"/>
        <v>2000000</v>
      </c>
      <c r="AC80" s="205" t="s">
        <v>837</v>
      </c>
      <c r="AD80" s="205"/>
      <c r="AE80" s="205">
        <v>20</v>
      </c>
      <c r="AF80" s="65" t="s">
        <v>132</v>
      </c>
      <c r="AG80" s="485">
        <v>245646</v>
      </c>
      <c r="AH80" s="485">
        <v>263994</v>
      </c>
      <c r="AI80" s="485">
        <v>135592</v>
      </c>
      <c r="AJ80" s="485">
        <v>44252</v>
      </c>
      <c r="AK80" s="485">
        <v>237257</v>
      </c>
      <c r="AL80" s="485">
        <v>92539</v>
      </c>
      <c r="AM80" s="485">
        <v>2883</v>
      </c>
      <c r="AN80" s="485">
        <v>6058</v>
      </c>
      <c r="AO80" s="485">
        <v>0</v>
      </c>
      <c r="AP80" s="485">
        <v>0</v>
      </c>
      <c r="AQ80" s="485">
        <v>0</v>
      </c>
      <c r="AR80" s="485">
        <v>0</v>
      </c>
      <c r="AS80" s="485">
        <v>0</v>
      </c>
      <c r="AT80" s="485">
        <v>42555</v>
      </c>
      <c r="AU80" s="485">
        <v>43342</v>
      </c>
      <c r="AV80" s="486">
        <f t="shared" si="14"/>
        <v>509640</v>
      </c>
      <c r="AW80" s="487">
        <v>45293</v>
      </c>
      <c r="AX80" s="487">
        <v>45657</v>
      </c>
      <c r="AY80" s="488" t="s">
        <v>648</v>
      </c>
    </row>
    <row r="81" spans="1:51" s="383" customFormat="1" ht="114.75" x14ac:dyDescent="0.25">
      <c r="A81" s="205">
        <v>4</v>
      </c>
      <c r="B81" s="195" t="s">
        <v>124</v>
      </c>
      <c r="C81" s="205">
        <v>45</v>
      </c>
      <c r="D81" s="195" t="s">
        <v>68</v>
      </c>
      <c r="E81" s="205">
        <v>4502</v>
      </c>
      <c r="F81" s="195" t="s">
        <v>125</v>
      </c>
      <c r="G81" s="205">
        <v>4502024</v>
      </c>
      <c r="H81" s="195" t="s">
        <v>829</v>
      </c>
      <c r="I81" s="205">
        <v>4502024</v>
      </c>
      <c r="J81" s="195" t="s">
        <v>829</v>
      </c>
      <c r="K81" s="205">
        <v>450202400</v>
      </c>
      <c r="L81" s="195" t="s">
        <v>830</v>
      </c>
      <c r="M81" s="205">
        <v>450202400</v>
      </c>
      <c r="N81" s="195" t="s">
        <v>830</v>
      </c>
      <c r="O81" s="205">
        <v>10</v>
      </c>
      <c r="P81" s="205"/>
      <c r="Q81" s="205">
        <f t="shared" si="13"/>
        <v>10</v>
      </c>
      <c r="R81" s="210" t="s">
        <v>831</v>
      </c>
      <c r="S81" s="195" t="s">
        <v>832</v>
      </c>
      <c r="T81" s="483">
        <f t="shared" si="15"/>
        <v>1</v>
      </c>
      <c r="U81" s="195" t="s">
        <v>833</v>
      </c>
      <c r="V81" s="195" t="s">
        <v>834</v>
      </c>
      <c r="W81" s="195" t="s">
        <v>838</v>
      </c>
      <c r="X81" s="484">
        <v>17000000</v>
      </c>
      <c r="Y81" s="484">
        <f>4000000</f>
        <v>4000000</v>
      </c>
      <c r="Z81" s="484"/>
      <c r="AA81" s="484"/>
      <c r="AB81" s="484">
        <f t="shared" si="4"/>
        <v>13000000</v>
      </c>
      <c r="AC81" s="205" t="s">
        <v>839</v>
      </c>
      <c r="AD81" s="205"/>
      <c r="AE81" s="205">
        <v>20</v>
      </c>
      <c r="AF81" s="65" t="s">
        <v>132</v>
      </c>
      <c r="AG81" s="485">
        <v>245646</v>
      </c>
      <c r="AH81" s="485">
        <v>263994</v>
      </c>
      <c r="AI81" s="485">
        <v>135592</v>
      </c>
      <c r="AJ81" s="485">
        <v>44252</v>
      </c>
      <c r="AK81" s="485">
        <v>237257</v>
      </c>
      <c r="AL81" s="485">
        <v>92539</v>
      </c>
      <c r="AM81" s="485">
        <v>2883</v>
      </c>
      <c r="AN81" s="485">
        <v>6058</v>
      </c>
      <c r="AO81" s="485">
        <v>0</v>
      </c>
      <c r="AP81" s="485">
        <v>0</v>
      </c>
      <c r="AQ81" s="485">
        <v>0</v>
      </c>
      <c r="AR81" s="485">
        <v>0</v>
      </c>
      <c r="AS81" s="485">
        <v>0</v>
      </c>
      <c r="AT81" s="485">
        <v>42555</v>
      </c>
      <c r="AU81" s="485">
        <v>43342</v>
      </c>
      <c r="AV81" s="486">
        <f t="shared" si="14"/>
        <v>509640</v>
      </c>
      <c r="AW81" s="487">
        <v>45293</v>
      </c>
      <c r="AX81" s="487">
        <v>45657</v>
      </c>
      <c r="AY81" s="488" t="s">
        <v>648</v>
      </c>
    </row>
    <row r="82" spans="1:51" s="383" customFormat="1" ht="114.75" x14ac:dyDescent="0.25">
      <c r="A82" s="205">
        <v>4</v>
      </c>
      <c r="B82" s="195" t="s">
        <v>124</v>
      </c>
      <c r="C82" s="205">
        <v>45</v>
      </c>
      <c r="D82" s="195" t="s">
        <v>68</v>
      </c>
      <c r="E82" s="205">
        <v>4502</v>
      </c>
      <c r="F82" s="195" t="s">
        <v>125</v>
      </c>
      <c r="G82" s="205">
        <v>4502024</v>
      </c>
      <c r="H82" s="195" t="s">
        <v>829</v>
      </c>
      <c r="I82" s="205">
        <v>4502024</v>
      </c>
      <c r="J82" s="195" t="s">
        <v>829</v>
      </c>
      <c r="K82" s="205">
        <v>450202400</v>
      </c>
      <c r="L82" s="195" t="s">
        <v>830</v>
      </c>
      <c r="M82" s="205">
        <v>450202400</v>
      </c>
      <c r="N82" s="195" t="s">
        <v>830</v>
      </c>
      <c r="O82" s="205">
        <v>10</v>
      </c>
      <c r="P82" s="205"/>
      <c r="Q82" s="205">
        <f t="shared" si="13"/>
        <v>10</v>
      </c>
      <c r="R82" s="210" t="s">
        <v>831</v>
      </c>
      <c r="S82" s="195" t="s">
        <v>832</v>
      </c>
      <c r="T82" s="483">
        <f t="shared" si="15"/>
        <v>1</v>
      </c>
      <c r="U82" s="195" t="s">
        <v>833</v>
      </c>
      <c r="V82" s="195" t="s">
        <v>834</v>
      </c>
      <c r="W82" s="195" t="s">
        <v>840</v>
      </c>
      <c r="X82" s="484">
        <v>15000000</v>
      </c>
      <c r="Y82" s="484"/>
      <c r="Z82" s="484"/>
      <c r="AA82" s="484"/>
      <c r="AB82" s="484">
        <f t="shared" si="4"/>
        <v>15000000</v>
      </c>
      <c r="AC82" s="205" t="s">
        <v>839</v>
      </c>
      <c r="AD82" s="205"/>
      <c r="AE82" s="205">
        <v>20</v>
      </c>
      <c r="AF82" s="65" t="s">
        <v>132</v>
      </c>
      <c r="AG82" s="485">
        <v>245646</v>
      </c>
      <c r="AH82" s="485">
        <v>263994</v>
      </c>
      <c r="AI82" s="485">
        <v>135592</v>
      </c>
      <c r="AJ82" s="485">
        <v>44252</v>
      </c>
      <c r="AK82" s="485">
        <v>237257</v>
      </c>
      <c r="AL82" s="485">
        <v>92539</v>
      </c>
      <c r="AM82" s="485">
        <v>2883</v>
      </c>
      <c r="AN82" s="485">
        <v>6058</v>
      </c>
      <c r="AO82" s="485">
        <v>0</v>
      </c>
      <c r="AP82" s="485">
        <v>0</v>
      </c>
      <c r="AQ82" s="485">
        <v>0</v>
      </c>
      <c r="AR82" s="485">
        <v>0</v>
      </c>
      <c r="AS82" s="485">
        <v>0</v>
      </c>
      <c r="AT82" s="485">
        <v>42555</v>
      </c>
      <c r="AU82" s="485">
        <v>43342</v>
      </c>
      <c r="AV82" s="486">
        <f t="shared" si="14"/>
        <v>509640</v>
      </c>
      <c r="AW82" s="487">
        <v>45293</v>
      </c>
      <c r="AX82" s="487">
        <v>45657</v>
      </c>
      <c r="AY82" s="488" t="s">
        <v>648</v>
      </c>
    </row>
    <row r="83" spans="1:51" s="383" customFormat="1" ht="114.75" x14ac:dyDescent="0.25">
      <c r="A83" s="205">
        <v>4</v>
      </c>
      <c r="B83" s="195" t="s">
        <v>124</v>
      </c>
      <c r="C83" s="205">
        <v>45</v>
      </c>
      <c r="D83" s="195" t="s">
        <v>68</v>
      </c>
      <c r="E83" s="205">
        <v>4502</v>
      </c>
      <c r="F83" s="195" t="s">
        <v>125</v>
      </c>
      <c r="G83" s="205">
        <v>4502024</v>
      </c>
      <c r="H83" s="195" t="s">
        <v>829</v>
      </c>
      <c r="I83" s="205">
        <v>4502024</v>
      </c>
      <c r="J83" s="195" t="s">
        <v>829</v>
      </c>
      <c r="K83" s="205">
        <v>450202400</v>
      </c>
      <c r="L83" s="195" t="s">
        <v>830</v>
      </c>
      <c r="M83" s="205">
        <v>450202400</v>
      </c>
      <c r="N83" s="195" t="s">
        <v>830</v>
      </c>
      <c r="O83" s="205">
        <v>10</v>
      </c>
      <c r="P83" s="205"/>
      <c r="Q83" s="205">
        <f t="shared" si="13"/>
        <v>10</v>
      </c>
      <c r="R83" s="210" t="s">
        <v>831</v>
      </c>
      <c r="S83" s="195" t="s">
        <v>832</v>
      </c>
      <c r="T83" s="483">
        <f t="shared" si="15"/>
        <v>1</v>
      </c>
      <c r="U83" s="195" t="s">
        <v>833</v>
      </c>
      <c r="V83" s="195" t="s">
        <v>834</v>
      </c>
      <c r="W83" s="195" t="s">
        <v>841</v>
      </c>
      <c r="X83" s="484">
        <v>13000000</v>
      </c>
      <c r="Y83" s="484">
        <f>5000000</f>
        <v>5000000</v>
      </c>
      <c r="Z83" s="484"/>
      <c r="AA83" s="484"/>
      <c r="AB83" s="484">
        <f t="shared" ref="AB83:AB93" si="16">X83-Y83+Z83-AA83</f>
        <v>8000000</v>
      </c>
      <c r="AC83" s="205" t="s">
        <v>839</v>
      </c>
      <c r="AD83" s="205"/>
      <c r="AE83" s="205">
        <v>20</v>
      </c>
      <c r="AF83" s="65" t="s">
        <v>132</v>
      </c>
      <c r="AG83" s="485">
        <v>245646</v>
      </c>
      <c r="AH83" s="485">
        <v>263994</v>
      </c>
      <c r="AI83" s="485">
        <v>135592</v>
      </c>
      <c r="AJ83" s="485">
        <v>44252</v>
      </c>
      <c r="AK83" s="485">
        <v>237257</v>
      </c>
      <c r="AL83" s="485">
        <v>92539</v>
      </c>
      <c r="AM83" s="485">
        <v>2883</v>
      </c>
      <c r="AN83" s="485">
        <v>6058</v>
      </c>
      <c r="AO83" s="485">
        <v>0</v>
      </c>
      <c r="AP83" s="485">
        <v>0</v>
      </c>
      <c r="AQ83" s="485">
        <v>0</v>
      </c>
      <c r="AR83" s="485">
        <v>0</v>
      </c>
      <c r="AS83" s="485">
        <v>0</v>
      </c>
      <c r="AT83" s="485">
        <v>42555</v>
      </c>
      <c r="AU83" s="485">
        <v>43342</v>
      </c>
      <c r="AV83" s="486">
        <f t="shared" si="14"/>
        <v>509640</v>
      </c>
      <c r="AW83" s="487">
        <v>45293</v>
      </c>
      <c r="AX83" s="487">
        <v>45657</v>
      </c>
      <c r="AY83" s="488" t="s">
        <v>648</v>
      </c>
    </row>
    <row r="84" spans="1:51" s="383" customFormat="1" ht="114.75" x14ac:dyDescent="0.25">
      <c r="A84" s="205">
        <v>4</v>
      </c>
      <c r="B84" s="195" t="s">
        <v>124</v>
      </c>
      <c r="C84" s="205">
        <v>45</v>
      </c>
      <c r="D84" s="195" t="s">
        <v>68</v>
      </c>
      <c r="E84" s="205">
        <v>4502</v>
      </c>
      <c r="F84" s="195" t="s">
        <v>125</v>
      </c>
      <c r="G84" s="205">
        <v>4502024</v>
      </c>
      <c r="H84" s="195" t="s">
        <v>829</v>
      </c>
      <c r="I84" s="205">
        <v>4502024</v>
      </c>
      <c r="J84" s="195" t="s">
        <v>829</v>
      </c>
      <c r="K84" s="205">
        <v>450202400</v>
      </c>
      <c r="L84" s="195" t="s">
        <v>830</v>
      </c>
      <c r="M84" s="205">
        <v>450202400</v>
      </c>
      <c r="N84" s="195" t="s">
        <v>830</v>
      </c>
      <c r="O84" s="205">
        <v>10</v>
      </c>
      <c r="P84" s="205"/>
      <c r="Q84" s="205">
        <f t="shared" si="13"/>
        <v>10</v>
      </c>
      <c r="R84" s="210" t="s">
        <v>831</v>
      </c>
      <c r="S84" s="195" t="s">
        <v>832</v>
      </c>
      <c r="T84" s="483">
        <f t="shared" si="15"/>
        <v>1</v>
      </c>
      <c r="U84" s="195" t="s">
        <v>833</v>
      </c>
      <c r="V84" s="195" t="s">
        <v>834</v>
      </c>
      <c r="W84" s="195" t="s">
        <v>842</v>
      </c>
      <c r="X84" s="484">
        <v>13000000</v>
      </c>
      <c r="Y84" s="484"/>
      <c r="Z84" s="484"/>
      <c r="AA84" s="484"/>
      <c r="AB84" s="484">
        <f t="shared" si="16"/>
        <v>13000000</v>
      </c>
      <c r="AC84" s="205" t="s">
        <v>839</v>
      </c>
      <c r="AD84" s="205"/>
      <c r="AE84" s="205">
        <v>20</v>
      </c>
      <c r="AF84" s="65" t="s">
        <v>132</v>
      </c>
      <c r="AG84" s="485">
        <v>245646</v>
      </c>
      <c r="AH84" s="485">
        <v>263994</v>
      </c>
      <c r="AI84" s="485">
        <v>135592</v>
      </c>
      <c r="AJ84" s="485">
        <v>44252</v>
      </c>
      <c r="AK84" s="485">
        <v>237257</v>
      </c>
      <c r="AL84" s="485">
        <v>92539</v>
      </c>
      <c r="AM84" s="485">
        <v>2883</v>
      </c>
      <c r="AN84" s="485">
        <v>6058</v>
      </c>
      <c r="AO84" s="485">
        <v>0</v>
      </c>
      <c r="AP84" s="485">
        <v>0</v>
      </c>
      <c r="AQ84" s="485">
        <v>0</v>
      </c>
      <c r="AR84" s="485">
        <v>0</v>
      </c>
      <c r="AS84" s="485">
        <v>0</v>
      </c>
      <c r="AT84" s="485">
        <v>42555</v>
      </c>
      <c r="AU84" s="485">
        <v>43342</v>
      </c>
      <c r="AV84" s="486">
        <f t="shared" si="14"/>
        <v>509640</v>
      </c>
      <c r="AW84" s="487">
        <v>45293</v>
      </c>
      <c r="AX84" s="487">
        <v>45657</v>
      </c>
      <c r="AY84" s="488" t="s">
        <v>648</v>
      </c>
    </row>
    <row r="85" spans="1:51" s="383" customFormat="1" ht="114.75" x14ac:dyDescent="0.25">
      <c r="A85" s="205">
        <v>4</v>
      </c>
      <c r="B85" s="195" t="s">
        <v>124</v>
      </c>
      <c r="C85" s="205">
        <v>45</v>
      </c>
      <c r="D85" s="195" t="s">
        <v>68</v>
      </c>
      <c r="E85" s="205">
        <v>4502</v>
      </c>
      <c r="F85" s="195" t="s">
        <v>125</v>
      </c>
      <c r="G85" s="205">
        <v>4502024</v>
      </c>
      <c r="H85" s="195" t="s">
        <v>829</v>
      </c>
      <c r="I85" s="205">
        <v>4502024</v>
      </c>
      <c r="J85" s="195" t="s">
        <v>829</v>
      </c>
      <c r="K85" s="205">
        <v>450202400</v>
      </c>
      <c r="L85" s="195" t="s">
        <v>830</v>
      </c>
      <c r="M85" s="205">
        <v>450202400</v>
      </c>
      <c r="N85" s="195" t="s">
        <v>830</v>
      </c>
      <c r="O85" s="205">
        <v>10</v>
      </c>
      <c r="P85" s="205"/>
      <c r="Q85" s="205">
        <f t="shared" si="13"/>
        <v>10</v>
      </c>
      <c r="R85" s="210" t="s">
        <v>831</v>
      </c>
      <c r="S85" s="195" t="s">
        <v>832</v>
      </c>
      <c r="T85" s="483">
        <f t="shared" si="15"/>
        <v>1</v>
      </c>
      <c r="U85" s="195" t="s">
        <v>833</v>
      </c>
      <c r="V85" s="195" t="s">
        <v>834</v>
      </c>
      <c r="W85" s="195" t="s">
        <v>843</v>
      </c>
      <c r="X85" s="484">
        <v>13000000</v>
      </c>
      <c r="Y85" s="484"/>
      <c r="Z85" s="484"/>
      <c r="AA85" s="484"/>
      <c r="AB85" s="484">
        <f t="shared" si="16"/>
        <v>13000000</v>
      </c>
      <c r="AC85" s="205" t="s">
        <v>839</v>
      </c>
      <c r="AD85" s="205"/>
      <c r="AE85" s="205">
        <v>20</v>
      </c>
      <c r="AF85" s="65" t="s">
        <v>132</v>
      </c>
      <c r="AG85" s="485">
        <v>245646</v>
      </c>
      <c r="AH85" s="485">
        <v>263994</v>
      </c>
      <c r="AI85" s="485">
        <v>135592</v>
      </c>
      <c r="AJ85" s="485">
        <v>44252</v>
      </c>
      <c r="AK85" s="485">
        <v>237257</v>
      </c>
      <c r="AL85" s="485">
        <v>92539</v>
      </c>
      <c r="AM85" s="485">
        <v>2883</v>
      </c>
      <c r="AN85" s="485">
        <v>6058</v>
      </c>
      <c r="AO85" s="485">
        <v>0</v>
      </c>
      <c r="AP85" s="485">
        <v>0</v>
      </c>
      <c r="AQ85" s="485">
        <v>0</v>
      </c>
      <c r="AR85" s="485">
        <v>0</v>
      </c>
      <c r="AS85" s="485">
        <v>0</v>
      </c>
      <c r="AT85" s="485">
        <v>42555</v>
      </c>
      <c r="AU85" s="485">
        <v>43342</v>
      </c>
      <c r="AV85" s="486">
        <f t="shared" si="14"/>
        <v>509640</v>
      </c>
      <c r="AW85" s="487">
        <v>45293</v>
      </c>
      <c r="AX85" s="487">
        <v>45657</v>
      </c>
      <c r="AY85" s="488" t="s">
        <v>648</v>
      </c>
    </row>
    <row r="86" spans="1:51" s="383" customFormat="1" ht="114.75" x14ac:dyDescent="0.25">
      <c r="A86" s="205">
        <v>4</v>
      </c>
      <c r="B86" s="195" t="s">
        <v>124</v>
      </c>
      <c r="C86" s="205">
        <v>45</v>
      </c>
      <c r="D86" s="195" t="s">
        <v>68</v>
      </c>
      <c r="E86" s="205">
        <v>4502</v>
      </c>
      <c r="F86" s="195" t="s">
        <v>125</v>
      </c>
      <c r="G86" s="205">
        <v>4502024</v>
      </c>
      <c r="H86" s="195" t="s">
        <v>829</v>
      </c>
      <c r="I86" s="205">
        <v>4502024</v>
      </c>
      <c r="J86" s="195" t="s">
        <v>829</v>
      </c>
      <c r="K86" s="205">
        <v>450202400</v>
      </c>
      <c r="L86" s="195" t="s">
        <v>830</v>
      </c>
      <c r="M86" s="205">
        <v>450202400</v>
      </c>
      <c r="N86" s="195" t="s">
        <v>830</v>
      </c>
      <c r="O86" s="205">
        <v>10</v>
      </c>
      <c r="P86" s="205"/>
      <c r="Q86" s="205">
        <f t="shared" si="13"/>
        <v>10</v>
      </c>
      <c r="R86" s="210" t="s">
        <v>831</v>
      </c>
      <c r="S86" s="195" t="s">
        <v>832</v>
      </c>
      <c r="T86" s="483">
        <f t="shared" si="15"/>
        <v>1</v>
      </c>
      <c r="U86" s="195" t="s">
        <v>833</v>
      </c>
      <c r="V86" s="195" t="s">
        <v>834</v>
      </c>
      <c r="W86" s="195" t="s">
        <v>844</v>
      </c>
      <c r="X86" s="484">
        <v>5000000</v>
      </c>
      <c r="Y86" s="484"/>
      <c r="Z86" s="484"/>
      <c r="AA86" s="484"/>
      <c r="AB86" s="484">
        <f t="shared" si="16"/>
        <v>5000000</v>
      </c>
      <c r="AC86" s="205" t="s">
        <v>839</v>
      </c>
      <c r="AD86" s="205"/>
      <c r="AE86" s="205">
        <v>20</v>
      </c>
      <c r="AF86" s="65" t="s">
        <v>132</v>
      </c>
      <c r="AG86" s="485">
        <v>245646</v>
      </c>
      <c r="AH86" s="485">
        <v>263994</v>
      </c>
      <c r="AI86" s="485">
        <v>135592</v>
      </c>
      <c r="AJ86" s="485">
        <v>44252</v>
      </c>
      <c r="AK86" s="485">
        <v>237257</v>
      </c>
      <c r="AL86" s="485">
        <v>92539</v>
      </c>
      <c r="AM86" s="485">
        <v>2883</v>
      </c>
      <c r="AN86" s="485">
        <v>6058</v>
      </c>
      <c r="AO86" s="485">
        <v>0</v>
      </c>
      <c r="AP86" s="485">
        <v>0</v>
      </c>
      <c r="AQ86" s="485">
        <v>0</v>
      </c>
      <c r="AR86" s="485">
        <v>0</v>
      </c>
      <c r="AS86" s="485">
        <v>0</v>
      </c>
      <c r="AT86" s="485">
        <v>42555</v>
      </c>
      <c r="AU86" s="485">
        <v>43342</v>
      </c>
      <c r="AV86" s="486">
        <f t="shared" si="14"/>
        <v>509640</v>
      </c>
      <c r="AW86" s="487">
        <v>45293</v>
      </c>
      <c r="AX86" s="487">
        <v>45657</v>
      </c>
      <c r="AY86" s="488" t="s">
        <v>648</v>
      </c>
    </row>
    <row r="87" spans="1:51" s="383" customFormat="1" ht="102" x14ac:dyDescent="0.25">
      <c r="A87" s="205">
        <v>4</v>
      </c>
      <c r="B87" s="195" t="s">
        <v>124</v>
      </c>
      <c r="C87" s="205">
        <v>45</v>
      </c>
      <c r="D87" s="195" t="s">
        <v>68</v>
      </c>
      <c r="E87" s="205">
        <v>4502</v>
      </c>
      <c r="F87" s="195" t="s">
        <v>125</v>
      </c>
      <c r="G87" s="205">
        <v>4502001</v>
      </c>
      <c r="H87" s="195" t="s">
        <v>162</v>
      </c>
      <c r="I87" s="205">
        <v>4502001</v>
      </c>
      <c r="J87" s="195" t="s">
        <v>162</v>
      </c>
      <c r="K87" s="205">
        <v>450200100</v>
      </c>
      <c r="L87" s="195" t="s">
        <v>845</v>
      </c>
      <c r="M87" s="205">
        <v>450200100</v>
      </c>
      <c r="N87" s="195" t="s">
        <v>164</v>
      </c>
      <c r="O87" s="205">
        <v>3</v>
      </c>
      <c r="P87" s="205"/>
      <c r="Q87" s="205">
        <f t="shared" si="13"/>
        <v>3</v>
      </c>
      <c r="R87" s="210" t="s">
        <v>846</v>
      </c>
      <c r="S87" s="195" t="s">
        <v>847</v>
      </c>
      <c r="T87" s="483">
        <f>SUM($X$87:$X$96)/SUM($X$87:$X$108)</f>
        <v>0.43697787791977011</v>
      </c>
      <c r="U87" s="195" t="s">
        <v>848</v>
      </c>
      <c r="V87" s="195" t="s">
        <v>849</v>
      </c>
      <c r="W87" s="195" t="s">
        <v>850</v>
      </c>
      <c r="X87" s="484">
        <v>80000000</v>
      </c>
      <c r="Y87" s="484">
        <f>16800000+16200000+9200000+9200000</f>
        <v>51400000</v>
      </c>
      <c r="Z87" s="484"/>
      <c r="AA87" s="484"/>
      <c r="AB87" s="484">
        <f t="shared" si="16"/>
        <v>28600000</v>
      </c>
      <c r="AC87" s="205" t="s">
        <v>851</v>
      </c>
      <c r="AD87" s="205"/>
      <c r="AE87" s="205">
        <v>20</v>
      </c>
      <c r="AF87" s="65" t="s">
        <v>132</v>
      </c>
      <c r="AG87" s="485">
        <v>291786</v>
      </c>
      <c r="AH87" s="485">
        <v>270331</v>
      </c>
      <c r="AI87" s="485">
        <v>102045</v>
      </c>
      <c r="AJ87" s="485">
        <v>39183</v>
      </c>
      <c r="AK87" s="485">
        <v>310195</v>
      </c>
      <c r="AL87" s="485">
        <v>110694</v>
      </c>
      <c r="AM87" s="485">
        <v>2145</v>
      </c>
      <c r="AN87" s="485">
        <v>12718</v>
      </c>
      <c r="AO87" s="485">
        <v>26</v>
      </c>
      <c r="AP87" s="485">
        <v>37</v>
      </c>
      <c r="AQ87" s="485">
        <v>0</v>
      </c>
      <c r="AR87" s="485">
        <v>0</v>
      </c>
      <c r="AS87" s="485">
        <v>44350</v>
      </c>
      <c r="AT87" s="485">
        <v>21944</v>
      </c>
      <c r="AU87" s="485">
        <v>75687</v>
      </c>
      <c r="AV87" s="486">
        <f>SUM(AG87:AH87)</f>
        <v>562117</v>
      </c>
      <c r="AW87" s="487">
        <v>45293</v>
      </c>
      <c r="AX87" s="487">
        <v>45657</v>
      </c>
      <c r="AY87" s="488" t="s">
        <v>648</v>
      </c>
    </row>
    <row r="88" spans="1:51" s="383" customFormat="1" ht="102" x14ac:dyDescent="0.25">
      <c r="A88" s="205">
        <v>4</v>
      </c>
      <c r="B88" s="195" t="s">
        <v>124</v>
      </c>
      <c r="C88" s="205">
        <v>45</v>
      </c>
      <c r="D88" s="195" t="s">
        <v>68</v>
      </c>
      <c r="E88" s="205">
        <v>4502</v>
      </c>
      <c r="F88" s="195" t="s">
        <v>125</v>
      </c>
      <c r="G88" s="205">
        <v>4502001</v>
      </c>
      <c r="H88" s="195" t="s">
        <v>162</v>
      </c>
      <c r="I88" s="205">
        <v>4502001</v>
      </c>
      <c r="J88" s="195" t="s">
        <v>162</v>
      </c>
      <c r="K88" s="205">
        <v>450200100</v>
      </c>
      <c r="L88" s="195" t="s">
        <v>845</v>
      </c>
      <c r="M88" s="205">
        <v>450200100</v>
      </c>
      <c r="N88" s="195" t="s">
        <v>164</v>
      </c>
      <c r="O88" s="205">
        <v>3</v>
      </c>
      <c r="P88" s="205"/>
      <c r="Q88" s="205">
        <f t="shared" si="13"/>
        <v>3</v>
      </c>
      <c r="R88" s="210" t="s">
        <v>846</v>
      </c>
      <c r="S88" s="195" t="s">
        <v>847</v>
      </c>
      <c r="T88" s="483">
        <f t="shared" ref="T88:T96" si="17">SUM($X$87:$X$96)/SUM($X$87:$X$108)</f>
        <v>0.43697787791977011</v>
      </c>
      <c r="U88" s="195" t="s">
        <v>848</v>
      </c>
      <c r="V88" s="195" t="s">
        <v>849</v>
      </c>
      <c r="W88" s="195" t="s">
        <v>852</v>
      </c>
      <c r="X88" s="484">
        <v>15000000</v>
      </c>
      <c r="Y88" s="484"/>
      <c r="Z88" s="484"/>
      <c r="AA88" s="484"/>
      <c r="AB88" s="484">
        <f t="shared" si="16"/>
        <v>15000000</v>
      </c>
      <c r="AC88" s="205" t="s">
        <v>851</v>
      </c>
      <c r="AD88" s="205"/>
      <c r="AE88" s="205">
        <v>20</v>
      </c>
      <c r="AF88" s="65" t="s">
        <v>132</v>
      </c>
      <c r="AG88" s="485">
        <v>291786</v>
      </c>
      <c r="AH88" s="485">
        <v>270331</v>
      </c>
      <c r="AI88" s="485">
        <v>102045</v>
      </c>
      <c r="AJ88" s="485">
        <v>39183</v>
      </c>
      <c r="AK88" s="485">
        <v>310195</v>
      </c>
      <c r="AL88" s="485">
        <v>110694</v>
      </c>
      <c r="AM88" s="485">
        <v>2145</v>
      </c>
      <c r="AN88" s="485">
        <v>12718</v>
      </c>
      <c r="AO88" s="485">
        <v>26</v>
      </c>
      <c r="AP88" s="485">
        <v>37</v>
      </c>
      <c r="AQ88" s="485">
        <v>0</v>
      </c>
      <c r="AR88" s="485">
        <v>0</v>
      </c>
      <c r="AS88" s="485">
        <v>44350</v>
      </c>
      <c r="AT88" s="485">
        <v>21944</v>
      </c>
      <c r="AU88" s="485">
        <v>75687</v>
      </c>
      <c r="AV88" s="486">
        <f t="shared" ref="AV88:AV96" si="18">SUM(AG88:AH88)</f>
        <v>562117</v>
      </c>
      <c r="AW88" s="487">
        <v>45293</v>
      </c>
      <c r="AX88" s="487">
        <v>45657</v>
      </c>
      <c r="AY88" s="488" t="s">
        <v>648</v>
      </c>
    </row>
    <row r="89" spans="1:51" s="383" customFormat="1" ht="102" x14ac:dyDescent="0.25">
      <c r="A89" s="205">
        <v>4</v>
      </c>
      <c r="B89" s="195" t="s">
        <v>124</v>
      </c>
      <c r="C89" s="205">
        <v>45</v>
      </c>
      <c r="D89" s="195" t="s">
        <v>68</v>
      </c>
      <c r="E89" s="205">
        <v>4502</v>
      </c>
      <c r="F89" s="195" t="s">
        <v>125</v>
      </c>
      <c r="G89" s="205">
        <v>4502001</v>
      </c>
      <c r="H89" s="195" t="s">
        <v>162</v>
      </c>
      <c r="I89" s="205">
        <v>4502001</v>
      </c>
      <c r="J89" s="195" t="s">
        <v>162</v>
      </c>
      <c r="K89" s="205">
        <v>450200100</v>
      </c>
      <c r="L89" s="195" t="s">
        <v>845</v>
      </c>
      <c r="M89" s="205">
        <v>450200100</v>
      </c>
      <c r="N89" s="195" t="s">
        <v>164</v>
      </c>
      <c r="O89" s="205">
        <v>3</v>
      </c>
      <c r="P89" s="205"/>
      <c r="Q89" s="205">
        <f t="shared" si="13"/>
        <v>3</v>
      </c>
      <c r="R89" s="210" t="s">
        <v>846</v>
      </c>
      <c r="S89" s="195" t="s">
        <v>847</v>
      </c>
      <c r="T89" s="483">
        <f t="shared" si="17"/>
        <v>0.43697787791977011</v>
      </c>
      <c r="U89" s="195" t="s">
        <v>848</v>
      </c>
      <c r="V89" s="195" t="s">
        <v>849</v>
      </c>
      <c r="W89" s="195" t="s">
        <v>853</v>
      </c>
      <c r="X89" s="484">
        <v>25000000</v>
      </c>
      <c r="Y89" s="484">
        <f>8600000+5800000</f>
        <v>14400000</v>
      </c>
      <c r="Z89" s="484"/>
      <c r="AB89" s="484">
        <f t="shared" si="16"/>
        <v>10600000</v>
      </c>
      <c r="AC89" s="205" t="s">
        <v>851</v>
      </c>
      <c r="AD89" s="205"/>
      <c r="AE89" s="205">
        <v>20</v>
      </c>
      <c r="AF89" s="65" t="s">
        <v>132</v>
      </c>
      <c r="AG89" s="485">
        <v>291786</v>
      </c>
      <c r="AH89" s="485">
        <v>270331</v>
      </c>
      <c r="AI89" s="485">
        <v>102045</v>
      </c>
      <c r="AJ89" s="485">
        <v>39183</v>
      </c>
      <c r="AK89" s="485">
        <v>310195</v>
      </c>
      <c r="AL89" s="485">
        <v>110694</v>
      </c>
      <c r="AM89" s="485">
        <v>2145</v>
      </c>
      <c r="AN89" s="485">
        <v>12718</v>
      </c>
      <c r="AO89" s="485">
        <v>26</v>
      </c>
      <c r="AP89" s="485">
        <v>37</v>
      </c>
      <c r="AQ89" s="485">
        <v>0</v>
      </c>
      <c r="AR89" s="485">
        <v>0</v>
      </c>
      <c r="AS89" s="485">
        <v>44350</v>
      </c>
      <c r="AT89" s="485">
        <v>21944</v>
      </c>
      <c r="AU89" s="485">
        <v>75687</v>
      </c>
      <c r="AV89" s="486">
        <f t="shared" si="18"/>
        <v>562117</v>
      </c>
      <c r="AW89" s="487">
        <v>45293</v>
      </c>
      <c r="AX89" s="487">
        <v>45657</v>
      </c>
      <c r="AY89" s="488" t="s">
        <v>648</v>
      </c>
    </row>
    <row r="90" spans="1:51" s="383" customFormat="1" ht="102" x14ac:dyDescent="0.25">
      <c r="A90" s="205">
        <v>4</v>
      </c>
      <c r="B90" s="195" t="s">
        <v>124</v>
      </c>
      <c r="C90" s="205">
        <v>45</v>
      </c>
      <c r="D90" s="195" t="s">
        <v>68</v>
      </c>
      <c r="E90" s="205">
        <v>4502</v>
      </c>
      <c r="F90" s="195" t="s">
        <v>125</v>
      </c>
      <c r="G90" s="205">
        <v>4502001</v>
      </c>
      <c r="H90" s="195" t="s">
        <v>162</v>
      </c>
      <c r="I90" s="205">
        <v>4502001</v>
      </c>
      <c r="J90" s="195" t="s">
        <v>162</v>
      </c>
      <c r="K90" s="205">
        <v>450200100</v>
      </c>
      <c r="L90" s="195" t="s">
        <v>845</v>
      </c>
      <c r="M90" s="205">
        <v>450200100</v>
      </c>
      <c r="N90" s="195" t="s">
        <v>164</v>
      </c>
      <c r="O90" s="205">
        <v>3</v>
      </c>
      <c r="P90" s="205"/>
      <c r="Q90" s="205">
        <f t="shared" si="13"/>
        <v>3</v>
      </c>
      <c r="R90" s="210" t="s">
        <v>846</v>
      </c>
      <c r="S90" s="195" t="s">
        <v>847</v>
      </c>
      <c r="T90" s="483">
        <f t="shared" si="17"/>
        <v>0.43697787791977011</v>
      </c>
      <c r="U90" s="195" t="s">
        <v>848</v>
      </c>
      <c r="V90" s="195" t="s">
        <v>849</v>
      </c>
      <c r="W90" s="195" t="s">
        <v>854</v>
      </c>
      <c r="X90" s="484">
        <v>5000000</v>
      </c>
      <c r="Y90" s="484"/>
      <c r="Z90" s="484"/>
      <c r="AA90" s="484"/>
      <c r="AB90" s="484">
        <f t="shared" si="16"/>
        <v>5000000</v>
      </c>
      <c r="AC90" s="205" t="s">
        <v>851</v>
      </c>
      <c r="AD90" s="205"/>
      <c r="AE90" s="205">
        <v>20</v>
      </c>
      <c r="AF90" s="65" t="s">
        <v>132</v>
      </c>
      <c r="AG90" s="485">
        <v>291786</v>
      </c>
      <c r="AH90" s="485">
        <v>270331</v>
      </c>
      <c r="AI90" s="485">
        <v>102045</v>
      </c>
      <c r="AJ90" s="485">
        <v>39183</v>
      </c>
      <c r="AK90" s="485">
        <v>310195</v>
      </c>
      <c r="AL90" s="485">
        <v>110694</v>
      </c>
      <c r="AM90" s="485">
        <v>2145</v>
      </c>
      <c r="AN90" s="485">
        <v>12718</v>
      </c>
      <c r="AO90" s="485">
        <v>26</v>
      </c>
      <c r="AP90" s="485">
        <v>37</v>
      </c>
      <c r="AQ90" s="485">
        <v>0</v>
      </c>
      <c r="AR90" s="485">
        <v>0</v>
      </c>
      <c r="AS90" s="485">
        <v>44350</v>
      </c>
      <c r="AT90" s="485">
        <v>21944</v>
      </c>
      <c r="AU90" s="485">
        <v>75687</v>
      </c>
      <c r="AV90" s="486">
        <f t="shared" si="18"/>
        <v>562117</v>
      </c>
      <c r="AW90" s="487">
        <v>45293</v>
      </c>
      <c r="AX90" s="487">
        <v>45657</v>
      </c>
      <c r="AY90" s="488" t="s">
        <v>648</v>
      </c>
    </row>
    <row r="91" spans="1:51" s="383" customFormat="1" ht="102" x14ac:dyDescent="0.25">
      <c r="A91" s="205">
        <v>4</v>
      </c>
      <c r="B91" s="195" t="s">
        <v>124</v>
      </c>
      <c r="C91" s="205">
        <v>45</v>
      </c>
      <c r="D91" s="195" t="s">
        <v>68</v>
      </c>
      <c r="E91" s="205">
        <v>4502</v>
      </c>
      <c r="F91" s="195" t="s">
        <v>125</v>
      </c>
      <c r="G91" s="205">
        <v>4502001</v>
      </c>
      <c r="H91" s="195" t="s">
        <v>162</v>
      </c>
      <c r="I91" s="205">
        <v>4502001</v>
      </c>
      <c r="J91" s="195" t="s">
        <v>162</v>
      </c>
      <c r="K91" s="205">
        <v>450200100</v>
      </c>
      <c r="L91" s="195" t="s">
        <v>845</v>
      </c>
      <c r="M91" s="205">
        <v>450200100</v>
      </c>
      <c r="N91" s="195" t="s">
        <v>164</v>
      </c>
      <c r="O91" s="205">
        <v>3</v>
      </c>
      <c r="P91" s="205"/>
      <c r="Q91" s="205">
        <f t="shared" si="13"/>
        <v>3</v>
      </c>
      <c r="R91" s="210" t="s">
        <v>846</v>
      </c>
      <c r="S91" s="195" t="s">
        <v>847</v>
      </c>
      <c r="T91" s="483">
        <f t="shared" si="17"/>
        <v>0.43697787791977011</v>
      </c>
      <c r="U91" s="195" t="s">
        <v>848</v>
      </c>
      <c r="V91" s="195" t="s">
        <v>849</v>
      </c>
      <c r="W91" s="195" t="s">
        <v>855</v>
      </c>
      <c r="X91" s="484">
        <v>2000000</v>
      </c>
      <c r="Y91" s="484"/>
      <c r="Z91" s="484"/>
      <c r="AA91" s="484"/>
      <c r="AB91" s="484">
        <f t="shared" si="16"/>
        <v>2000000</v>
      </c>
      <c r="AC91" s="205" t="s">
        <v>856</v>
      </c>
      <c r="AD91" s="205"/>
      <c r="AE91" s="205">
        <v>20</v>
      </c>
      <c r="AF91" s="65" t="s">
        <v>132</v>
      </c>
      <c r="AG91" s="485">
        <v>291786</v>
      </c>
      <c r="AH91" s="485">
        <v>270331</v>
      </c>
      <c r="AI91" s="485">
        <v>102045</v>
      </c>
      <c r="AJ91" s="485">
        <v>39183</v>
      </c>
      <c r="AK91" s="485">
        <v>310195</v>
      </c>
      <c r="AL91" s="485">
        <v>110694</v>
      </c>
      <c r="AM91" s="485">
        <v>2145</v>
      </c>
      <c r="AN91" s="485">
        <v>12718</v>
      </c>
      <c r="AO91" s="485">
        <v>26</v>
      </c>
      <c r="AP91" s="485">
        <v>37</v>
      </c>
      <c r="AQ91" s="485">
        <v>0</v>
      </c>
      <c r="AR91" s="485">
        <v>0</v>
      </c>
      <c r="AS91" s="485">
        <v>44350</v>
      </c>
      <c r="AT91" s="485">
        <v>21944</v>
      </c>
      <c r="AU91" s="485">
        <v>75687</v>
      </c>
      <c r="AV91" s="486">
        <f t="shared" si="18"/>
        <v>562117</v>
      </c>
      <c r="AW91" s="487">
        <v>45293</v>
      </c>
      <c r="AX91" s="487">
        <v>45657</v>
      </c>
      <c r="AY91" s="488" t="s">
        <v>648</v>
      </c>
    </row>
    <row r="92" spans="1:51" s="383" customFormat="1" ht="102" x14ac:dyDescent="0.25">
      <c r="A92" s="205">
        <v>4</v>
      </c>
      <c r="B92" s="195" t="s">
        <v>124</v>
      </c>
      <c r="C92" s="205">
        <v>45</v>
      </c>
      <c r="D92" s="195" t="s">
        <v>68</v>
      </c>
      <c r="E92" s="205">
        <v>4502</v>
      </c>
      <c r="F92" s="195" t="s">
        <v>125</v>
      </c>
      <c r="G92" s="205">
        <v>4502001</v>
      </c>
      <c r="H92" s="195" t="s">
        <v>162</v>
      </c>
      <c r="I92" s="205">
        <v>4502001</v>
      </c>
      <c r="J92" s="195" t="s">
        <v>162</v>
      </c>
      <c r="K92" s="205">
        <v>450200100</v>
      </c>
      <c r="L92" s="195" t="s">
        <v>845</v>
      </c>
      <c r="M92" s="205">
        <v>450200100</v>
      </c>
      <c r="N92" s="195" t="s">
        <v>164</v>
      </c>
      <c r="O92" s="205">
        <v>3</v>
      </c>
      <c r="P92" s="205"/>
      <c r="Q92" s="205">
        <f t="shared" si="13"/>
        <v>3</v>
      </c>
      <c r="R92" s="210" t="s">
        <v>846</v>
      </c>
      <c r="S92" s="195" t="s">
        <v>847</v>
      </c>
      <c r="T92" s="483">
        <f t="shared" si="17"/>
        <v>0.43697787791977011</v>
      </c>
      <c r="U92" s="195" t="s">
        <v>848</v>
      </c>
      <c r="V92" s="195" t="s">
        <v>849</v>
      </c>
      <c r="W92" s="195" t="s">
        <v>857</v>
      </c>
      <c r="X92" s="484">
        <v>5000000</v>
      </c>
      <c r="Y92" s="484"/>
      <c r="Z92" s="484"/>
      <c r="AA92" s="484"/>
      <c r="AB92" s="484">
        <f t="shared" si="16"/>
        <v>5000000</v>
      </c>
      <c r="AC92" s="205" t="s">
        <v>858</v>
      </c>
      <c r="AD92" s="205"/>
      <c r="AE92" s="205">
        <v>20</v>
      </c>
      <c r="AF92" s="65" t="s">
        <v>132</v>
      </c>
      <c r="AG92" s="485">
        <v>291786</v>
      </c>
      <c r="AH92" s="485">
        <v>270331</v>
      </c>
      <c r="AI92" s="485">
        <v>102045</v>
      </c>
      <c r="AJ92" s="485">
        <v>39183</v>
      </c>
      <c r="AK92" s="485">
        <v>310195</v>
      </c>
      <c r="AL92" s="485">
        <v>110694</v>
      </c>
      <c r="AM92" s="485">
        <v>2145</v>
      </c>
      <c r="AN92" s="485">
        <v>12718</v>
      </c>
      <c r="AO92" s="485">
        <v>26</v>
      </c>
      <c r="AP92" s="485">
        <v>37</v>
      </c>
      <c r="AQ92" s="485">
        <v>0</v>
      </c>
      <c r="AR92" s="485">
        <v>0</v>
      </c>
      <c r="AS92" s="485">
        <v>44350</v>
      </c>
      <c r="AT92" s="485">
        <v>21944</v>
      </c>
      <c r="AU92" s="485">
        <v>75687</v>
      </c>
      <c r="AV92" s="486">
        <f t="shared" si="18"/>
        <v>562117</v>
      </c>
      <c r="AW92" s="487">
        <v>45293</v>
      </c>
      <c r="AX92" s="487">
        <v>45657</v>
      </c>
      <c r="AY92" s="488" t="s">
        <v>648</v>
      </c>
    </row>
    <row r="93" spans="1:51" s="383" customFormat="1" ht="102" x14ac:dyDescent="0.25">
      <c r="A93" s="205">
        <v>4</v>
      </c>
      <c r="B93" s="195" t="s">
        <v>124</v>
      </c>
      <c r="C93" s="205">
        <v>45</v>
      </c>
      <c r="D93" s="195" t="s">
        <v>68</v>
      </c>
      <c r="E93" s="205">
        <v>4502</v>
      </c>
      <c r="F93" s="195" t="s">
        <v>125</v>
      </c>
      <c r="G93" s="205">
        <v>4502001</v>
      </c>
      <c r="H93" s="195" t="s">
        <v>162</v>
      </c>
      <c r="I93" s="205">
        <v>4502001</v>
      </c>
      <c r="J93" s="195" t="s">
        <v>162</v>
      </c>
      <c r="K93" s="205">
        <v>450200100</v>
      </c>
      <c r="L93" s="195" t="s">
        <v>845</v>
      </c>
      <c r="M93" s="205">
        <v>450200100</v>
      </c>
      <c r="N93" s="195" t="s">
        <v>164</v>
      </c>
      <c r="O93" s="205">
        <v>3</v>
      </c>
      <c r="P93" s="205"/>
      <c r="Q93" s="205">
        <f t="shared" si="13"/>
        <v>3</v>
      </c>
      <c r="R93" s="210" t="s">
        <v>846</v>
      </c>
      <c r="S93" s="195" t="s">
        <v>847</v>
      </c>
      <c r="T93" s="483">
        <f t="shared" si="17"/>
        <v>0.43697787791977011</v>
      </c>
      <c r="U93" s="195" t="s">
        <v>848</v>
      </c>
      <c r="V93" s="195" t="s">
        <v>849</v>
      </c>
      <c r="W93" s="195" t="s">
        <v>859</v>
      </c>
      <c r="X93" s="484">
        <v>15000000</v>
      </c>
      <c r="Y93" s="484"/>
      <c r="Z93" s="484"/>
      <c r="AA93" s="484"/>
      <c r="AB93" s="484">
        <f t="shared" si="16"/>
        <v>15000000</v>
      </c>
      <c r="AC93" s="205" t="s">
        <v>851</v>
      </c>
      <c r="AD93" s="205"/>
      <c r="AE93" s="205">
        <v>20</v>
      </c>
      <c r="AF93" s="65" t="s">
        <v>132</v>
      </c>
      <c r="AG93" s="485">
        <v>291786</v>
      </c>
      <c r="AH93" s="485">
        <v>270331</v>
      </c>
      <c r="AI93" s="485">
        <v>102045</v>
      </c>
      <c r="AJ93" s="485">
        <v>39183</v>
      </c>
      <c r="AK93" s="485">
        <v>310195</v>
      </c>
      <c r="AL93" s="485">
        <v>110694</v>
      </c>
      <c r="AM93" s="485">
        <v>2145</v>
      </c>
      <c r="AN93" s="485">
        <v>12718</v>
      </c>
      <c r="AO93" s="485">
        <v>26</v>
      </c>
      <c r="AP93" s="485">
        <v>37</v>
      </c>
      <c r="AQ93" s="485">
        <v>0</v>
      </c>
      <c r="AR93" s="485">
        <v>0</v>
      </c>
      <c r="AS93" s="485">
        <v>44350</v>
      </c>
      <c r="AT93" s="485">
        <v>21944</v>
      </c>
      <c r="AU93" s="485">
        <v>75687</v>
      </c>
      <c r="AV93" s="486">
        <f t="shared" si="18"/>
        <v>562117</v>
      </c>
      <c r="AW93" s="487">
        <v>45293</v>
      </c>
      <c r="AX93" s="487">
        <v>45657</v>
      </c>
      <c r="AY93" s="488" t="s">
        <v>648</v>
      </c>
    </row>
    <row r="94" spans="1:51" s="383" customFormat="1" ht="102" x14ac:dyDescent="0.25">
      <c r="A94" s="205">
        <v>4</v>
      </c>
      <c r="B94" s="195" t="s">
        <v>124</v>
      </c>
      <c r="C94" s="205">
        <v>45</v>
      </c>
      <c r="D94" s="195" t="s">
        <v>68</v>
      </c>
      <c r="E94" s="205">
        <v>4502</v>
      </c>
      <c r="F94" s="195" t="s">
        <v>125</v>
      </c>
      <c r="G94" s="205">
        <v>4502001</v>
      </c>
      <c r="H94" s="195" t="s">
        <v>162</v>
      </c>
      <c r="I94" s="205">
        <v>4502001</v>
      </c>
      <c r="J94" s="195" t="s">
        <v>162</v>
      </c>
      <c r="K94" s="205">
        <v>450200100</v>
      </c>
      <c r="L94" s="195" t="s">
        <v>845</v>
      </c>
      <c r="M94" s="205">
        <v>450200100</v>
      </c>
      <c r="N94" s="195" t="s">
        <v>164</v>
      </c>
      <c r="O94" s="205">
        <v>3</v>
      </c>
      <c r="P94" s="205"/>
      <c r="Q94" s="205">
        <f t="shared" si="13"/>
        <v>3</v>
      </c>
      <c r="R94" s="210" t="s">
        <v>846</v>
      </c>
      <c r="S94" s="195" t="s">
        <v>847</v>
      </c>
      <c r="T94" s="483">
        <f t="shared" si="17"/>
        <v>0.43697787791977011</v>
      </c>
      <c r="U94" s="195" t="s">
        <v>848</v>
      </c>
      <c r="V94" s="195" t="s">
        <v>849</v>
      </c>
      <c r="W94" s="195" t="s">
        <v>860</v>
      </c>
      <c r="X94" s="484">
        <v>20000000</v>
      </c>
      <c r="Y94" s="484"/>
      <c r="Z94" s="484"/>
      <c r="AA94" s="484"/>
      <c r="AB94" s="484">
        <f t="shared" ref="AB94:AB108" si="19">X94-Y94+Z94-AA94</f>
        <v>20000000</v>
      </c>
      <c r="AC94" s="205" t="s">
        <v>851</v>
      </c>
      <c r="AD94" s="205"/>
      <c r="AE94" s="205">
        <v>20</v>
      </c>
      <c r="AF94" s="65" t="s">
        <v>132</v>
      </c>
      <c r="AG94" s="485">
        <v>291786</v>
      </c>
      <c r="AH94" s="485">
        <v>270331</v>
      </c>
      <c r="AI94" s="485">
        <v>102045</v>
      </c>
      <c r="AJ94" s="485">
        <v>39183</v>
      </c>
      <c r="AK94" s="485">
        <v>310195</v>
      </c>
      <c r="AL94" s="485">
        <v>110694</v>
      </c>
      <c r="AM94" s="485">
        <v>2145</v>
      </c>
      <c r="AN94" s="485">
        <v>12718</v>
      </c>
      <c r="AO94" s="485">
        <v>26</v>
      </c>
      <c r="AP94" s="485">
        <v>37</v>
      </c>
      <c r="AQ94" s="485">
        <v>0</v>
      </c>
      <c r="AR94" s="485">
        <v>0</v>
      </c>
      <c r="AS94" s="485">
        <v>44350</v>
      </c>
      <c r="AT94" s="485">
        <v>21944</v>
      </c>
      <c r="AU94" s="485">
        <v>75687</v>
      </c>
      <c r="AV94" s="486">
        <f t="shared" si="18"/>
        <v>562117</v>
      </c>
      <c r="AW94" s="487">
        <v>45293</v>
      </c>
      <c r="AX94" s="487">
        <v>45657</v>
      </c>
      <c r="AY94" s="488" t="s">
        <v>648</v>
      </c>
    </row>
    <row r="95" spans="1:51" s="383" customFormat="1" ht="102" x14ac:dyDescent="0.25">
      <c r="A95" s="205">
        <v>4</v>
      </c>
      <c r="B95" s="195" t="s">
        <v>124</v>
      </c>
      <c r="C95" s="205">
        <v>45</v>
      </c>
      <c r="D95" s="195" t="s">
        <v>68</v>
      </c>
      <c r="E95" s="205">
        <v>4502</v>
      </c>
      <c r="F95" s="195" t="s">
        <v>125</v>
      </c>
      <c r="G95" s="205">
        <v>4502001</v>
      </c>
      <c r="H95" s="195" t="s">
        <v>162</v>
      </c>
      <c r="I95" s="205">
        <v>4502001</v>
      </c>
      <c r="J95" s="195" t="s">
        <v>162</v>
      </c>
      <c r="K95" s="205">
        <v>450200100</v>
      </c>
      <c r="L95" s="195" t="s">
        <v>845</v>
      </c>
      <c r="M95" s="205">
        <v>450200100</v>
      </c>
      <c r="N95" s="195" t="s">
        <v>164</v>
      </c>
      <c r="O95" s="205">
        <v>3</v>
      </c>
      <c r="P95" s="205"/>
      <c r="Q95" s="205">
        <f t="shared" si="13"/>
        <v>3</v>
      </c>
      <c r="R95" s="210" t="s">
        <v>846</v>
      </c>
      <c r="S95" s="195" t="s">
        <v>847</v>
      </c>
      <c r="T95" s="483">
        <f t="shared" si="17"/>
        <v>0.43697787791977011</v>
      </c>
      <c r="U95" s="195" t="s">
        <v>848</v>
      </c>
      <c r="V95" s="195" t="s">
        <v>849</v>
      </c>
      <c r="W95" s="195" t="s">
        <v>861</v>
      </c>
      <c r="X95" s="484">
        <v>13000000</v>
      </c>
      <c r="Y95" s="484">
        <f>7200000</f>
        <v>7200000</v>
      </c>
      <c r="Z95" s="484"/>
      <c r="AA95" s="484"/>
      <c r="AB95" s="484">
        <f t="shared" si="19"/>
        <v>5800000</v>
      </c>
      <c r="AC95" s="205" t="s">
        <v>851</v>
      </c>
      <c r="AD95" s="205"/>
      <c r="AE95" s="205">
        <v>20</v>
      </c>
      <c r="AF95" s="65" t="s">
        <v>132</v>
      </c>
      <c r="AG95" s="485">
        <v>291786</v>
      </c>
      <c r="AH95" s="485">
        <v>270331</v>
      </c>
      <c r="AI95" s="485">
        <v>102045</v>
      </c>
      <c r="AJ95" s="485">
        <v>39183</v>
      </c>
      <c r="AK95" s="485">
        <v>310195</v>
      </c>
      <c r="AL95" s="485">
        <v>110694</v>
      </c>
      <c r="AM95" s="485">
        <v>2145</v>
      </c>
      <c r="AN95" s="485">
        <v>12718</v>
      </c>
      <c r="AO95" s="485">
        <v>26</v>
      </c>
      <c r="AP95" s="485">
        <v>37</v>
      </c>
      <c r="AQ95" s="485">
        <v>0</v>
      </c>
      <c r="AR95" s="485">
        <v>0</v>
      </c>
      <c r="AS95" s="485">
        <v>44350</v>
      </c>
      <c r="AT95" s="485">
        <v>21944</v>
      </c>
      <c r="AU95" s="485">
        <v>75687</v>
      </c>
      <c r="AV95" s="486">
        <f t="shared" si="18"/>
        <v>562117</v>
      </c>
      <c r="AW95" s="487">
        <v>45293</v>
      </c>
      <c r="AX95" s="487">
        <v>45657</v>
      </c>
      <c r="AY95" s="488" t="s">
        <v>648</v>
      </c>
    </row>
    <row r="96" spans="1:51" s="383" customFormat="1" ht="102" x14ac:dyDescent="0.25">
      <c r="A96" s="205">
        <v>4</v>
      </c>
      <c r="B96" s="195" t="s">
        <v>124</v>
      </c>
      <c r="C96" s="205">
        <v>45</v>
      </c>
      <c r="D96" s="195" t="s">
        <v>68</v>
      </c>
      <c r="E96" s="205">
        <v>4502</v>
      </c>
      <c r="F96" s="195" t="s">
        <v>125</v>
      </c>
      <c r="G96" s="205">
        <v>4502001</v>
      </c>
      <c r="H96" s="195" t="s">
        <v>162</v>
      </c>
      <c r="I96" s="205">
        <v>4502001</v>
      </c>
      <c r="J96" s="195" t="s">
        <v>162</v>
      </c>
      <c r="K96" s="205">
        <v>450200100</v>
      </c>
      <c r="L96" s="195" t="s">
        <v>845</v>
      </c>
      <c r="M96" s="205">
        <v>450200100</v>
      </c>
      <c r="N96" s="195" t="s">
        <v>164</v>
      </c>
      <c r="O96" s="205">
        <v>3</v>
      </c>
      <c r="P96" s="205"/>
      <c r="Q96" s="205">
        <f t="shared" si="13"/>
        <v>3</v>
      </c>
      <c r="R96" s="210" t="s">
        <v>846</v>
      </c>
      <c r="S96" s="195" t="s">
        <v>847</v>
      </c>
      <c r="T96" s="483">
        <f t="shared" si="17"/>
        <v>0.43697787791977011</v>
      </c>
      <c r="U96" s="195" t="s">
        <v>848</v>
      </c>
      <c r="V96" s="195" t="s">
        <v>849</v>
      </c>
      <c r="W96" s="195" t="s">
        <v>862</v>
      </c>
      <c r="X96" s="484">
        <v>10000000</v>
      </c>
      <c r="Y96" s="484">
        <f>5000000</f>
        <v>5000000</v>
      </c>
      <c r="Z96" s="484"/>
      <c r="AA96" s="484"/>
      <c r="AB96" s="484">
        <f t="shared" si="19"/>
        <v>5000000</v>
      </c>
      <c r="AC96" s="205" t="s">
        <v>851</v>
      </c>
      <c r="AD96" s="205"/>
      <c r="AE96" s="205">
        <v>20</v>
      </c>
      <c r="AF96" s="65" t="s">
        <v>132</v>
      </c>
      <c r="AG96" s="485">
        <v>291786</v>
      </c>
      <c r="AH96" s="485">
        <v>270331</v>
      </c>
      <c r="AI96" s="485">
        <v>102045</v>
      </c>
      <c r="AJ96" s="485">
        <v>39183</v>
      </c>
      <c r="AK96" s="485">
        <v>310195</v>
      </c>
      <c r="AL96" s="485">
        <v>110694</v>
      </c>
      <c r="AM96" s="485">
        <v>2145</v>
      </c>
      <c r="AN96" s="485">
        <v>12718</v>
      </c>
      <c r="AO96" s="485">
        <v>26</v>
      </c>
      <c r="AP96" s="485">
        <v>37</v>
      </c>
      <c r="AQ96" s="485">
        <v>0</v>
      </c>
      <c r="AR96" s="485">
        <v>0</v>
      </c>
      <c r="AS96" s="485">
        <v>44350</v>
      </c>
      <c r="AT96" s="485">
        <v>21944</v>
      </c>
      <c r="AU96" s="485">
        <v>75687</v>
      </c>
      <c r="AV96" s="486">
        <f t="shared" si="18"/>
        <v>562117</v>
      </c>
      <c r="AW96" s="487">
        <v>45293</v>
      </c>
      <c r="AX96" s="487">
        <v>45657</v>
      </c>
      <c r="AY96" s="488" t="s">
        <v>648</v>
      </c>
    </row>
    <row r="97" spans="1:51" s="383" customFormat="1" ht="102" x14ac:dyDescent="0.25">
      <c r="A97" s="205">
        <v>4</v>
      </c>
      <c r="B97" s="195" t="s">
        <v>124</v>
      </c>
      <c r="C97" s="205">
        <v>45</v>
      </c>
      <c r="D97" s="195" t="s">
        <v>68</v>
      </c>
      <c r="E97" s="205">
        <v>4502</v>
      </c>
      <c r="F97" s="195" t="s">
        <v>125</v>
      </c>
      <c r="G97" s="205" t="s">
        <v>70</v>
      </c>
      <c r="H97" s="195" t="s">
        <v>863</v>
      </c>
      <c r="I97" s="205">
        <v>4502001</v>
      </c>
      <c r="J97" s="195" t="s">
        <v>162</v>
      </c>
      <c r="K97" s="205" t="s">
        <v>70</v>
      </c>
      <c r="L97" s="195" t="s">
        <v>864</v>
      </c>
      <c r="M97" s="205">
        <v>450200111</v>
      </c>
      <c r="N97" s="195" t="s">
        <v>865</v>
      </c>
      <c r="O97" s="205">
        <v>1</v>
      </c>
      <c r="P97" s="205"/>
      <c r="Q97" s="205">
        <f t="shared" si="13"/>
        <v>1</v>
      </c>
      <c r="R97" s="210" t="s">
        <v>846</v>
      </c>
      <c r="S97" s="195" t="s">
        <v>847</v>
      </c>
      <c r="T97" s="483">
        <f>SUM($X$97:$X$100)/SUM($X$87:$X$108)</f>
        <v>0.34498253519981853</v>
      </c>
      <c r="U97" s="195" t="s">
        <v>848</v>
      </c>
      <c r="V97" s="195" t="s">
        <v>849</v>
      </c>
      <c r="W97" s="195" t="s">
        <v>866</v>
      </c>
      <c r="X97" s="484">
        <v>75000000</v>
      </c>
      <c r="Y97" s="484"/>
      <c r="Z97" s="484"/>
      <c r="AA97" s="484"/>
      <c r="AB97" s="484">
        <f t="shared" si="19"/>
        <v>75000000</v>
      </c>
      <c r="AC97" s="205" t="s">
        <v>851</v>
      </c>
      <c r="AD97" s="205"/>
      <c r="AE97" s="205">
        <v>20</v>
      </c>
      <c r="AF97" s="65" t="s">
        <v>132</v>
      </c>
      <c r="AG97" s="485">
        <v>291786</v>
      </c>
      <c r="AH97" s="485">
        <v>270331</v>
      </c>
      <c r="AI97" s="485">
        <v>102045</v>
      </c>
      <c r="AJ97" s="485">
        <v>39183</v>
      </c>
      <c r="AK97" s="485">
        <v>310195</v>
      </c>
      <c r="AL97" s="485">
        <v>110694</v>
      </c>
      <c r="AM97" s="485">
        <v>2145</v>
      </c>
      <c r="AN97" s="485">
        <v>12718</v>
      </c>
      <c r="AO97" s="485">
        <v>26</v>
      </c>
      <c r="AP97" s="485">
        <v>37</v>
      </c>
      <c r="AQ97" s="485">
        <v>0</v>
      </c>
      <c r="AR97" s="485">
        <v>0</v>
      </c>
      <c r="AS97" s="485">
        <v>44350</v>
      </c>
      <c r="AT97" s="485">
        <v>21944</v>
      </c>
      <c r="AU97" s="485">
        <v>75687</v>
      </c>
      <c r="AV97" s="486">
        <f>SUM(AG97:AH97)</f>
        <v>562117</v>
      </c>
      <c r="AW97" s="487">
        <v>45293</v>
      </c>
      <c r="AX97" s="487">
        <v>45657</v>
      </c>
      <c r="AY97" s="488" t="s">
        <v>648</v>
      </c>
    </row>
    <row r="98" spans="1:51" s="383" customFormat="1" ht="102" x14ac:dyDescent="0.25">
      <c r="A98" s="205">
        <v>4</v>
      </c>
      <c r="B98" s="195" t="s">
        <v>124</v>
      </c>
      <c r="C98" s="205">
        <v>45</v>
      </c>
      <c r="D98" s="195" t="s">
        <v>68</v>
      </c>
      <c r="E98" s="205">
        <v>4502</v>
      </c>
      <c r="F98" s="195" t="s">
        <v>125</v>
      </c>
      <c r="G98" s="205" t="s">
        <v>70</v>
      </c>
      <c r="H98" s="195" t="s">
        <v>863</v>
      </c>
      <c r="I98" s="205">
        <v>4502001</v>
      </c>
      <c r="J98" s="195" t="s">
        <v>162</v>
      </c>
      <c r="K98" s="205" t="s">
        <v>70</v>
      </c>
      <c r="L98" s="195" t="s">
        <v>864</v>
      </c>
      <c r="M98" s="205">
        <v>450200111</v>
      </c>
      <c r="N98" s="195" t="s">
        <v>865</v>
      </c>
      <c r="O98" s="205">
        <v>1</v>
      </c>
      <c r="P98" s="205"/>
      <c r="Q98" s="205">
        <f t="shared" si="13"/>
        <v>1</v>
      </c>
      <c r="R98" s="210" t="s">
        <v>846</v>
      </c>
      <c r="S98" s="195" t="s">
        <v>847</v>
      </c>
      <c r="T98" s="483">
        <f>SUM($X$97:$X$100)/SUM($X$87:$X$108)</f>
        <v>0.34498253519981853</v>
      </c>
      <c r="U98" s="195" t="s">
        <v>848</v>
      </c>
      <c r="V98" s="195" t="s">
        <v>849</v>
      </c>
      <c r="W98" s="195" t="s">
        <v>867</v>
      </c>
      <c r="X98" s="484">
        <v>72000000</v>
      </c>
      <c r="Y98" s="484">
        <v>7400000</v>
      </c>
      <c r="Z98" s="484"/>
      <c r="AA98" s="484"/>
      <c r="AB98" s="484">
        <f t="shared" si="19"/>
        <v>64600000</v>
      </c>
      <c r="AC98" s="205" t="s">
        <v>851</v>
      </c>
      <c r="AD98" s="205"/>
      <c r="AE98" s="205">
        <v>20</v>
      </c>
      <c r="AF98" s="65" t="s">
        <v>132</v>
      </c>
      <c r="AG98" s="485">
        <v>291786</v>
      </c>
      <c r="AH98" s="485">
        <v>270331</v>
      </c>
      <c r="AI98" s="485">
        <v>102045</v>
      </c>
      <c r="AJ98" s="485">
        <v>39183</v>
      </c>
      <c r="AK98" s="485">
        <v>310195</v>
      </c>
      <c r="AL98" s="485">
        <v>110694</v>
      </c>
      <c r="AM98" s="485">
        <v>2145</v>
      </c>
      <c r="AN98" s="485">
        <v>12718</v>
      </c>
      <c r="AO98" s="485">
        <v>26</v>
      </c>
      <c r="AP98" s="485">
        <v>37</v>
      </c>
      <c r="AQ98" s="485">
        <v>0</v>
      </c>
      <c r="AR98" s="485">
        <v>0</v>
      </c>
      <c r="AS98" s="485">
        <v>44350</v>
      </c>
      <c r="AT98" s="485">
        <v>21944</v>
      </c>
      <c r="AU98" s="485">
        <v>75687</v>
      </c>
      <c r="AV98" s="486">
        <f>SUM(AG98:AH98)</f>
        <v>562117</v>
      </c>
      <c r="AW98" s="487">
        <v>45293</v>
      </c>
      <c r="AX98" s="487">
        <v>45657</v>
      </c>
      <c r="AY98" s="488" t="s">
        <v>648</v>
      </c>
    </row>
    <row r="99" spans="1:51" s="383" customFormat="1" ht="102" x14ac:dyDescent="0.25">
      <c r="A99" s="205">
        <v>4</v>
      </c>
      <c r="B99" s="195" t="s">
        <v>124</v>
      </c>
      <c r="C99" s="205">
        <v>45</v>
      </c>
      <c r="D99" s="195" t="s">
        <v>68</v>
      </c>
      <c r="E99" s="205">
        <v>4502</v>
      </c>
      <c r="F99" s="195" t="s">
        <v>125</v>
      </c>
      <c r="G99" s="205" t="s">
        <v>70</v>
      </c>
      <c r="H99" s="195" t="s">
        <v>863</v>
      </c>
      <c r="I99" s="205">
        <v>4502001</v>
      </c>
      <c r="J99" s="195" t="s">
        <v>162</v>
      </c>
      <c r="K99" s="205" t="s">
        <v>70</v>
      </c>
      <c r="L99" s="195" t="s">
        <v>864</v>
      </c>
      <c r="M99" s="205">
        <v>450200111</v>
      </c>
      <c r="N99" s="195" t="s">
        <v>865</v>
      </c>
      <c r="O99" s="205">
        <v>1</v>
      </c>
      <c r="P99" s="205"/>
      <c r="Q99" s="205">
        <f t="shared" si="13"/>
        <v>1</v>
      </c>
      <c r="R99" s="210" t="s">
        <v>846</v>
      </c>
      <c r="S99" s="195" t="s">
        <v>847</v>
      </c>
      <c r="T99" s="483">
        <f>SUM($X$97:$X$100)/SUM($X$87:$X$108)</f>
        <v>0.34498253519981853</v>
      </c>
      <c r="U99" s="195" t="s">
        <v>848</v>
      </c>
      <c r="V99" s="195" t="s">
        <v>849</v>
      </c>
      <c r="W99" s="195" t="s">
        <v>855</v>
      </c>
      <c r="X99" s="484">
        <v>1000000</v>
      </c>
      <c r="Y99" s="484"/>
      <c r="Z99" s="484"/>
      <c r="AA99" s="484"/>
      <c r="AB99" s="484">
        <f t="shared" si="19"/>
        <v>1000000</v>
      </c>
      <c r="AC99" s="205" t="s">
        <v>856</v>
      </c>
      <c r="AD99" s="205"/>
      <c r="AE99" s="205">
        <v>20</v>
      </c>
      <c r="AF99" s="65" t="s">
        <v>132</v>
      </c>
      <c r="AG99" s="485">
        <v>291786</v>
      </c>
      <c r="AH99" s="485">
        <v>270331</v>
      </c>
      <c r="AI99" s="485">
        <v>102045</v>
      </c>
      <c r="AJ99" s="485">
        <v>39183</v>
      </c>
      <c r="AK99" s="485">
        <v>310195</v>
      </c>
      <c r="AL99" s="485">
        <v>110694</v>
      </c>
      <c r="AM99" s="485">
        <v>2145</v>
      </c>
      <c r="AN99" s="485">
        <v>12718</v>
      </c>
      <c r="AO99" s="485">
        <v>26</v>
      </c>
      <c r="AP99" s="485">
        <v>37</v>
      </c>
      <c r="AQ99" s="485">
        <v>0</v>
      </c>
      <c r="AR99" s="485">
        <v>0</v>
      </c>
      <c r="AS99" s="485">
        <v>44350</v>
      </c>
      <c r="AT99" s="485">
        <v>21944</v>
      </c>
      <c r="AU99" s="485">
        <v>75687</v>
      </c>
      <c r="AV99" s="486">
        <f>SUM(AG99:AH99)</f>
        <v>562117</v>
      </c>
      <c r="AW99" s="487">
        <v>45293</v>
      </c>
      <c r="AX99" s="487">
        <v>45657</v>
      </c>
      <c r="AY99" s="488" t="s">
        <v>648</v>
      </c>
    </row>
    <row r="100" spans="1:51" s="383" customFormat="1" ht="102" x14ac:dyDescent="0.25">
      <c r="A100" s="205">
        <v>4</v>
      </c>
      <c r="B100" s="195" t="s">
        <v>124</v>
      </c>
      <c r="C100" s="205">
        <v>45</v>
      </c>
      <c r="D100" s="195" t="s">
        <v>68</v>
      </c>
      <c r="E100" s="205">
        <v>4502</v>
      </c>
      <c r="F100" s="195" t="s">
        <v>125</v>
      </c>
      <c r="G100" s="205" t="s">
        <v>70</v>
      </c>
      <c r="H100" s="195" t="s">
        <v>863</v>
      </c>
      <c r="I100" s="205">
        <v>4502001</v>
      </c>
      <c r="J100" s="195" t="s">
        <v>162</v>
      </c>
      <c r="K100" s="205" t="s">
        <v>70</v>
      </c>
      <c r="L100" s="195" t="s">
        <v>864</v>
      </c>
      <c r="M100" s="205">
        <v>450200111</v>
      </c>
      <c r="N100" s="195" t="s">
        <v>865</v>
      </c>
      <c r="O100" s="205">
        <v>1</v>
      </c>
      <c r="P100" s="205"/>
      <c r="Q100" s="205">
        <f t="shared" si="13"/>
        <v>1</v>
      </c>
      <c r="R100" s="210" t="s">
        <v>846</v>
      </c>
      <c r="S100" s="195" t="s">
        <v>847</v>
      </c>
      <c r="T100" s="483">
        <f>SUM($X$97:$X$100)/SUM($X$87:$X$108)</f>
        <v>0.34498253519981853</v>
      </c>
      <c r="U100" s="195" t="s">
        <v>848</v>
      </c>
      <c r="V100" s="195" t="s">
        <v>849</v>
      </c>
      <c r="W100" s="195" t="s">
        <v>868</v>
      </c>
      <c r="X100" s="484">
        <v>2000000</v>
      </c>
      <c r="Y100" s="484"/>
      <c r="Z100" s="484"/>
      <c r="AA100" s="484"/>
      <c r="AB100" s="484">
        <f t="shared" si="19"/>
        <v>2000000</v>
      </c>
      <c r="AC100" s="205" t="s">
        <v>858</v>
      </c>
      <c r="AD100" s="205"/>
      <c r="AE100" s="205">
        <v>20</v>
      </c>
      <c r="AF100" s="65" t="s">
        <v>132</v>
      </c>
      <c r="AG100" s="485">
        <v>291786</v>
      </c>
      <c r="AH100" s="485">
        <v>270331</v>
      </c>
      <c r="AI100" s="485">
        <v>102045</v>
      </c>
      <c r="AJ100" s="485">
        <v>39183</v>
      </c>
      <c r="AK100" s="485">
        <v>310195</v>
      </c>
      <c r="AL100" s="485">
        <v>110694</v>
      </c>
      <c r="AM100" s="485">
        <v>2145</v>
      </c>
      <c r="AN100" s="485">
        <v>12718</v>
      </c>
      <c r="AO100" s="485">
        <v>26</v>
      </c>
      <c r="AP100" s="485">
        <v>37</v>
      </c>
      <c r="AQ100" s="485">
        <v>0</v>
      </c>
      <c r="AR100" s="485">
        <v>0</v>
      </c>
      <c r="AS100" s="485">
        <v>44350</v>
      </c>
      <c r="AT100" s="485">
        <v>21944</v>
      </c>
      <c r="AU100" s="485">
        <v>75687</v>
      </c>
      <c r="AV100" s="486">
        <f>SUM(AG100:AH100)</f>
        <v>562117</v>
      </c>
      <c r="AW100" s="487">
        <v>45293</v>
      </c>
      <c r="AX100" s="487">
        <v>45657</v>
      </c>
      <c r="AY100" s="488" t="s">
        <v>648</v>
      </c>
    </row>
    <row r="101" spans="1:51" s="383" customFormat="1" ht="102" x14ac:dyDescent="0.25">
      <c r="A101" s="205">
        <v>4</v>
      </c>
      <c r="B101" s="195" t="s">
        <v>124</v>
      </c>
      <c r="C101" s="205">
        <v>45</v>
      </c>
      <c r="D101" s="195" t="s">
        <v>68</v>
      </c>
      <c r="E101" s="205">
        <v>4502</v>
      </c>
      <c r="F101" s="195" t="s">
        <v>125</v>
      </c>
      <c r="G101" s="205" t="s">
        <v>70</v>
      </c>
      <c r="H101" s="195" t="s">
        <v>869</v>
      </c>
      <c r="I101" s="205">
        <v>4502001</v>
      </c>
      <c r="J101" s="195" t="s">
        <v>162</v>
      </c>
      <c r="K101" s="205" t="s">
        <v>70</v>
      </c>
      <c r="L101" s="195" t="s">
        <v>870</v>
      </c>
      <c r="M101" s="205">
        <v>450200109</v>
      </c>
      <c r="N101" s="195" t="s">
        <v>871</v>
      </c>
      <c r="O101" s="205">
        <v>12</v>
      </c>
      <c r="P101" s="205"/>
      <c r="Q101" s="205">
        <f t="shared" si="13"/>
        <v>12</v>
      </c>
      <c r="R101" s="210" t="s">
        <v>846</v>
      </c>
      <c r="S101" s="195" t="s">
        <v>847</v>
      </c>
      <c r="T101" s="483">
        <f>SUM($X$101:$X$105)/SUM($X$87:$X$108)</f>
        <v>8.0495924879957659E-2</v>
      </c>
      <c r="U101" s="195" t="s">
        <v>848</v>
      </c>
      <c r="V101" s="195" t="s">
        <v>849</v>
      </c>
      <c r="W101" s="195" t="s">
        <v>872</v>
      </c>
      <c r="X101" s="484">
        <v>15000000</v>
      </c>
      <c r="Y101" s="484">
        <v>8600000</v>
      </c>
      <c r="Z101" s="484"/>
      <c r="AA101" s="484"/>
      <c r="AB101" s="484">
        <f t="shared" si="19"/>
        <v>6400000</v>
      </c>
      <c r="AC101" s="205" t="s">
        <v>851</v>
      </c>
      <c r="AD101" s="205"/>
      <c r="AE101" s="205">
        <v>20</v>
      </c>
      <c r="AF101" s="65" t="s">
        <v>132</v>
      </c>
      <c r="AG101" s="485">
        <v>291786</v>
      </c>
      <c r="AH101" s="485">
        <v>270331</v>
      </c>
      <c r="AI101" s="485">
        <v>102045</v>
      </c>
      <c r="AJ101" s="485">
        <v>39183</v>
      </c>
      <c r="AK101" s="485">
        <v>310195</v>
      </c>
      <c r="AL101" s="485">
        <v>110694</v>
      </c>
      <c r="AM101" s="485">
        <v>2145</v>
      </c>
      <c r="AN101" s="485">
        <v>12718</v>
      </c>
      <c r="AO101" s="485">
        <v>26</v>
      </c>
      <c r="AP101" s="485">
        <v>37</v>
      </c>
      <c r="AQ101" s="485">
        <v>0</v>
      </c>
      <c r="AR101" s="485">
        <v>0</v>
      </c>
      <c r="AS101" s="485">
        <v>44350</v>
      </c>
      <c r="AT101" s="485">
        <v>21944</v>
      </c>
      <c r="AU101" s="485">
        <v>75687</v>
      </c>
      <c r="AV101" s="486">
        <f>SUM(AG101:AH101)</f>
        <v>562117</v>
      </c>
      <c r="AW101" s="487">
        <v>45293</v>
      </c>
      <c r="AX101" s="487">
        <v>45657</v>
      </c>
      <c r="AY101" s="488" t="s">
        <v>648</v>
      </c>
    </row>
    <row r="102" spans="1:51" s="383" customFormat="1" ht="102" x14ac:dyDescent="0.25">
      <c r="A102" s="205">
        <v>4</v>
      </c>
      <c r="B102" s="195" t="s">
        <v>124</v>
      </c>
      <c r="C102" s="205">
        <v>45</v>
      </c>
      <c r="D102" s="195" t="s">
        <v>68</v>
      </c>
      <c r="E102" s="205">
        <v>4502</v>
      </c>
      <c r="F102" s="195" t="s">
        <v>125</v>
      </c>
      <c r="G102" s="205" t="s">
        <v>70</v>
      </c>
      <c r="H102" s="195" t="s">
        <v>869</v>
      </c>
      <c r="I102" s="205">
        <v>4502001</v>
      </c>
      <c r="J102" s="195" t="s">
        <v>162</v>
      </c>
      <c r="K102" s="205" t="s">
        <v>70</v>
      </c>
      <c r="L102" s="195" t="s">
        <v>870</v>
      </c>
      <c r="M102" s="205">
        <v>450200109</v>
      </c>
      <c r="N102" s="195" t="s">
        <v>871</v>
      </c>
      <c r="O102" s="205">
        <v>12</v>
      </c>
      <c r="P102" s="205"/>
      <c r="Q102" s="205">
        <f t="shared" si="13"/>
        <v>12</v>
      </c>
      <c r="R102" s="210" t="s">
        <v>846</v>
      </c>
      <c r="S102" s="195" t="s">
        <v>847</v>
      </c>
      <c r="T102" s="483">
        <f>SUM($X$101:$X$105)/SUM($X$87:$X$108)</f>
        <v>8.0495924879957659E-2</v>
      </c>
      <c r="U102" s="195" t="s">
        <v>848</v>
      </c>
      <c r="V102" s="195" t="s">
        <v>849</v>
      </c>
      <c r="W102" s="489" t="s">
        <v>873</v>
      </c>
      <c r="X102" s="490">
        <v>2000000</v>
      </c>
      <c r="Y102" s="490"/>
      <c r="Z102" s="490"/>
      <c r="AA102" s="490"/>
      <c r="AB102" s="736">
        <f t="shared" si="19"/>
        <v>2000000</v>
      </c>
      <c r="AC102" s="491" t="s">
        <v>851</v>
      </c>
      <c r="AD102" s="491"/>
      <c r="AE102" s="205">
        <v>20</v>
      </c>
      <c r="AF102" s="65" t="s">
        <v>132</v>
      </c>
      <c r="AG102" s="485">
        <v>291786</v>
      </c>
      <c r="AH102" s="485">
        <v>270331</v>
      </c>
      <c r="AI102" s="485">
        <v>102045</v>
      </c>
      <c r="AJ102" s="485">
        <v>39183</v>
      </c>
      <c r="AK102" s="485">
        <v>310195</v>
      </c>
      <c r="AL102" s="485">
        <v>110694</v>
      </c>
      <c r="AM102" s="485">
        <v>2145</v>
      </c>
      <c r="AN102" s="485">
        <v>12718</v>
      </c>
      <c r="AO102" s="485">
        <v>26</v>
      </c>
      <c r="AP102" s="485">
        <v>37</v>
      </c>
      <c r="AQ102" s="485">
        <v>0</v>
      </c>
      <c r="AR102" s="485">
        <v>0</v>
      </c>
      <c r="AS102" s="485">
        <v>44350</v>
      </c>
      <c r="AT102" s="485">
        <v>21944</v>
      </c>
      <c r="AU102" s="485">
        <v>75687</v>
      </c>
      <c r="AV102" s="486">
        <f t="shared" ref="AV102:AV107" si="20">SUM(AG102:AH102)</f>
        <v>562117</v>
      </c>
      <c r="AW102" s="487">
        <v>45293</v>
      </c>
      <c r="AX102" s="487">
        <v>45657</v>
      </c>
      <c r="AY102" s="488" t="s">
        <v>648</v>
      </c>
    </row>
    <row r="103" spans="1:51" s="383" customFormat="1" ht="102" x14ac:dyDescent="0.25">
      <c r="A103" s="205">
        <v>4</v>
      </c>
      <c r="B103" s="195" t="s">
        <v>124</v>
      </c>
      <c r="C103" s="205">
        <v>45</v>
      </c>
      <c r="D103" s="195" t="s">
        <v>68</v>
      </c>
      <c r="E103" s="205">
        <v>4502</v>
      </c>
      <c r="F103" s="195" t="s">
        <v>125</v>
      </c>
      <c r="G103" s="205" t="s">
        <v>70</v>
      </c>
      <c r="H103" s="195" t="s">
        <v>869</v>
      </c>
      <c r="I103" s="205">
        <v>4502001</v>
      </c>
      <c r="J103" s="195" t="s">
        <v>162</v>
      </c>
      <c r="K103" s="205" t="s">
        <v>70</v>
      </c>
      <c r="L103" s="195" t="s">
        <v>870</v>
      </c>
      <c r="M103" s="205">
        <v>450200109</v>
      </c>
      <c r="N103" s="195" t="s">
        <v>871</v>
      </c>
      <c r="O103" s="205">
        <v>12</v>
      </c>
      <c r="P103" s="205"/>
      <c r="Q103" s="205">
        <f t="shared" si="13"/>
        <v>12</v>
      </c>
      <c r="R103" s="210" t="s">
        <v>846</v>
      </c>
      <c r="S103" s="195" t="s">
        <v>847</v>
      </c>
      <c r="T103" s="483">
        <f>SUM($X$101:$X$105)/SUM($X$87:$X$108)</f>
        <v>8.0495924879957659E-2</v>
      </c>
      <c r="U103" s="195" t="s">
        <v>848</v>
      </c>
      <c r="V103" s="195" t="s">
        <v>849</v>
      </c>
      <c r="W103" s="489" t="s">
        <v>874</v>
      </c>
      <c r="X103" s="490">
        <v>7000000</v>
      </c>
      <c r="Y103" s="490"/>
      <c r="Z103" s="490"/>
      <c r="AA103" s="490"/>
      <c r="AB103" s="736">
        <f t="shared" si="19"/>
        <v>7000000</v>
      </c>
      <c r="AC103" s="491" t="s">
        <v>851</v>
      </c>
      <c r="AD103" s="491"/>
      <c r="AE103" s="205">
        <v>20</v>
      </c>
      <c r="AF103" s="65" t="s">
        <v>132</v>
      </c>
      <c r="AG103" s="485">
        <v>291786</v>
      </c>
      <c r="AH103" s="485">
        <v>270331</v>
      </c>
      <c r="AI103" s="485">
        <v>102045</v>
      </c>
      <c r="AJ103" s="485">
        <v>39183</v>
      </c>
      <c r="AK103" s="485">
        <v>310195</v>
      </c>
      <c r="AL103" s="485">
        <v>110694</v>
      </c>
      <c r="AM103" s="485">
        <v>2145</v>
      </c>
      <c r="AN103" s="485">
        <v>12718</v>
      </c>
      <c r="AO103" s="485">
        <v>26</v>
      </c>
      <c r="AP103" s="485">
        <v>37</v>
      </c>
      <c r="AQ103" s="485">
        <v>0</v>
      </c>
      <c r="AR103" s="485">
        <v>0</v>
      </c>
      <c r="AS103" s="485">
        <v>44350</v>
      </c>
      <c r="AT103" s="485">
        <v>21944</v>
      </c>
      <c r="AU103" s="485">
        <v>75687</v>
      </c>
      <c r="AV103" s="486">
        <f t="shared" si="20"/>
        <v>562117</v>
      </c>
      <c r="AW103" s="487">
        <v>45293</v>
      </c>
      <c r="AX103" s="487">
        <v>45657</v>
      </c>
      <c r="AY103" s="488" t="s">
        <v>648</v>
      </c>
    </row>
    <row r="104" spans="1:51" s="383" customFormat="1" ht="102" x14ac:dyDescent="0.25">
      <c r="A104" s="205">
        <v>4</v>
      </c>
      <c r="B104" s="195" t="s">
        <v>124</v>
      </c>
      <c r="C104" s="205">
        <v>45</v>
      </c>
      <c r="D104" s="195" t="s">
        <v>68</v>
      </c>
      <c r="E104" s="205">
        <v>4502</v>
      </c>
      <c r="F104" s="195" t="s">
        <v>125</v>
      </c>
      <c r="G104" s="205" t="s">
        <v>70</v>
      </c>
      <c r="H104" s="195" t="s">
        <v>869</v>
      </c>
      <c r="I104" s="205">
        <v>4502001</v>
      </c>
      <c r="J104" s="195" t="s">
        <v>162</v>
      </c>
      <c r="K104" s="205" t="s">
        <v>70</v>
      </c>
      <c r="L104" s="195" t="s">
        <v>870</v>
      </c>
      <c r="M104" s="205">
        <v>450200109</v>
      </c>
      <c r="N104" s="195" t="s">
        <v>871</v>
      </c>
      <c r="O104" s="205">
        <v>12</v>
      </c>
      <c r="P104" s="205"/>
      <c r="Q104" s="205">
        <f t="shared" si="13"/>
        <v>12</v>
      </c>
      <c r="R104" s="210" t="s">
        <v>846</v>
      </c>
      <c r="S104" s="195" t="s">
        <v>847</v>
      </c>
      <c r="T104" s="483">
        <f>SUM($X$101:$X$105)/SUM($X$87:$X$108)</f>
        <v>8.0495924879957659E-2</v>
      </c>
      <c r="U104" s="195" t="s">
        <v>848</v>
      </c>
      <c r="V104" s="195" t="s">
        <v>849</v>
      </c>
      <c r="W104" s="489" t="s">
        <v>855</v>
      </c>
      <c r="X104" s="490">
        <v>1000000</v>
      </c>
      <c r="Y104" s="490"/>
      <c r="Z104" s="490"/>
      <c r="AA104" s="490"/>
      <c r="AB104" s="736">
        <f t="shared" si="19"/>
        <v>1000000</v>
      </c>
      <c r="AC104" s="491" t="s">
        <v>856</v>
      </c>
      <c r="AD104" s="491"/>
      <c r="AE104" s="205">
        <v>20</v>
      </c>
      <c r="AF104" s="65" t="s">
        <v>132</v>
      </c>
      <c r="AG104" s="485">
        <v>291786</v>
      </c>
      <c r="AH104" s="485">
        <v>270331</v>
      </c>
      <c r="AI104" s="485">
        <v>102045</v>
      </c>
      <c r="AJ104" s="485">
        <v>39183</v>
      </c>
      <c r="AK104" s="485">
        <v>310195</v>
      </c>
      <c r="AL104" s="485">
        <v>110694</v>
      </c>
      <c r="AM104" s="485">
        <v>2145</v>
      </c>
      <c r="AN104" s="485">
        <v>12718</v>
      </c>
      <c r="AO104" s="485">
        <v>26</v>
      </c>
      <c r="AP104" s="485">
        <v>37</v>
      </c>
      <c r="AQ104" s="485">
        <v>0</v>
      </c>
      <c r="AR104" s="485">
        <v>0</v>
      </c>
      <c r="AS104" s="485">
        <v>44350</v>
      </c>
      <c r="AT104" s="485">
        <v>21944</v>
      </c>
      <c r="AU104" s="485">
        <v>75687</v>
      </c>
      <c r="AV104" s="486">
        <f t="shared" si="20"/>
        <v>562117</v>
      </c>
      <c r="AW104" s="487">
        <v>45293</v>
      </c>
      <c r="AX104" s="487">
        <v>45657</v>
      </c>
      <c r="AY104" s="488" t="s">
        <v>648</v>
      </c>
    </row>
    <row r="105" spans="1:51" s="383" customFormat="1" ht="102" x14ac:dyDescent="0.25">
      <c r="A105" s="205">
        <v>4</v>
      </c>
      <c r="B105" s="195" t="s">
        <v>124</v>
      </c>
      <c r="C105" s="205">
        <v>45</v>
      </c>
      <c r="D105" s="195" t="s">
        <v>68</v>
      </c>
      <c r="E105" s="205">
        <v>4502</v>
      </c>
      <c r="F105" s="195" t="s">
        <v>125</v>
      </c>
      <c r="G105" s="205" t="s">
        <v>70</v>
      </c>
      <c r="H105" s="195" t="s">
        <v>869</v>
      </c>
      <c r="I105" s="205">
        <v>4502001</v>
      </c>
      <c r="J105" s="195" t="s">
        <v>162</v>
      </c>
      <c r="K105" s="205" t="s">
        <v>70</v>
      </c>
      <c r="L105" s="195" t="s">
        <v>870</v>
      </c>
      <c r="M105" s="205">
        <v>450200109</v>
      </c>
      <c r="N105" s="195" t="s">
        <v>871</v>
      </c>
      <c r="O105" s="205">
        <v>12</v>
      </c>
      <c r="P105" s="205"/>
      <c r="Q105" s="205">
        <f t="shared" si="13"/>
        <v>12</v>
      </c>
      <c r="R105" s="210" t="s">
        <v>846</v>
      </c>
      <c r="S105" s="195" t="s">
        <v>847</v>
      </c>
      <c r="T105" s="483">
        <f>SUM($X$101:$X$105)/SUM($X$87:$X$108)</f>
        <v>8.0495924879957659E-2</v>
      </c>
      <c r="U105" s="195" t="s">
        <v>848</v>
      </c>
      <c r="V105" s="195" t="s">
        <v>849</v>
      </c>
      <c r="W105" s="489" t="s">
        <v>875</v>
      </c>
      <c r="X105" s="490">
        <v>10000000</v>
      </c>
      <c r="Y105" s="490"/>
      <c r="Z105" s="490"/>
      <c r="AA105" s="490"/>
      <c r="AB105" s="736">
        <f t="shared" si="19"/>
        <v>10000000</v>
      </c>
      <c r="AC105" s="491" t="s">
        <v>851</v>
      </c>
      <c r="AD105" s="491"/>
      <c r="AE105" s="205">
        <v>20</v>
      </c>
      <c r="AF105" s="65" t="s">
        <v>132</v>
      </c>
      <c r="AG105" s="485">
        <v>291786</v>
      </c>
      <c r="AH105" s="485">
        <v>270331</v>
      </c>
      <c r="AI105" s="485">
        <v>102045</v>
      </c>
      <c r="AJ105" s="485">
        <v>39183</v>
      </c>
      <c r="AK105" s="485">
        <v>310195</v>
      </c>
      <c r="AL105" s="485">
        <v>110694</v>
      </c>
      <c r="AM105" s="485">
        <v>2145</v>
      </c>
      <c r="AN105" s="485">
        <v>12718</v>
      </c>
      <c r="AO105" s="485">
        <v>26</v>
      </c>
      <c r="AP105" s="485">
        <v>37</v>
      </c>
      <c r="AQ105" s="485">
        <v>0</v>
      </c>
      <c r="AR105" s="485">
        <v>0</v>
      </c>
      <c r="AS105" s="485">
        <v>44350</v>
      </c>
      <c r="AT105" s="485">
        <v>21944</v>
      </c>
      <c r="AU105" s="485">
        <v>75687</v>
      </c>
      <c r="AV105" s="486">
        <f t="shared" si="20"/>
        <v>562117</v>
      </c>
      <c r="AW105" s="487">
        <v>45293</v>
      </c>
      <c r="AX105" s="487">
        <v>45657</v>
      </c>
      <c r="AY105" s="488" t="s">
        <v>648</v>
      </c>
    </row>
    <row r="106" spans="1:51" s="383" customFormat="1" ht="102" x14ac:dyDescent="0.25">
      <c r="A106" s="491">
        <v>4</v>
      </c>
      <c r="B106" s="489" t="s">
        <v>124</v>
      </c>
      <c r="C106" s="491">
        <v>45</v>
      </c>
      <c r="D106" s="489" t="s">
        <v>68</v>
      </c>
      <c r="E106" s="491">
        <v>4502</v>
      </c>
      <c r="F106" s="489" t="s">
        <v>125</v>
      </c>
      <c r="G106" s="491" t="s">
        <v>70</v>
      </c>
      <c r="H106" s="489" t="s">
        <v>876</v>
      </c>
      <c r="I106" s="491">
        <v>4502035</v>
      </c>
      <c r="J106" s="489" t="s">
        <v>877</v>
      </c>
      <c r="K106" s="491" t="s">
        <v>70</v>
      </c>
      <c r="L106" s="489" t="s">
        <v>878</v>
      </c>
      <c r="M106" s="491">
        <v>450203501</v>
      </c>
      <c r="N106" s="489" t="s">
        <v>879</v>
      </c>
      <c r="O106" s="491">
        <v>0.2</v>
      </c>
      <c r="P106" s="491"/>
      <c r="Q106" s="205">
        <f t="shared" si="13"/>
        <v>0.2</v>
      </c>
      <c r="R106" s="492" t="s">
        <v>846</v>
      </c>
      <c r="S106" s="489" t="s">
        <v>847</v>
      </c>
      <c r="T106" s="483">
        <f>SUM($X$106:$X$108)/SUM($X$87:$X$108)</f>
        <v>0.13754366200045373</v>
      </c>
      <c r="U106" s="489" t="s">
        <v>848</v>
      </c>
      <c r="V106" s="489" t="s">
        <v>880</v>
      </c>
      <c r="W106" s="489" t="s">
        <v>881</v>
      </c>
      <c r="X106" s="490">
        <v>25000000</v>
      </c>
      <c r="Y106" s="490"/>
      <c r="Z106" s="490"/>
      <c r="AA106" s="490"/>
      <c r="AB106" s="736">
        <f t="shared" si="19"/>
        <v>25000000</v>
      </c>
      <c r="AC106" s="491" t="s">
        <v>882</v>
      </c>
      <c r="AD106" s="491"/>
      <c r="AE106" s="205">
        <v>20</v>
      </c>
      <c r="AF106" s="65" t="s">
        <v>132</v>
      </c>
      <c r="AG106" s="485">
        <v>291786</v>
      </c>
      <c r="AH106" s="485">
        <v>270331</v>
      </c>
      <c r="AI106" s="485">
        <v>102045</v>
      </c>
      <c r="AJ106" s="485">
        <v>39183</v>
      </c>
      <c r="AK106" s="485">
        <v>310195</v>
      </c>
      <c r="AL106" s="485">
        <v>110694</v>
      </c>
      <c r="AM106" s="485">
        <v>2145</v>
      </c>
      <c r="AN106" s="485">
        <v>12718</v>
      </c>
      <c r="AO106" s="485">
        <v>26</v>
      </c>
      <c r="AP106" s="485">
        <v>37</v>
      </c>
      <c r="AQ106" s="485">
        <v>0</v>
      </c>
      <c r="AR106" s="485">
        <v>0</v>
      </c>
      <c r="AS106" s="485">
        <v>44350</v>
      </c>
      <c r="AT106" s="485">
        <v>21944</v>
      </c>
      <c r="AU106" s="485">
        <v>75687</v>
      </c>
      <c r="AV106" s="486">
        <f t="shared" si="20"/>
        <v>562117</v>
      </c>
      <c r="AW106" s="487">
        <v>45293</v>
      </c>
      <c r="AX106" s="487">
        <v>45657</v>
      </c>
      <c r="AY106" s="488" t="s">
        <v>648</v>
      </c>
    </row>
    <row r="107" spans="1:51" s="383" customFormat="1" ht="102" x14ac:dyDescent="0.25">
      <c r="A107" s="491">
        <v>4</v>
      </c>
      <c r="B107" s="489" t="s">
        <v>124</v>
      </c>
      <c r="C107" s="491">
        <v>45</v>
      </c>
      <c r="D107" s="489" t="s">
        <v>68</v>
      </c>
      <c r="E107" s="491">
        <v>4502</v>
      </c>
      <c r="F107" s="489" t="s">
        <v>125</v>
      </c>
      <c r="G107" s="491" t="s">
        <v>70</v>
      </c>
      <c r="H107" s="489" t="s">
        <v>876</v>
      </c>
      <c r="I107" s="491">
        <v>4502035</v>
      </c>
      <c r="J107" s="489" t="s">
        <v>877</v>
      </c>
      <c r="K107" s="491" t="s">
        <v>70</v>
      </c>
      <c r="L107" s="489" t="s">
        <v>878</v>
      </c>
      <c r="M107" s="491">
        <v>450203501</v>
      </c>
      <c r="N107" s="489" t="s">
        <v>879</v>
      </c>
      <c r="O107" s="491">
        <v>0.2</v>
      </c>
      <c r="P107" s="491"/>
      <c r="Q107" s="205">
        <f t="shared" si="13"/>
        <v>0.2</v>
      </c>
      <c r="R107" s="492" t="s">
        <v>846</v>
      </c>
      <c r="S107" s="489" t="s">
        <v>847</v>
      </c>
      <c r="T107" s="483">
        <f>SUM($X$106:$X$108)/SUM($X$87:$X$108)</f>
        <v>0.13754366200045373</v>
      </c>
      <c r="U107" s="489" t="s">
        <v>848</v>
      </c>
      <c r="V107" s="489" t="s">
        <v>880</v>
      </c>
      <c r="W107" s="489" t="s">
        <v>855</v>
      </c>
      <c r="X107" s="490">
        <v>5000000</v>
      </c>
      <c r="Y107" s="490"/>
      <c r="Z107" s="490"/>
      <c r="AA107" s="490"/>
      <c r="AB107" s="736">
        <f t="shared" si="19"/>
        <v>5000000</v>
      </c>
      <c r="AC107" s="491" t="s">
        <v>883</v>
      </c>
      <c r="AD107" s="491"/>
      <c r="AE107" s="205">
        <v>20</v>
      </c>
      <c r="AF107" s="65" t="s">
        <v>132</v>
      </c>
      <c r="AG107" s="485">
        <v>291786</v>
      </c>
      <c r="AH107" s="485">
        <v>270331</v>
      </c>
      <c r="AI107" s="485">
        <v>102045</v>
      </c>
      <c r="AJ107" s="485">
        <v>39183</v>
      </c>
      <c r="AK107" s="485">
        <v>310195</v>
      </c>
      <c r="AL107" s="485">
        <v>110694</v>
      </c>
      <c r="AM107" s="485">
        <v>2145</v>
      </c>
      <c r="AN107" s="485">
        <v>12718</v>
      </c>
      <c r="AO107" s="485">
        <v>26</v>
      </c>
      <c r="AP107" s="485">
        <v>37</v>
      </c>
      <c r="AQ107" s="485">
        <v>0</v>
      </c>
      <c r="AR107" s="485">
        <v>0</v>
      </c>
      <c r="AS107" s="485">
        <v>44350</v>
      </c>
      <c r="AT107" s="485">
        <v>21944</v>
      </c>
      <c r="AU107" s="485">
        <v>75687</v>
      </c>
      <c r="AV107" s="486">
        <f t="shared" si="20"/>
        <v>562117</v>
      </c>
      <c r="AW107" s="487">
        <v>45293</v>
      </c>
      <c r="AX107" s="487">
        <v>45657</v>
      </c>
      <c r="AY107" s="488" t="s">
        <v>648</v>
      </c>
    </row>
    <row r="108" spans="1:51" s="383" customFormat="1" ht="102" x14ac:dyDescent="0.25">
      <c r="A108" s="491">
        <v>4</v>
      </c>
      <c r="B108" s="489" t="s">
        <v>124</v>
      </c>
      <c r="C108" s="491">
        <v>45</v>
      </c>
      <c r="D108" s="489" t="s">
        <v>68</v>
      </c>
      <c r="E108" s="491">
        <v>4502</v>
      </c>
      <c r="F108" s="489" t="s">
        <v>125</v>
      </c>
      <c r="G108" s="491" t="s">
        <v>70</v>
      </c>
      <c r="H108" s="489" t="s">
        <v>876</v>
      </c>
      <c r="I108" s="491">
        <v>4502035</v>
      </c>
      <c r="J108" s="489" t="s">
        <v>877</v>
      </c>
      <c r="K108" s="491" t="s">
        <v>70</v>
      </c>
      <c r="L108" s="489" t="s">
        <v>878</v>
      </c>
      <c r="M108" s="491">
        <v>450203501</v>
      </c>
      <c r="N108" s="489" t="s">
        <v>879</v>
      </c>
      <c r="O108" s="491">
        <v>0.2</v>
      </c>
      <c r="P108" s="491"/>
      <c r="Q108" s="205">
        <f t="shared" si="13"/>
        <v>0.2</v>
      </c>
      <c r="R108" s="492" t="s">
        <v>846</v>
      </c>
      <c r="S108" s="489" t="s">
        <v>847</v>
      </c>
      <c r="T108" s="483">
        <f>SUM($X$106:$X$108)/SUM($X$87:$X$108)</f>
        <v>0.13754366200045373</v>
      </c>
      <c r="U108" s="489" t="s">
        <v>848</v>
      </c>
      <c r="V108" s="489" t="s">
        <v>880</v>
      </c>
      <c r="W108" s="489" t="s">
        <v>884</v>
      </c>
      <c r="X108" s="490">
        <v>29804619.640000001</v>
      </c>
      <c r="Y108" s="490"/>
      <c r="Z108" s="490"/>
      <c r="AA108" s="490"/>
      <c r="AB108" s="736">
        <f t="shared" si="19"/>
        <v>29804619.640000001</v>
      </c>
      <c r="AC108" s="491" t="s">
        <v>882</v>
      </c>
      <c r="AD108" s="491"/>
      <c r="AE108" s="205">
        <v>20</v>
      </c>
      <c r="AF108" s="65" t="s">
        <v>132</v>
      </c>
      <c r="AG108" s="485">
        <v>291786</v>
      </c>
      <c r="AH108" s="485">
        <v>270331</v>
      </c>
      <c r="AI108" s="485">
        <v>102045</v>
      </c>
      <c r="AJ108" s="485">
        <v>39183</v>
      </c>
      <c r="AK108" s="485">
        <v>310195</v>
      </c>
      <c r="AL108" s="485">
        <v>110694</v>
      </c>
      <c r="AM108" s="485">
        <v>2145</v>
      </c>
      <c r="AN108" s="485">
        <v>12718</v>
      </c>
      <c r="AO108" s="485">
        <v>26</v>
      </c>
      <c r="AP108" s="485">
        <v>37</v>
      </c>
      <c r="AQ108" s="485">
        <v>0</v>
      </c>
      <c r="AR108" s="485">
        <v>0</v>
      </c>
      <c r="AS108" s="485">
        <v>44350</v>
      </c>
      <c r="AT108" s="485">
        <v>21944</v>
      </c>
      <c r="AU108" s="485">
        <v>75687</v>
      </c>
      <c r="AV108" s="486">
        <f>SUM(AG108:AH108)</f>
        <v>562117</v>
      </c>
      <c r="AW108" s="487">
        <v>45293</v>
      </c>
      <c r="AX108" s="487">
        <v>45657</v>
      </c>
      <c r="AY108" s="488" t="s">
        <v>648</v>
      </c>
    </row>
    <row r="109" spans="1:51" ht="21" customHeight="1" x14ac:dyDescent="0.2">
      <c r="A109" s="894"/>
      <c r="B109" s="889"/>
      <c r="C109" s="896"/>
      <c r="D109" s="889"/>
      <c r="E109" s="896"/>
      <c r="F109" s="889"/>
      <c r="G109" s="896"/>
      <c r="H109" s="889"/>
      <c r="I109" s="896"/>
      <c r="J109" s="889"/>
      <c r="K109" s="896"/>
      <c r="L109" s="889"/>
      <c r="M109" s="896"/>
      <c r="N109" s="889"/>
      <c r="O109" s="306"/>
      <c r="P109" s="306"/>
      <c r="Q109" s="306"/>
      <c r="R109" s="896"/>
      <c r="S109" s="911"/>
      <c r="T109" s="357"/>
      <c r="U109" s="889"/>
      <c r="V109" s="889"/>
      <c r="W109" s="912" t="s">
        <v>25</v>
      </c>
      <c r="X109" s="493">
        <f>SUM(X11:X108)</f>
        <v>3956772619.6399999</v>
      </c>
      <c r="Y109" s="493">
        <f>SUM(Y11:Y108)</f>
        <v>399700000</v>
      </c>
      <c r="Z109" s="493">
        <f>SUM(Z11:Z108)</f>
        <v>0</v>
      </c>
      <c r="AA109" s="493">
        <f>SUM(AA11:AA108)</f>
        <v>0</v>
      </c>
      <c r="AB109" s="493">
        <f>SUM(AB11:AB108)</f>
        <v>3557072619.6399999</v>
      </c>
      <c r="AC109" s="306"/>
      <c r="AD109" s="306"/>
      <c r="AE109" s="306"/>
      <c r="AF109" s="306"/>
      <c r="AG109" s="306"/>
      <c r="AH109" s="306"/>
      <c r="AI109" s="306"/>
      <c r="AJ109" s="306"/>
      <c r="AK109" s="306"/>
      <c r="AL109" s="306"/>
      <c r="AM109" s="306"/>
      <c r="AN109" s="306"/>
      <c r="AO109" s="306"/>
      <c r="AP109" s="306"/>
      <c r="AQ109" s="306"/>
      <c r="AR109" s="306"/>
      <c r="AS109" s="306"/>
      <c r="AT109" s="306"/>
      <c r="AU109" s="306"/>
      <c r="AV109" s="306"/>
      <c r="AW109" s="306"/>
      <c r="AX109" s="306"/>
      <c r="AY109" s="382"/>
    </row>
    <row r="110" spans="1:51" ht="30" customHeight="1" x14ac:dyDescent="0.2">
      <c r="X110" s="494"/>
      <c r="Y110" s="494"/>
      <c r="Z110" s="494"/>
      <c r="AA110" s="494"/>
      <c r="AB110" s="494"/>
    </row>
    <row r="111" spans="1:51" x14ac:dyDescent="0.2">
      <c r="AD111" s="85"/>
      <c r="AE111" s="85"/>
      <c r="AF111" s="85"/>
    </row>
    <row r="112" spans="1:51" x14ac:dyDescent="0.2">
      <c r="O112" s="1080" t="s">
        <v>885</v>
      </c>
      <c r="P112" s="1080"/>
      <c r="Q112" s="1080"/>
      <c r="R112" s="1080"/>
      <c r="S112" s="1116"/>
      <c r="AD112" s="85"/>
      <c r="AE112" s="85"/>
      <c r="AF112" s="85"/>
    </row>
    <row r="113" spans="9:32" x14ac:dyDescent="0.2">
      <c r="O113" s="1080" t="s">
        <v>886</v>
      </c>
      <c r="P113" s="1080"/>
      <c r="Q113" s="1080"/>
      <c r="R113" s="1080"/>
      <c r="S113" s="1116"/>
      <c r="AD113" s="85"/>
      <c r="AE113" s="85"/>
      <c r="AF113" s="85"/>
    </row>
    <row r="114" spans="9:32" x14ac:dyDescent="0.2">
      <c r="X114" s="495"/>
      <c r="Y114" s="495"/>
      <c r="Z114" s="495"/>
      <c r="AA114" s="495"/>
      <c r="AB114" s="495"/>
      <c r="AD114" s="85"/>
      <c r="AE114" s="85"/>
      <c r="AF114" s="85"/>
    </row>
    <row r="115" spans="9:32" x14ac:dyDescent="0.2">
      <c r="AD115" s="85"/>
      <c r="AE115" s="85"/>
      <c r="AF115" s="85"/>
    </row>
    <row r="116" spans="9:32" x14ac:dyDescent="0.2">
      <c r="I116" s="1076" t="s">
        <v>113</v>
      </c>
      <c r="J116" s="1117"/>
      <c r="K116" s="1077" t="s">
        <v>114</v>
      </c>
      <c r="L116" s="1118"/>
      <c r="M116" s="1077" t="s">
        <v>115</v>
      </c>
      <c r="N116" s="1118"/>
      <c r="AD116" s="85"/>
      <c r="AE116" s="85"/>
      <c r="AF116" s="85"/>
    </row>
    <row r="117" spans="9:32" x14ac:dyDescent="0.2">
      <c r="I117" s="1076" t="s">
        <v>116</v>
      </c>
      <c r="J117" s="1117"/>
      <c r="K117" s="1077" t="s">
        <v>117</v>
      </c>
      <c r="L117" s="1118"/>
      <c r="M117" s="1076" t="s">
        <v>118</v>
      </c>
      <c r="N117" s="1117"/>
      <c r="AD117" s="85"/>
      <c r="AE117" s="85"/>
      <c r="AF117" s="85"/>
    </row>
    <row r="118" spans="9:32" x14ac:dyDescent="0.2">
      <c r="I118" s="1076" t="s">
        <v>119</v>
      </c>
      <c r="J118" s="1117"/>
      <c r="K118" s="1077" t="s">
        <v>120</v>
      </c>
      <c r="L118" s="1118"/>
      <c r="M118" s="1076" t="s">
        <v>121</v>
      </c>
      <c r="N118" s="1117"/>
      <c r="AD118" s="85"/>
      <c r="AE118" s="85"/>
      <c r="AF118" s="85"/>
    </row>
  </sheetData>
  <autoFilter ref="A10:BV109" xr:uid="{00000000-0009-0000-0000-000003000000}"/>
  <mergeCells count="33">
    <mergeCell ref="I117:J117"/>
    <mergeCell ref="K117:L117"/>
    <mergeCell ref="M117:N117"/>
    <mergeCell ref="I118:J118"/>
    <mergeCell ref="K118:L118"/>
    <mergeCell ref="M118:N118"/>
    <mergeCell ref="O112:S112"/>
    <mergeCell ref="I116:J116"/>
    <mergeCell ref="K116:L116"/>
    <mergeCell ref="M116:N116"/>
    <mergeCell ref="O8:Q9"/>
    <mergeCell ref="R8:X9"/>
    <mergeCell ref="O113:S113"/>
    <mergeCell ref="AW8:AW10"/>
    <mergeCell ref="AX8:AX10"/>
    <mergeCell ref="AY8:AY10"/>
    <mergeCell ref="AC9:AF9"/>
    <mergeCell ref="AG9:AH9"/>
    <mergeCell ref="AI9:AL9"/>
    <mergeCell ref="AM9:AR9"/>
    <mergeCell ref="AS9:AU9"/>
    <mergeCell ref="AV9:AV10"/>
    <mergeCell ref="AG8:AV8"/>
    <mergeCell ref="A1:B7"/>
    <mergeCell ref="C1:AW1"/>
    <mergeCell ref="C2:AW4"/>
    <mergeCell ref="C5:AW5"/>
    <mergeCell ref="C6:AW6"/>
    <mergeCell ref="A8:B9"/>
    <mergeCell ref="C8:D9"/>
    <mergeCell ref="E8:F9"/>
    <mergeCell ref="G8:J9"/>
    <mergeCell ref="K8:N9"/>
  </mergeCells>
  <pageMargins left="0.7" right="0.7" top="0.75" bottom="0.75" header="0.3" footer="0.3"/>
  <pageSetup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57F14-BEB5-4E37-8593-6C3ECF3AEA5C}">
  <sheetPr>
    <tabColor theme="7" tint="0.59999389629810485"/>
  </sheetPr>
  <dimension ref="A1:BQ49"/>
  <sheetViews>
    <sheetView zoomScale="60" zoomScaleNormal="60" workbookViewId="0">
      <pane ySplit="10" topLeftCell="A11" activePane="bottomLeft" state="frozen"/>
      <selection pane="bottomLeft" activeCell="M13" sqref="M13"/>
    </sheetView>
  </sheetViews>
  <sheetFormatPr baseColWidth="10" defaultColWidth="11.42578125" defaultRowHeight="12.75" x14ac:dyDescent="0.2"/>
  <cols>
    <col min="1" max="1" width="10.28515625" style="895" customWidth="1"/>
    <col min="2" max="2" width="10.5703125" style="890" customWidth="1"/>
    <col min="3" max="3" width="11.42578125" style="895"/>
    <col min="4" max="4" width="11.42578125" style="890"/>
    <col min="5" max="5" width="11.42578125" style="895"/>
    <col min="6" max="6" width="15.85546875" style="890" customWidth="1"/>
    <col min="7" max="7" width="11.42578125" style="895"/>
    <col min="8" max="8" width="16.85546875" style="890" customWidth="1"/>
    <col min="9" max="9" width="19.140625" style="895" customWidth="1"/>
    <col min="10" max="10" width="18.7109375" style="890" customWidth="1"/>
    <col min="11" max="11" width="16.140625" style="895" customWidth="1"/>
    <col min="12" max="12" width="17.42578125" style="890" customWidth="1"/>
    <col min="13" max="13" width="16.28515625" style="895" customWidth="1"/>
    <col min="14" max="14" width="18.5703125" style="890" customWidth="1"/>
    <col min="15" max="16" width="11.42578125" style="81"/>
    <col min="17" max="17" width="8.5703125" style="81" customWidth="1"/>
    <col min="18" max="18" width="16.28515625" style="895" customWidth="1"/>
    <col min="19" max="19" width="19.85546875" style="890" customWidth="1"/>
    <col min="20" max="20" width="10.85546875" style="81" customWidth="1"/>
    <col min="21" max="21" width="32.85546875" style="890" customWidth="1"/>
    <col min="22" max="22" width="39.140625" style="890" customWidth="1"/>
    <col min="23" max="23" width="35.7109375" style="890" customWidth="1"/>
    <col min="24" max="28" width="25.140625" style="81" customWidth="1"/>
    <col min="29" max="29" width="60.5703125" style="81" customWidth="1"/>
    <col min="30" max="30" width="19.42578125" style="81" customWidth="1"/>
    <col min="31" max="31" width="14.28515625" style="81" customWidth="1"/>
    <col min="32" max="32" width="11.42578125" style="81"/>
    <col min="33" max="33" width="5.85546875" style="81" customWidth="1"/>
    <col min="34" max="34" width="5" style="81" customWidth="1"/>
    <col min="35" max="35" width="9.28515625" style="81" customWidth="1"/>
    <col min="36" max="36" width="7.42578125" style="81" customWidth="1"/>
    <col min="37" max="37" width="9.42578125" style="81" customWidth="1"/>
    <col min="38" max="38" width="8.5703125" style="81" customWidth="1"/>
    <col min="39" max="39" width="5.28515625" style="81" customWidth="1"/>
    <col min="40" max="40" width="5.42578125" style="81" customWidth="1"/>
    <col min="41" max="41" width="6.7109375" style="81" customWidth="1"/>
    <col min="42" max="42" width="6.42578125" style="81" customWidth="1"/>
    <col min="43" max="43" width="6.28515625" style="81" customWidth="1"/>
    <col min="44" max="44" width="6.5703125" style="81" customWidth="1"/>
    <col min="45" max="45" width="6.7109375" style="81" customWidth="1"/>
    <col min="46" max="46" width="5.7109375" style="81" customWidth="1"/>
    <col min="47" max="47" width="7.5703125" style="81" customWidth="1"/>
    <col min="48" max="48" width="8" style="81" customWidth="1"/>
    <col min="49" max="49" width="14.28515625" style="81" customWidth="1"/>
    <col min="50" max="50" width="14.42578125" style="81" customWidth="1"/>
    <col min="51" max="51" width="15.140625" style="81" customWidth="1"/>
    <col min="52" max="16384" width="11.42578125" style="81"/>
  </cols>
  <sheetData>
    <row r="1" spans="1:69" ht="9.75" customHeight="1" x14ac:dyDescent="0.2">
      <c r="A1" s="1073"/>
      <c r="B1" s="1073"/>
      <c r="C1" s="1074" t="s">
        <v>0</v>
      </c>
      <c r="D1" s="1074"/>
      <c r="E1" s="1074"/>
      <c r="F1" s="1074"/>
      <c r="G1" s="1074"/>
      <c r="H1" s="1074"/>
      <c r="I1" s="1074"/>
      <c r="J1" s="1074"/>
      <c r="K1" s="1074"/>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1074"/>
      <c r="AO1" s="1074"/>
      <c r="AP1" s="1074"/>
      <c r="AQ1" s="1074"/>
      <c r="AR1" s="1074"/>
      <c r="AS1" s="1074"/>
      <c r="AT1" s="1074"/>
      <c r="AU1" s="1074"/>
      <c r="AV1" s="1074"/>
      <c r="AW1" s="1074"/>
    </row>
    <row r="2" spans="1:69" s="45" customFormat="1" x14ac:dyDescent="0.2">
      <c r="A2" s="1073"/>
      <c r="B2" s="1073"/>
      <c r="C2" s="980" t="s">
        <v>887</v>
      </c>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2"/>
      <c r="AX2" s="2" t="s">
        <v>2</v>
      </c>
      <c r="AY2" s="2" t="s">
        <v>3</v>
      </c>
      <c r="AZ2" s="3"/>
      <c r="BA2" s="3"/>
      <c r="BB2" s="3"/>
      <c r="BC2" s="3"/>
      <c r="BD2" s="3"/>
      <c r="BE2" s="3"/>
      <c r="BF2" s="3"/>
      <c r="BG2" s="3"/>
      <c r="BH2" s="3"/>
      <c r="BI2" s="3"/>
      <c r="BJ2" s="3"/>
      <c r="BK2" s="3"/>
      <c r="BL2" s="3"/>
      <c r="BM2" s="3"/>
      <c r="BN2" s="3"/>
      <c r="BO2" s="3"/>
      <c r="BP2" s="3"/>
      <c r="BQ2" s="3"/>
    </row>
    <row r="3" spans="1:69" s="45" customFormat="1" ht="9" customHeight="1" x14ac:dyDescent="0.2">
      <c r="A3" s="1073"/>
      <c r="B3" s="1073"/>
      <c r="C3" s="983"/>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5"/>
      <c r="AX3" s="2" t="s">
        <v>4</v>
      </c>
      <c r="AY3" s="49">
        <v>11</v>
      </c>
      <c r="AZ3" s="3"/>
      <c r="BA3" s="3"/>
      <c r="BB3" s="3"/>
      <c r="BC3" s="3"/>
      <c r="BD3" s="3"/>
      <c r="BE3" s="3"/>
      <c r="BF3" s="3"/>
      <c r="BG3" s="3"/>
      <c r="BH3" s="3"/>
      <c r="BI3" s="3"/>
      <c r="BJ3" s="3"/>
      <c r="BK3" s="3"/>
      <c r="BL3" s="3"/>
      <c r="BM3" s="3"/>
      <c r="BN3" s="3"/>
      <c r="BO3" s="3"/>
      <c r="BP3" s="3"/>
      <c r="BQ3" s="3"/>
    </row>
    <row r="4" spans="1:69" s="45" customFormat="1" ht="10.5" customHeight="1" x14ac:dyDescent="0.2">
      <c r="A4" s="1073"/>
      <c r="B4" s="1073"/>
      <c r="C4" s="986"/>
      <c r="D4" s="987"/>
      <c r="E4" s="987"/>
      <c r="F4" s="987"/>
      <c r="G4" s="987"/>
      <c r="H4" s="987"/>
      <c r="I4" s="987"/>
      <c r="J4" s="987"/>
      <c r="K4" s="987"/>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c r="AT4" s="987"/>
      <c r="AU4" s="987"/>
      <c r="AV4" s="987"/>
      <c r="AW4" s="988"/>
      <c r="AX4" s="2" t="s">
        <v>5</v>
      </c>
      <c r="AY4" s="50">
        <v>44714</v>
      </c>
      <c r="AZ4" s="3"/>
      <c r="BA4" s="3"/>
      <c r="BB4" s="3"/>
      <c r="BC4" s="3"/>
      <c r="BD4" s="3"/>
      <c r="BE4" s="3"/>
      <c r="BF4" s="3"/>
      <c r="BG4" s="3"/>
      <c r="BH4" s="3"/>
      <c r="BI4" s="3"/>
      <c r="BJ4" s="3"/>
      <c r="BK4" s="3"/>
      <c r="BL4" s="3"/>
      <c r="BM4" s="3"/>
      <c r="BN4" s="3"/>
      <c r="BO4" s="3"/>
      <c r="BP4" s="3"/>
      <c r="BQ4" s="3"/>
    </row>
    <row r="5" spans="1:69" s="45" customFormat="1" ht="10.5" customHeight="1" x14ac:dyDescent="0.2">
      <c r="A5" s="1073"/>
      <c r="B5" s="1073"/>
      <c r="C5" s="989"/>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1"/>
      <c r="AX5" s="2" t="s">
        <v>6</v>
      </c>
      <c r="AY5" s="7" t="s">
        <v>7</v>
      </c>
      <c r="AZ5" s="3"/>
      <c r="BA5" s="3"/>
      <c r="BB5" s="3"/>
      <c r="BC5" s="3"/>
      <c r="BD5" s="3"/>
      <c r="BE5" s="3"/>
      <c r="BF5" s="3"/>
      <c r="BG5" s="3"/>
      <c r="BH5" s="3"/>
      <c r="BI5" s="3"/>
      <c r="BJ5" s="3"/>
      <c r="BK5" s="3"/>
      <c r="BL5" s="3"/>
      <c r="BM5" s="3"/>
      <c r="BN5" s="3"/>
      <c r="BO5" s="3"/>
      <c r="BP5" s="3"/>
      <c r="BQ5" s="3"/>
    </row>
    <row r="6" spans="1:69" s="45" customFormat="1" ht="7.5" customHeight="1" x14ac:dyDescent="0.2">
      <c r="A6" s="1073"/>
      <c r="B6" s="1073"/>
      <c r="C6" s="992" t="s">
        <v>888</v>
      </c>
      <c r="D6" s="993"/>
      <c r="E6" s="993"/>
      <c r="F6" s="993"/>
      <c r="G6" s="993"/>
      <c r="H6" s="993"/>
      <c r="I6" s="993"/>
      <c r="J6" s="993"/>
      <c r="K6" s="993"/>
      <c r="L6" s="993"/>
      <c r="M6" s="993"/>
      <c r="N6" s="993"/>
      <c r="O6" s="993"/>
      <c r="P6" s="993"/>
      <c r="Q6" s="993"/>
      <c r="R6" s="993"/>
      <c r="S6" s="993"/>
      <c r="T6" s="993"/>
      <c r="U6" s="993"/>
      <c r="V6" s="993"/>
      <c r="W6" s="993"/>
      <c r="X6" s="993"/>
      <c r="Y6" s="993"/>
      <c r="Z6" s="993"/>
      <c r="AA6" s="993"/>
      <c r="AB6" s="993"/>
      <c r="AC6" s="993"/>
      <c r="AD6" s="993"/>
      <c r="AE6" s="993"/>
      <c r="AF6" s="993"/>
      <c r="AG6" s="993"/>
      <c r="AH6" s="993"/>
      <c r="AI6" s="993"/>
      <c r="AJ6" s="993"/>
      <c r="AK6" s="993"/>
      <c r="AL6" s="993"/>
      <c r="AM6" s="993"/>
      <c r="AN6" s="993"/>
      <c r="AO6" s="993"/>
      <c r="AP6" s="993"/>
      <c r="AQ6" s="993"/>
      <c r="AR6" s="993"/>
      <c r="AS6" s="993"/>
      <c r="AT6" s="993"/>
      <c r="AU6" s="993"/>
      <c r="AV6" s="993"/>
      <c r="AW6" s="993"/>
      <c r="AX6" s="52"/>
      <c r="AY6" s="53"/>
      <c r="AZ6" s="3"/>
      <c r="BA6" s="3"/>
      <c r="BB6" s="3"/>
      <c r="BC6" s="3"/>
      <c r="BD6" s="3"/>
      <c r="BE6" s="3"/>
      <c r="BF6" s="3"/>
      <c r="BG6" s="3"/>
      <c r="BH6" s="3"/>
      <c r="BI6" s="3"/>
      <c r="BJ6" s="3"/>
      <c r="BK6" s="3"/>
      <c r="BL6" s="3"/>
      <c r="BM6" s="3"/>
      <c r="BN6" s="3"/>
      <c r="BO6" s="3"/>
      <c r="BP6" s="3"/>
      <c r="BQ6" s="3"/>
    </row>
    <row r="7" spans="1:69" s="45" customFormat="1" ht="9.75" customHeight="1" x14ac:dyDescent="0.2">
      <c r="A7" s="1074"/>
      <c r="B7" s="1074"/>
      <c r="C7" s="10"/>
      <c r="D7" s="891"/>
      <c r="E7" s="10"/>
      <c r="F7" s="891"/>
      <c r="G7" s="10"/>
      <c r="H7" s="891"/>
      <c r="I7" s="10"/>
      <c r="J7" s="891"/>
      <c r="K7" s="10"/>
      <c r="L7" s="891"/>
      <c r="M7" s="10"/>
      <c r="N7" s="891"/>
      <c r="O7" s="54"/>
      <c r="P7" s="54"/>
      <c r="Q7" s="54"/>
      <c r="R7" s="10"/>
      <c r="S7" s="891"/>
      <c r="T7" s="54"/>
      <c r="U7" s="891"/>
      <c r="V7" s="891"/>
      <c r="W7" s="891"/>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5"/>
      <c r="AZ7" s="3"/>
      <c r="BA7" s="3"/>
      <c r="BB7" s="3"/>
      <c r="BC7" s="3"/>
      <c r="BD7" s="3"/>
      <c r="BE7" s="3"/>
      <c r="BF7" s="3"/>
      <c r="BG7" s="3"/>
      <c r="BH7" s="3"/>
      <c r="BI7" s="3"/>
      <c r="BJ7" s="3"/>
      <c r="BK7" s="3"/>
      <c r="BL7" s="3"/>
      <c r="BM7" s="3"/>
      <c r="BN7" s="3"/>
      <c r="BO7" s="3"/>
      <c r="BP7" s="3"/>
      <c r="BQ7" s="3"/>
    </row>
    <row r="8" spans="1:69" x14ac:dyDescent="0.2">
      <c r="A8" s="966" t="s">
        <v>9</v>
      </c>
      <c r="B8" s="967"/>
      <c r="C8" s="966" t="s">
        <v>10</v>
      </c>
      <c r="D8" s="967"/>
      <c r="E8" s="966" t="s">
        <v>11</v>
      </c>
      <c r="F8" s="967"/>
      <c r="G8" s="966" t="s">
        <v>12</v>
      </c>
      <c r="H8" s="970"/>
      <c r="I8" s="970"/>
      <c r="J8" s="967"/>
      <c r="K8" s="1067" t="s">
        <v>13</v>
      </c>
      <c r="L8" s="1068"/>
      <c r="M8" s="1068"/>
      <c r="N8" s="1069"/>
      <c r="O8" s="1067" t="s">
        <v>14</v>
      </c>
      <c r="P8" s="1068"/>
      <c r="Q8" s="1069"/>
      <c r="R8" s="1008" t="s">
        <v>15</v>
      </c>
      <c r="S8" s="1008"/>
      <c r="T8" s="1008"/>
      <c r="U8" s="1008"/>
      <c r="V8" s="1008"/>
      <c r="W8" s="1008"/>
      <c r="X8" s="1008"/>
      <c r="Y8" s="281"/>
      <c r="Z8" s="281"/>
      <c r="AA8" s="281"/>
      <c r="AB8" s="281"/>
      <c r="AC8" s="82"/>
      <c r="AD8" s="82"/>
      <c r="AE8" s="82"/>
      <c r="AF8" s="83"/>
      <c r="AG8" s="1002" t="s">
        <v>16</v>
      </c>
      <c r="AH8" s="1003"/>
      <c r="AI8" s="1003"/>
      <c r="AJ8" s="1003"/>
      <c r="AK8" s="1003"/>
      <c r="AL8" s="1003"/>
      <c r="AM8" s="1003"/>
      <c r="AN8" s="1003"/>
      <c r="AO8" s="1003"/>
      <c r="AP8" s="1003"/>
      <c r="AQ8" s="1003"/>
      <c r="AR8" s="1003"/>
      <c r="AS8" s="1003"/>
      <c r="AT8" s="1003"/>
      <c r="AU8" s="1003"/>
      <c r="AV8" s="1004"/>
      <c r="AW8" s="994" t="s">
        <v>17</v>
      </c>
      <c r="AX8" s="994" t="s">
        <v>18</v>
      </c>
      <c r="AY8" s="994" t="s">
        <v>19</v>
      </c>
    </row>
    <row r="9" spans="1:69" s="46" customFormat="1" x14ac:dyDescent="0.2">
      <c r="A9" s="968"/>
      <c r="B9" s="969"/>
      <c r="C9" s="968"/>
      <c r="D9" s="969"/>
      <c r="E9" s="968"/>
      <c r="F9" s="969"/>
      <c r="G9" s="968"/>
      <c r="H9" s="971"/>
      <c r="I9" s="971"/>
      <c r="J9" s="969"/>
      <c r="K9" s="1070"/>
      <c r="L9" s="1071"/>
      <c r="M9" s="1071"/>
      <c r="N9" s="1072"/>
      <c r="O9" s="1070"/>
      <c r="P9" s="1071"/>
      <c r="Q9" s="1072"/>
      <c r="R9" s="1009"/>
      <c r="S9" s="1009"/>
      <c r="T9" s="1009"/>
      <c r="U9" s="1009"/>
      <c r="V9" s="1009"/>
      <c r="W9" s="1009"/>
      <c r="X9" s="1009"/>
      <c r="Y9" s="282"/>
      <c r="Z9" s="282"/>
      <c r="AA9" s="282"/>
      <c r="AB9" s="282"/>
      <c r="AC9" s="997" t="s">
        <v>20</v>
      </c>
      <c r="AD9" s="997"/>
      <c r="AE9" s="997"/>
      <c r="AF9" s="997"/>
      <c r="AG9" s="997" t="s">
        <v>21</v>
      </c>
      <c r="AH9" s="1075"/>
      <c r="AI9" s="999" t="s">
        <v>22</v>
      </c>
      <c r="AJ9" s="1075"/>
      <c r="AK9" s="1075"/>
      <c r="AL9" s="1075"/>
      <c r="AM9" s="1000" t="s">
        <v>23</v>
      </c>
      <c r="AN9" s="1075"/>
      <c r="AO9" s="1075"/>
      <c r="AP9" s="1075"/>
      <c r="AQ9" s="1075"/>
      <c r="AR9" s="1075"/>
      <c r="AS9" s="999" t="s">
        <v>24</v>
      </c>
      <c r="AT9" s="1075"/>
      <c r="AU9" s="1075"/>
      <c r="AV9" s="1001" t="s">
        <v>25</v>
      </c>
      <c r="AW9" s="995"/>
      <c r="AX9" s="995"/>
      <c r="AY9" s="995"/>
      <c r="AZ9" s="14"/>
      <c r="BA9" s="14"/>
      <c r="BB9" s="14"/>
      <c r="BC9" s="14"/>
      <c r="BD9" s="14"/>
      <c r="BE9" s="14"/>
      <c r="BF9" s="14"/>
      <c r="BG9" s="14"/>
      <c r="BH9" s="14"/>
      <c r="BI9" s="14"/>
      <c r="BJ9" s="14"/>
      <c r="BK9" s="14"/>
      <c r="BL9" s="14"/>
      <c r="BM9" s="14"/>
      <c r="BN9" s="14"/>
    </row>
    <row r="10" spans="1:69" s="47" customFormat="1" ht="74.25" customHeight="1" x14ac:dyDescent="0.2">
      <c r="A10" s="16" t="s">
        <v>26</v>
      </c>
      <c r="B10" s="17" t="s">
        <v>27</v>
      </c>
      <c r="C10" s="16" t="s">
        <v>26</v>
      </c>
      <c r="D10" s="17" t="s">
        <v>27</v>
      </c>
      <c r="E10" s="17" t="s">
        <v>26</v>
      </c>
      <c r="F10" s="17" t="s">
        <v>27</v>
      </c>
      <c r="G10" s="18" t="s">
        <v>28</v>
      </c>
      <c r="H10" s="18" t="s">
        <v>29</v>
      </c>
      <c r="I10" s="18" t="s">
        <v>30</v>
      </c>
      <c r="J10" s="18" t="s">
        <v>31</v>
      </c>
      <c r="K10" s="18" t="s">
        <v>28</v>
      </c>
      <c r="L10" s="18" t="s">
        <v>32</v>
      </c>
      <c r="M10" s="18" t="s">
        <v>33</v>
      </c>
      <c r="N10" s="18" t="s">
        <v>34</v>
      </c>
      <c r="O10" s="18" t="s">
        <v>35</v>
      </c>
      <c r="P10" s="18" t="s">
        <v>36</v>
      </c>
      <c r="Q10" s="18" t="s">
        <v>37</v>
      </c>
      <c r="R10" s="17" t="s">
        <v>38</v>
      </c>
      <c r="S10" s="17" t="s">
        <v>39</v>
      </c>
      <c r="T10" s="19" t="s">
        <v>40</v>
      </c>
      <c r="U10" s="17" t="s">
        <v>41</v>
      </c>
      <c r="V10" s="17" t="s">
        <v>42</v>
      </c>
      <c r="W10" s="17" t="s">
        <v>43</v>
      </c>
      <c r="X10" s="20" t="s">
        <v>44</v>
      </c>
      <c r="Y10" s="908" t="s">
        <v>45</v>
      </c>
      <c r="Z10" s="909" t="s">
        <v>46</v>
      </c>
      <c r="AA10" s="909" t="s">
        <v>47</v>
      </c>
      <c r="AB10" s="908" t="s">
        <v>48</v>
      </c>
      <c r="AC10" s="16" t="s">
        <v>49</v>
      </c>
      <c r="AD10" s="17" t="s">
        <v>50</v>
      </c>
      <c r="AE10" s="17" t="s">
        <v>51</v>
      </c>
      <c r="AF10" s="17" t="s">
        <v>52</v>
      </c>
      <c r="AG10" s="21" t="s">
        <v>53</v>
      </c>
      <c r="AH10" s="22" t="s">
        <v>54</v>
      </c>
      <c r="AI10" s="21" t="s">
        <v>55</v>
      </c>
      <c r="AJ10" s="21" t="s">
        <v>56</v>
      </c>
      <c r="AK10" s="21" t="s">
        <v>57</v>
      </c>
      <c r="AL10" s="21" t="s">
        <v>58</v>
      </c>
      <c r="AM10" s="21" t="s">
        <v>59</v>
      </c>
      <c r="AN10" s="21" t="s">
        <v>60</v>
      </c>
      <c r="AO10" s="21" t="s">
        <v>61</v>
      </c>
      <c r="AP10" s="21" t="s">
        <v>62</v>
      </c>
      <c r="AQ10" s="21" t="s">
        <v>63</v>
      </c>
      <c r="AR10" s="21" t="s">
        <v>64</v>
      </c>
      <c r="AS10" s="21" t="s">
        <v>65</v>
      </c>
      <c r="AT10" s="21" t="s">
        <v>66</v>
      </c>
      <c r="AU10" s="21" t="s">
        <v>67</v>
      </c>
      <c r="AV10" s="1001"/>
      <c r="AW10" s="996"/>
      <c r="AX10" s="996"/>
      <c r="AY10" s="996"/>
      <c r="AZ10" s="14"/>
      <c r="BA10" s="14"/>
      <c r="BB10" s="14"/>
      <c r="BC10" s="14"/>
      <c r="BD10" s="14"/>
      <c r="BE10" s="14"/>
      <c r="BF10" s="14"/>
      <c r="BG10" s="14"/>
      <c r="BH10" s="14"/>
      <c r="BI10" s="14"/>
      <c r="BJ10" s="14"/>
      <c r="BK10" s="14"/>
      <c r="BL10" s="14"/>
      <c r="BM10" s="14"/>
      <c r="BN10" s="14"/>
    </row>
    <row r="11" spans="1:69" ht="127.5" x14ac:dyDescent="0.2">
      <c r="A11" s="496">
        <v>2</v>
      </c>
      <c r="B11" s="497" t="s">
        <v>2841</v>
      </c>
      <c r="C11" s="498">
        <v>35</v>
      </c>
      <c r="D11" s="497" t="s">
        <v>889</v>
      </c>
      <c r="E11" s="499">
        <v>3502</v>
      </c>
      <c r="F11" s="497" t="s">
        <v>890</v>
      </c>
      <c r="G11" s="499">
        <v>3502006</v>
      </c>
      <c r="H11" s="497" t="s">
        <v>891</v>
      </c>
      <c r="I11" s="499">
        <v>3502006</v>
      </c>
      <c r="J11" s="497" t="s">
        <v>891</v>
      </c>
      <c r="K11" s="498" t="s">
        <v>892</v>
      </c>
      <c r="L11" s="497" t="s">
        <v>893</v>
      </c>
      <c r="M11" s="498" t="s">
        <v>892</v>
      </c>
      <c r="N11" s="497" t="s">
        <v>893</v>
      </c>
      <c r="O11" s="205">
        <v>1</v>
      </c>
      <c r="P11" s="205"/>
      <c r="Q11" s="205">
        <v>1</v>
      </c>
      <c r="R11" s="496">
        <v>2020003630074</v>
      </c>
      <c r="S11" s="497" t="s">
        <v>894</v>
      </c>
      <c r="T11" s="500">
        <f>+X11/SUM(X11:X12)</f>
        <v>0.65909090909090906</v>
      </c>
      <c r="U11" s="497" t="s">
        <v>895</v>
      </c>
      <c r="V11" s="501" t="s">
        <v>896</v>
      </c>
      <c r="W11" s="643" t="s">
        <v>897</v>
      </c>
      <c r="X11" s="502">
        <v>58000000</v>
      </c>
      <c r="Y11" s="502"/>
      <c r="Z11" s="502"/>
      <c r="AA11" s="502"/>
      <c r="AB11" s="502">
        <f t="shared" ref="AB11:AB16" si="0">X11-Y11+Z11-AA11</f>
        <v>58000000</v>
      </c>
      <c r="AC11" s="205" t="s">
        <v>898</v>
      </c>
      <c r="AD11" s="503"/>
      <c r="AE11" s="496">
        <v>20</v>
      </c>
      <c r="AF11" s="504" t="s">
        <v>899</v>
      </c>
      <c r="AG11" s="496">
        <v>765</v>
      </c>
      <c r="AH11" s="496">
        <v>735</v>
      </c>
      <c r="AI11" s="204"/>
      <c r="AJ11" s="204"/>
      <c r="AK11" s="289">
        <f t="shared" ref="AK11:AK21" si="1">AG11+AH11</f>
        <v>1500</v>
      </c>
      <c r="AL11" s="204"/>
      <c r="AM11" s="204"/>
      <c r="AN11" s="204"/>
      <c r="AO11" s="204"/>
      <c r="AP11" s="204"/>
      <c r="AQ11" s="204"/>
      <c r="AR11" s="204"/>
      <c r="AS11" s="204"/>
      <c r="AT11" s="204"/>
      <c r="AU11" s="204"/>
      <c r="AV11" s="505">
        <f t="shared" ref="AV11:AV21" si="2">AK11</f>
        <v>1500</v>
      </c>
      <c r="AW11" s="506">
        <v>45337</v>
      </c>
      <c r="AX11" s="506">
        <v>45427</v>
      </c>
      <c r="AY11" s="507" t="s">
        <v>900</v>
      </c>
    </row>
    <row r="12" spans="1:69" ht="127.5" x14ac:dyDescent="0.2">
      <c r="A12" s="496">
        <v>2</v>
      </c>
      <c r="B12" s="497" t="s">
        <v>2841</v>
      </c>
      <c r="C12" s="498">
        <v>35</v>
      </c>
      <c r="D12" s="497" t="s">
        <v>889</v>
      </c>
      <c r="E12" s="499">
        <v>3502</v>
      </c>
      <c r="F12" s="497" t="s">
        <v>890</v>
      </c>
      <c r="G12" s="499">
        <v>3502007</v>
      </c>
      <c r="H12" s="497" t="s">
        <v>901</v>
      </c>
      <c r="I12" s="499">
        <v>3502007</v>
      </c>
      <c r="J12" s="497" t="s">
        <v>901</v>
      </c>
      <c r="K12" s="498" t="s">
        <v>902</v>
      </c>
      <c r="L12" s="497" t="s">
        <v>903</v>
      </c>
      <c r="M12" s="498" t="s">
        <v>902</v>
      </c>
      <c r="N12" s="497" t="s">
        <v>903</v>
      </c>
      <c r="O12" s="205">
        <v>7</v>
      </c>
      <c r="P12" s="205"/>
      <c r="Q12" s="205">
        <v>7</v>
      </c>
      <c r="R12" s="496">
        <v>2020003630074</v>
      </c>
      <c r="S12" s="497" t="s">
        <v>894</v>
      </c>
      <c r="T12" s="500">
        <f>X12/SUM(X11:X12)</f>
        <v>0.34090909090909088</v>
      </c>
      <c r="U12" s="497" t="s">
        <v>895</v>
      </c>
      <c r="V12" s="501" t="s">
        <v>896</v>
      </c>
      <c r="W12" s="643" t="s">
        <v>904</v>
      </c>
      <c r="X12" s="502">
        <v>30000000</v>
      </c>
      <c r="Y12" s="502">
        <v>17200000</v>
      </c>
      <c r="Z12" s="502"/>
      <c r="AA12" s="502"/>
      <c r="AB12" s="502">
        <f t="shared" si="0"/>
        <v>12800000</v>
      </c>
      <c r="AC12" s="205" t="s">
        <v>905</v>
      </c>
      <c r="AD12" s="497"/>
      <c r="AE12" s="496">
        <v>20</v>
      </c>
      <c r="AF12" s="504" t="s">
        <v>899</v>
      </c>
      <c r="AG12" s="496">
        <v>765</v>
      </c>
      <c r="AH12" s="496">
        <v>735</v>
      </c>
      <c r="AI12" s="204"/>
      <c r="AJ12" s="204"/>
      <c r="AK12" s="289">
        <f t="shared" si="1"/>
        <v>1500</v>
      </c>
      <c r="AL12" s="204"/>
      <c r="AM12" s="204"/>
      <c r="AN12" s="204"/>
      <c r="AO12" s="204"/>
      <c r="AP12" s="204"/>
      <c r="AQ12" s="204"/>
      <c r="AR12" s="204"/>
      <c r="AS12" s="204"/>
      <c r="AT12" s="204"/>
      <c r="AU12" s="204"/>
      <c r="AV12" s="505">
        <f t="shared" si="2"/>
        <v>1500</v>
      </c>
      <c r="AW12" s="506">
        <v>45458</v>
      </c>
      <c r="AX12" s="506">
        <v>45641</v>
      </c>
      <c r="AY12" s="507" t="s">
        <v>900</v>
      </c>
    </row>
    <row r="13" spans="1:69" ht="165.75" x14ac:dyDescent="0.2">
      <c r="A13" s="496">
        <v>2</v>
      </c>
      <c r="B13" s="497" t="s">
        <v>2841</v>
      </c>
      <c r="C13" s="498">
        <v>35</v>
      </c>
      <c r="D13" s="497" t="s">
        <v>889</v>
      </c>
      <c r="E13" s="499">
        <v>3502</v>
      </c>
      <c r="F13" s="497" t="s">
        <v>890</v>
      </c>
      <c r="G13" s="498">
        <v>3502039</v>
      </c>
      <c r="H13" s="497" t="s">
        <v>906</v>
      </c>
      <c r="I13" s="498">
        <v>3502039</v>
      </c>
      <c r="J13" s="497" t="s">
        <v>906</v>
      </c>
      <c r="K13" s="498" t="s">
        <v>907</v>
      </c>
      <c r="L13" s="497" t="s">
        <v>226</v>
      </c>
      <c r="M13" s="498" t="s">
        <v>907</v>
      </c>
      <c r="N13" s="497" t="s">
        <v>226</v>
      </c>
      <c r="O13" s="205">
        <v>12</v>
      </c>
      <c r="P13" s="205"/>
      <c r="Q13" s="205">
        <v>12</v>
      </c>
      <c r="R13" s="496">
        <v>2020003630076</v>
      </c>
      <c r="S13" s="497" t="s">
        <v>908</v>
      </c>
      <c r="T13" s="500">
        <f>SUM($X$13:$X$16)/SUM($X$13:$X$16)</f>
        <v>1</v>
      </c>
      <c r="U13" s="497" t="s">
        <v>909</v>
      </c>
      <c r="V13" s="501" t="s">
        <v>910</v>
      </c>
      <c r="W13" s="914" t="s">
        <v>911</v>
      </c>
      <c r="X13" s="502">
        <v>269133951.44999999</v>
      </c>
      <c r="Y13" s="502">
        <f>19800000+22200000+17200000+17200000</f>
        <v>76400000</v>
      </c>
      <c r="Z13" s="502"/>
      <c r="AA13" s="502"/>
      <c r="AB13" s="502">
        <f t="shared" si="0"/>
        <v>192733951.44999999</v>
      </c>
      <c r="AC13" s="205" t="s">
        <v>912</v>
      </c>
      <c r="AD13" s="497"/>
      <c r="AE13" s="496">
        <v>20</v>
      </c>
      <c r="AF13" s="504" t="s">
        <v>899</v>
      </c>
      <c r="AG13" s="496">
        <v>765</v>
      </c>
      <c r="AH13" s="496">
        <v>735</v>
      </c>
      <c r="AI13" s="204"/>
      <c r="AJ13" s="204"/>
      <c r="AK13" s="289">
        <f t="shared" si="1"/>
        <v>1500</v>
      </c>
      <c r="AL13" s="204"/>
      <c r="AM13" s="204"/>
      <c r="AN13" s="204"/>
      <c r="AO13" s="204"/>
      <c r="AP13" s="204"/>
      <c r="AQ13" s="204"/>
      <c r="AR13" s="204"/>
      <c r="AS13" s="204"/>
      <c r="AT13" s="204"/>
      <c r="AU13" s="204"/>
      <c r="AV13" s="505">
        <f t="shared" si="2"/>
        <v>1500</v>
      </c>
      <c r="AW13" s="506">
        <v>45311</v>
      </c>
      <c r="AX13" s="506">
        <v>45427</v>
      </c>
      <c r="AY13" s="507" t="s">
        <v>913</v>
      </c>
    </row>
    <row r="14" spans="1:69" ht="165.75" x14ac:dyDescent="0.2">
      <c r="A14" s="496">
        <v>2</v>
      </c>
      <c r="B14" s="497" t="s">
        <v>2841</v>
      </c>
      <c r="C14" s="498">
        <v>35</v>
      </c>
      <c r="D14" s="497" t="s">
        <v>889</v>
      </c>
      <c r="E14" s="499">
        <v>3502</v>
      </c>
      <c r="F14" s="497" t="s">
        <v>890</v>
      </c>
      <c r="G14" s="498">
        <v>3502039</v>
      </c>
      <c r="H14" s="497" t="s">
        <v>906</v>
      </c>
      <c r="I14" s="498">
        <v>3502039</v>
      </c>
      <c r="J14" s="497" t="s">
        <v>906</v>
      </c>
      <c r="K14" s="498" t="s">
        <v>907</v>
      </c>
      <c r="L14" s="497" t="s">
        <v>226</v>
      </c>
      <c r="M14" s="498" t="s">
        <v>907</v>
      </c>
      <c r="N14" s="497" t="s">
        <v>226</v>
      </c>
      <c r="O14" s="205">
        <v>12</v>
      </c>
      <c r="P14" s="205"/>
      <c r="Q14" s="205">
        <v>12</v>
      </c>
      <c r="R14" s="496">
        <v>2020003630076</v>
      </c>
      <c r="S14" s="497" t="s">
        <v>908</v>
      </c>
      <c r="T14" s="500">
        <f>SUM($X$13:$X$16)/SUM($X$13:$X$16)</f>
        <v>1</v>
      </c>
      <c r="U14" s="497" t="s">
        <v>909</v>
      </c>
      <c r="V14" s="501" t="s">
        <v>910</v>
      </c>
      <c r="W14" s="914" t="s">
        <v>914</v>
      </c>
      <c r="X14" s="502">
        <v>180000000</v>
      </c>
      <c r="Y14" s="502"/>
      <c r="Z14" s="502"/>
      <c r="AA14" s="502"/>
      <c r="AB14" s="502">
        <f t="shared" si="0"/>
        <v>180000000</v>
      </c>
      <c r="AC14" s="205" t="s">
        <v>915</v>
      </c>
      <c r="AD14" s="497"/>
      <c r="AE14" s="496">
        <v>20</v>
      </c>
      <c r="AF14" s="504" t="s">
        <v>899</v>
      </c>
      <c r="AG14" s="496">
        <v>765</v>
      </c>
      <c r="AH14" s="496">
        <v>735</v>
      </c>
      <c r="AI14" s="204"/>
      <c r="AJ14" s="204"/>
      <c r="AK14" s="289">
        <f t="shared" si="1"/>
        <v>1500</v>
      </c>
      <c r="AL14" s="204"/>
      <c r="AM14" s="204"/>
      <c r="AN14" s="204"/>
      <c r="AO14" s="204"/>
      <c r="AP14" s="204"/>
      <c r="AQ14" s="204"/>
      <c r="AR14" s="204"/>
      <c r="AS14" s="204"/>
      <c r="AT14" s="204"/>
      <c r="AU14" s="204"/>
      <c r="AV14" s="505">
        <f t="shared" si="2"/>
        <v>1500</v>
      </c>
      <c r="AW14" s="487">
        <v>45327</v>
      </c>
      <c r="AX14" s="506">
        <v>45427</v>
      </c>
      <c r="AY14" s="507" t="s">
        <v>913</v>
      </c>
    </row>
    <row r="15" spans="1:69" ht="165.75" x14ac:dyDescent="0.2">
      <c r="A15" s="496">
        <v>2</v>
      </c>
      <c r="B15" s="497" t="s">
        <v>2841</v>
      </c>
      <c r="C15" s="498">
        <v>35</v>
      </c>
      <c r="D15" s="497" t="s">
        <v>889</v>
      </c>
      <c r="E15" s="499">
        <v>3502</v>
      </c>
      <c r="F15" s="497" t="s">
        <v>890</v>
      </c>
      <c r="G15" s="498">
        <v>3502039</v>
      </c>
      <c r="H15" s="497" t="s">
        <v>906</v>
      </c>
      <c r="I15" s="498">
        <v>3502039</v>
      </c>
      <c r="J15" s="497" t="s">
        <v>906</v>
      </c>
      <c r="K15" s="498" t="s">
        <v>907</v>
      </c>
      <c r="L15" s="497" t="s">
        <v>226</v>
      </c>
      <c r="M15" s="498" t="s">
        <v>907</v>
      </c>
      <c r="N15" s="497" t="s">
        <v>226</v>
      </c>
      <c r="O15" s="205">
        <v>12</v>
      </c>
      <c r="P15" s="205"/>
      <c r="Q15" s="205">
        <v>12</v>
      </c>
      <c r="R15" s="496">
        <v>2020003630076</v>
      </c>
      <c r="S15" s="497" t="s">
        <v>908</v>
      </c>
      <c r="T15" s="500">
        <f>SUM($X$13:$X$16)/SUM($X$13:$X$16)</f>
        <v>1</v>
      </c>
      <c r="U15" s="497" t="s">
        <v>909</v>
      </c>
      <c r="V15" s="501" t="s">
        <v>910</v>
      </c>
      <c r="W15" s="643" t="s">
        <v>916</v>
      </c>
      <c r="X15" s="502">
        <v>30000000</v>
      </c>
      <c r="Y15" s="502"/>
      <c r="Z15" s="502"/>
      <c r="AA15" s="502"/>
      <c r="AB15" s="502">
        <f t="shared" si="0"/>
        <v>30000000</v>
      </c>
      <c r="AC15" s="205" t="s">
        <v>917</v>
      </c>
      <c r="AD15" s="497"/>
      <c r="AE15" s="508">
        <v>20</v>
      </c>
      <c r="AF15" s="504" t="s">
        <v>899</v>
      </c>
      <c r="AG15" s="496">
        <v>765</v>
      </c>
      <c r="AH15" s="496">
        <v>735</v>
      </c>
      <c r="AI15" s="204"/>
      <c r="AJ15" s="204"/>
      <c r="AK15" s="289">
        <f t="shared" si="1"/>
        <v>1500</v>
      </c>
      <c r="AL15" s="204"/>
      <c r="AM15" s="204"/>
      <c r="AN15" s="204"/>
      <c r="AO15" s="204"/>
      <c r="AP15" s="204"/>
      <c r="AQ15" s="204"/>
      <c r="AR15" s="204"/>
      <c r="AS15" s="204"/>
      <c r="AT15" s="204"/>
      <c r="AU15" s="204"/>
      <c r="AV15" s="505">
        <f t="shared" si="2"/>
        <v>1500</v>
      </c>
      <c r="AW15" s="487">
        <v>45493</v>
      </c>
      <c r="AX15" s="487">
        <v>45636</v>
      </c>
      <c r="AY15" s="507" t="s">
        <v>913</v>
      </c>
    </row>
    <row r="16" spans="1:69" ht="165.75" x14ac:dyDescent="0.2">
      <c r="A16" s="496">
        <v>2</v>
      </c>
      <c r="B16" s="497" t="s">
        <v>2841</v>
      </c>
      <c r="C16" s="498">
        <v>35</v>
      </c>
      <c r="D16" s="497" t="s">
        <v>889</v>
      </c>
      <c r="E16" s="499">
        <v>3502</v>
      </c>
      <c r="F16" s="497" t="s">
        <v>890</v>
      </c>
      <c r="G16" s="498">
        <v>3502039</v>
      </c>
      <c r="H16" s="497" t="s">
        <v>906</v>
      </c>
      <c r="I16" s="498">
        <v>3502039</v>
      </c>
      <c r="J16" s="497" t="s">
        <v>906</v>
      </c>
      <c r="K16" s="498" t="s">
        <v>907</v>
      </c>
      <c r="L16" s="497" t="s">
        <v>226</v>
      </c>
      <c r="M16" s="498" t="s">
        <v>907</v>
      </c>
      <c r="N16" s="497" t="s">
        <v>226</v>
      </c>
      <c r="O16" s="205">
        <v>12</v>
      </c>
      <c r="P16" s="205"/>
      <c r="Q16" s="205">
        <v>12</v>
      </c>
      <c r="R16" s="496">
        <v>2020003630076</v>
      </c>
      <c r="S16" s="497" t="s">
        <v>908</v>
      </c>
      <c r="T16" s="500">
        <f>SUM($X$13:$X$16)/SUM($X$13:$X$16)</f>
        <v>1</v>
      </c>
      <c r="U16" s="497" t="s">
        <v>909</v>
      </c>
      <c r="V16" s="501" t="s">
        <v>910</v>
      </c>
      <c r="W16" s="194" t="s">
        <v>918</v>
      </c>
      <c r="X16" s="502">
        <v>56000000</v>
      </c>
      <c r="Y16" s="502"/>
      <c r="Z16" s="502"/>
      <c r="AA16" s="502"/>
      <c r="AB16" s="502">
        <f t="shared" si="0"/>
        <v>56000000</v>
      </c>
      <c r="AC16" s="205" t="s">
        <v>912</v>
      </c>
      <c r="AD16" s="497"/>
      <c r="AE16" s="496">
        <v>20</v>
      </c>
      <c r="AF16" s="504" t="s">
        <v>899</v>
      </c>
      <c r="AG16" s="496">
        <v>765</v>
      </c>
      <c r="AH16" s="496">
        <v>735</v>
      </c>
      <c r="AI16" s="204"/>
      <c r="AJ16" s="204"/>
      <c r="AK16" s="289">
        <f t="shared" si="1"/>
        <v>1500</v>
      </c>
      <c r="AL16" s="204"/>
      <c r="AM16" s="204"/>
      <c r="AN16" s="204"/>
      <c r="AO16" s="204"/>
      <c r="AP16" s="204"/>
      <c r="AQ16" s="204"/>
      <c r="AR16" s="204"/>
      <c r="AS16" s="204"/>
      <c r="AT16" s="204"/>
      <c r="AU16" s="204"/>
      <c r="AV16" s="505">
        <f t="shared" si="2"/>
        <v>1500</v>
      </c>
      <c r="AW16" s="487">
        <v>45397</v>
      </c>
      <c r="AX16" s="487">
        <v>45463</v>
      </c>
      <c r="AY16" s="507" t="s">
        <v>913</v>
      </c>
    </row>
    <row r="17" spans="1:51" ht="89.25" x14ac:dyDescent="0.2">
      <c r="A17" s="496">
        <v>2</v>
      </c>
      <c r="B17" s="497" t="s">
        <v>2841</v>
      </c>
      <c r="C17" s="498">
        <v>35</v>
      </c>
      <c r="D17" s="497" t="s">
        <v>889</v>
      </c>
      <c r="E17" s="499">
        <v>3502</v>
      </c>
      <c r="F17" s="497" t="s">
        <v>890</v>
      </c>
      <c r="G17" s="498">
        <v>3502046</v>
      </c>
      <c r="H17" s="497" t="s">
        <v>919</v>
      </c>
      <c r="I17" s="498">
        <v>3502046</v>
      </c>
      <c r="J17" s="497" t="s">
        <v>919</v>
      </c>
      <c r="K17" s="498">
        <v>350204600</v>
      </c>
      <c r="L17" s="497" t="s">
        <v>920</v>
      </c>
      <c r="M17" s="498">
        <v>350204600</v>
      </c>
      <c r="N17" s="497" t="s">
        <v>920</v>
      </c>
      <c r="O17" s="205">
        <v>1</v>
      </c>
      <c r="P17" s="205"/>
      <c r="Q17" s="205">
        <v>1</v>
      </c>
      <c r="R17" s="496">
        <v>2020003630077</v>
      </c>
      <c r="S17" s="497" t="s">
        <v>921</v>
      </c>
      <c r="T17" s="500">
        <f>SUM($X$17:$X$21)/SUM($X$17:$X$21)</f>
        <v>1</v>
      </c>
      <c r="U17" s="497" t="s">
        <v>922</v>
      </c>
      <c r="V17" s="501" t="s">
        <v>923</v>
      </c>
      <c r="W17" s="643" t="s">
        <v>924</v>
      </c>
      <c r="X17" s="502">
        <v>600000000</v>
      </c>
      <c r="Y17" s="502">
        <f>70000000+50000000+400000000</f>
        <v>520000000</v>
      </c>
      <c r="Z17" s="502">
        <f>70000000+50000000</f>
        <v>120000000</v>
      </c>
      <c r="AA17" s="502"/>
      <c r="AB17" s="502">
        <f t="shared" ref="AB17:AB27" si="3">X17-Y17+Z17-AA17</f>
        <v>200000000</v>
      </c>
      <c r="AC17" s="205" t="s">
        <v>925</v>
      </c>
      <c r="AD17" s="497"/>
      <c r="AE17" s="496">
        <v>52</v>
      </c>
      <c r="AF17" s="504" t="s">
        <v>926</v>
      </c>
      <c r="AG17" s="496">
        <v>765</v>
      </c>
      <c r="AH17" s="496">
        <v>735</v>
      </c>
      <c r="AI17" s="204"/>
      <c r="AJ17" s="204"/>
      <c r="AK17" s="289">
        <f t="shared" si="1"/>
        <v>1500</v>
      </c>
      <c r="AL17" s="204"/>
      <c r="AM17" s="204"/>
      <c r="AN17" s="204"/>
      <c r="AO17" s="204"/>
      <c r="AP17" s="204"/>
      <c r="AQ17" s="204"/>
      <c r="AR17" s="204"/>
      <c r="AS17" s="204"/>
      <c r="AT17" s="204"/>
      <c r="AU17" s="204"/>
      <c r="AV17" s="505">
        <f t="shared" si="2"/>
        <v>1500</v>
      </c>
      <c r="AW17" s="487">
        <v>45298</v>
      </c>
      <c r="AX17" s="487">
        <v>45458</v>
      </c>
      <c r="AY17" s="507" t="s">
        <v>927</v>
      </c>
    </row>
    <row r="18" spans="1:51" ht="89.25" x14ac:dyDescent="0.2">
      <c r="A18" s="496">
        <v>2</v>
      </c>
      <c r="B18" s="497" t="s">
        <v>2841</v>
      </c>
      <c r="C18" s="498">
        <v>35</v>
      </c>
      <c r="D18" s="497" t="s">
        <v>889</v>
      </c>
      <c r="E18" s="499">
        <v>3502</v>
      </c>
      <c r="F18" s="497" t="s">
        <v>890</v>
      </c>
      <c r="G18" s="498">
        <v>3502046</v>
      </c>
      <c r="H18" s="497" t="s">
        <v>919</v>
      </c>
      <c r="I18" s="498">
        <v>3502046</v>
      </c>
      <c r="J18" s="497" t="s">
        <v>919</v>
      </c>
      <c r="K18" s="498">
        <v>350204600</v>
      </c>
      <c r="L18" s="497" t="s">
        <v>920</v>
      </c>
      <c r="M18" s="498">
        <v>350204600</v>
      </c>
      <c r="N18" s="497" t="s">
        <v>920</v>
      </c>
      <c r="O18" s="205">
        <v>1</v>
      </c>
      <c r="P18" s="205"/>
      <c r="Q18" s="205">
        <v>1</v>
      </c>
      <c r="R18" s="496">
        <v>2020003630077</v>
      </c>
      <c r="S18" s="497" t="s">
        <v>921</v>
      </c>
      <c r="T18" s="500">
        <f>SUM($X$17:$X$21)/SUM($X$17:$X$21)</f>
        <v>1</v>
      </c>
      <c r="U18" s="497" t="s">
        <v>922</v>
      </c>
      <c r="V18" s="501" t="s">
        <v>923</v>
      </c>
      <c r="W18" s="598" t="s">
        <v>928</v>
      </c>
      <c r="X18" s="502">
        <v>130000000</v>
      </c>
      <c r="Y18" s="502"/>
      <c r="Z18" s="502"/>
      <c r="AA18" s="502"/>
      <c r="AB18" s="502">
        <f t="shared" si="3"/>
        <v>130000000</v>
      </c>
      <c r="AC18" s="205" t="s">
        <v>929</v>
      </c>
      <c r="AD18" s="497"/>
      <c r="AE18" s="496">
        <v>52</v>
      </c>
      <c r="AF18" s="504" t="s">
        <v>926</v>
      </c>
      <c r="AG18" s="496">
        <v>765</v>
      </c>
      <c r="AH18" s="496">
        <v>735</v>
      </c>
      <c r="AI18" s="204"/>
      <c r="AJ18" s="204"/>
      <c r="AK18" s="289">
        <f t="shared" si="1"/>
        <v>1500</v>
      </c>
      <c r="AL18" s="204"/>
      <c r="AM18" s="204"/>
      <c r="AN18" s="204"/>
      <c r="AO18" s="204"/>
      <c r="AP18" s="204"/>
      <c r="AQ18" s="204"/>
      <c r="AR18" s="204"/>
      <c r="AS18" s="204"/>
      <c r="AT18" s="204"/>
      <c r="AU18" s="204"/>
      <c r="AV18" s="505">
        <f t="shared" si="2"/>
        <v>1500</v>
      </c>
      <c r="AW18" s="487">
        <v>45397</v>
      </c>
      <c r="AX18" s="487">
        <v>45463</v>
      </c>
      <c r="AY18" s="507" t="s">
        <v>927</v>
      </c>
    </row>
    <row r="19" spans="1:51" ht="89.25" x14ac:dyDescent="0.2">
      <c r="A19" s="496">
        <v>2</v>
      </c>
      <c r="B19" s="497" t="s">
        <v>2841</v>
      </c>
      <c r="C19" s="498">
        <v>35</v>
      </c>
      <c r="D19" s="497" t="s">
        <v>889</v>
      </c>
      <c r="E19" s="499">
        <v>3502</v>
      </c>
      <c r="F19" s="497" t="s">
        <v>890</v>
      </c>
      <c r="G19" s="498">
        <v>3502046</v>
      </c>
      <c r="H19" s="497" t="s">
        <v>919</v>
      </c>
      <c r="I19" s="498">
        <v>3502046</v>
      </c>
      <c r="J19" s="497" t="s">
        <v>919</v>
      </c>
      <c r="K19" s="498">
        <v>350204600</v>
      </c>
      <c r="L19" s="497" t="s">
        <v>920</v>
      </c>
      <c r="M19" s="498">
        <v>350204600</v>
      </c>
      <c r="N19" s="497" t="s">
        <v>920</v>
      </c>
      <c r="O19" s="205">
        <v>1</v>
      </c>
      <c r="P19" s="205"/>
      <c r="Q19" s="205">
        <v>1</v>
      </c>
      <c r="R19" s="496">
        <v>2020003630077</v>
      </c>
      <c r="S19" s="497" t="s">
        <v>921</v>
      </c>
      <c r="T19" s="500">
        <f>SUM($X$17:$X$21)/SUM($X$17:$X$21)</f>
        <v>1</v>
      </c>
      <c r="U19" s="497" t="s">
        <v>922</v>
      </c>
      <c r="V19" s="501" t="s">
        <v>923</v>
      </c>
      <c r="W19" s="643" t="s">
        <v>930</v>
      </c>
      <c r="X19" s="502">
        <v>330000000</v>
      </c>
      <c r="Y19" s="502"/>
      <c r="Z19" s="502"/>
      <c r="AA19" s="502"/>
      <c r="AB19" s="502">
        <f t="shared" si="3"/>
        <v>330000000</v>
      </c>
      <c r="AC19" s="205" t="s">
        <v>931</v>
      </c>
      <c r="AD19" s="497"/>
      <c r="AE19" s="496">
        <v>52</v>
      </c>
      <c r="AF19" s="504" t="s">
        <v>926</v>
      </c>
      <c r="AG19" s="496">
        <v>765</v>
      </c>
      <c r="AH19" s="496">
        <v>735</v>
      </c>
      <c r="AI19" s="204"/>
      <c r="AJ19" s="204"/>
      <c r="AK19" s="289">
        <f t="shared" si="1"/>
        <v>1500</v>
      </c>
      <c r="AL19" s="204"/>
      <c r="AM19" s="204"/>
      <c r="AN19" s="204"/>
      <c r="AO19" s="204"/>
      <c r="AP19" s="204"/>
      <c r="AQ19" s="204"/>
      <c r="AR19" s="204"/>
      <c r="AS19" s="204"/>
      <c r="AT19" s="204"/>
      <c r="AU19" s="204"/>
      <c r="AV19" s="505">
        <f t="shared" si="2"/>
        <v>1500</v>
      </c>
      <c r="AW19" s="487">
        <v>45458</v>
      </c>
      <c r="AX19" s="487">
        <v>45641</v>
      </c>
      <c r="AY19" s="507" t="s">
        <v>927</v>
      </c>
    </row>
    <row r="20" spans="1:51" ht="89.25" x14ac:dyDescent="0.2">
      <c r="A20" s="496">
        <v>2</v>
      </c>
      <c r="B20" s="497" t="s">
        <v>2841</v>
      </c>
      <c r="C20" s="498">
        <v>35</v>
      </c>
      <c r="D20" s="497" t="s">
        <v>889</v>
      </c>
      <c r="E20" s="499">
        <v>3502</v>
      </c>
      <c r="F20" s="497" t="s">
        <v>890</v>
      </c>
      <c r="G20" s="498">
        <v>3502046</v>
      </c>
      <c r="H20" s="497" t="s">
        <v>919</v>
      </c>
      <c r="I20" s="498">
        <v>3502046</v>
      </c>
      <c r="J20" s="497" t="s">
        <v>919</v>
      </c>
      <c r="K20" s="498">
        <v>350204600</v>
      </c>
      <c r="L20" s="497" t="s">
        <v>920</v>
      </c>
      <c r="M20" s="498">
        <v>350204600</v>
      </c>
      <c r="N20" s="497" t="s">
        <v>920</v>
      </c>
      <c r="O20" s="205">
        <v>1</v>
      </c>
      <c r="P20" s="205"/>
      <c r="Q20" s="205">
        <v>1</v>
      </c>
      <c r="R20" s="496">
        <v>2020003630077</v>
      </c>
      <c r="S20" s="497" t="s">
        <v>921</v>
      </c>
      <c r="T20" s="500">
        <f>SUM($X$17:$X$21)/SUM($X$17:$X$21)</f>
        <v>1</v>
      </c>
      <c r="U20" s="497" t="s">
        <v>922</v>
      </c>
      <c r="V20" s="501" t="s">
        <v>923</v>
      </c>
      <c r="W20" s="915" t="s">
        <v>932</v>
      </c>
      <c r="X20" s="502">
        <v>70000000</v>
      </c>
      <c r="Y20" s="502"/>
      <c r="Z20" s="502"/>
      <c r="AA20" s="502"/>
      <c r="AB20" s="502">
        <f t="shared" si="3"/>
        <v>70000000</v>
      </c>
      <c r="AC20" s="205" t="s">
        <v>933</v>
      </c>
      <c r="AD20" s="497"/>
      <c r="AE20" s="496">
        <v>52</v>
      </c>
      <c r="AF20" s="504" t="s">
        <v>926</v>
      </c>
      <c r="AG20" s="496">
        <v>765</v>
      </c>
      <c r="AH20" s="496">
        <v>735</v>
      </c>
      <c r="AI20" s="204"/>
      <c r="AJ20" s="204"/>
      <c r="AK20" s="289">
        <f t="shared" si="1"/>
        <v>1500</v>
      </c>
      <c r="AL20" s="204"/>
      <c r="AM20" s="204"/>
      <c r="AN20" s="204"/>
      <c r="AO20" s="204"/>
      <c r="AP20" s="204"/>
      <c r="AQ20" s="204"/>
      <c r="AR20" s="204"/>
      <c r="AS20" s="204"/>
      <c r="AT20" s="204"/>
      <c r="AU20" s="204"/>
      <c r="AV20" s="505">
        <f t="shared" si="2"/>
        <v>1500</v>
      </c>
      <c r="AW20" s="487">
        <v>45366</v>
      </c>
      <c r="AX20" s="487">
        <v>45458</v>
      </c>
      <c r="AY20" s="507" t="s">
        <v>927</v>
      </c>
    </row>
    <row r="21" spans="1:51" ht="89.25" x14ac:dyDescent="0.2">
      <c r="A21" s="496">
        <v>2</v>
      </c>
      <c r="B21" s="497" t="s">
        <v>2841</v>
      </c>
      <c r="C21" s="498">
        <v>35</v>
      </c>
      <c r="D21" s="497" t="s">
        <v>889</v>
      </c>
      <c r="E21" s="499">
        <v>3502</v>
      </c>
      <c r="F21" s="497" t="s">
        <v>890</v>
      </c>
      <c r="G21" s="498">
        <v>3502046</v>
      </c>
      <c r="H21" s="497" t="s">
        <v>919</v>
      </c>
      <c r="I21" s="498">
        <v>3502046</v>
      </c>
      <c r="J21" s="497" t="s">
        <v>919</v>
      </c>
      <c r="K21" s="498">
        <v>350204600</v>
      </c>
      <c r="L21" s="497" t="s">
        <v>920</v>
      </c>
      <c r="M21" s="498">
        <v>350204600</v>
      </c>
      <c r="N21" s="497" t="s">
        <v>920</v>
      </c>
      <c r="O21" s="205">
        <v>1</v>
      </c>
      <c r="P21" s="205"/>
      <c r="Q21" s="205">
        <v>1</v>
      </c>
      <c r="R21" s="496">
        <v>2020003630077</v>
      </c>
      <c r="S21" s="497" t="s">
        <v>921</v>
      </c>
      <c r="T21" s="500">
        <f>SUM($X$17:$X$21)/SUM($X$17:$X$21)</f>
        <v>1</v>
      </c>
      <c r="U21" s="497" t="s">
        <v>922</v>
      </c>
      <c r="V21" s="501" t="s">
        <v>923</v>
      </c>
      <c r="W21" s="915" t="s">
        <v>934</v>
      </c>
      <c r="X21" s="502">
        <v>20987000</v>
      </c>
      <c r="Y21" s="502"/>
      <c r="Z21" s="502"/>
      <c r="AA21" s="502"/>
      <c r="AB21" s="502">
        <f t="shared" si="3"/>
        <v>20987000</v>
      </c>
      <c r="AC21" s="205" t="s">
        <v>935</v>
      </c>
      <c r="AD21" s="497"/>
      <c r="AE21" s="496">
        <v>52</v>
      </c>
      <c r="AF21" s="504" t="s">
        <v>926</v>
      </c>
      <c r="AG21" s="496">
        <v>765</v>
      </c>
      <c r="AH21" s="496">
        <v>735</v>
      </c>
      <c r="AI21" s="204"/>
      <c r="AJ21" s="204"/>
      <c r="AK21" s="289">
        <f t="shared" si="1"/>
        <v>1500</v>
      </c>
      <c r="AL21" s="204"/>
      <c r="AM21" s="204"/>
      <c r="AN21" s="204"/>
      <c r="AO21" s="204"/>
      <c r="AP21" s="204"/>
      <c r="AQ21" s="204"/>
      <c r="AR21" s="204"/>
      <c r="AS21" s="204"/>
      <c r="AT21" s="204"/>
      <c r="AU21" s="204"/>
      <c r="AV21" s="505">
        <f t="shared" si="2"/>
        <v>1500</v>
      </c>
      <c r="AW21" s="487">
        <v>45493</v>
      </c>
      <c r="AX21" s="487">
        <v>45636</v>
      </c>
      <c r="AY21" s="507" t="s">
        <v>927</v>
      </c>
    </row>
    <row r="22" spans="1:51" ht="102" x14ac:dyDescent="0.2">
      <c r="A22" s="496">
        <v>2</v>
      </c>
      <c r="B22" s="497" t="s">
        <v>2841</v>
      </c>
      <c r="C22" s="498">
        <v>36</v>
      </c>
      <c r="D22" s="509" t="s">
        <v>936</v>
      </c>
      <c r="E22" s="499">
        <v>3602</v>
      </c>
      <c r="F22" s="497" t="s">
        <v>937</v>
      </c>
      <c r="G22" s="498">
        <v>3602018</v>
      </c>
      <c r="H22" s="497" t="s">
        <v>938</v>
      </c>
      <c r="I22" s="498">
        <v>3602018</v>
      </c>
      <c r="J22" s="497" t="s">
        <v>938</v>
      </c>
      <c r="K22" s="498" t="s">
        <v>939</v>
      </c>
      <c r="L22" s="497" t="s">
        <v>940</v>
      </c>
      <c r="M22" s="498" t="s">
        <v>939</v>
      </c>
      <c r="N22" s="497" t="s">
        <v>940</v>
      </c>
      <c r="O22" s="333">
        <v>4</v>
      </c>
      <c r="P22" s="333"/>
      <c r="Q22" s="333">
        <v>4</v>
      </c>
      <c r="R22" s="496">
        <v>2020003630078</v>
      </c>
      <c r="S22" s="497" t="s">
        <v>941</v>
      </c>
      <c r="T22" s="500">
        <f>+X22/SUM($X$22:$X$27)</f>
        <v>0.65957446808510634</v>
      </c>
      <c r="U22" s="497" t="s">
        <v>942</v>
      </c>
      <c r="V22" s="501" t="s">
        <v>943</v>
      </c>
      <c r="W22" s="915" t="s">
        <v>944</v>
      </c>
      <c r="X22" s="502">
        <v>310000000</v>
      </c>
      <c r="Y22" s="502">
        <f>6000000</f>
        <v>6000000</v>
      </c>
      <c r="Z22" s="502"/>
      <c r="AA22" s="502"/>
      <c r="AB22" s="502">
        <f t="shared" si="3"/>
        <v>304000000</v>
      </c>
      <c r="AC22" s="205" t="s">
        <v>945</v>
      </c>
      <c r="AD22" s="497"/>
      <c r="AE22" s="496">
        <v>20</v>
      </c>
      <c r="AF22" s="504" t="s">
        <v>899</v>
      </c>
      <c r="AG22" s="499">
        <v>2725</v>
      </c>
      <c r="AH22" s="499">
        <v>2620</v>
      </c>
      <c r="AI22" s="204"/>
      <c r="AJ22" s="204"/>
      <c r="AK22" s="289">
        <v>5345</v>
      </c>
      <c r="AL22" s="204"/>
      <c r="AM22" s="204"/>
      <c r="AN22" s="204"/>
      <c r="AO22" s="204"/>
      <c r="AP22" s="204"/>
      <c r="AQ22" s="204"/>
      <c r="AR22" s="204"/>
      <c r="AS22" s="204"/>
      <c r="AT22" s="204"/>
      <c r="AU22" s="204"/>
      <c r="AV22" s="289">
        <v>5345</v>
      </c>
      <c r="AW22" s="487">
        <v>45493</v>
      </c>
      <c r="AX22" s="487">
        <v>45636</v>
      </c>
      <c r="AY22" s="507" t="s">
        <v>946</v>
      </c>
    </row>
    <row r="23" spans="1:51" ht="102" x14ac:dyDescent="0.2">
      <c r="A23" s="496">
        <v>2</v>
      </c>
      <c r="B23" s="497" t="s">
        <v>2841</v>
      </c>
      <c r="C23" s="498">
        <v>36</v>
      </c>
      <c r="D23" s="509" t="s">
        <v>936</v>
      </c>
      <c r="E23" s="499">
        <v>3602</v>
      </c>
      <c r="F23" s="497" t="s">
        <v>937</v>
      </c>
      <c r="G23" s="499">
        <v>3602032</v>
      </c>
      <c r="H23" s="497" t="s">
        <v>947</v>
      </c>
      <c r="I23" s="499">
        <v>3602032</v>
      </c>
      <c r="J23" s="497" t="s">
        <v>947</v>
      </c>
      <c r="K23" s="498" t="s">
        <v>948</v>
      </c>
      <c r="L23" s="497" t="s">
        <v>949</v>
      </c>
      <c r="M23" s="498" t="s">
        <v>948</v>
      </c>
      <c r="N23" s="497" t="s">
        <v>949</v>
      </c>
      <c r="O23" s="333">
        <v>14</v>
      </c>
      <c r="P23" s="333"/>
      <c r="Q23" s="333">
        <v>14</v>
      </c>
      <c r="R23" s="496">
        <v>2020003630078</v>
      </c>
      <c r="S23" s="497" t="s">
        <v>941</v>
      </c>
      <c r="T23" s="500">
        <f>+X23/SUM(X22:X27)</f>
        <v>0.14893617021276595</v>
      </c>
      <c r="U23" s="497" t="s">
        <v>942</v>
      </c>
      <c r="V23" s="501" t="s">
        <v>943</v>
      </c>
      <c r="W23" s="915" t="s">
        <v>950</v>
      </c>
      <c r="X23" s="502">
        <v>70000000</v>
      </c>
      <c r="Y23" s="502">
        <f>14800000+14800000+17200000</f>
        <v>46800000</v>
      </c>
      <c r="Z23" s="502"/>
      <c r="AA23" s="502"/>
      <c r="AB23" s="502">
        <f t="shared" si="3"/>
        <v>23200000</v>
      </c>
      <c r="AC23" s="205" t="s">
        <v>951</v>
      </c>
      <c r="AD23" s="503"/>
      <c r="AE23" s="496">
        <v>20</v>
      </c>
      <c r="AF23" s="504" t="s">
        <v>899</v>
      </c>
      <c r="AG23" s="499">
        <v>2725</v>
      </c>
      <c r="AH23" s="499">
        <v>2620</v>
      </c>
      <c r="AI23" s="204"/>
      <c r="AJ23" s="204"/>
      <c r="AK23" s="289">
        <v>5345</v>
      </c>
      <c r="AL23" s="204"/>
      <c r="AM23" s="204"/>
      <c r="AN23" s="204"/>
      <c r="AO23" s="204"/>
      <c r="AP23" s="204"/>
      <c r="AQ23" s="204"/>
      <c r="AR23" s="204"/>
      <c r="AS23" s="204"/>
      <c r="AT23" s="204"/>
      <c r="AU23" s="204"/>
      <c r="AV23" s="289">
        <v>5345</v>
      </c>
      <c r="AW23" s="506">
        <v>45337</v>
      </c>
      <c r="AX23" s="506">
        <v>45458</v>
      </c>
      <c r="AY23" s="507" t="s">
        <v>946</v>
      </c>
    </row>
    <row r="24" spans="1:51" ht="102" x14ac:dyDescent="0.2">
      <c r="A24" s="496">
        <v>2</v>
      </c>
      <c r="B24" s="497" t="s">
        <v>2841</v>
      </c>
      <c r="C24" s="498">
        <v>36</v>
      </c>
      <c r="D24" s="509" t="s">
        <v>936</v>
      </c>
      <c r="E24" s="499">
        <v>3602</v>
      </c>
      <c r="F24" s="497" t="s">
        <v>937</v>
      </c>
      <c r="G24" s="499">
        <v>3602029</v>
      </c>
      <c r="H24" s="497" t="s">
        <v>952</v>
      </c>
      <c r="I24" s="499">
        <v>3602029</v>
      </c>
      <c r="J24" s="497" t="s">
        <v>953</v>
      </c>
      <c r="K24" s="498">
        <v>360202904</v>
      </c>
      <c r="L24" s="497" t="s">
        <v>954</v>
      </c>
      <c r="M24" s="498">
        <v>360202904</v>
      </c>
      <c r="N24" s="497" t="s">
        <v>954</v>
      </c>
      <c r="O24" s="333">
        <v>13</v>
      </c>
      <c r="P24" s="333"/>
      <c r="Q24" s="333">
        <v>13</v>
      </c>
      <c r="R24" s="496">
        <v>2020003630078</v>
      </c>
      <c r="S24" s="497" t="s">
        <v>941</v>
      </c>
      <c r="T24" s="500">
        <f>+SUM($X$24:$X$25)/SUM($X$22:$X$27)</f>
        <v>0.13829787234042554</v>
      </c>
      <c r="U24" s="497" t="s">
        <v>942</v>
      </c>
      <c r="V24" s="501" t="s">
        <v>943</v>
      </c>
      <c r="W24" s="915" t="s">
        <v>955</v>
      </c>
      <c r="X24" s="502">
        <v>2000000</v>
      </c>
      <c r="Y24" s="502"/>
      <c r="Z24" s="502"/>
      <c r="AA24" s="502"/>
      <c r="AB24" s="502">
        <f t="shared" si="3"/>
        <v>2000000</v>
      </c>
      <c r="AC24" s="205" t="s">
        <v>956</v>
      </c>
      <c r="AD24" s="497"/>
      <c r="AE24" s="496">
        <v>20</v>
      </c>
      <c r="AF24" s="504" t="s">
        <v>899</v>
      </c>
      <c r="AG24" s="499">
        <v>2725</v>
      </c>
      <c r="AH24" s="499">
        <v>2620</v>
      </c>
      <c r="AI24" s="204"/>
      <c r="AJ24" s="204"/>
      <c r="AK24" s="289">
        <v>5345</v>
      </c>
      <c r="AL24" s="204"/>
      <c r="AM24" s="204"/>
      <c r="AN24" s="204"/>
      <c r="AO24" s="204"/>
      <c r="AP24" s="204"/>
      <c r="AQ24" s="204"/>
      <c r="AR24" s="204"/>
      <c r="AS24" s="204"/>
      <c r="AT24" s="204"/>
      <c r="AU24" s="204"/>
      <c r="AV24" s="289">
        <v>5345</v>
      </c>
      <c r="AW24" s="487">
        <v>45366</v>
      </c>
      <c r="AX24" s="487">
        <v>45458</v>
      </c>
      <c r="AY24" s="507" t="s">
        <v>946</v>
      </c>
    </row>
    <row r="25" spans="1:51" ht="102" x14ac:dyDescent="0.2">
      <c r="A25" s="496">
        <v>2</v>
      </c>
      <c r="B25" s="497" t="s">
        <v>2841</v>
      </c>
      <c r="C25" s="498">
        <v>36</v>
      </c>
      <c r="D25" s="509" t="s">
        <v>936</v>
      </c>
      <c r="E25" s="499">
        <v>3602</v>
      </c>
      <c r="F25" s="497" t="s">
        <v>937</v>
      </c>
      <c r="G25" s="499">
        <v>3602029</v>
      </c>
      <c r="H25" s="497" t="s">
        <v>952</v>
      </c>
      <c r="I25" s="499">
        <v>3602029</v>
      </c>
      <c r="J25" s="497" t="s">
        <v>953</v>
      </c>
      <c r="K25" s="498">
        <v>360202904</v>
      </c>
      <c r="L25" s="497" t="s">
        <v>954</v>
      </c>
      <c r="M25" s="498">
        <v>360202904</v>
      </c>
      <c r="N25" s="497" t="s">
        <v>954</v>
      </c>
      <c r="O25" s="333">
        <v>13</v>
      </c>
      <c r="P25" s="333"/>
      <c r="Q25" s="333">
        <v>13</v>
      </c>
      <c r="R25" s="496">
        <v>2020003630078</v>
      </c>
      <c r="S25" s="497" t="s">
        <v>941</v>
      </c>
      <c r="T25" s="500">
        <f>+SUM($X$24:$X$25)/SUM($X$22:$X$27)</f>
        <v>0.13829787234042554</v>
      </c>
      <c r="U25" s="497" t="s">
        <v>942</v>
      </c>
      <c r="V25" s="501" t="s">
        <v>943</v>
      </c>
      <c r="W25" s="915" t="s">
        <v>957</v>
      </c>
      <c r="X25" s="502">
        <v>63000000</v>
      </c>
      <c r="Y25" s="502"/>
      <c r="Z25" s="502"/>
      <c r="AA25" s="502"/>
      <c r="AB25" s="502">
        <f t="shared" si="3"/>
        <v>63000000</v>
      </c>
      <c r="AC25" s="205" t="s">
        <v>956</v>
      </c>
      <c r="AD25" s="503"/>
      <c r="AE25" s="496">
        <v>20</v>
      </c>
      <c r="AF25" s="504" t="s">
        <v>899</v>
      </c>
      <c r="AG25" s="499">
        <v>2725</v>
      </c>
      <c r="AH25" s="499">
        <v>2620</v>
      </c>
      <c r="AI25" s="204"/>
      <c r="AJ25" s="204"/>
      <c r="AK25" s="289">
        <v>5345</v>
      </c>
      <c r="AL25" s="204"/>
      <c r="AM25" s="204"/>
      <c r="AN25" s="204"/>
      <c r="AO25" s="204"/>
      <c r="AP25" s="204"/>
      <c r="AQ25" s="204"/>
      <c r="AR25" s="204"/>
      <c r="AS25" s="204"/>
      <c r="AT25" s="204"/>
      <c r="AU25" s="204"/>
      <c r="AV25" s="289">
        <v>5345</v>
      </c>
      <c r="AW25" s="487">
        <v>45366</v>
      </c>
      <c r="AX25" s="487">
        <v>45458</v>
      </c>
      <c r="AY25" s="507" t="s">
        <v>946</v>
      </c>
    </row>
    <row r="26" spans="1:51" ht="102" x14ac:dyDescent="0.2">
      <c r="A26" s="496">
        <v>2</v>
      </c>
      <c r="B26" s="497" t="s">
        <v>2841</v>
      </c>
      <c r="C26" s="498">
        <v>36</v>
      </c>
      <c r="D26" s="509" t="s">
        <v>936</v>
      </c>
      <c r="E26" s="499">
        <v>3602</v>
      </c>
      <c r="F26" s="497" t="s">
        <v>937</v>
      </c>
      <c r="G26" s="499">
        <v>3602030</v>
      </c>
      <c r="H26" s="497" t="s">
        <v>953</v>
      </c>
      <c r="I26" s="499">
        <v>3602030</v>
      </c>
      <c r="J26" s="497" t="s">
        <v>953</v>
      </c>
      <c r="K26" s="498">
        <v>360203000</v>
      </c>
      <c r="L26" s="497" t="s">
        <v>958</v>
      </c>
      <c r="M26" s="498">
        <v>360203000</v>
      </c>
      <c r="N26" s="497" t="s">
        <v>958</v>
      </c>
      <c r="O26" s="333">
        <v>4</v>
      </c>
      <c r="P26" s="333"/>
      <c r="Q26" s="333">
        <v>4</v>
      </c>
      <c r="R26" s="496">
        <v>2020003630078</v>
      </c>
      <c r="S26" s="497" t="s">
        <v>941</v>
      </c>
      <c r="T26" s="500">
        <f>SUM($X$26:$X$27)/SUM($X$22:$X$27)</f>
        <v>5.3191489361702128E-2</v>
      </c>
      <c r="U26" s="497" t="s">
        <v>942</v>
      </c>
      <c r="V26" s="501" t="s">
        <v>943</v>
      </c>
      <c r="W26" s="191" t="s">
        <v>959</v>
      </c>
      <c r="X26" s="502">
        <v>2000000</v>
      </c>
      <c r="Y26" s="502"/>
      <c r="Z26" s="502"/>
      <c r="AA26" s="502"/>
      <c r="AB26" s="502">
        <f t="shared" si="3"/>
        <v>2000000</v>
      </c>
      <c r="AC26" s="205" t="s">
        <v>960</v>
      </c>
      <c r="AD26" s="497"/>
      <c r="AE26" s="496">
        <v>20</v>
      </c>
      <c r="AF26" s="504" t="s">
        <v>899</v>
      </c>
      <c r="AG26" s="499">
        <v>2725</v>
      </c>
      <c r="AH26" s="499">
        <v>2620</v>
      </c>
      <c r="AI26" s="204"/>
      <c r="AJ26" s="204"/>
      <c r="AK26" s="289">
        <v>5345</v>
      </c>
      <c r="AL26" s="204"/>
      <c r="AM26" s="204"/>
      <c r="AN26" s="204"/>
      <c r="AO26" s="204"/>
      <c r="AP26" s="204"/>
      <c r="AQ26" s="204"/>
      <c r="AR26" s="204"/>
      <c r="AS26" s="204"/>
      <c r="AT26" s="204"/>
      <c r="AU26" s="204"/>
      <c r="AV26" s="289">
        <v>5345</v>
      </c>
      <c r="AW26" s="487">
        <v>45493</v>
      </c>
      <c r="AX26" s="487">
        <v>45636</v>
      </c>
      <c r="AY26" s="507" t="s">
        <v>946</v>
      </c>
    </row>
    <row r="27" spans="1:51" ht="102" x14ac:dyDescent="0.2">
      <c r="A27" s="496">
        <v>2</v>
      </c>
      <c r="B27" s="497" t="s">
        <v>2841</v>
      </c>
      <c r="C27" s="498">
        <v>36</v>
      </c>
      <c r="D27" s="509" t="s">
        <v>936</v>
      </c>
      <c r="E27" s="499">
        <v>3602</v>
      </c>
      <c r="F27" s="497" t="s">
        <v>937</v>
      </c>
      <c r="G27" s="499">
        <v>3602030</v>
      </c>
      <c r="H27" s="497" t="s">
        <v>953</v>
      </c>
      <c r="I27" s="499">
        <v>3602030</v>
      </c>
      <c r="J27" s="497" t="s">
        <v>953</v>
      </c>
      <c r="K27" s="498">
        <v>360203000</v>
      </c>
      <c r="L27" s="497" t="s">
        <v>958</v>
      </c>
      <c r="M27" s="498">
        <v>360203000</v>
      </c>
      <c r="N27" s="497" t="s">
        <v>958</v>
      </c>
      <c r="O27" s="333">
        <v>4</v>
      </c>
      <c r="P27" s="333"/>
      <c r="Q27" s="333">
        <v>4</v>
      </c>
      <c r="R27" s="496">
        <v>2020003630078</v>
      </c>
      <c r="S27" s="497" t="s">
        <v>941</v>
      </c>
      <c r="T27" s="500">
        <f>SUM($X$26:$X$27)/SUM($X$22:$X$27)</f>
        <v>5.3191489361702128E-2</v>
      </c>
      <c r="U27" s="497" t="s">
        <v>942</v>
      </c>
      <c r="V27" s="501" t="s">
        <v>943</v>
      </c>
      <c r="W27" s="334" t="s">
        <v>961</v>
      </c>
      <c r="X27" s="510">
        <v>23000000</v>
      </c>
      <c r="Y27" s="510"/>
      <c r="Z27" s="510"/>
      <c r="AA27" s="510"/>
      <c r="AB27" s="502">
        <f t="shared" si="3"/>
        <v>23000000</v>
      </c>
      <c r="AC27" s="205" t="s">
        <v>960</v>
      </c>
      <c r="AD27" s="503"/>
      <c r="AE27" s="496">
        <v>20</v>
      </c>
      <c r="AF27" s="504" t="s">
        <v>899</v>
      </c>
      <c r="AG27" s="499">
        <v>2725</v>
      </c>
      <c r="AH27" s="499">
        <v>2620</v>
      </c>
      <c r="AI27" s="204"/>
      <c r="AJ27" s="204"/>
      <c r="AK27" s="289">
        <v>5345</v>
      </c>
      <c r="AL27" s="204"/>
      <c r="AM27" s="204"/>
      <c r="AN27" s="204"/>
      <c r="AO27" s="204"/>
      <c r="AP27" s="204"/>
      <c r="AQ27" s="204"/>
      <c r="AR27" s="204"/>
      <c r="AS27" s="204"/>
      <c r="AT27" s="204"/>
      <c r="AU27" s="204"/>
      <c r="AV27" s="289">
        <v>5345</v>
      </c>
      <c r="AW27" s="487">
        <v>45493</v>
      </c>
      <c r="AX27" s="487">
        <v>45636</v>
      </c>
      <c r="AY27" s="507" t="s">
        <v>946</v>
      </c>
    </row>
    <row r="28" spans="1:51" x14ac:dyDescent="0.2">
      <c r="A28" s="894"/>
      <c r="B28" s="889"/>
      <c r="C28" s="896"/>
      <c r="D28" s="889"/>
      <c r="E28" s="896"/>
      <c r="F28" s="889"/>
      <c r="G28" s="896"/>
      <c r="H28" s="889"/>
      <c r="I28" s="896"/>
      <c r="J28" s="889"/>
      <c r="K28" s="896"/>
      <c r="L28" s="889"/>
      <c r="M28" s="896"/>
      <c r="N28" s="889"/>
      <c r="O28" s="306"/>
      <c r="P28" s="306"/>
      <c r="Q28" s="306"/>
      <c r="R28" s="896"/>
      <c r="S28" s="889"/>
      <c r="T28" s="306"/>
      <c r="U28" s="889"/>
      <c r="V28" s="889"/>
      <c r="W28" s="893" t="s">
        <v>25</v>
      </c>
      <c r="X28" s="511">
        <f>SUM(X11:X27)</f>
        <v>2244120951.4499998</v>
      </c>
      <c r="Y28" s="511">
        <f>SUM(Y11:Y27)</f>
        <v>666400000</v>
      </c>
      <c r="Z28" s="511">
        <f>SUM(Z11:Z27)</f>
        <v>120000000</v>
      </c>
      <c r="AA28" s="511">
        <f>SUM(AA11:AA27)</f>
        <v>0</v>
      </c>
      <c r="AB28" s="511">
        <f>SUM(AB11:AB27)</f>
        <v>1697720951.45</v>
      </c>
      <c r="AC28" s="306"/>
      <c r="AD28" s="306"/>
      <c r="AE28" s="306"/>
      <c r="AF28" s="306"/>
      <c r="AG28" s="306"/>
      <c r="AH28" s="306"/>
      <c r="AI28" s="306"/>
      <c r="AJ28" s="306"/>
      <c r="AK28" s="306"/>
      <c r="AL28" s="306"/>
      <c r="AM28" s="306"/>
      <c r="AN28" s="306"/>
      <c r="AO28" s="306"/>
      <c r="AP28" s="306"/>
      <c r="AQ28" s="306"/>
      <c r="AR28" s="306"/>
      <c r="AS28" s="306"/>
      <c r="AT28" s="306"/>
      <c r="AU28" s="306"/>
      <c r="AV28" s="306"/>
      <c r="AW28" s="306"/>
      <c r="AX28" s="306"/>
      <c r="AY28" s="382"/>
    </row>
    <row r="29" spans="1:51" x14ac:dyDescent="0.2">
      <c r="AB29" s="724">
        <f>X29-Y29+Z29-AA29</f>
        <v>0</v>
      </c>
    </row>
    <row r="32" spans="1:51" x14ac:dyDescent="0.2">
      <c r="O32" s="1073" t="s">
        <v>962</v>
      </c>
      <c r="P32" s="1073"/>
      <c r="Q32" s="1073"/>
      <c r="R32" s="1073"/>
      <c r="S32" s="1073"/>
    </row>
    <row r="33" spans="9:32" ht="9.75" customHeight="1" x14ac:dyDescent="0.2">
      <c r="O33" s="1074"/>
      <c r="P33" s="1074"/>
      <c r="Q33" s="1074"/>
      <c r="R33" s="1074"/>
      <c r="S33" s="1074"/>
      <c r="AD33" s="85"/>
      <c r="AE33" s="85"/>
      <c r="AF33" s="85"/>
    </row>
    <row r="34" spans="9:32" ht="13.5" customHeight="1" x14ac:dyDescent="0.2">
      <c r="O34" s="1121" t="s">
        <v>963</v>
      </c>
      <c r="P34" s="1122"/>
      <c r="Q34" s="1122"/>
      <c r="R34" s="1122"/>
      <c r="S34" s="1122"/>
      <c r="AD34" s="85"/>
      <c r="AE34" s="85"/>
      <c r="AF34" s="85"/>
    </row>
    <row r="35" spans="9:32" ht="15.75" customHeight="1" x14ac:dyDescent="0.2">
      <c r="O35" s="1123" t="s">
        <v>964</v>
      </c>
      <c r="P35" s="1123"/>
      <c r="Q35" s="1123"/>
      <c r="R35" s="1123"/>
      <c r="S35" s="1123"/>
      <c r="AD35" s="85"/>
      <c r="AE35" s="85"/>
      <c r="AF35" s="85"/>
    </row>
    <row r="36" spans="9:32" x14ac:dyDescent="0.2">
      <c r="J36" s="913"/>
      <c r="K36" s="784"/>
      <c r="AD36" s="85"/>
      <c r="AE36" s="85"/>
      <c r="AF36" s="85"/>
    </row>
    <row r="37" spans="9:32" x14ac:dyDescent="0.2">
      <c r="I37" s="784" t="s">
        <v>965</v>
      </c>
      <c r="AD37" s="85"/>
      <c r="AE37" s="85"/>
      <c r="AF37" s="85"/>
    </row>
    <row r="38" spans="9:32" x14ac:dyDescent="0.2">
      <c r="AD38" s="85"/>
      <c r="AE38" s="85"/>
      <c r="AF38" s="85"/>
    </row>
    <row r="39" spans="9:32" x14ac:dyDescent="0.2">
      <c r="I39" s="1076" t="s">
        <v>113</v>
      </c>
      <c r="J39" s="1076"/>
      <c r="K39" s="1077" t="s">
        <v>114</v>
      </c>
      <c r="L39" s="1078"/>
      <c r="M39" s="1077" t="s">
        <v>115</v>
      </c>
      <c r="N39" s="1078"/>
      <c r="AD39" s="85"/>
      <c r="AE39" s="85"/>
      <c r="AF39" s="85"/>
    </row>
    <row r="40" spans="9:32" x14ac:dyDescent="0.2">
      <c r="I40" s="1076" t="s">
        <v>116</v>
      </c>
      <c r="J40" s="1076"/>
      <c r="K40" s="1077" t="s">
        <v>117</v>
      </c>
      <c r="L40" s="1078"/>
      <c r="M40" s="1076" t="s">
        <v>118</v>
      </c>
      <c r="N40" s="1076"/>
      <c r="AD40" s="85"/>
      <c r="AE40" s="85"/>
      <c r="AF40" s="85"/>
    </row>
    <row r="41" spans="9:32" x14ac:dyDescent="0.2">
      <c r="I41" s="1076" t="s">
        <v>119</v>
      </c>
      <c r="J41" s="1076"/>
      <c r="K41" s="1077" t="s">
        <v>120</v>
      </c>
      <c r="L41" s="1078"/>
      <c r="M41" s="1076" t="s">
        <v>121</v>
      </c>
      <c r="N41" s="1076"/>
      <c r="AD41" s="85"/>
      <c r="AE41" s="85"/>
      <c r="AF41" s="85"/>
    </row>
    <row r="49" ht="12" customHeight="1" x14ac:dyDescent="0.2"/>
  </sheetData>
  <autoFilter ref="A10:BQ29" xr:uid="{B5357F14-BEB5-4E37-8593-6C3ECF3AEA5C}"/>
  <mergeCells count="33">
    <mergeCell ref="A8:B9"/>
    <mergeCell ref="C8:D9"/>
    <mergeCell ref="E8:F9"/>
    <mergeCell ref="G8:J9"/>
    <mergeCell ref="K8:N9"/>
    <mergeCell ref="A1:B7"/>
    <mergeCell ref="C1:AW1"/>
    <mergeCell ref="C2:AW4"/>
    <mergeCell ref="C5:AW5"/>
    <mergeCell ref="C6:AW6"/>
    <mergeCell ref="AW8:AW10"/>
    <mergeCell ref="AX8:AX10"/>
    <mergeCell ref="AY8:AY10"/>
    <mergeCell ref="AC9:AF9"/>
    <mergeCell ref="AG9:AH9"/>
    <mergeCell ref="AI9:AL9"/>
    <mergeCell ref="AM9:AR9"/>
    <mergeCell ref="AS9:AU9"/>
    <mergeCell ref="AV9:AV10"/>
    <mergeCell ref="AG8:AV8"/>
    <mergeCell ref="I41:J41"/>
    <mergeCell ref="K41:L41"/>
    <mergeCell ref="M41:N41"/>
    <mergeCell ref="O8:Q9"/>
    <mergeCell ref="R8:X9"/>
    <mergeCell ref="I40:J40"/>
    <mergeCell ref="K40:L40"/>
    <mergeCell ref="M40:N40"/>
    <mergeCell ref="O32:S33"/>
    <mergeCell ref="I39:J39"/>
    <mergeCell ref="K39:L39"/>
    <mergeCell ref="M39:N39"/>
    <mergeCell ref="O34:S35"/>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BQ38"/>
  <sheetViews>
    <sheetView showGridLines="0" view="pageBreakPreview" topLeftCell="O1" zoomScale="89" zoomScaleNormal="89" zoomScaleSheetLayoutView="89" workbookViewId="0">
      <pane ySplit="10" topLeftCell="A11" activePane="bottomLeft" state="frozen"/>
      <selection activeCell="C1" sqref="C1"/>
      <selection pane="bottomLeft" activeCell="AC14" sqref="AC14"/>
    </sheetView>
  </sheetViews>
  <sheetFormatPr baseColWidth="10" defaultColWidth="11.42578125" defaultRowHeight="12.75" x14ac:dyDescent="0.2"/>
  <cols>
    <col min="1" max="1" width="11.42578125" style="895" customWidth="1"/>
    <col min="2" max="2" width="23.140625" style="890" customWidth="1"/>
    <col min="3" max="3" width="11.42578125" style="895"/>
    <col min="4" max="4" width="12.42578125" style="890" customWidth="1"/>
    <col min="5" max="5" width="11.42578125" style="895"/>
    <col min="6" max="6" width="19.140625" style="890" customWidth="1"/>
    <col min="7" max="7" width="10.7109375" style="895" customWidth="1"/>
    <col min="8" max="8" width="29.42578125" style="890" customWidth="1"/>
    <col min="9" max="9" width="17.42578125" style="895" customWidth="1"/>
    <col min="10" max="10" width="15" style="890" customWidth="1"/>
    <col min="11" max="11" width="16.140625" style="895" customWidth="1"/>
    <col min="12" max="12" width="25" style="890" customWidth="1"/>
    <col min="13" max="13" width="16.28515625" style="895" customWidth="1"/>
    <col min="14" max="14" width="15.7109375" style="890" customWidth="1"/>
    <col min="15" max="15" width="12.85546875" style="81" customWidth="1"/>
    <col min="16" max="16" width="12.5703125" style="81" customWidth="1"/>
    <col min="17" max="17" width="14.28515625" style="81" customWidth="1"/>
    <col min="18" max="18" width="17.5703125" style="81" bestFit="1" customWidth="1"/>
    <col min="19" max="19" width="32.28515625" style="890" customWidth="1"/>
    <col min="20" max="20" width="11.42578125" style="81"/>
    <col min="21" max="21" width="43" style="890" customWidth="1"/>
    <col min="22" max="22" width="16.5703125" style="890" customWidth="1"/>
    <col min="23" max="23" width="27.42578125" style="890" customWidth="1"/>
    <col min="24" max="24" width="23.7109375" style="81" bestFit="1" customWidth="1"/>
    <col min="25" max="25" width="26.28515625" style="81" customWidth="1"/>
    <col min="26" max="28" width="20.140625" style="81" customWidth="1"/>
    <col min="29" max="29" width="43" style="81" bestFit="1" customWidth="1"/>
    <col min="30" max="30" width="20.140625" style="81" customWidth="1"/>
    <col min="31" max="31" width="11.42578125" style="81"/>
    <col min="32" max="32" width="12.5703125" style="81" customWidth="1"/>
    <col min="33" max="33" width="10.5703125" style="81" customWidth="1"/>
    <col min="34" max="34" width="10.85546875" style="81" customWidth="1"/>
    <col min="35" max="35" width="9.28515625" style="81" customWidth="1"/>
    <col min="36" max="36" width="7.42578125" style="81" customWidth="1"/>
    <col min="37" max="37" width="9.42578125" style="81" customWidth="1"/>
    <col min="38" max="38" width="8.5703125" style="81" customWidth="1"/>
    <col min="39" max="39" width="6.140625" style="81" bestFit="1" customWidth="1"/>
    <col min="40" max="40" width="7.28515625" style="81" bestFit="1" customWidth="1"/>
    <col min="41" max="41" width="4.85546875" style="81" customWidth="1"/>
    <col min="42" max="42" width="5.28515625" style="81" customWidth="1"/>
    <col min="43" max="43" width="4.85546875" style="81" customWidth="1"/>
    <col min="44" max="44" width="4.140625" style="81" customWidth="1"/>
    <col min="45" max="45" width="10" style="81" customWidth="1"/>
    <col min="46" max="46" width="7.28515625" style="81" bestFit="1" customWidth="1"/>
    <col min="47" max="47" width="7.5703125" style="81" customWidth="1"/>
    <col min="48" max="48" width="11" style="81" customWidth="1"/>
    <col min="49" max="49" width="14.28515625" style="81" customWidth="1"/>
    <col min="50" max="50" width="14.42578125" style="81" customWidth="1"/>
    <col min="51" max="51" width="16.42578125" style="81" customWidth="1"/>
    <col min="52" max="16384" width="11.42578125" style="81"/>
  </cols>
  <sheetData>
    <row r="1" spans="1:69" x14ac:dyDescent="0.2">
      <c r="A1" s="1073"/>
      <c r="B1" s="1073"/>
      <c r="C1" s="1074" t="s">
        <v>0</v>
      </c>
      <c r="D1" s="1074"/>
      <c r="E1" s="1074"/>
      <c r="F1" s="1074"/>
      <c r="G1" s="1074"/>
      <c r="H1" s="1074"/>
      <c r="I1" s="1074"/>
      <c r="J1" s="1074"/>
      <c r="K1" s="1074"/>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1074"/>
      <c r="AO1" s="1074"/>
      <c r="AP1" s="1074"/>
      <c r="AQ1" s="1074"/>
      <c r="AR1" s="1074"/>
      <c r="AS1" s="1074"/>
      <c r="AT1" s="1074"/>
      <c r="AU1" s="1074"/>
      <c r="AV1" s="1074"/>
      <c r="AW1" s="1074"/>
    </row>
    <row r="2" spans="1:69" s="45" customFormat="1" x14ac:dyDescent="0.2">
      <c r="A2" s="1073"/>
      <c r="B2" s="1073"/>
      <c r="C2" s="980" t="s">
        <v>966</v>
      </c>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2"/>
      <c r="AX2" s="2" t="s">
        <v>2</v>
      </c>
      <c r="AY2" s="2" t="s">
        <v>3</v>
      </c>
      <c r="AZ2" s="3"/>
      <c r="BA2" s="3"/>
      <c r="BB2" s="3"/>
      <c r="BC2" s="3"/>
      <c r="BD2" s="3"/>
      <c r="BE2" s="3"/>
      <c r="BF2" s="3"/>
      <c r="BG2" s="3"/>
      <c r="BH2" s="3"/>
      <c r="BI2" s="3"/>
      <c r="BJ2" s="3"/>
      <c r="BK2" s="3"/>
      <c r="BL2" s="3"/>
      <c r="BM2" s="3"/>
      <c r="BN2" s="3"/>
      <c r="BO2" s="3"/>
      <c r="BP2" s="3"/>
      <c r="BQ2" s="3"/>
    </row>
    <row r="3" spans="1:69" s="45" customFormat="1" x14ac:dyDescent="0.2">
      <c r="A3" s="1073"/>
      <c r="B3" s="1073"/>
      <c r="C3" s="983"/>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5"/>
      <c r="AX3" s="2" t="s">
        <v>4</v>
      </c>
      <c r="AY3" s="49">
        <v>11</v>
      </c>
      <c r="AZ3" s="3"/>
      <c r="BA3" s="3"/>
      <c r="BB3" s="3"/>
      <c r="BC3" s="3"/>
      <c r="BD3" s="3"/>
      <c r="BE3" s="3"/>
      <c r="BF3" s="3"/>
      <c r="BG3" s="3"/>
      <c r="BH3" s="3"/>
      <c r="BI3" s="3"/>
      <c r="BJ3" s="3"/>
      <c r="BK3" s="3"/>
      <c r="BL3" s="3"/>
      <c r="BM3" s="3"/>
      <c r="BN3" s="3"/>
      <c r="BO3" s="3"/>
      <c r="BP3" s="3"/>
      <c r="BQ3" s="3"/>
    </row>
    <row r="4" spans="1:69" s="45" customFormat="1" x14ac:dyDescent="0.2">
      <c r="A4" s="1073"/>
      <c r="B4" s="1073"/>
      <c r="C4" s="986"/>
      <c r="D4" s="987"/>
      <c r="E4" s="987"/>
      <c r="F4" s="987"/>
      <c r="G4" s="987"/>
      <c r="H4" s="987"/>
      <c r="I4" s="987"/>
      <c r="J4" s="987"/>
      <c r="K4" s="987"/>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c r="AT4" s="987"/>
      <c r="AU4" s="987"/>
      <c r="AV4" s="987"/>
      <c r="AW4" s="988"/>
      <c r="AX4" s="2" t="s">
        <v>5</v>
      </c>
      <c r="AY4" s="50">
        <v>44714</v>
      </c>
      <c r="AZ4" s="3"/>
      <c r="BA4" s="3"/>
      <c r="BB4" s="3"/>
      <c r="BC4" s="3"/>
      <c r="BD4" s="3"/>
      <c r="BE4" s="3"/>
      <c r="BF4" s="3"/>
      <c r="BG4" s="3"/>
      <c r="BH4" s="3"/>
      <c r="BI4" s="3"/>
      <c r="BJ4" s="3"/>
      <c r="BK4" s="3"/>
      <c r="BL4" s="3"/>
      <c r="BM4" s="3"/>
      <c r="BN4" s="3"/>
      <c r="BO4" s="3"/>
      <c r="BP4" s="3"/>
      <c r="BQ4" s="3"/>
    </row>
    <row r="5" spans="1:69" s="45" customFormat="1" x14ac:dyDescent="0.2">
      <c r="A5" s="1073"/>
      <c r="B5" s="1073"/>
      <c r="C5" s="989"/>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1"/>
      <c r="AX5" s="2" t="s">
        <v>6</v>
      </c>
      <c r="AY5" s="7" t="s">
        <v>7</v>
      </c>
      <c r="AZ5" s="3"/>
      <c r="BA5" s="3"/>
      <c r="BB5" s="3"/>
      <c r="BC5" s="3"/>
      <c r="BD5" s="3"/>
      <c r="BE5" s="3"/>
      <c r="BF5" s="3"/>
      <c r="BG5" s="3"/>
      <c r="BH5" s="3"/>
      <c r="BI5" s="3"/>
      <c r="BJ5" s="3"/>
      <c r="BK5" s="3"/>
      <c r="BL5" s="3"/>
      <c r="BM5" s="3"/>
      <c r="BN5" s="3"/>
      <c r="BO5" s="3"/>
      <c r="BP5" s="3"/>
      <c r="BQ5" s="3"/>
    </row>
    <row r="6" spans="1:69" s="45" customFormat="1" x14ac:dyDescent="0.2">
      <c r="A6" s="1073"/>
      <c r="B6" s="1073"/>
      <c r="C6" s="992" t="s">
        <v>967</v>
      </c>
      <c r="D6" s="993"/>
      <c r="E6" s="993"/>
      <c r="F6" s="993"/>
      <c r="G6" s="993"/>
      <c r="H6" s="993"/>
      <c r="I6" s="993"/>
      <c r="J6" s="993"/>
      <c r="K6" s="993"/>
      <c r="L6" s="993"/>
      <c r="M6" s="993"/>
      <c r="N6" s="993"/>
      <c r="O6" s="993"/>
      <c r="P6" s="993"/>
      <c r="Q6" s="993"/>
      <c r="R6" s="993"/>
      <c r="S6" s="993"/>
      <c r="T6" s="993"/>
      <c r="U6" s="993"/>
      <c r="V6" s="993"/>
      <c r="W6" s="993"/>
      <c r="X6" s="993"/>
      <c r="Y6" s="993"/>
      <c r="Z6" s="993"/>
      <c r="AA6" s="993"/>
      <c r="AB6" s="993"/>
      <c r="AC6" s="993"/>
      <c r="AD6" s="993"/>
      <c r="AE6" s="993"/>
      <c r="AF6" s="993"/>
      <c r="AG6" s="993"/>
      <c r="AH6" s="993"/>
      <c r="AI6" s="993"/>
      <c r="AJ6" s="993"/>
      <c r="AK6" s="993"/>
      <c r="AL6" s="993"/>
      <c r="AM6" s="993"/>
      <c r="AN6" s="993"/>
      <c r="AO6" s="993"/>
      <c r="AP6" s="993"/>
      <c r="AQ6" s="993"/>
      <c r="AR6" s="993"/>
      <c r="AS6" s="993"/>
      <c r="AT6" s="993"/>
      <c r="AU6" s="993"/>
      <c r="AV6" s="993"/>
      <c r="AW6" s="993"/>
      <c r="AX6" s="52"/>
      <c r="AY6" s="53"/>
      <c r="AZ6" s="3"/>
      <c r="BA6" s="3"/>
      <c r="BB6" s="3"/>
      <c r="BC6" s="3"/>
      <c r="BD6" s="3"/>
      <c r="BE6" s="3"/>
      <c r="BF6" s="3"/>
      <c r="BG6" s="3"/>
      <c r="BH6" s="3"/>
      <c r="BI6" s="3"/>
      <c r="BJ6" s="3"/>
      <c r="BK6" s="3"/>
      <c r="BL6" s="3"/>
      <c r="BM6" s="3"/>
      <c r="BN6" s="3"/>
      <c r="BO6" s="3"/>
      <c r="BP6" s="3"/>
      <c r="BQ6" s="3"/>
    </row>
    <row r="7" spans="1:69" s="45" customFormat="1" x14ac:dyDescent="0.2">
      <c r="A7" s="1074"/>
      <c r="B7" s="1074"/>
      <c r="C7" s="10"/>
      <c r="D7" s="891"/>
      <c r="E7" s="10"/>
      <c r="F7" s="891"/>
      <c r="G7" s="10"/>
      <c r="H7" s="891"/>
      <c r="I7" s="10"/>
      <c r="J7" s="891"/>
      <c r="K7" s="10"/>
      <c r="L7" s="891"/>
      <c r="M7" s="10"/>
      <c r="N7" s="891"/>
      <c r="O7" s="54"/>
      <c r="P7" s="54"/>
      <c r="Q7" s="54"/>
      <c r="R7" s="54"/>
      <c r="S7" s="891"/>
      <c r="T7" s="54"/>
      <c r="U7" s="891"/>
      <c r="V7" s="891"/>
      <c r="W7" s="891"/>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5"/>
      <c r="AZ7" s="3"/>
      <c r="BA7" s="3"/>
      <c r="BB7" s="3"/>
      <c r="BC7" s="3"/>
      <c r="BD7" s="3"/>
      <c r="BE7" s="3"/>
      <c r="BF7" s="3"/>
      <c r="BG7" s="3"/>
      <c r="BH7" s="3"/>
      <c r="BI7" s="3"/>
      <c r="BJ7" s="3"/>
      <c r="BK7" s="3"/>
      <c r="BL7" s="3"/>
      <c r="BM7" s="3"/>
      <c r="BN7" s="3"/>
      <c r="BO7" s="3"/>
      <c r="BP7" s="3"/>
      <c r="BQ7" s="3"/>
    </row>
    <row r="8" spans="1:69" x14ac:dyDescent="0.2">
      <c r="A8" s="966" t="s">
        <v>9</v>
      </c>
      <c r="B8" s="967"/>
      <c r="C8" s="966" t="s">
        <v>10</v>
      </c>
      <c r="D8" s="967"/>
      <c r="E8" s="966" t="s">
        <v>11</v>
      </c>
      <c r="F8" s="967"/>
      <c r="G8" s="966" t="s">
        <v>12</v>
      </c>
      <c r="H8" s="970"/>
      <c r="I8" s="970"/>
      <c r="J8" s="967"/>
      <c r="K8" s="1067" t="s">
        <v>13</v>
      </c>
      <c r="L8" s="1068"/>
      <c r="M8" s="1068"/>
      <c r="N8" s="1069"/>
      <c r="O8" s="1067" t="s">
        <v>14</v>
      </c>
      <c r="P8" s="1068"/>
      <c r="Q8" s="1069"/>
      <c r="R8" s="1008" t="s">
        <v>15</v>
      </c>
      <c r="S8" s="1008"/>
      <c r="T8" s="1008"/>
      <c r="U8" s="1008"/>
      <c r="V8" s="1008"/>
      <c r="W8" s="1008"/>
      <c r="X8" s="1008"/>
      <c r="Y8" s="281"/>
      <c r="Z8" s="281"/>
      <c r="AA8" s="281"/>
      <c r="AB8" s="281"/>
      <c r="AC8" s="82"/>
      <c r="AD8" s="82"/>
      <c r="AE8" s="82"/>
      <c r="AF8" s="83"/>
      <c r="AG8" s="1002" t="s">
        <v>16</v>
      </c>
      <c r="AH8" s="1003"/>
      <c r="AI8" s="1003"/>
      <c r="AJ8" s="1003"/>
      <c r="AK8" s="1003"/>
      <c r="AL8" s="1003"/>
      <c r="AM8" s="1003"/>
      <c r="AN8" s="1003"/>
      <c r="AO8" s="1003"/>
      <c r="AP8" s="1003"/>
      <c r="AQ8" s="1003"/>
      <c r="AR8" s="1003"/>
      <c r="AS8" s="1003"/>
      <c r="AT8" s="1003"/>
      <c r="AU8" s="1003"/>
      <c r="AV8" s="1004"/>
      <c r="AW8" s="994" t="s">
        <v>17</v>
      </c>
      <c r="AX8" s="994" t="s">
        <v>18</v>
      </c>
      <c r="AY8" s="994" t="s">
        <v>19</v>
      </c>
    </row>
    <row r="9" spans="1:69" s="46" customFormat="1" x14ac:dyDescent="0.2">
      <c r="A9" s="968"/>
      <c r="B9" s="969"/>
      <c r="C9" s="968"/>
      <c r="D9" s="969"/>
      <c r="E9" s="968"/>
      <c r="F9" s="969"/>
      <c r="G9" s="968"/>
      <c r="H9" s="971"/>
      <c r="I9" s="971"/>
      <c r="J9" s="969"/>
      <c r="K9" s="1070"/>
      <c r="L9" s="1071"/>
      <c r="M9" s="1071"/>
      <c r="N9" s="1072"/>
      <c r="O9" s="1070"/>
      <c r="P9" s="1071"/>
      <c r="Q9" s="1072"/>
      <c r="R9" s="1009"/>
      <c r="S9" s="1009"/>
      <c r="T9" s="1009"/>
      <c r="U9" s="1009"/>
      <c r="V9" s="1009"/>
      <c r="W9" s="1009"/>
      <c r="X9" s="1127"/>
      <c r="Y9" s="282"/>
      <c r="Z9" s="282"/>
      <c r="AA9" s="282"/>
      <c r="AB9" s="282"/>
      <c r="AC9" s="997" t="s">
        <v>20</v>
      </c>
      <c r="AD9" s="997"/>
      <c r="AE9" s="997"/>
      <c r="AF9" s="997"/>
      <c r="AG9" s="997" t="s">
        <v>21</v>
      </c>
      <c r="AH9" s="1075"/>
      <c r="AI9" s="999" t="s">
        <v>22</v>
      </c>
      <c r="AJ9" s="1075"/>
      <c r="AK9" s="1075"/>
      <c r="AL9" s="1075"/>
      <c r="AM9" s="1000" t="s">
        <v>23</v>
      </c>
      <c r="AN9" s="1075"/>
      <c r="AO9" s="1075"/>
      <c r="AP9" s="1075"/>
      <c r="AQ9" s="1075"/>
      <c r="AR9" s="1075"/>
      <c r="AS9" s="999" t="s">
        <v>24</v>
      </c>
      <c r="AT9" s="1075"/>
      <c r="AU9" s="1075"/>
      <c r="AV9" s="1001" t="s">
        <v>25</v>
      </c>
      <c r="AW9" s="995"/>
      <c r="AX9" s="995"/>
      <c r="AY9" s="995"/>
      <c r="AZ9" s="14"/>
      <c r="BA9" s="14"/>
      <c r="BB9" s="14"/>
      <c r="BC9" s="14"/>
      <c r="BD9" s="14"/>
      <c r="BE9" s="14"/>
      <c r="BF9" s="14"/>
      <c r="BG9" s="14"/>
      <c r="BH9" s="14"/>
      <c r="BI9" s="14"/>
      <c r="BJ9" s="14"/>
      <c r="BK9" s="14"/>
      <c r="BL9" s="14"/>
      <c r="BM9" s="14"/>
      <c r="BN9" s="14"/>
    </row>
    <row r="10" spans="1:69" s="47" customFormat="1" ht="74.25" customHeight="1" x14ac:dyDescent="0.2">
      <c r="A10" s="16" t="s">
        <v>26</v>
      </c>
      <c r="B10" s="17" t="s">
        <v>27</v>
      </c>
      <c r="C10" s="16" t="s">
        <v>26</v>
      </c>
      <c r="D10" s="17" t="s">
        <v>27</v>
      </c>
      <c r="E10" s="17" t="s">
        <v>26</v>
      </c>
      <c r="F10" s="17" t="s">
        <v>27</v>
      </c>
      <c r="G10" s="18" t="s">
        <v>28</v>
      </c>
      <c r="H10" s="18" t="s">
        <v>29</v>
      </c>
      <c r="I10" s="18" t="s">
        <v>30</v>
      </c>
      <c r="J10" s="18" t="s">
        <v>31</v>
      </c>
      <c r="K10" s="18" t="s">
        <v>28</v>
      </c>
      <c r="L10" s="18" t="s">
        <v>32</v>
      </c>
      <c r="M10" s="18" t="s">
        <v>33</v>
      </c>
      <c r="N10" s="18" t="s">
        <v>34</v>
      </c>
      <c r="O10" s="18" t="s">
        <v>35</v>
      </c>
      <c r="P10" s="18" t="s">
        <v>36</v>
      </c>
      <c r="Q10" s="18" t="s">
        <v>37</v>
      </c>
      <c r="R10" s="17" t="s">
        <v>38</v>
      </c>
      <c r="S10" s="17" t="s">
        <v>39</v>
      </c>
      <c r="T10" s="19" t="s">
        <v>40</v>
      </c>
      <c r="U10" s="17" t="s">
        <v>41</v>
      </c>
      <c r="V10" s="17" t="s">
        <v>42</v>
      </c>
      <c r="W10" s="694" t="s">
        <v>43</v>
      </c>
      <c r="X10" s="693" t="s">
        <v>44</v>
      </c>
      <c r="Y10" s="909" t="s">
        <v>45</v>
      </c>
      <c r="Z10" s="909" t="s">
        <v>46</v>
      </c>
      <c r="AA10" s="909" t="s">
        <v>47</v>
      </c>
      <c r="AB10" s="908" t="s">
        <v>48</v>
      </c>
      <c r="AC10" s="16" t="s">
        <v>49</v>
      </c>
      <c r="AD10" s="17" t="s">
        <v>50</v>
      </c>
      <c r="AE10" s="17" t="s">
        <v>51</v>
      </c>
      <c r="AF10" s="17" t="s">
        <v>52</v>
      </c>
      <c r="AG10" s="21" t="s">
        <v>53</v>
      </c>
      <c r="AH10" s="22" t="s">
        <v>54</v>
      </c>
      <c r="AI10" s="21" t="s">
        <v>55</v>
      </c>
      <c r="AJ10" s="21" t="s">
        <v>56</v>
      </c>
      <c r="AK10" s="21" t="s">
        <v>57</v>
      </c>
      <c r="AL10" s="21" t="s">
        <v>58</v>
      </c>
      <c r="AM10" s="21" t="s">
        <v>59</v>
      </c>
      <c r="AN10" s="21" t="s">
        <v>60</v>
      </c>
      <c r="AO10" s="21" t="s">
        <v>61</v>
      </c>
      <c r="AP10" s="21" t="s">
        <v>62</v>
      </c>
      <c r="AQ10" s="21" t="s">
        <v>63</v>
      </c>
      <c r="AR10" s="21" t="s">
        <v>64</v>
      </c>
      <c r="AS10" s="21" t="s">
        <v>65</v>
      </c>
      <c r="AT10" s="21" t="s">
        <v>66</v>
      </c>
      <c r="AU10" s="21" t="s">
        <v>67</v>
      </c>
      <c r="AV10" s="1001"/>
      <c r="AW10" s="996"/>
      <c r="AX10" s="996"/>
      <c r="AY10" s="996"/>
      <c r="AZ10" s="14"/>
      <c r="BA10" s="14"/>
      <c r="BB10" s="14"/>
      <c r="BC10" s="14"/>
      <c r="BD10" s="14"/>
      <c r="BE10" s="14"/>
      <c r="BF10" s="14"/>
      <c r="BG10" s="14"/>
      <c r="BH10" s="14"/>
      <c r="BI10" s="14"/>
      <c r="BJ10" s="14"/>
      <c r="BK10" s="14"/>
      <c r="BL10" s="14"/>
      <c r="BM10" s="14"/>
      <c r="BN10" s="14"/>
    </row>
    <row r="11" spans="1:69" ht="150.75" customHeight="1" x14ac:dyDescent="0.2">
      <c r="A11" s="545">
        <v>4</v>
      </c>
      <c r="B11" s="34" t="s">
        <v>981</v>
      </c>
      <c r="C11" s="28">
        <v>45</v>
      </c>
      <c r="D11" s="34" t="s">
        <v>68</v>
      </c>
      <c r="E11" s="28">
        <v>4599</v>
      </c>
      <c r="F11" s="546" t="s">
        <v>968</v>
      </c>
      <c r="G11" s="28" t="s">
        <v>70</v>
      </c>
      <c r="H11" s="34" t="s">
        <v>969</v>
      </c>
      <c r="I11" s="28">
        <v>4599023</v>
      </c>
      <c r="J11" s="34" t="s">
        <v>970</v>
      </c>
      <c r="K11" s="547" t="s">
        <v>70</v>
      </c>
      <c r="L11" s="34" t="s">
        <v>971</v>
      </c>
      <c r="M11" s="547">
        <v>459902304</v>
      </c>
      <c r="N11" s="34" t="s">
        <v>972</v>
      </c>
      <c r="O11" s="548">
        <v>1</v>
      </c>
      <c r="P11" s="548">
        <v>0</v>
      </c>
      <c r="Q11" s="548">
        <f>+O11+P11</f>
        <v>1</v>
      </c>
      <c r="R11" s="79">
        <v>2021003630005</v>
      </c>
      <c r="S11" s="34" t="s">
        <v>973</v>
      </c>
      <c r="T11" s="549">
        <f>SUM($X$11:$X$12)/SUM($X$11:$X$12)</f>
        <v>1</v>
      </c>
      <c r="U11" s="34" t="s">
        <v>974</v>
      </c>
      <c r="V11" s="34" t="s">
        <v>975</v>
      </c>
      <c r="W11" s="550" t="s">
        <v>976</v>
      </c>
      <c r="X11" s="697">
        <v>190000000</v>
      </c>
      <c r="Y11" s="551">
        <f>16200000+30000000+17200000</f>
        <v>63400000</v>
      </c>
      <c r="Z11" s="551"/>
      <c r="AA11" s="551"/>
      <c r="AB11" s="551">
        <f>X11-Y11+Z11-AA11</f>
        <v>126600000</v>
      </c>
      <c r="AC11" s="552" t="s">
        <v>977</v>
      </c>
      <c r="AD11" s="553"/>
      <c r="AE11" s="554">
        <v>20</v>
      </c>
      <c r="AF11" s="555" t="s">
        <v>978</v>
      </c>
      <c r="AG11" s="556">
        <v>295972</v>
      </c>
      <c r="AH11" s="556">
        <v>285580</v>
      </c>
      <c r="AI11" s="556">
        <v>135545</v>
      </c>
      <c r="AJ11" s="556">
        <v>44254</v>
      </c>
      <c r="AK11" s="556">
        <v>309146</v>
      </c>
      <c r="AL11" s="556">
        <v>92607</v>
      </c>
      <c r="AM11" s="556">
        <v>2145</v>
      </c>
      <c r="AN11" s="556">
        <v>12718</v>
      </c>
      <c r="AO11" s="556">
        <v>26</v>
      </c>
      <c r="AP11" s="556">
        <v>37</v>
      </c>
      <c r="AQ11" s="552"/>
      <c r="AR11" s="552"/>
      <c r="AS11" s="556">
        <v>44350</v>
      </c>
      <c r="AT11" s="556">
        <v>21944</v>
      </c>
      <c r="AU11" s="556">
        <v>75687</v>
      </c>
      <c r="AV11" s="556">
        <v>581552</v>
      </c>
      <c r="AW11" s="506">
        <v>45292</v>
      </c>
      <c r="AX11" s="506">
        <v>45657</v>
      </c>
      <c r="AY11" s="84" t="s">
        <v>979</v>
      </c>
    </row>
    <row r="12" spans="1:69" ht="127.5" x14ac:dyDescent="0.2">
      <c r="A12" s="545">
        <v>4</v>
      </c>
      <c r="B12" s="34" t="s">
        <v>981</v>
      </c>
      <c r="C12" s="28">
        <v>45</v>
      </c>
      <c r="D12" s="34" t="s">
        <v>68</v>
      </c>
      <c r="E12" s="28">
        <v>4599</v>
      </c>
      <c r="F12" s="546" t="s">
        <v>968</v>
      </c>
      <c r="G12" s="28" t="s">
        <v>70</v>
      </c>
      <c r="H12" s="34" t="s">
        <v>969</v>
      </c>
      <c r="I12" s="28">
        <v>4599023</v>
      </c>
      <c r="J12" s="34" t="s">
        <v>970</v>
      </c>
      <c r="K12" s="547" t="s">
        <v>70</v>
      </c>
      <c r="L12" s="34" t="s">
        <v>971</v>
      </c>
      <c r="M12" s="547">
        <v>459902304</v>
      </c>
      <c r="N12" s="34" t="s">
        <v>972</v>
      </c>
      <c r="O12" s="548">
        <v>1</v>
      </c>
      <c r="P12" s="548">
        <v>0</v>
      </c>
      <c r="Q12" s="548">
        <f>+O12+P12</f>
        <v>1</v>
      </c>
      <c r="R12" s="79">
        <v>2021003630005</v>
      </c>
      <c r="S12" s="34" t="s">
        <v>973</v>
      </c>
      <c r="T12" s="549">
        <f>SUM($X$11:$X$12)/SUM($X$11:$X$12)</f>
        <v>1</v>
      </c>
      <c r="U12" s="34" t="s">
        <v>974</v>
      </c>
      <c r="V12" s="34" t="s">
        <v>975</v>
      </c>
      <c r="W12" s="550" t="s">
        <v>976</v>
      </c>
      <c r="X12" s="551">
        <v>10000000</v>
      </c>
      <c r="Y12" s="551"/>
      <c r="Z12" s="551"/>
      <c r="AA12" s="551"/>
      <c r="AB12" s="551">
        <f>X12-Y12+Z12-AA12</f>
        <v>10000000</v>
      </c>
      <c r="AC12" s="552" t="s">
        <v>980</v>
      </c>
      <c r="AD12" s="553"/>
      <c r="AE12" s="554">
        <v>20</v>
      </c>
      <c r="AF12" s="555" t="s">
        <v>978</v>
      </c>
      <c r="AG12" s="556">
        <v>295972</v>
      </c>
      <c r="AH12" s="556">
        <v>285580</v>
      </c>
      <c r="AI12" s="556">
        <v>135545</v>
      </c>
      <c r="AJ12" s="556">
        <v>44254</v>
      </c>
      <c r="AK12" s="556">
        <v>309146</v>
      </c>
      <c r="AL12" s="556">
        <v>92607</v>
      </c>
      <c r="AM12" s="556">
        <v>2145</v>
      </c>
      <c r="AN12" s="556">
        <v>12718</v>
      </c>
      <c r="AO12" s="556">
        <v>26</v>
      </c>
      <c r="AP12" s="556">
        <v>37</v>
      </c>
      <c r="AQ12" s="552"/>
      <c r="AR12" s="552"/>
      <c r="AS12" s="556">
        <v>44350</v>
      </c>
      <c r="AT12" s="556">
        <v>21944</v>
      </c>
      <c r="AU12" s="556">
        <v>75687</v>
      </c>
      <c r="AV12" s="556">
        <v>581552</v>
      </c>
      <c r="AW12" s="506">
        <v>45292</v>
      </c>
      <c r="AX12" s="506">
        <v>45657</v>
      </c>
      <c r="AY12" s="84" t="s">
        <v>979</v>
      </c>
    </row>
    <row r="13" spans="1:69" ht="153" customHeight="1" x14ac:dyDescent="0.2">
      <c r="A13" s="79">
        <v>4</v>
      </c>
      <c r="B13" s="34" t="s">
        <v>981</v>
      </c>
      <c r="C13" s="28">
        <v>45</v>
      </c>
      <c r="D13" s="34" t="s">
        <v>68</v>
      </c>
      <c r="E13" s="28">
        <v>4599</v>
      </c>
      <c r="F13" s="34" t="s">
        <v>968</v>
      </c>
      <c r="G13" s="28" t="s">
        <v>70</v>
      </c>
      <c r="H13" s="34" t="s">
        <v>982</v>
      </c>
      <c r="I13" s="28">
        <v>4599029</v>
      </c>
      <c r="J13" s="34" t="s">
        <v>103</v>
      </c>
      <c r="K13" s="547" t="s">
        <v>70</v>
      </c>
      <c r="L13" s="34" t="s">
        <v>983</v>
      </c>
      <c r="M13" s="547">
        <v>459902900</v>
      </c>
      <c r="N13" s="34" t="s">
        <v>105</v>
      </c>
      <c r="O13" s="548">
        <v>1</v>
      </c>
      <c r="P13" s="548">
        <v>0</v>
      </c>
      <c r="Q13" s="548">
        <v>1</v>
      </c>
      <c r="R13" s="79">
        <v>2020003630090</v>
      </c>
      <c r="S13" s="34" t="s">
        <v>984</v>
      </c>
      <c r="T13" s="549">
        <f>SUM($X$13:$X$14)/SUM($X$13:$X$14)</f>
        <v>1</v>
      </c>
      <c r="U13" s="34" t="s">
        <v>985</v>
      </c>
      <c r="V13" s="34" t="s">
        <v>986</v>
      </c>
      <c r="W13" s="550" t="s">
        <v>987</v>
      </c>
      <c r="X13" s="698">
        <v>200000000</v>
      </c>
      <c r="Y13" s="698">
        <f>22200000+25800000+22200000+22200000+22200000+22200000+22200000+25800000+13800000</f>
        <v>198600000</v>
      </c>
      <c r="Z13" s="698"/>
      <c r="AA13" s="698"/>
      <c r="AB13" s="551">
        <f>X13-Y13+Z13-AA13</f>
        <v>1400000</v>
      </c>
      <c r="AC13" s="552" t="s">
        <v>988</v>
      </c>
      <c r="AD13" s="557"/>
      <c r="AE13" s="554">
        <v>20</v>
      </c>
      <c r="AF13" s="555" t="s">
        <v>978</v>
      </c>
      <c r="AG13" s="556">
        <v>295972</v>
      </c>
      <c r="AH13" s="556">
        <v>285580</v>
      </c>
      <c r="AI13" s="556">
        <v>135545</v>
      </c>
      <c r="AJ13" s="556">
        <v>44254</v>
      </c>
      <c r="AK13" s="556">
        <v>309146</v>
      </c>
      <c r="AL13" s="556">
        <v>92607</v>
      </c>
      <c r="AM13" s="556">
        <v>2145</v>
      </c>
      <c r="AN13" s="556">
        <v>12718</v>
      </c>
      <c r="AO13" s="556">
        <v>26</v>
      </c>
      <c r="AP13" s="556">
        <v>37</v>
      </c>
      <c r="AQ13" s="552"/>
      <c r="AR13" s="552"/>
      <c r="AS13" s="556">
        <v>44350</v>
      </c>
      <c r="AT13" s="556">
        <v>21944</v>
      </c>
      <c r="AU13" s="556">
        <v>75687</v>
      </c>
      <c r="AV13" s="556">
        <v>581552</v>
      </c>
      <c r="AW13" s="506">
        <v>45292</v>
      </c>
      <c r="AX13" s="506">
        <v>45657</v>
      </c>
      <c r="AY13" s="84" t="s">
        <v>989</v>
      </c>
    </row>
    <row r="14" spans="1:69" ht="151.5" customHeight="1" x14ac:dyDescent="0.2">
      <c r="A14" s="79">
        <v>4</v>
      </c>
      <c r="B14" s="34" t="s">
        <v>981</v>
      </c>
      <c r="C14" s="28">
        <v>45</v>
      </c>
      <c r="D14" s="34" t="s">
        <v>68</v>
      </c>
      <c r="E14" s="28">
        <v>4599</v>
      </c>
      <c r="F14" s="34" t="s">
        <v>968</v>
      </c>
      <c r="G14" s="28" t="s">
        <v>70</v>
      </c>
      <c r="H14" s="34" t="s">
        <v>982</v>
      </c>
      <c r="I14" s="28">
        <v>4599029</v>
      </c>
      <c r="J14" s="34" t="s">
        <v>103</v>
      </c>
      <c r="K14" s="547" t="s">
        <v>70</v>
      </c>
      <c r="L14" s="34" t="s">
        <v>983</v>
      </c>
      <c r="M14" s="547">
        <v>459902900</v>
      </c>
      <c r="N14" s="34" t="s">
        <v>105</v>
      </c>
      <c r="O14" s="548">
        <v>1</v>
      </c>
      <c r="P14" s="548">
        <v>0</v>
      </c>
      <c r="Q14" s="548">
        <f>+O14+P14</f>
        <v>1</v>
      </c>
      <c r="R14" s="79">
        <v>2020003630090</v>
      </c>
      <c r="S14" s="34" t="s">
        <v>984</v>
      </c>
      <c r="T14" s="549">
        <f>SUM($X$13:$X$14)/SUM($X$13:$X$14)</f>
        <v>1</v>
      </c>
      <c r="U14" s="34" t="s">
        <v>985</v>
      </c>
      <c r="V14" s="34" t="s">
        <v>986</v>
      </c>
      <c r="W14" s="695" t="s">
        <v>990</v>
      </c>
      <c r="X14" s="696">
        <v>150000000</v>
      </c>
      <c r="Y14" s="696"/>
      <c r="Z14" s="696"/>
      <c r="AA14" s="696"/>
      <c r="AB14" s="551">
        <f>X14-Y14+Z14-AA14</f>
        <v>150000000</v>
      </c>
      <c r="AC14" s="700" t="s">
        <v>988</v>
      </c>
      <c r="AD14" s="557"/>
      <c r="AE14" s="554">
        <v>20</v>
      </c>
      <c r="AF14" s="555" t="s">
        <v>978</v>
      </c>
      <c r="AG14" s="556">
        <v>295972</v>
      </c>
      <c r="AH14" s="556">
        <v>285580</v>
      </c>
      <c r="AI14" s="556">
        <v>135545</v>
      </c>
      <c r="AJ14" s="556">
        <v>44254</v>
      </c>
      <c r="AK14" s="556">
        <v>309146</v>
      </c>
      <c r="AL14" s="556">
        <v>92607</v>
      </c>
      <c r="AM14" s="556">
        <v>2145</v>
      </c>
      <c r="AN14" s="556">
        <v>12718</v>
      </c>
      <c r="AO14" s="556">
        <v>26</v>
      </c>
      <c r="AP14" s="556">
        <v>37</v>
      </c>
      <c r="AQ14" s="552"/>
      <c r="AR14" s="552"/>
      <c r="AS14" s="556">
        <v>44350</v>
      </c>
      <c r="AT14" s="556">
        <v>21944</v>
      </c>
      <c r="AU14" s="556">
        <v>75687</v>
      </c>
      <c r="AV14" s="556">
        <v>581552</v>
      </c>
      <c r="AW14" s="506">
        <v>45292</v>
      </c>
      <c r="AX14" s="506">
        <v>45657</v>
      </c>
      <c r="AY14" s="84" t="s">
        <v>989</v>
      </c>
    </row>
    <row r="15" spans="1:69" ht="127.5" x14ac:dyDescent="0.2">
      <c r="A15" s="79">
        <v>4</v>
      </c>
      <c r="B15" s="34" t="s">
        <v>981</v>
      </c>
      <c r="C15" s="28">
        <v>45</v>
      </c>
      <c r="D15" s="34" t="s">
        <v>68</v>
      </c>
      <c r="E15" s="28">
        <v>4599</v>
      </c>
      <c r="F15" s="34" t="s">
        <v>968</v>
      </c>
      <c r="G15" s="554" t="s">
        <v>70</v>
      </c>
      <c r="H15" s="34" t="s">
        <v>991</v>
      </c>
      <c r="I15" s="554">
        <v>4502001</v>
      </c>
      <c r="J15" s="34" t="s">
        <v>162</v>
      </c>
      <c r="K15" s="547" t="s">
        <v>70</v>
      </c>
      <c r="L15" s="34" t="s">
        <v>992</v>
      </c>
      <c r="M15" s="547">
        <v>450200100</v>
      </c>
      <c r="N15" s="34" t="s">
        <v>164</v>
      </c>
      <c r="O15" s="547">
        <v>30</v>
      </c>
      <c r="P15" s="548">
        <v>0</v>
      </c>
      <c r="Q15" s="548">
        <f>+O15+P15</f>
        <v>30</v>
      </c>
      <c r="R15" s="79">
        <v>2020003630031</v>
      </c>
      <c r="S15" s="34" t="s">
        <v>993</v>
      </c>
      <c r="T15" s="549">
        <f>X15/X15</f>
        <v>1</v>
      </c>
      <c r="U15" s="34" t="s">
        <v>994</v>
      </c>
      <c r="V15" s="558" t="s">
        <v>995</v>
      </c>
      <c r="W15" s="550" t="s">
        <v>996</v>
      </c>
      <c r="X15" s="699">
        <v>153002887.28</v>
      </c>
      <c r="Y15" s="699"/>
      <c r="Z15" s="699"/>
      <c r="AA15" s="699"/>
      <c r="AB15" s="551">
        <f>X15-Y15+Z15-AA15</f>
        <v>153002887.28</v>
      </c>
      <c r="AC15" s="552" t="s">
        <v>997</v>
      </c>
      <c r="AD15" s="557"/>
      <c r="AE15" s="554">
        <v>20</v>
      </c>
      <c r="AF15" s="555" t="s">
        <v>978</v>
      </c>
      <c r="AG15" s="556">
        <v>295972</v>
      </c>
      <c r="AH15" s="556">
        <v>285580</v>
      </c>
      <c r="AI15" s="556">
        <v>135545</v>
      </c>
      <c r="AJ15" s="556">
        <v>44254</v>
      </c>
      <c r="AK15" s="556">
        <v>309146</v>
      </c>
      <c r="AL15" s="556">
        <v>92607</v>
      </c>
      <c r="AM15" s="556">
        <v>2145</v>
      </c>
      <c r="AN15" s="556">
        <v>12718</v>
      </c>
      <c r="AO15" s="556">
        <v>26</v>
      </c>
      <c r="AP15" s="556">
        <v>37</v>
      </c>
      <c r="AQ15" s="552"/>
      <c r="AR15" s="552"/>
      <c r="AS15" s="556">
        <v>44350</v>
      </c>
      <c r="AT15" s="556">
        <v>21944</v>
      </c>
      <c r="AU15" s="556">
        <v>75687</v>
      </c>
      <c r="AV15" s="556">
        <v>581552</v>
      </c>
      <c r="AW15" s="506">
        <v>45292</v>
      </c>
      <c r="AX15" s="506">
        <v>45657</v>
      </c>
      <c r="AY15" s="65" t="s">
        <v>998</v>
      </c>
    </row>
    <row r="16" spans="1:69" x14ac:dyDescent="0.2">
      <c r="A16" s="894"/>
      <c r="B16" s="889"/>
      <c r="C16" s="896"/>
      <c r="D16" s="889"/>
      <c r="E16" s="896"/>
      <c r="F16" s="889"/>
      <c r="G16" s="896"/>
      <c r="H16" s="889"/>
      <c r="I16" s="896"/>
      <c r="J16" s="889"/>
      <c r="K16" s="896"/>
      <c r="L16" s="889"/>
      <c r="M16" s="896"/>
      <c r="N16" s="889"/>
      <c r="O16" s="306"/>
      <c r="P16" s="306"/>
      <c r="Q16" s="306"/>
      <c r="R16" s="306"/>
      <c r="S16" s="889"/>
      <c r="T16" s="306"/>
      <c r="U16" s="889"/>
      <c r="V16" s="889"/>
      <c r="W16" s="893" t="s">
        <v>25</v>
      </c>
      <c r="X16" s="481">
        <f>SUM(X11:X15)</f>
        <v>703002887.27999997</v>
      </c>
      <c r="Y16" s="481">
        <f>SUM(Y11:Y15)</f>
        <v>262000000</v>
      </c>
      <c r="Z16" s="481">
        <f>SUM(Z11:Z15)</f>
        <v>0</v>
      </c>
      <c r="AA16" s="481">
        <f>SUM(AA11:AA15)</f>
        <v>0</v>
      </c>
      <c r="AB16" s="481">
        <f>SUM(AB11:AB15)</f>
        <v>441002887.27999997</v>
      </c>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82"/>
    </row>
    <row r="17" spans="24:32" x14ac:dyDescent="0.2">
      <c r="X17" s="559"/>
      <c r="Y17" s="559"/>
      <c r="Z17" s="559"/>
      <c r="AA17" s="559"/>
      <c r="AB17" s="559"/>
    </row>
    <row r="18" spans="24:32" x14ac:dyDescent="0.2">
      <c r="X18" s="559"/>
      <c r="Y18" s="559"/>
      <c r="Z18" s="559"/>
      <c r="AA18" s="559"/>
      <c r="AB18" s="559"/>
    </row>
    <row r="19" spans="24:32" x14ac:dyDescent="0.2">
      <c r="X19" s="559"/>
      <c r="Y19" s="559"/>
      <c r="Z19" s="559"/>
      <c r="AA19" s="559"/>
      <c r="AB19" s="559"/>
    </row>
    <row r="20" spans="24:32" x14ac:dyDescent="0.2">
      <c r="X20" s="559"/>
      <c r="Y20" s="559"/>
      <c r="Z20" s="559"/>
      <c r="AA20" s="559"/>
      <c r="AB20" s="559"/>
    </row>
    <row r="21" spans="24:32" x14ac:dyDescent="0.2">
      <c r="X21" s="559"/>
      <c r="Y21" s="559"/>
      <c r="Z21" s="559"/>
      <c r="AA21" s="559"/>
      <c r="AB21" s="559"/>
    </row>
    <row r="22" spans="24:32" x14ac:dyDescent="0.2">
      <c r="X22" s="559"/>
      <c r="Y22" s="559"/>
      <c r="Z22" s="559"/>
      <c r="AA22" s="559"/>
      <c r="AB22" s="559"/>
    </row>
    <row r="23" spans="24:32" x14ac:dyDescent="0.2">
      <c r="X23" s="559"/>
      <c r="Y23" s="559"/>
      <c r="Z23" s="559"/>
      <c r="AA23" s="559"/>
      <c r="AB23" s="559"/>
    </row>
    <row r="24" spans="24:32" x14ac:dyDescent="0.2">
      <c r="X24" s="559"/>
      <c r="Y24" s="559"/>
      <c r="Z24" s="559"/>
      <c r="AA24" s="559"/>
      <c r="AB24" s="559"/>
    </row>
    <row r="25" spans="24:32" x14ac:dyDescent="0.2">
      <c r="X25" s="559"/>
      <c r="Y25" s="559"/>
      <c r="Z25" s="559"/>
      <c r="AA25" s="559"/>
      <c r="AB25" s="559"/>
    </row>
    <row r="26" spans="24:32" x14ac:dyDescent="0.2">
      <c r="X26" s="559"/>
      <c r="Y26" s="559"/>
      <c r="Z26" s="559"/>
      <c r="AA26" s="559"/>
      <c r="AB26" s="559"/>
    </row>
    <row r="27" spans="24:32" x14ac:dyDescent="0.2">
      <c r="X27" s="559"/>
      <c r="Y27" s="559"/>
      <c r="Z27" s="559"/>
      <c r="AA27" s="559"/>
      <c r="AB27" s="559"/>
    </row>
    <row r="28" spans="24:32" x14ac:dyDescent="0.2">
      <c r="X28" s="559"/>
      <c r="Y28" s="559"/>
      <c r="Z28" s="559"/>
      <c r="AA28" s="559"/>
      <c r="AB28" s="559"/>
    </row>
    <row r="29" spans="24:32" x14ac:dyDescent="0.2">
      <c r="X29" s="559"/>
      <c r="Y29" s="559"/>
      <c r="Z29" s="559"/>
      <c r="AA29" s="559"/>
      <c r="AB29" s="559"/>
    </row>
    <row r="30" spans="24:32" x14ac:dyDescent="0.2">
      <c r="X30" s="559"/>
      <c r="Y30" s="559"/>
      <c r="Z30" s="559"/>
      <c r="AA30" s="559"/>
      <c r="AB30" s="559"/>
    </row>
    <row r="31" spans="24:32" x14ac:dyDescent="0.2">
      <c r="AD31" s="85"/>
      <c r="AE31" s="85"/>
      <c r="AF31" s="85"/>
    </row>
    <row r="32" spans="24:32" x14ac:dyDescent="0.2">
      <c r="AD32" s="85"/>
      <c r="AE32" s="85"/>
      <c r="AF32" s="85"/>
    </row>
    <row r="33" spans="9:32" x14ac:dyDescent="0.2">
      <c r="O33" s="1080" t="s">
        <v>999</v>
      </c>
      <c r="P33" s="1080"/>
      <c r="Q33" s="1080"/>
      <c r="R33" s="1080"/>
      <c r="S33" s="1080"/>
      <c r="AD33" s="85"/>
      <c r="AE33" s="85"/>
      <c r="AF33" s="85"/>
    </row>
    <row r="34" spans="9:32" x14ac:dyDescent="0.2">
      <c r="O34" s="1080" t="s">
        <v>1000</v>
      </c>
      <c r="P34" s="1080"/>
      <c r="Q34" s="1080"/>
      <c r="R34" s="1080"/>
      <c r="S34" s="1080"/>
      <c r="AD34" s="85"/>
      <c r="AE34" s="85"/>
      <c r="AF34" s="85"/>
    </row>
    <row r="35" spans="9:32" x14ac:dyDescent="0.2">
      <c r="AD35" s="85"/>
      <c r="AE35" s="85"/>
      <c r="AF35" s="85"/>
    </row>
    <row r="36" spans="9:32" x14ac:dyDescent="0.2">
      <c r="I36" s="1124" t="s">
        <v>113</v>
      </c>
      <c r="J36" s="1124"/>
      <c r="K36" s="1125" t="s">
        <v>114</v>
      </c>
      <c r="L36" s="1126"/>
      <c r="M36" s="1125" t="s">
        <v>115</v>
      </c>
      <c r="N36" s="1126"/>
      <c r="AD36" s="85"/>
      <c r="AE36" s="85"/>
      <c r="AF36" s="85"/>
    </row>
    <row r="37" spans="9:32" x14ac:dyDescent="0.2">
      <c r="I37" s="1124" t="s">
        <v>116</v>
      </c>
      <c r="J37" s="1124"/>
      <c r="K37" s="1125" t="s">
        <v>117</v>
      </c>
      <c r="L37" s="1126"/>
      <c r="M37" s="1124" t="s">
        <v>118</v>
      </c>
      <c r="N37" s="1124"/>
      <c r="AD37" s="85"/>
      <c r="AE37" s="85"/>
      <c r="AF37" s="85"/>
    </row>
    <row r="38" spans="9:32" x14ac:dyDescent="0.2">
      <c r="I38" s="1124" t="s">
        <v>119</v>
      </c>
      <c r="J38" s="1124"/>
      <c r="K38" s="1125" t="s">
        <v>120</v>
      </c>
      <c r="L38" s="1126"/>
      <c r="M38" s="1124" t="s">
        <v>121</v>
      </c>
      <c r="N38" s="1124"/>
      <c r="AD38" s="85"/>
      <c r="AE38" s="85"/>
      <c r="AF38" s="85"/>
    </row>
  </sheetData>
  <autoFilter ref="A10:BQ16" xr:uid="{00000000-0001-0000-0400-000000000000}"/>
  <mergeCells count="33">
    <mergeCell ref="I38:J38"/>
    <mergeCell ref="K38:L38"/>
    <mergeCell ref="M38:N38"/>
    <mergeCell ref="O8:Q9"/>
    <mergeCell ref="R8:X9"/>
    <mergeCell ref="I37:J37"/>
    <mergeCell ref="K37:L37"/>
    <mergeCell ref="M37:N37"/>
    <mergeCell ref="O33:S33"/>
    <mergeCell ref="O34:S34"/>
    <mergeCell ref="I36:J36"/>
    <mergeCell ref="K36:L36"/>
    <mergeCell ref="M36:N36"/>
    <mergeCell ref="AW8:AW10"/>
    <mergeCell ref="AX8:AX10"/>
    <mergeCell ref="AY8:AY10"/>
    <mergeCell ref="AC9:AF9"/>
    <mergeCell ref="AG9:AH9"/>
    <mergeCell ref="AI9:AL9"/>
    <mergeCell ref="AM9:AR9"/>
    <mergeCell ref="AS9:AU9"/>
    <mergeCell ref="AV9:AV10"/>
    <mergeCell ref="AG8:AV8"/>
    <mergeCell ref="A1:B7"/>
    <mergeCell ref="C1:AW1"/>
    <mergeCell ref="C2:AW4"/>
    <mergeCell ref="C5:AW5"/>
    <mergeCell ref="C6:AW6"/>
    <mergeCell ref="A8:B9"/>
    <mergeCell ref="C8:D9"/>
    <mergeCell ref="E8:F9"/>
    <mergeCell ref="G8:J9"/>
    <mergeCell ref="K8:N9"/>
  </mergeCells>
  <pageMargins left="0.23622047244094491" right="0.23622047244094491" top="1.5354330708661419" bottom="0.74803149606299213" header="0.31496062992125984" footer="0.31496062992125984"/>
  <pageSetup paperSize="256" scale="23" orientation="landscape" r:id="rId1"/>
  <colBreaks count="1" manualBreakCount="1">
    <brk id="52"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61066-5615-4E92-B3C4-5FAA449B5DAD}">
  <sheetPr>
    <tabColor theme="7" tint="0.79998168889431442"/>
  </sheetPr>
  <dimension ref="A1:BD151"/>
  <sheetViews>
    <sheetView zoomScale="60" zoomScaleNormal="60" workbookViewId="0">
      <pane ySplit="10" topLeftCell="A11" activePane="bottomLeft" state="frozen"/>
      <selection activeCell="C1" sqref="C1"/>
      <selection pane="bottomLeft" activeCell="F13" sqref="F13"/>
    </sheetView>
  </sheetViews>
  <sheetFormatPr baseColWidth="10" defaultColWidth="0" defaultRowHeight="0" customHeight="1" zeroHeight="1" x14ac:dyDescent="0.2"/>
  <cols>
    <col min="1" max="1" width="17.140625" style="895" bestFit="1" customWidth="1"/>
    <col min="2" max="4" width="28.28515625" style="81" customWidth="1"/>
    <col min="5" max="5" width="28.28515625" style="895" customWidth="1"/>
    <col min="6" max="6" width="28.28515625" style="81" customWidth="1"/>
    <col min="7" max="7" width="28.28515625" style="895" customWidth="1"/>
    <col min="8" max="10" width="28.28515625" style="81" customWidth="1"/>
    <col min="11" max="11" width="15.5703125" style="81" hidden="1" customWidth="1"/>
    <col min="12" max="12" width="28.28515625" style="81" hidden="1" customWidth="1"/>
    <col min="13" max="13" width="20.7109375" style="81" hidden="1" customWidth="1"/>
    <col min="14" max="14" width="28.28515625" style="81" hidden="1" customWidth="1"/>
    <col min="15" max="15" width="20" style="81" customWidth="1"/>
    <col min="16" max="16" width="19.85546875" style="81" customWidth="1"/>
    <col min="17" max="17" width="13.42578125" style="81" customWidth="1"/>
    <col min="18" max="18" width="20.85546875" style="81" customWidth="1"/>
    <col min="19" max="19" width="32" style="81" customWidth="1"/>
    <col min="20" max="22" width="28.28515625" style="81" customWidth="1"/>
    <col min="23" max="23" width="40.7109375" style="81" customWidth="1"/>
    <col min="24" max="24" width="28.28515625" style="81" customWidth="1"/>
    <col min="25" max="25" width="23.7109375" style="81" customWidth="1"/>
    <col min="26" max="26" width="18.42578125" style="81" customWidth="1"/>
    <col min="27" max="27" width="22.140625" style="81" customWidth="1"/>
    <col min="28" max="28" width="25.5703125" style="81" customWidth="1"/>
    <col min="29" max="29" width="49.7109375" style="81" customWidth="1"/>
    <col min="30" max="30" width="14.42578125" style="81" customWidth="1"/>
    <col min="31" max="31" width="14.85546875" style="81" customWidth="1"/>
    <col min="32" max="32" width="17" style="81" customWidth="1"/>
    <col min="33" max="34" width="10.28515625" style="81" bestFit="1" customWidth="1"/>
    <col min="35" max="38" width="12.85546875" style="81" bestFit="1" customWidth="1"/>
    <col min="39" max="48" width="10.28515625" style="81" bestFit="1" customWidth="1"/>
    <col min="49" max="49" width="20.7109375" style="81" customWidth="1"/>
    <col min="50" max="50" width="18.85546875" style="81" customWidth="1"/>
    <col min="51" max="51" width="46.140625" style="81" customWidth="1"/>
    <col min="52" max="52" width="7.28515625" style="81" customWidth="1"/>
    <col min="53" max="53" width="6.28515625" style="81" customWidth="1"/>
    <col min="54" max="56" width="3.5703125" style="81" customWidth="1"/>
    <col min="57" max="16384" width="3.5703125" style="81" hidden="1"/>
  </cols>
  <sheetData>
    <row r="1" spans="1:53" ht="12.75" hidden="1" x14ac:dyDescent="0.2">
      <c r="A1" s="1073"/>
      <c r="B1" s="1073"/>
      <c r="C1" s="1074" t="s">
        <v>0</v>
      </c>
      <c r="D1" s="1074"/>
      <c r="E1" s="1074"/>
      <c r="F1" s="1074"/>
      <c r="G1" s="1074"/>
      <c r="H1" s="1074"/>
      <c r="I1" s="1074"/>
      <c r="J1" s="1074"/>
      <c r="K1" s="1074"/>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1074"/>
      <c r="AO1" s="1074"/>
      <c r="AP1" s="1074"/>
      <c r="AQ1" s="1074"/>
      <c r="AR1" s="1074"/>
      <c r="AS1" s="1074"/>
      <c r="AT1" s="1074"/>
      <c r="AU1" s="1074"/>
      <c r="AV1" s="1074"/>
      <c r="AW1" s="1074"/>
    </row>
    <row r="2" spans="1:53" ht="12.75" hidden="1" x14ac:dyDescent="0.2">
      <c r="A2" s="1073"/>
      <c r="B2" s="1073"/>
      <c r="C2" s="992" t="s">
        <v>1001</v>
      </c>
      <c r="D2" s="993"/>
      <c r="E2" s="993"/>
      <c r="F2" s="993"/>
      <c r="G2" s="993"/>
      <c r="H2" s="993"/>
      <c r="I2" s="993"/>
      <c r="J2" s="993"/>
      <c r="K2" s="993"/>
      <c r="L2" s="993"/>
      <c r="M2" s="993"/>
      <c r="N2" s="993"/>
      <c r="O2" s="993"/>
      <c r="P2" s="993"/>
      <c r="Q2" s="993"/>
      <c r="R2" s="993"/>
      <c r="S2" s="993"/>
      <c r="T2" s="993"/>
      <c r="U2" s="993"/>
      <c r="V2" s="993"/>
      <c r="W2" s="993"/>
      <c r="X2" s="993"/>
      <c r="Y2" s="993"/>
      <c r="Z2" s="993"/>
      <c r="AA2" s="993"/>
      <c r="AB2" s="993"/>
      <c r="AC2" s="993"/>
      <c r="AD2" s="993"/>
      <c r="AE2" s="993"/>
      <c r="AF2" s="993"/>
      <c r="AG2" s="993"/>
      <c r="AH2" s="993"/>
      <c r="AI2" s="993"/>
      <c r="AJ2" s="993"/>
      <c r="AK2" s="993"/>
      <c r="AL2" s="993"/>
      <c r="AM2" s="993"/>
      <c r="AN2" s="993"/>
      <c r="AO2" s="993"/>
      <c r="AP2" s="993"/>
      <c r="AQ2" s="993"/>
      <c r="AR2" s="993"/>
      <c r="AS2" s="993"/>
      <c r="AT2" s="993"/>
      <c r="AU2" s="993"/>
      <c r="AV2" s="993"/>
      <c r="AW2" s="1138"/>
      <c r="AX2" s="2" t="s">
        <v>2</v>
      </c>
      <c r="AY2" s="2" t="s">
        <v>3</v>
      </c>
    </row>
    <row r="3" spans="1:53" ht="12.75" hidden="1" x14ac:dyDescent="0.2">
      <c r="A3" s="1073"/>
      <c r="B3" s="1073"/>
      <c r="C3" s="1139"/>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1"/>
      <c r="AX3" s="2" t="s">
        <v>4</v>
      </c>
      <c r="AY3" s="49">
        <v>11</v>
      </c>
    </row>
    <row r="4" spans="1:53" ht="12.75" hidden="1" x14ac:dyDescent="0.2">
      <c r="A4" s="1073"/>
      <c r="B4" s="1073"/>
      <c r="C4" s="1142"/>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c r="AC4" s="1143"/>
      <c r="AD4" s="1143"/>
      <c r="AE4" s="1143"/>
      <c r="AF4" s="1143"/>
      <c r="AG4" s="1143"/>
      <c r="AH4" s="1143"/>
      <c r="AI4" s="1143"/>
      <c r="AJ4" s="1143"/>
      <c r="AK4" s="1143"/>
      <c r="AL4" s="1143"/>
      <c r="AM4" s="1143"/>
      <c r="AN4" s="1143"/>
      <c r="AO4" s="1143"/>
      <c r="AP4" s="1143"/>
      <c r="AQ4" s="1143"/>
      <c r="AR4" s="1143"/>
      <c r="AS4" s="1143"/>
      <c r="AT4" s="1143"/>
      <c r="AU4" s="1143"/>
      <c r="AV4" s="1143"/>
      <c r="AW4" s="1144"/>
      <c r="AX4" s="2" t="s">
        <v>5</v>
      </c>
      <c r="AY4" s="86">
        <v>44714</v>
      </c>
    </row>
    <row r="5" spans="1:53" ht="12.75" hidden="1" x14ac:dyDescent="0.2">
      <c r="A5" s="1073"/>
      <c r="B5" s="1073"/>
      <c r="C5" s="989"/>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1"/>
      <c r="AX5" s="2" t="s">
        <v>6</v>
      </c>
      <c r="AY5" s="87" t="s">
        <v>7</v>
      </c>
    </row>
    <row r="6" spans="1:53" ht="12.75" hidden="1" x14ac:dyDescent="0.2">
      <c r="A6" s="1073"/>
      <c r="B6" s="1073"/>
      <c r="C6" s="989" t="s">
        <v>275</v>
      </c>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c r="AT6" s="990"/>
      <c r="AU6" s="990"/>
      <c r="AV6" s="990"/>
      <c r="AW6" s="991"/>
      <c r="AX6" s="52"/>
      <c r="AY6" s="53"/>
    </row>
    <row r="7" spans="1:53" ht="12.75" hidden="1" x14ac:dyDescent="0.2">
      <c r="A7" s="1074"/>
      <c r="B7" s="1074"/>
      <c r="C7" s="54"/>
      <c r="D7" s="54"/>
      <c r="E7" s="10"/>
      <c r="F7" s="54"/>
      <c r="G7" s="10"/>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5"/>
    </row>
    <row r="8" spans="1:53" ht="9" customHeight="1" x14ac:dyDescent="0.2">
      <c r="A8" s="1145" t="s">
        <v>9</v>
      </c>
      <c r="B8" s="1146"/>
      <c r="C8" s="1145" t="s">
        <v>10</v>
      </c>
      <c r="D8" s="1146"/>
      <c r="E8" s="1145" t="s">
        <v>11</v>
      </c>
      <c r="F8" s="1146"/>
      <c r="G8" s="1145" t="s">
        <v>12</v>
      </c>
      <c r="H8" s="1149"/>
      <c r="I8" s="1149"/>
      <c r="J8" s="1146"/>
      <c r="K8" s="1129" t="s">
        <v>13</v>
      </c>
      <c r="L8" s="1130"/>
      <c r="M8" s="1130"/>
      <c r="N8" s="1131"/>
      <c r="O8" s="1129" t="s">
        <v>14</v>
      </c>
      <c r="P8" s="1130"/>
      <c r="Q8" s="1131"/>
      <c r="R8" s="1008" t="s">
        <v>15</v>
      </c>
      <c r="S8" s="1008"/>
      <c r="T8" s="1008"/>
      <c r="U8" s="1008"/>
      <c r="V8" s="1008"/>
      <c r="W8" s="1008"/>
      <c r="X8" s="1008"/>
      <c r="Y8" s="1008"/>
      <c r="Z8" s="1008"/>
      <c r="AA8" s="1008"/>
      <c r="AB8" s="1008"/>
      <c r="AC8" s="82"/>
      <c r="AD8" s="82"/>
      <c r="AE8" s="82"/>
      <c r="AF8" s="83"/>
      <c r="AG8" s="1002" t="s">
        <v>16</v>
      </c>
      <c r="AH8" s="1003"/>
      <c r="AI8" s="1003"/>
      <c r="AJ8" s="1003"/>
      <c r="AK8" s="1003"/>
      <c r="AL8" s="1003"/>
      <c r="AM8" s="1003"/>
      <c r="AN8" s="1003"/>
      <c r="AO8" s="1003"/>
      <c r="AP8" s="1003"/>
      <c r="AQ8" s="1003"/>
      <c r="AR8" s="1003"/>
      <c r="AS8" s="1003"/>
      <c r="AT8" s="1003"/>
      <c r="AU8" s="1003"/>
      <c r="AV8" s="1135" t="s">
        <v>25</v>
      </c>
      <c r="AW8" s="994" t="s">
        <v>17</v>
      </c>
      <c r="AX8" s="994" t="s">
        <v>18</v>
      </c>
      <c r="AY8" s="994" t="s">
        <v>19</v>
      </c>
    </row>
    <row r="9" spans="1:53" ht="12.75" customHeight="1" x14ac:dyDescent="0.2">
      <c r="A9" s="1147"/>
      <c r="B9" s="1148"/>
      <c r="C9" s="1147"/>
      <c r="D9" s="1148"/>
      <c r="E9" s="1147"/>
      <c r="F9" s="1148"/>
      <c r="G9" s="1147"/>
      <c r="H9" s="1150"/>
      <c r="I9" s="1150"/>
      <c r="J9" s="1148"/>
      <c r="K9" s="1132"/>
      <c r="L9" s="1133"/>
      <c r="M9" s="1133"/>
      <c r="N9" s="1134"/>
      <c r="O9" s="1132"/>
      <c r="P9" s="1133"/>
      <c r="Q9" s="1134"/>
      <c r="R9" s="1009"/>
      <c r="S9" s="1009"/>
      <c r="T9" s="1009"/>
      <c r="U9" s="1009"/>
      <c r="V9" s="1009"/>
      <c r="W9" s="1009"/>
      <c r="X9" s="1009"/>
      <c r="Y9" s="1009"/>
      <c r="Z9" s="1009"/>
      <c r="AA9" s="1009"/>
      <c r="AB9" s="1009"/>
      <c r="AC9" s="1128" t="s">
        <v>20</v>
      </c>
      <c r="AD9" s="1128"/>
      <c r="AE9" s="1128"/>
      <c r="AF9" s="1128"/>
      <c r="AG9" s="1128" t="s">
        <v>21</v>
      </c>
      <c r="AH9" s="1075"/>
      <c r="AI9" s="1000" t="s">
        <v>22</v>
      </c>
      <c r="AJ9" s="1075"/>
      <c r="AK9" s="1075"/>
      <c r="AL9" s="1075"/>
      <c r="AM9" s="1000" t="s">
        <v>23</v>
      </c>
      <c r="AN9" s="1075"/>
      <c r="AO9" s="1075"/>
      <c r="AP9" s="1075"/>
      <c r="AQ9" s="1075"/>
      <c r="AR9" s="1075"/>
      <c r="AS9" s="1000" t="s">
        <v>24</v>
      </c>
      <c r="AT9" s="1075"/>
      <c r="AU9" s="1075"/>
      <c r="AV9" s="1136"/>
      <c r="AW9" s="995"/>
      <c r="AX9" s="995"/>
      <c r="AY9" s="995"/>
    </row>
    <row r="10" spans="1:53" ht="47.25" customHeight="1" x14ac:dyDescent="0.2">
      <c r="A10" s="16" t="s">
        <v>26</v>
      </c>
      <c r="B10" s="17" t="s">
        <v>27</v>
      </c>
      <c r="C10" s="16" t="s">
        <v>26</v>
      </c>
      <c r="D10" s="17" t="s">
        <v>27</v>
      </c>
      <c r="E10" s="17" t="s">
        <v>26</v>
      </c>
      <c r="F10" s="17" t="s">
        <v>27</v>
      </c>
      <c r="G10" s="18" t="s">
        <v>28</v>
      </c>
      <c r="H10" s="18" t="s">
        <v>29</v>
      </c>
      <c r="I10" s="18" t="s">
        <v>30</v>
      </c>
      <c r="J10" s="18" t="s">
        <v>31</v>
      </c>
      <c r="K10" s="18" t="s">
        <v>28</v>
      </c>
      <c r="L10" s="18" t="s">
        <v>32</v>
      </c>
      <c r="M10" s="18" t="s">
        <v>33</v>
      </c>
      <c r="N10" s="18" t="s">
        <v>34</v>
      </c>
      <c r="O10" s="18" t="s">
        <v>35</v>
      </c>
      <c r="P10" s="18" t="s">
        <v>36</v>
      </c>
      <c r="Q10" s="18" t="s">
        <v>37</v>
      </c>
      <c r="R10" s="285" t="s">
        <v>38</v>
      </c>
      <c r="S10" s="17" t="s">
        <v>39</v>
      </c>
      <c r="T10" s="19" t="s">
        <v>40</v>
      </c>
      <c r="U10" s="17" t="s">
        <v>41</v>
      </c>
      <c r="V10" s="17" t="s">
        <v>42</v>
      </c>
      <c r="W10" s="17" t="s">
        <v>43</v>
      </c>
      <c r="X10" s="20" t="s">
        <v>44</v>
      </c>
      <c r="Y10" s="660" t="s">
        <v>45</v>
      </c>
      <c r="Z10" s="659" t="s">
        <v>46</v>
      </c>
      <c r="AA10" s="659" t="s">
        <v>47</v>
      </c>
      <c r="AB10" s="660" t="s">
        <v>48</v>
      </c>
      <c r="AC10" s="16" t="s">
        <v>49</v>
      </c>
      <c r="AD10" s="17" t="s">
        <v>50</v>
      </c>
      <c r="AE10" s="17" t="s">
        <v>51</v>
      </c>
      <c r="AF10" s="17" t="s">
        <v>52</v>
      </c>
      <c r="AG10" s="21" t="s">
        <v>53</v>
      </c>
      <c r="AH10" s="22" t="s">
        <v>54</v>
      </c>
      <c r="AI10" s="21" t="s">
        <v>55</v>
      </c>
      <c r="AJ10" s="21" t="s">
        <v>56</v>
      </c>
      <c r="AK10" s="21" t="s">
        <v>57</v>
      </c>
      <c r="AL10" s="21" t="s">
        <v>58</v>
      </c>
      <c r="AM10" s="21" t="s">
        <v>59</v>
      </c>
      <c r="AN10" s="21" t="s">
        <v>60</v>
      </c>
      <c r="AO10" s="21" t="s">
        <v>61</v>
      </c>
      <c r="AP10" s="21" t="s">
        <v>62</v>
      </c>
      <c r="AQ10" s="21" t="s">
        <v>63</v>
      </c>
      <c r="AR10" s="21" t="s">
        <v>64</v>
      </c>
      <c r="AS10" s="21" t="s">
        <v>65</v>
      </c>
      <c r="AT10" s="21" t="s">
        <v>66</v>
      </c>
      <c r="AU10" s="21" t="s">
        <v>67</v>
      </c>
      <c r="AV10" s="1137"/>
      <c r="AW10" s="996"/>
      <c r="AX10" s="996"/>
      <c r="AY10" s="996"/>
      <c r="AZ10" s="239"/>
      <c r="BA10" s="239"/>
    </row>
    <row r="11" spans="1:53" ht="99.95" customHeight="1" x14ac:dyDescent="0.2">
      <c r="A11" s="65">
        <v>1</v>
      </c>
      <c r="B11" s="195" t="s">
        <v>315</v>
      </c>
      <c r="C11" s="205">
        <v>22</v>
      </c>
      <c r="D11" s="195" t="s">
        <v>1002</v>
      </c>
      <c r="E11" s="205">
        <v>2201</v>
      </c>
      <c r="F11" s="195" t="s">
        <v>1003</v>
      </c>
      <c r="G11" s="286">
        <v>2201006</v>
      </c>
      <c r="H11" s="195" t="s">
        <v>1004</v>
      </c>
      <c r="I11" s="286">
        <v>2201006</v>
      </c>
      <c r="J11" s="195" t="s">
        <v>1004</v>
      </c>
      <c r="K11" s="286">
        <v>220100600</v>
      </c>
      <c r="L11" s="195" t="s">
        <v>1005</v>
      </c>
      <c r="M11" s="287">
        <v>220100600</v>
      </c>
      <c r="N11" s="195" t="s">
        <v>1005</v>
      </c>
      <c r="O11" s="288">
        <v>54</v>
      </c>
      <c r="P11" s="288"/>
      <c r="Q11" s="288">
        <v>54</v>
      </c>
      <c r="R11" s="289">
        <v>2020003630016</v>
      </c>
      <c r="S11" s="195" t="s">
        <v>1006</v>
      </c>
      <c r="T11" s="290">
        <f>SUM(X11)/SUM(X11:X101)</f>
        <v>4.6571046514863498E-4</v>
      </c>
      <c r="U11" s="195" t="s">
        <v>1007</v>
      </c>
      <c r="V11" s="227" t="s">
        <v>1008</v>
      </c>
      <c r="W11" s="227" t="s">
        <v>1009</v>
      </c>
      <c r="X11" s="291">
        <v>100000000</v>
      </c>
      <c r="Y11" s="717"/>
      <c r="Z11" s="227"/>
      <c r="AA11" s="227"/>
      <c r="AB11" s="291">
        <f>X11-Y11+Z11-AA11</f>
        <v>100000000</v>
      </c>
      <c r="AC11" s="227" t="s">
        <v>1010</v>
      </c>
      <c r="AD11" s="227"/>
      <c r="AE11" s="288">
        <v>20</v>
      </c>
      <c r="AF11" s="195" t="s">
        <v>97</v>
      </c>
      <c r="AG11" s="292">
        <v>19649</v>
      </c>
      <c r="AH11" s="292">
        <v>20118</v>
      </c>
      <c r="AI11" s="292">
        <v>28907</v>
      </c>
      <c r="AJ11" s="292">
        <v>9525</v>
      </c>
      <c r="AK11" s="292">
        <v>1222</v>
      </c>
      <c r="AL11" s="292">
        <v>113</v>
      </c>
      <c r="AM11" s="292">
        <v>297</v>
      </c>
      <c r="AN11" s="292">
        <v>345</v>
      </c>
      <c r="AO11" s="292">
        <v>0</v>
      </c>
      <c r="AP11" s="292">
        <v>0</v>
      </c>
      <c r="AQ11" s="292">
        <v>0</v>
      </c>
      <c r="AR11" s="292">
        <v>0</v>
      </c>
      <c r="AS11" s="292">
        <v>3301</v>
      </c>
      <c r="AT11" s="292">
        <v>113</v>
      </c>
      <c r="AU11" s="292">
        <v>2507</v>
      </c>
      <c r="AV11" s="292">
        <v>39767</v>
      </c>
      <c r="AW11" s="293">
        <v>45292</v>
      </c>
      <c r="AX11" s="293">
        <v>45657</v>
      </c>
      <c r="AY11" s="195" t="s">
        <v>1011</v>
      </c>
    </row>
    <row r="12" spans="1:53" ht="99.95" customHeight="1" x14ac:dyDescent="0.2">
      <c r="A12" s="65">
        <v>1</v>
      </c>
      <c r="B12" s="195" t="s">
        <v>315</v>
      </c>
      <c r="C12" s="205">
        <v>22</v>
      </c>
      <c r="D12" s="195" t="s">
        <v>1002</v>
      </c>
      <c r="E12" s="205">
        <v>2201</v>
      </c>
      <c r="F12" s="195" t="s">
        <v>1003</v>
      </c>
      <c r="G12" s="294">
        <v>2201071</v>
      </c>
      <c r="H12" s="195" t="s">
        <v>1012</v>
      </c>
      <c r="I12" s="294">
        <v>2201071</v>
      </c>
      <c r="J12" s="195" t="s">
        <v>1012</v>
      </c>
      <c r="K12" s="294">
        <v>220107100</v>
      </c>
      <c r="L12" s="195" t="s">
        <v>1013</v>
      </c>
      <c r="M12" s="295">
        <v>220107100</v>
      </c>
      <c r="N12" s="195" t="s">
        <v>1013</v>
      </c>
      <c r="O12" s="288">
        <v>54</v>
      </c>
      <c r="P12" s="288"/>
      <c r="Q12" s="288">
        <v>54</v>
      </c>
      <c r="R12" s="289">
        <v>2020003630016</v>
      </c>
      <c r="S12" s="195" t="s">
        <v>1006</v>
      </c>
      <c r="T12" s="290">
        <f>SUM($X$12:$X$103)/SUM($X$11:$X$103)</f>
        <v>0.99953459106358844</v>
      </c>
      <c r="U12" s="195" t="s">
        <v>1007</v>
      </c>
      <c r="V12" s="227" t="s">
        <v>1014</v>
      </c>
      <c r="W12" s="227" t="s">
        <v>1015</v>
      </c>
      <c r="X12" s="291">
        <v>5124318000</v>
      </c>
      <c r="Y12" s="717">
        <f>1844628621</f>
        <v>1844628621</v>
      </c>
      <c r="Z12" s="227"/>
      <c r="AA12" s="227"/>
      <c r="AB12" s="291">
        <f t="shared" ref="AB12:AB75" si="0">X12-Y12+Z12-AA12</f>
        <v>3279689379</v>
      </c>
      <c r="AC12" s="227" t="s">
        <v>1016</v>
      </c>
      <c r="AD12" s="227"/>
      <c r="AE12" s="288">
        <v>35</v>
      </c>
      <c r="AF12" s="195" t="s">
        <v>1017</v>
      </c>
      <c r="AG12" s="292">
        <v>19649</v>
      </c>
      <c r="AH12" s="292">
        <v>20118</v>
      </c>
      <c r="AI12" s="292">
        <v>28907</v>
      </c>
      <c r="AJ12" s="292">
        <v>9525</v>
      </c>
      <c r="AK12" s="292">
        <v>1222</v>
      </c>
      <c r="AL12" s="292">
        <v>113</v>
      </c>
      <c r="AM12" s="292">
        <v>297</v>
      </c>
      <c r="AN12" s="292">
        <v>345</v>
      </c>
      <c r="AO12" s="292">
        <v>0</v>
      </c>
      <c r="AP12" s="292">
        <v>0</v>
      </c>
      <c r="AQ12" s="292">
        <v>0</v>
      </c>
      <c r="AR12" s="292">
        <v>0</v>
      </c>
      <c r="AS12" s="292">
        <v>3301</v>
      </c>
      <c r="AT12" s="292">
        <v>113</v>
      </c>
      <c r="AU12" s="292">
        <v>2507</v>
      </c>
      <c r="AV12" s="292">
        <v>39767</v>
      </c>
      <c r="AW12" s="293">
        <v>45292</v>
      </c>
      <c r="AX12" s="293">
        <v>45657</v>
      </c>
      <c r="AY12" s="195" t="s">
        <v>1011</v>
      </c>
    </row>
    <row r="13" spans="1:53" ht="99.95" customHeight="1" x14ac:dyDescent="0.25">
      <c r="A13" s="65">
        <v>1</v>
      </c>
      <c r="B13" s="195" t="s">
        <v>315</v>
      </c>
      <c r="C13" s="205">
        <v>22</v>
      </c>
      <c r="D13" s="195" t="s">
        <v>1002</v>
      </c>
      <c r="E13" s="205">
        <v>2201</v>
      </c>
      <c r="F13" s="195" t="s">
        <v>1003</v>
      </c>
      <c r="G13" s="294">
        <v>2201071</v>
      </c>
      <c r="H13" s="195" t="s">
        <v>1012</v>
      </c>
      <c r="I13" s="294">
        <v>2201071</v>
      </c>
      <c r="J13" s="195" t="s">
        <v>1012</v>
      </c>
      <c r="K13" s="294">
        <v>220107100</v>
      </c>
      <c r="L13" s="195" t="s">
        <v>1013</v>
      </c>
      <c r="M13" s="295">
        <v>220107100</v>
      </c>
      <c r="N13" s="195" t="s">
        <v>1013</v>
      </c>
      <c r="O13" s="288">
        <v>54</v>
      </c>
      <c r="P13" s="288"/>
      <c r="Q13" s="288">
        <v>54</v>
      </c>
      <c r="R13" s="289">
        <v>2020003630016</v>
      </c>
      <c r="S13" s="195" t="s">
        <v>1006</v>
      </c>
      <c r="T13" s="290">
        <f t="shared" ref="T13:T76" si="1">SUM($X$12:$X$103)/SUM($X$11:$X$103)</f>
        <v>0.99953459106358844</v>
      </c>
      <c r="U13" s="195" t="s">
        <v>1007</v>
      </c>
      <c r="V13" s="227" t="s">
        <v>1014</v>
      </c>
      <c r="W13" s="227" t="s">
        <v>1015</v>
      </c>
      <c r="X13" s="291">
        <v>2614972918.75</v>
      </c>
      <c r="Y13" s="740">
        <v>2602820888</v>
      </c>
      <c r="Z13" s="227"/>
      <c r="AA13" s="227"/>
      <c r="AB13" s="291">
        <f t="shared" si="0"/>
        <v>12152030.75</v>
      </c>
      <c r="AC13" s="227" t="s">
        <v>1018</v>
      </c>
      <c r="AD13" s="227"/>
      <c r="AE13" s="288">
        <v>20</v>
      </c>
      <c r="AF13" s="195" t="s">
        <v>97</v>
      </c>
      <c r="AG13" s="292">
        <v>19649</v>
      </c>
      <c r="AH13" s="292">
        <v>20118</v>
      </c>
      <c r="AI13" s="292">
        <v>28907</v>
      </c>
      <c r="AJ13" s="292">
        <v>9525</v>
      </c>
      <c r="AK13" s="292">
        <v>1222</v>
      </c>
      <c r="AL13" s="292">
        <v>113</v>
      </c>
      <c r="AM13" s="292">
        <v>297</v>
      </c>
      <c r="AN13" s="292">
        <v>345</v>
      </c>
      <c r="AO13" s="292">
        <v>0</v>
      </c>
      <c r="AP13" s="292">
        <v>0</v>
      </c>
      <c r="AQ13" s="292">
        <v>0</v>
      </c>
      <c r="AR13" s="292">
        <v>0</v>
      </c>
      <c r="AS13" s="292">
        <v>3301</v>
      </c>
      <c r="AT13" s="292">
        <v>113</v>
      </c>
      <c r="AU13" s="292">
        <v>2507</v>
      </c>
      <c r="AV13" s="292">
        <v>39767</v>
      </c>
      <c r="AW13" s="293">
        <v>45292</v>
      </c>
      <c r="AX13" s="293">
        <v>45657</v>
      </c>
      <c r="AY13" s="195" t="s">
        <v>1011</v>
      </c>
    </row>
    <row r="14" spans="1:53" ht="99.95" customHeight="1" x14ac:dyDescent="0.2">
      <c r="A14" s="65">
        <v>1</v>
      </c>
      <c r="B14" s="195" t="s">
        <v>315</v>
      </c>
      <c r="C14" s="205">
        <v>22</v>
      </c>
      <c r="D14" s="195" t="s">
        <v>1002</v>
      </c>
      <c r="E14" s="205">
        <v>2201</v>
      </c>
      <c r="F14" s="195" t="s">
        <v>1003</v>
      </c>
      <c r="G14" s="294">
        <v>2201071</v>
      </c>
      <c r="H14" s="195" t="s">
        <v>1012</v>
      </c>
      <c r="I14" s="294">
        <v>2201071</v>
      </c>
      <c r="J14" s="195" t="s">
        <v>1012</v>
      </c>
      <c r="K14" s="294">
        <v>220107100</v>
      </c>
      <c r="L14" s="195" t="s">
        <v>1013</v>
      </c>
      <c r="M14" s="295">
        <v>220107100</v>
      </c>
      <c r="N14" s="195" t="s">
        <v>1013</v>
      </c>
      <c r="O14" s="288">
        <v>54</v>
      </c>
      <c r="P14" s="288"/>
      <c r="Q14" s="288">
        <v>54</v>
      </c>
      <c r="R14" s="289">
        <v>2020003630016</v>
      </c>
      <c r="S14" s="195" t="s">
        <v>1006</v>
      </c>
      <c r="T14" s="290">
        <f t="shared" si="1"/>
        <v>0.99953459106358844</v>
      </c>
      <c r="U14" s="195" t="s">
        <v>1007</v>
      </c>
      <c r="V14" s="227" t="s">
        <v>1014</v>
      </c>
      <c r="W14" s="227" t="s">
        <v>1019</v>
      </c>
      <c r="X14" s="291">
        <v>2351475168</v>
      </c>
      <c r="Y14" s="750">
        <v>2351475168</v>
      </c>
      <c r="Z14" s="227"/>
      <c r="AA14" s="227"/>
      <c r="AB14" s="291">
        <f t="shared" si="0"/>
        <v>0</v>
      </c>
      <c r="AC14" s="227" t="s">
        <v>1020</v>
      </c>
      <c r="AD14" s="227"/>
      <c r="AE14" s="288">
        <v>25</v>
      </c>
      <c r="AF14" s="195" t="s">
        <v>1021</v>
      </c>
      <c r="AG14" s="292">
        <v>19649</v>
      </c>
      <c r="AH14" s="292">
        <v>20118</v>
      </c>
      <c r="AI14" s="292">
        <v>28907</v>
      </c>
      <c r="AJ14" s="292">
        <v>9525</v>
      </c>
      <c r="AK14" s="292">
        <v>1222</v>
      </c>
      <c r="AL14" s="292">
        <v>113</v>
      </c>
      <c r="AM14" s="292">
        <v>297</v>
      </c>
      <c r="AN14" s="292">
        <v>345</v>
      </c>
      <c r="AO14" s="292">
        <v>0</v>
      </c>
      <c r="AP14" s="292">
        <v>0</v>
      </c>
      <c r="AQ14" s="292">
        <v>0</v>
      </c>
      <c r="AR14" s="292">
        <v>0</v>
      </c>
      <c r="AS14" s="292">
        <v>3301</v>
      </c>
      <c r="AT14" s="292">
        <v>113</v>
      </c>
      <c r="AU14" s="292">
        <v>2507</v>
      </c>
      <c r="AV14" s="292">
        <v>39767</v>
      </c>
      <c r="AW14" s="293">
        <v>45292</v>
      </c>
      <c r="AX14" s="293">
        <v>45657</v>
      </c>
      <c r="AY14" s="195" t="s">
        <v>1011</v>
      </c>
    </row>
    <row r="15" spans="1:53" ht="99.95" customHeight="1" x14ac:dyDescent="0.2">
      <c r="A15" s="65">
        <v>1</v>
      </c>
      <c r="B15" s="195" t="s">
        <v>315</v>
      </c>
      <c r="C15" s="205">
        <v>22</v>
      </c>
      <c r="D15" s="195" t="s">
        <v>1002</v>
      </c>
      <c r="E15" s="205">
        <v>2201</v>
      </c>
      <c r="F15" s="195" t="s">
        <v>1003</v>
      </c>
      <c r="G15" s="294">
        <v>2201071</v>
      </c>
      <c r="H15" s="195" t="s">
        <v>1012</v>
      </c>
      <c r="I15" s="294">
        <v>2201071</v>
      </c>
      <c r="J15" s="195" t="s">
        <v>1012</v>
      </c>
      <c r="K15" s="294">
        <v>220107100</v>
      </c>
      <c r="L15" s="195" t="s">
        <v>1013</v>
      </c>
      <c r="M15" s="295">
        <v>220107100</v>
      </c>
      <c r="N15" s="195" t="s">
        <v>1013</v>
      </c>
      <c r="O15" s="288">
        <v>54</v>
      </c>
      <c r="P15" s="288"/>
      <c r="Q15" s="288">
        <v>54</v>
      </c>
      <c r="R15" s="289">
        <v>2020003630016</v>
      </c>
      <c r="S15" s="195" t="s">
        <v>1006</v>
      </c>
      <c r="T15" s="290">
        <f t="shared" si="1"/>
        <v>0.99953459106358844</v>
      </c>
      <c r="U15" s="195" t="s">
        <v>1007</v>
      </c>
      <c r="V15" s="227" t="s">
        <v>1014</v>
      </c>
      <c r="W15" s="227" t="s">
        <v>1022</v>
      </c>
      <c r="X15" s="749">
        <v>11211606358.736</v>
      </c>
      <c r="Y15" s="751">
        <v>11211606358.736</v>
      </c>
      <c r="Z15" s="227"/>
      <c r="AA15" s="227"/>
      <c r="AB15" s="291">
        <f t="shared" si="0"/>
        <v>0</v>
      </c>
      <c r="AC15" s="227" t="s">
        <v>1023</v>
      </c>
      <c r="AD15" s="227"/>
      <c r="AE15" s="288">
        <v>25</v>
      </c>
      <c r="AF15" s="195" t="s">
        <v>1021</v>
      </c>
      <c r="AG15" s="292">
        <v>19649</v>
      </c>
      <c r="AH15" s="292">
        <v>20118</v>
      </c>
      <c r="AI15" s="292">
        <v>28907</v>
      </c>
      <c r="AJ15" s="292">
        <v>9525</v>
      </c>
      <c r="AK15" s="292">
        <v>1222</v>
      </c>
      <c r="AL15" s="292">
        <v>113</v>
      </c>
      <c r="AM15" s="292">
        <v>297</v>
      </c>
      <c r="AN15" s="292">
        <v>345</v>
      </c>
      <c r="AO15" s="292">
        <v>0</v>
      </c>
      <c r="AP15" s="292">
        <v>0</v>
      </c>
      <c r="AQ15" s="292">
        <v>0</v>
      </c>
      <c r="AR15" s="292">
        <v>0</v>
      </c>
      <c r="AS15" s="292">
        <v>3301</v>
      </c>
      <c r="AT15" s="292">
        <v>113</v>
      </c>
      <c r="AU15" s="292">
        <v>2507</v>
      </c>
      <c r="AV15" s="292">
        <v>39767</v>
      </c>
      <c r="AW15" s="293">
        <v>45292</v>
      </c>
      <c r="AX15" s="293">
        <v>45657</v>
      </c>
      <c r="AY15" s="195" t="s">
        <v>1011</v>
      </c>
    </row>
    <row r="16" spans="1:53" ht="99.95" customHeight="1" x14ac:dyDescent="0.2">
      <c r="A16" s="65">
        <v>1</v>
      </c>
      <c r="B16" s="195" t="s">
        <v>315</v>
      </c>
      <c r="C16" s="205">
        <v>22</v>
      </c>
      <c r="D16" s="195" t="s">
        <v>1002</v>
      </c>
      <c r="E16" s="205">
        <v>2201</v>
      </c>
      <c r="F16" s="195" t="s">
        <v>1003</v>
      </c>
      <c r="G16" s="294">
        <v>2201071</v>
      </c>
      <c r="H16" s="195" t="s">
        <v>1012</v>
      </c>
      <c r="I16" s="294">
        <v>2201071</v>
      </c>
      <c r="J16" s="195" t="s">
        <v>1012</v>
      </c>
      <c r="K16" s="294">
        <v>220107100</v>
      </c>
      <c r="L16" s="195" t="s">
        <v>1013</v>
      </c>
      <c r="M16" s="295">
        <v>220107100</v>
      </c>
      <c r="N16" s="195" t="s">
        <v>1013</v>
      </c>
      <c r="O16" s="288">
        <v>54</v>
      </c>
      <c r="P16" s="288"/>
      <c r="Q16" s="288">
        <v>54</v>
      </c>
      <c r="R16" s="289">
        <v>2020003630016</v>
      </c>
      <c r="S16" s="195" t="s">
        <v>1006</v>
      </c>
      <c r="T16" s="290">
        <f t="shared" si="1"/>
        <v>0.99953459106358844</v>
      </c>
      <c r="U16" s="195" t="s">
        <v>1007</v>
      </c>
      <c r="V16" s="227" t="s">
        <v>1014</v>
      </c>
      <c r="W16" s="227" t="s">
        <v>1022</v>
      </c>
      <c r="X16" s="291">
        <v>95681019630.270004</v>
      </c>
      <c r="Y16" s="717">
        <f>95681019630.27</f>
        <v>95681019630.270004</v>
      </c>
      <c r="Z16" s="227"/>
      <c r="AA16" s="227"/>
      <c r="AB16" s="291">
        <f t="shared" si="0"/>
        <v>0</v>
      </c>
      <c r="AC16" s="227" t="s">
        <v>1024</v>
      </c>
      <c r="AD16" s="227"/>
      <c r="AE16" s="288">
        <v>25</v>
      </c>
      <c r="AF16" s="195" t="s">
        <v>1021</v>
      </c>
      <c r="AG16" s="292">
        <v>19649</v>
      </c>
      <c r="AH16" s="292">
        <v>20118</v>
      </c>
      <c r="AI16" s="292">
        <v>28907</v>
      </c>
      <c r="AJ16" s="292">
        <v>9525</v>
      </c>
      <c r="AK16" s="292">
        <v>1222</v>
      </c>
      <c r="AL16" s="292">
        <v>113</v>
      </c>
      <c r="AM16" s="292">
        <v>297</v>
      </c>
      <c r="AN16" s="292">
        <v>345</v>
      </c>
      <c r="AO16" s="292">
        <v>0</v>
      </c>
      <c r="AP16" s="292">
        <v>0</v>
      </c>
      <c r="AQ16" s="292">
        <v>0</v>
      </c>
      <c r="AR16" s="292">
        <v>0</v>
      </c>
      <c r="AS16" s="292">
        <v>3301</v>
      </c>
      <c r="AT16" s="292">
        <v>113</v>
      </c>
      <c r="AU16" s="292">
        <v>2507</v>
      </c>
      <c r="AV16" s="292">
        <v>39767</v>
      </c>
      <c r="AW16" s="293">
        <v>45292</v>
      </c>
      <c r="AX16" s="293">
        <v>45657</v>
      </c>
      <c r="AY16" s="195" t="s">
        <v>1011</v>
      </c>
    </row>
    <row r="17" spans="1:51" ht="99.95" customHeight="1" x14ac:dyDescent="0.2">
      <c r="A17" s="65">
        <v>1</v>
      </c>
      <c r="B17" s="195" t="s">
        <v>315</v>
      </c>
      <c r="C17" s="205">
        <v>22</v>
      </c>
      <c r="D17" s="195" t="s">
        <v>1002</v>
      </c>
      <c r="E17" s="205">
        <v>2201</v>
      </c>
      <c r="F17" s="195" t="s">
        <v>1003</v>
      </c>
      <c r="G17" s="294">
        <v>2201071</v>
      </c>
      <c r="H17" s="195" t="s">
        <v>1012</v>
      </c>
      <c r="I17" s="294">
        <v>2201071</v>
      </c>
      <c r="J17" s="195" t="s">
        <v>1012</v>
      </c>
      <c r="K17" s="294">
        <v>220107100</v>
      </c>
      <c r="L17" s="195" t="s">
        <v>1013</v>
      </c>
      <c r="M17" s="295">
        <v>220107100</v>
      </c>
      <c r="N17" s="195" t="s">
        <v>1013</v>
      </c>
      <c r="O17" s="288">
        <v>54</v>
      </c>
      <c r="P17" s="288"/>
      <c r="Q17" s="288">
        <v>54</v>
      </c>
      <c r="R17" s="289">
        <v>2020003630016</v>
      </c>
      <c r="S17" s="195" t="s">
        <v>1006</v>
      </c>
      <c r="T17" s="290">
        <f t="shared" si="1"/>
        <v>0.99953459106358844</v>
      </c>
      <c r="U17" s="195" t="s">
        <v>1007</v>
      </c>
      <c r="V17" s="227" t="s">
        <v>1014</v>
      </c>
      <c r="W17" s="227" t="s">
        <v>1025</v>
      </c>
      <c r="X17" s="291">
        <v>10692464608</v>
      </c>
      <c r="Y17" s="717">
        <f>10692464608</f>
        <v>10692464608</v>
      </c>
      <c r="Z17" s="227"/>
      <c r="AA17" s="227"/>
      <c r="AB17" s="291">
        <f t="shared" si="0"/>
        <v>0</v>
      </c>
      <c r="AC17" s="227" t="s">
        <v>1026</v>
      </c>
      <c r="AD17" s="227"/>
      <c r="AE17" s="288">
        <v>25</v>
      </c>
      <c r="AF17" s="195" t="s">
        <v>1021</v>
      </c>
      <c r="AG17" s="292">
        <v>19649</v>
      </c>
      <c r="AH17" s="292">
        <v>20118</v>
      </c>
      <c r="AI17" s="292">
        <v>28907</v>
      </c>
      <c r="AJ17" s="292">
        <v>9525</v>
      </c>
      <c r="AK17" s="292">
        <v>1222</v>
      </c>
      <c r="AL17" s="292">
        <v>113</v>
      </c>
      <c r="AM17" s="292">
        <v>297</v>
      </c>
      <c r="AN17" s="292">
        <v>345</v>
      </c>
      <c r="AO17" s="292">
        <v>0</v>
      </c>
      <c r="AP17" s="292">
        <v>0</v>
      </c>
      <c r="AQ17" s="292">
        <v>0</v>
      </c>
      <c r="AR17" s="292">
        <v>0</v>
      </c>
      <c r="AS17" s="292">
        <v>3301</v>
      </c>
      <c r="AT17" s="292">
        <v>113</v>
      </c>
      <c r="AU17" s="292">
        <v>2507</v>
      </c>
      <c r="AV17" s="292">
        <v>39767</v>
      </c>
      <c r="AW17" s="293">
        <v>45292</v>
      </c>
      <c r="AX17" s="293">
        <v>45657</v>
      </c>
      <c r="AY17" s="195" t="s">
        <v>1011</v>
      </c>
    </row>
    <row r="18" spans="1:51" ht="99.95" customHeight="1" x14ac:dyDescent="0.2">
      <c r="A18" s="65">
        <v>1</v>
      </c>
      <c r="B18" s="195" t="s">
        <v>315</v>
      </c>
      <c r="C18" s="205">
        <v>22</v>
      </c>
      <c r="D18" s="195" t="s">
        <v>1002</v>
      </c>
      <c r="E18" s="205">
        <v>2201</v>
      </c>
      <c r="F18" s="195" t="s">
        <v>1003</v>
      </c>
      <c r="G18" s="294">
        <v>2201071</v>
      </c>
      <c r="H18" s="195" t="s">
        <v>1012</v>
      </c>
      <c r="I18" s="294">
        <v>2201071</v>
      </c>
      <c r="J18" s="195" t="s">
        <v>1012</v>
      </c>
      <c r="K18" s="294">
        <v>220107100</v>
      </c>
      <c r="L18" s="195" t="s">
        <v>1013</v>
      </c>
      <c r="M18" s="295">
        <v>220107100</v>
      </c>
      <c r="N18" s="195" t="s">
        <v>1013</v>
      </c>
      <c r="O18" s="288">
        <v>54</v>
      </c>
      <c r="P18" s="288"/>
      <c r="Q18" s="288">
        <v>54</v>
      </c>
      <c r="R18" s="289">
        <v>2020003630016</v>
      </c>
      <c r="S18" s="195" t="s">
        <v>1006</v>
      </c>
      <c r="T18" s="290">
        <f t="shared" si="1"/>
        <v>0.99953459106358844</v>
      </c>
      <c r="U18" s="195" t="s">
        <v>1007</v>
      </c>
      <c r="V18" s="227" t="s">
        <v>1014</v>
      </c>
      <c r="W18" s="227" t="s">
        <v>1022</v>
      </c>
      <c r="X18" s="291">
        <v>8767360000</v>
      </c>
      <c r="Y18" s="717">
        <f>8767360</f>
        <v>8767360</v>
      </c>
      <c r="Z18" s="227"/>
      <c r="AA18" s="227"/>
      <c r="AB18" s="291">
        <f t="shared" si="0"/>
        <v>8758592640</v>
      </c>
      <c r="AC18" s="227" t="s">
        <v>1027</v>
      </c>
      <c r="AD18" s="227"/>
      <c r="AE18" s="288">
        <v>26</v>
      </c>
      <c r="AF18" s="195" t="s">
        <v>1028</v>
      </c>
      <c r="AG18" s="292">
        <v>19649</v>
      </c>
      <c r="AH18" s="292">
        <v>20118</v>
      </c>
      <c r="AI18" s="292">
        <v>28907</v>
      </c>
      <c r="AJ18" s="292">
        <v>9525</v>
      </c>
      <c r="AK18" s="292">
        <v>1222</v>
      </c>
      <c r="AL18" s="292">
        <v>113</v>
      </c>
      <c r="AM18" s="292">
        <v>297</v>
      </c>
      <c r="AN18" s="292">
        <v>345</v>
      </c>
      <c r="AO18" s="292">
        <v>0</v>
      </c>
      <c r="AP18" s="292">
        <v>0</v>
      </c>
      <c r="AQ18" s="292">
        <v>0</v>
      </c>
      <c r="AR18" s="292">
        <v>0</v>
      </c>
      <c r="AS18" s="292">
        <v>3301</v>
      </c>
      <c r="AT18" s="292">
        <v>113</v>
      </c>
      <c r="AU18" s="292">
        <v>2507</v>
      </c>
      <c r="AV18" s="292">
        <v>39767</v>
      </c>
      <c r="AW18" s="293">
        <v>45292</v>
      </c>
      <c r="AX18" s="293">
        <v>45657</v>
      </c>
      <c r="AY18" s="195" t="s">
        <v>1011</v>
      </c>
    </row>
    <row r="19" spans="1:51" ht="99.95" customHeight="1" x14ac:dyDescent="0.2">
      <c r="A19" s="65">
        <v>1</v>
      </c>
      <c r="B19" s="195" t="s">
        <v>315</v>
      </c>
      <c r="C19" s="205">
        <v>22</v>
      </c>
      <c r="D19" s="195" t="s">
        <v>1002</v>
      </c>
      <c r="E19" s="205">
        <v>2201</v>
      </c>
      <c r="F19" s="195" t="s">
        <v>1003</v>
      </c>
      <c r="G19" s="294">
        <v>2201071</v>
      </c>
      <c r="H19" s="195" t="s">
        <v>1012</v>
      </c>
      <c r="I19" s="294">
        <v>2201071</v>
      </c>
      <c r="J19" s="195" t="s">
        <v>1012</v>
      </c>
      <c r="K19" s="294">
        <v>220107100</v>
      </c>
      <c r="L19" s="195" t="s">
        <v>1013</v>
      </c>
      <c r="M19" s="295">
        <v>220107100</v>
      </c>
      <c r="N19" s="195" t="s">
        <v>1013</v>
      </c>
      <c r="O19" s="288">
        <v>54</v>
      </c>
      <c r="P19" s="288"/>
      <c r="Q19" s="288">
        <v>54</v>
      </c>
      <c r="R19" s="289">
        <v>2020003630016</v>
      </c>
      <c r="S19" s="195" t="s">
        <v>1006</v>
      </c>
      <c r="T19" s="290">
        <f t="shared" si="1"/>
        <v>0.99953459106358844</v>
      </c>
      <c r="U19" s="195" t="s">
        <v>1007</v>
      </c>
      <c r="V19" s="227" t="s">
        <v>1014</v>
      </c>
      <c r="W19" s="227" t="s">
        <v>1022</v>
      </c>
      <c r="X19" s="291">
        <v>1384320000</v>
      </c>
      <c r="Y19" s="717">
        <f>1384320000</f>
        <v>1384320000</v>
      </c>
      <c r="Z19" s="227"/>
      <c r="AA19" s="227"/>
      <c r="AB19" s="291">
        <f t="shared" si="0"/>
        <v>0</v>
      </c>
      <c r="AC19" s="227" t="s">
        <v>1029</v>
      </c>
      <c r="AD19" s="227"/>
      <c r="AE19" s="288">
        <v>26</v>
      </c>
      <c r="AF19" s="195" t="s">
        <v>1028</v>
      </c>
      <c r="AG19" s="292">
        <v>19649</v>
      </c>
      <c r="AH19" s="292">
        <v>20118</v>
      </c>
      <c r="AI19" s="292">
        <v>28907</v>
      </c>
      <c r="AJ19" s="292">
        <v>9525</v>
      </c>
      <c r="AK19" s="292">
        <v>1222</v>
      </c>
      <c r="AL19" s="292">
        <v>113</v>
      </c>
      <c r="AM19" s="292">
        <v>297</v>
      </c>
      <c r="AN19" s="292">
        <v>345</v>
      </c>
      <c r="AO19" s="292">
        <v>0</v>
      </c>
      <c r="AP19" s="292">
        <v>0</v>
      </c>
      <c r="AQ19" s="292">
        <v>0</v>
      </c>
      <c r="AR19" s="292">
        <v>0</v>
      </c>
      <c r="AS19" s="292">
        <v>3301</v>
      </c>
      <c r="AT19" s="292">
        <v>113</v>
      </c>
      <c r="AU19" s="292">
        <v>2507</v>
      </c>
      <c r="AV19" s="292">
        <v>39767</v>
      </c>
      <c r="AW19" s="293">
        <v>45292</v>
      </c>
      <c r="AX19" s="293">
        <v>45657</v>
      </c>
      <c r="AY19" s="195" t="s">
        <v>1011</v>
      </c>
    </row>
    <row r="20" spans="1:51" ht="99.95" customHeight="1" x14ac:dyDescent="0.2">
      <c r="A20" s="65">
        <v>1</v>
      </c>
      <c r="B20" s="195" t="s">
        <v>315</v>
      </c>
      <c r="C20" s="205">
        <v>22</v>
      </c>
      <c r="D20" s="195" t="s">
        <v>1002</v>
      </c>
      <c r="E20" s="205">
        <v>2201</v>
      </c>
      <c r="F20" s="195" t="s">
        <v>1003</v>
      </c>
      <c r="G20" s="294">
        <v>2201071</v>
      </c>
      <c r="H20" s="195" t="s">
        <v>1012</v>
      </c>
      <c r="I20" s="294">
        <v>2201071</v>
      </c>
      <c r="J20" s="195" t="s">
        <v>1012</v>
      </c>
      <c r="K20" s="294">
        <v>220107100</v>
      </c>
      <c r="L20" s="195" t="s">
        <v>1013</v>
      </c>
      <c r="M20" s="295">
        <v>220107100</v>
      </c>
      <c r="N20" s="195" t="s">
        <v>1013</v>
      </c>
      <c r="O20" s="288">
        <v>54</v>
      </c>
      <c r="P20" s="288"/>
      <c r="Q20" s="288">
        <v>54</v>
      </c>
      <c r="R20" s="289">
        <v>2020003630016</v>
      </c>
      <c r="S20" s="195" t="s">
        <v>1006</v>
      </c>
      <c r="T20" s="290">
        <f t="shared" si="1"/>
        <v>0.99953459106358844</v>
      </c>
      <c r="U20" s="195" t="s">
        <v>1007</v>
      </c>
      <c r="V20" s="227" t="s">
        <v>1014</v>
      </c>
      <c r="W20" s="227" t="s">
        <v>1022</v>
      </c>
      <c r="X20" s="291">
        <v>460643228.30400002</v>
      </c>
      <c r="Y20" s="717">
        <f>460643228.3</f>
        <v>460643228.30000001</v>
      </c>
      <c r="Z20" s="227"/>
      <c r="AA20" s="227"/>
      <c r="AB20" s="291">
        <f t="shared" si="0"/>
        <v>4.0000081062316895E-3</v>
      </c>
      <c r="AC20" s="227" t="s">
        <v>1030</v>
      </c>
      <c r="AD20" s="227"/>
      <c r="AE20" s="288">
        <v>25</v>
      </c>
      <c r="AF20" s="195" t="s">
        <v>1021</v>
      </c>
      <c r="AG20" s="292">
        <v>19649</v>
      </c>
      <c r="AH20" s="292">
        <v>20118</v>
      </c>
      <c r="AI20" s="292">
        <v>28907</v>
      </c>
      <c r="AJ20" s="292">
        <v>9525</v>
      </c>
      <c r="AK20" s="292">
        <v>1222</v>
      </c>
      <c r="AL20" s="292">
        <v>113</v>
      </c>
      <c r="AM20" s="292">
        <v>297</v>
      </c>
      <c r="AN20" s="292">
        <v>345</v>
      </c>
      <c r="AO20" s="292">
        <v>0</v>
      </c>
      <c r="AP20" s="292">
        <v>0</v>
      </c>
      <c r="AQ20" s="292">
        <v>0</v>
      </c>
      <c r="AR20" s="292">
        <v>0</v>
      </c>
      <c r="AS20" s="292">
        <v>3301</v>
      </c>
      <c r="AT20" s="292">
        <v>113</v>
      </c>
      <c r="AU20" s="292">
        <v>2507</v>
      </c>
      <c r="AV20" s="292">
        <v>39767</v>
      </c>
      <c r="AW20" s="293">
        <v>45292</v>
      </c>
      <c r="AX20" s="293">
        <v>45657</v>
      </c>
      <c r="AY20" s="195" t="s">
        <v>1011</v>
      </c>
    </row>
    <row r="21" spans="1:51" ht="99.95" customHeight="1" x14ac:dyDescent="0.2">
      <c r="A21" s="65">
        <v>1</v>
      </c>
      <c r="B21" s="195" t="s">
        <v>315</v>
      </c>
      <c r="C21" s="205">
        <v>22</v>
      </c>
      <c r="D21" s="195" t="s">
        <v>1002</v>
      </c>
      <c r="E21" s="205">
        <v>2201</v>
      </c>
      <c r="F21" s="195" t="s">
        <v>1003</v>
      </c>
      <c r="G21" s="294">
        <v>2201071</v>
      </c>
      <c r="H21" s="195" t="s">
        <v>1012</v>
      </c>
      <c r="I21" s="294">
        <v>2201071</v>
      </c>
      <c r="J21" s="195" t="s">
        <v>1012</v>
      </c>
      <c r="K21" s="294">
        <v>220107100</v>
      </c>
      <c r="L21" s="195" t="s">
        <v>1013</v>
      </c>
      <c r="M21" s="295">
        <v>220107100</v>
      </c>
      <c r="N21" s="195" t="s">
        <v>1013</v>
      </c>
      <c r="O21" s="288">
        <v>54</v>
      </c>
      <c r="P21" s="288"/>
      <c r="Q21" s="288">
        <v>54</v>
      </c>
      <c r="R21" s="289">
        <v>2020003630016</v>
      </c>
      <c r="S21" s="195" t="s">
        <v>1006</v>
      </c>
      <c r="T21" s="290">
        <f t="shared" si="1"/>
        <v>0.99953459106358844</v>
      </c>
      <c r="U21" s="195" t="s">
        <v>1007</v>
      </c>
      <c r="V21" s="227" t="s">
        <v>1014</v>
      </c>
      <c r="W21" s="227" t="s">
        <v>1022</v>
      </c>
      <c r="X21" s="749">
        <v>1652664557.9807999</v>
      </c>
      <c r="Y21" s="741">
        <f>1652664557.98</f>
        <v>1652664557.98</v>
      </c>
      <c r="Z21" s="227"/>
      <c r="AA21" s="227"/>
      <c r="AB21" s="291">
        <f t="shared" si="0"/>
        <v>7.9989433288574219E-4</v>
      </c>
      <c r="AC21" s="227" t="s">
        <v>1031</v>
      </c>
      <c r="AD21" s="227"/>
      <c r="AE21" s="288">
        <v>25</v>
      </c>
      <c r="AF21" s="195" t="s">
        <v>1021</v>
      </c>
      <c r="AG21" s="292">
        <v>19649</v>
      </c>
      <c r="AH21" s="292">
        <v>20118</v>
      </c>
      <c r="AI21" s="292">
        <v>28907</v>
      </c>
      <c r="AJ21" s="292">
        <v>9525</v>
      </c>
      <c r="AK21" s="292">
        <v>1222</v>
      </c>
      <c r="AL21" s="292">
        <v>113</v>
      </c>
      <c r="AM21" s="292">
        <v>297</v>
      </c>
      <c r="AN21" s="292">
        <v>345</v>
      </c>
      <c r="AO21" s="292">
        <v>0</v>
      </c>
      <c r="AP21" s="292">
        <v>0</v>
      </c>
      <c r="AQ21" s="292">
        <v>0</v>
      </c>
      <c r="AR21" s="292">
        <v>0</v>
      </c>
      <c r="AS21" s="292">
        <v>3301</v>
      </c>
      <c r="AT21" s="292">
        <v>113</v>
      </c>
      <c r="AU21" s="292">
        <v>2507</v>
      </c>
      <c r="AV21" s="292">
        <v>39767</v>
      </c>
      <c r="AW21" s="293">
        <v>45292</v>
      </c>
      <c r="AX21" s="293">
        <v>45657</v>
      </c>
      <c r="AY21" s="195" t="s">
        <v>1011</v>
      </c>
    </row>
    <row r="22" spans="1:51" ht="99.95" customHeight="1" x14ac:dyDescent="0.2">
      <c r="A22" s="65">
        <v>1</v>
      </c>
      <c r="B22" s="195" t="s">
        <v>315</v>
      </c>
      <c r="C22" s="205">
        <v>22</v>
      </c>
      <c r="D22" s="195" t="s">
        <v>1002</v>
      </c>
      <c r="E22" s="205">
        <v>2201</v>
      </c>
      <c r="F22" s="195" t="s">
        <v>1003</v>
      </c>
      <c r="G22" s="294">
        <v>2201071</v>
      </c>
      <c r="H22" s="195" t="s">
        <v>1012</v>
      </c>
      <c r="I22" s="294">
        <v>2201071</v>
      </c>
      <c r="J22" s="195" t="s">
        <v>1012</v>
      </c>
      <c r="K22" s="294">
        <v>220107100</v>
      </c>
      <c r="L22" s="195" t="s">
        <v>1013</v>
      </c>
      <c r="M22" s="295">
        <v>220107100</v>
      </c>
      <c r="N22" s="195" t="s">
        <v>1013</v>
      </c>
      <c r="O22" s="288">
        <v>54</v>
      </c>
      <c r="P22" s="288"/>
      <c r="Q22" s="288">
        <v>54</v>
      </c>
      <c r="R22" s="289">
        <v>2020003630016</v>
      </c>
      <c r="S22" s="195" t="s">
        <v>1006</v>
      </c>
      <c r="T22" s="290">
        <f t="shared" si="1"/>
        <v>0.99953459106358844</v>
      </c>
      <c r="U22" s="195" t="s">
        <v>1007</v>
      </c>
      <c r="V22" s="227" t="s">
        <v>1014</v>
      </c>
      <c r="W22" s="227" t="s">
        <v>1025</v>
      </c>
      <c r="X22" s="291">
        <v>200000000</v>
      </c>
      <c r="Y22" s="717">
        <f>200000000</f>
        <v>200000000</v>
      </c>
      <c r="Z22" s="227"/>
      <c r="AA22" s="227"/>
      <c r="AB22" s="291">
        <f t="shared" si="0"/>
        <v>0</v>
      </c>
      <c r="AC22" s="227" t="s">
        <v>1032</v>
      </c>
      <c r="AD22" s="227"/>
      <c r="AE22" s="288">
        <v>25</v>
      </c>
      <c r="AF22" s="195" t="s">
        <v>1021</v>
      </c>
      <c r="AG22" s="292">
        <v>19649</v>
      </c>
      <c r="AH22" s="292">
        <v>20118</v>
      </c>
      <c r="AI22" s="292">
        <v>28907</v>
      </c>
      <c r="AJ22" s="292">
        <v>9525</v>
      </c>
      <c r="AK22" s="292">
        <v>1222</v>
      </c>
      <c r="AL22" s="292">
        <v>113</v>
      </c>
      <c r="AM22" s="292">
        <v>297</v>
      </c>
      <c r="AN22" s="292">
        <v>345</v>
      </c>
      <c r="AO22" s="292">
        <v>0</v>
      </c>
      <c r="AP22" s="292">
        <v>0</v>
      </c>
      <c r="AQ22" s="292">
        <v>0</v>
      </c>
      <c r="AR22" s="292">
        <v>0</v>
      </c>
      <c r="AS22" s="292">
        <v>3301</v>
      </c>
      <c r="AT22" s="292">
        <v>113</v>
      </c>
      <c r="AU22" s="292">
        <v>2507</v>
      </c>
      <c r="AV22" s="292">
        <v>39767</v>
      </c>
      <c r="AW22" s="293">
        <v>45292</v>
      </c>
      <c r="AX22" s="293">
        <v>45657</v>
      </c>
      <c r="AY22" s="195" t="s">
        <v>1011</v>
      </c>
    </row>
    <row r="23" spans="1:51" ht="99.95" customHeight="1" x14ac:dyDescent="0.2">
      <c r="A23" s="65">
        <v>1</v>
      </c>
      <c r="B23" s="195" t="s">
        <v>315</v>
      </c>
      <c r="C23" s="205">
        <v>22</v>
      </c>
      <c r="D23" s="195" t="s">
        <v>1002</v>
      </c>
      <c r="E23" s="205">
        <v>2201</v>
      </c>
      <c r="F23" s="195" t="s">
        <v>1003</v>
      </c>
      <c r="G23" s="294">
        <v>2201071</v>
      </c>
      <c r="H23" s="195" t="s">
        <v>1012</v>
      </c>
      <c r="I23" s="294">
        <v>2201071</v>
      </c>
      <c r="J23" s="195" t="s">
        <v>1012</v>
      </c>
      <c r="K23" s="294">
        <v>220107100</v>
      </c>
      <c r="L23" s="195" t="s">
        <v>1013</v>
      </c>
      <c r="M23" s="295">
        <v>220107100</v>
      </c>
      <c r="N23" s="195" t="s">
        <v>1013</v>
      </c>
      <c r="O23" s="288">
        <v>54</v>
      </c>
      <c r="P23" s="288"/>
      <c r="Q23" s="288">
        <v>54</v>
      </c>
      <c r="R23" s="289">
        <v>2020003630016</v>
      </c>
      <c r="S23" s="195" t="s">
        <v>1006</v>
      </c>
      <c r="T23" s="290">
        <f t="shared" si="1"/>
        <v>0.99953459106358844</v>
      </c>
      <c r="U23" s="195" t="s">
        <v>1007</v>
      </c>
      <c r="V23" s="227" t="s">
        <v>1014</v>
      </c>
      <c r="W23" s="227" t="s">
        <v>1022</v>
      </c>
      <c r="X23" s="291">
        <v>36168180.048</v>
      </c>
      <c r="Y23" s="717">
        <f>36168180.05</f>
        <v>36168180.049999997</v>
      </c>
      <c r="Z23" s="227"/>
      <c r="AA23" s="227"/>
      <c r="AB23" s="291">
        <f t="shared" si="0"/>
        <v>-1.9999966025352478E-3</v>
      </c>
      <c r="AC23" s="227" t="s">
        <v>1033</v>
      </c>
      <c r="AD23" s="227"/>
      <c r="AE23" s="288">
        <v>25</v>
      </c>
      <c r="AF23" s="195" t="s">
        <v>1021</v>
      </c>
      <c r="AG23" s="292">
        <v>19649</v>
      </c>
      <c r="AH23" s="292">
        <v>20118</v>
      </c>
      <c r="AI23" s="292">
        <v>28907</v>
      </c>
      <c r="AJ23" s="292">
        <v>9525</v>
      </c>
      <c r="AK23" s="292">
        <v>1222</v>
      </c>
      <c r="AL23" s="292">
        <v>113</v>
      </c>
      <c r="AM23" s="292">
        <v>297</v>
      </c>
      <c r="AN23" s="292">
        <v>345</v>
      </c>
      <c r="AO23" s="292">
        <v>0</v>
      </c>
      <c r="AP23" s="292">
        <v>0</v>
      </c>
      <c r="AQ23" s="292">
        <v>0</v>
      </c>
      <c r="AR23" s="292">
        <v>0</v>
      </c>
      <c r="AS23" s="292">
        <v>3301</v>
      </c>
      <c r="AT23" s="292">
        <v>113</v>
      </c>
      <c r="AU23" s="292">
        <v>2507</v>
      </c>
      <c r="AV23" s="292">
        <v>39767</v>
      </c>
      <c r="AW23" s="293">
        <v>45292</v>
      </c>
      <c r="AX23" s="293">
        <v>45657</v>
      </c>
      <c r="AY23" s="195" t="s">
        <v>1011</v>
      </c>
    </row>
    <row r="24" spans="1:51" ht="99.95" customHeight="1" x14ac:dyDescent="0.2">
      <c r="A24" s="65">
        <v>1</v>
      </c>
      <c r="B24" s="195" t="s">
        <v>315</v>
      </c>
      <c r="C24" s="205">
        <v>22</v>
      </c>
      <c r="D24" s="195" t="s">
        <v>1002</v>
      </c>
      <c r="E24" s="205">
        <v>2201</v>
      </c>
      <c r="F24" s="195" t="s">
        <v>1003</v>
      </c>
      <c r="G24" s="294">
        <v>2201071</v>
      </c>
      <c r="H24" s="195" t="s">
        <v>1012</v>
      </c>
      <c r="I24" s="294">
        <v>2201071</v>
      </c>
      <c r="J24" s="195" t="s">
        <v>1012</v>
      </c>
      <c r="K24" s="294">
        <v>220107100</v>
      </c>
      <c r="L24" s="195" t="s">
        <v>1013</v>
      </c>
      <c r="M24" s="295">
        <v>220107100</v>
      </c>
      <c r="N24" s="195" t="s">
        <v>1013</v>
      </c>
      <c r="O24" s="288">
        <v>54</v>
      </c>
      <c r="P24" s="288"/>
      <c r="Q24" s="288">
        <v>54</v>
      </c>
      <c r="R24" s="289">
        <v>2020003630016</v>
      </c>
      <c r="S24" s="195" t="s">
        <v>1006</v>
      </c>
      <c r="T24" s="290">
        <f t="shared" si="1"/>
        <v>0.99953459106358844</v>
      </c>
      <c r="U24" s="195" t="s">
        <v>1007</v>
      </c>
      <c r="V24" s="227" t="s">
        <v>1014</v>
      </c>
      <c r="W24" s="227" t="s">
        <v>1025</v>
      </c>
      <c r="X24" s="291">
        <v>1000000</v>
      </c>
      <c r="Y24" s="717">
        <f>1000000</f>
        <v>1000000</v>
      </c>
      <c r="Z24" s="227"/>
      <c r="AA24" s="227"/>
      <c r="AB24" s="291">
        <f t="shared" si="0"/>
        <v>0</v>
      </c>
      <c r="AC24" s="227" t="s">
        <v>1034</v>
      </c>
      <c r="AD24" s="227"/>
      <c r="AE24" s="288">
        <v>25</v>
      </c>
      <c r="AF24" s="195" t="s">
        <v>1021</v>
      </c>
      <c r="AG24" s="292">
        <v>19649</v>
      </c>
      <c r="AH24" s="292">
        <v>20118</v>
      </c>
      <c r="AI24" s="292">
        <v>28907</v>
      </c>
      <c r="AJ24" s="292">
        <v>9525</v>
      </c>
      <c r="AK24" s="292">
        <v>1222</v>
      </c>
      <c r="AL24" s="292">
        <v>113</v>
      </c>
      <c r="AM24" s="292">
        <v>297</v>
      </c>
      <c r="AN24" s="292">
        <v>345</v>
      </c>
      <c r="AO24" s="292">
        <v>0</v>
      </c>
      <c r="AP24" s="292">
        <v>0</v>
      </c>
      <c r="AQ24" s="292">
        <v>0</v>
      </c>
      <c r="AR24" s="292">
        <v>0</v>
      </c>
      <c r="AS24" s="292">
        <v>3301</v>
      </c>
      <c r="AT24" s="292">
        <v>113</v>
      </c>
      <c r="AU24" s="292">
        <v>2507</v>
      </c>
      <c r="AV24" s="292">
        <v>39767</v>
      </c>
      <c r="AW24" s="293">
        <v>45292</v>
      </c>
      <c r="AX24" s="293">
        <v>45657</v>
      </c>
      <c r="AY24" s="195" t="s">
        <v>1011</v>
      </c>
    </row>
    <row r="25" spans="1:51" ht="99.95" customHeight="1" x14ac:dyDescent="0.2">
      <c r="A25" s="65">
        <v>1</v>
      </c>
      <c r="B25" s="195" t="s">
        <v>315</v>
      </c>
      <c r="C25" s="205">
        <v>22</v>
      </c>
      <c r="D25" s="195" t="s">
        <v>1002</v>
      </c>
      <c r="E25" s="205">
        <v>2201</v>
      </c>
      <c r="F25" s="195" t="s">
        <v>1003</v>
      </c>
      <c r="G25" s="294">
        <v>2201071</v>
      </c>
      <c r="H25" s="195" t="s">
        <v>1012</v>
      </c>
      <c r="I25" s="294">
        <v>2201071</v>
      </c>
      <c r="J25" s="195" t="s">
        <v>1012</v>
      </c>
      <c r="K25" s="294">
        <v>220107100</v>
      </c>
      <c r="L25" s="195" t="s">
        <v>1013</v>
      </c>
      <c r="M25" s="295">
        <v>220107100</v>
      </c>
      <c r="N25" s="195" t="s">
        <v>1013</v>
      </c>
      <c r="O25" s="288">
        <v>54</v>
      </c>
      <c r="P25" s="288"/>
      <c r="Q25" s="288">
        <v>54</v>
      </c>
      <c r="R25" s="289">
        <v>2020003630016</v>
      </c>
      <c r="S25" s="195" t="s">
        <v>1006</v>
      </c>
      <c r="T25" s="290">
        <f t="shared" si="1"/>
        <v>0.99953459106358844</v>
      </c>
      <c r="U25" s="195" t="s">
        <v>1007</v>
      </c>
      <c r="V25" s="227" t="s">
        <v>1014</v>
      </c>
      <c r="W25" s="227" t="s">
        <v>1022</v>
      </c>
      <c r="X25" s="291">
        <v>58881007.785599999</v>
      </c>
      <c r="Y25" s="717">
        <f>58881007.79</f>
        <v>58881007.789999999</v>
      </c>
      <c r="Z25" s="227"/>
      <c r="AA25" s="227"/>
      <c r="AB25" s="291">
        <f t="shared" si="0"/>
        <v>-4.3999999761581421E-3</v>
      </c>
      <c r="AC25" s="227" t="s">
        <v>1035</v>
      </c>
      <c r="AD25" s="227"/>
      <c r="AE25" s="288">
        <v>25</v>
      </c>
      <c r="AF25" s="195" t="s">
        <v>1021</v>
      </c>
      <c r="AG25" s="292">
        <v>19649</v>
      </c>
      <c r="AH25" s="292">
        <v>20118</v>
      </c>
      <c r="AI25" s="292">
        <v>28907</v>
      </c>
      <c r="AJ25" s="292">
        <v>9525</v>
      </c>
      <c r="AK25" s="292">
        <v>1222</v>
      </c>
      <c r="AL25" s="292">
        <v>113</v>
      </c>
      <c r="AM25" s="292">
        <v>297</v>
      </c>
      <c r="AN25" s="292">
        <v>345</v>
      </c>
      <c r="AO25" s="292">
        <v>0</v>
      </c>
      <c r="AP25" s="292">
        <v>0</v>
      </c>
      <c r="AQ25" s="292">
        <v>0</v>
      </c>
      <c r="AR25" s="292">
        <v>0</v>
      </c>
      <c r="AS25" s="292">
        <v>3301</v>
      </c>
      <c r="AT25" s="292">
        <v>113</v>
      </c>
      <c r="AU25" s="292">
        <v>2507</v>
      </c>
      <c r="AV25" s="292">
        <v>39767</v>
      </c>
      <c r="AW25" s="293">
        <v>45292</v>
      </c>
      <c r="AX25" s="293">
        <v>45657</v>
      </c>
      <c r="AY25" s="195" t="s">
        <v>1011</v>
      </c>
    </row>
    <row r="26" spans="1:51" ht="99.95" customHeight="1" x14ac:dyDescent="0.2">
      <c r="A26" s="65">
        <v>1</v>
      </c>
      <c r="B26" s="195" t="s">
        <v>315</v>
      </c>
      <c r="C26" s="205">
        <v>22</v>
      </c>
      <c r="D26" s="195" t="s">
        <v>1002</v>
      </c>
      <c r="E26" s="205">
        <v>2201</v>
      </c>
      <c r="F26" s="195" t="s">
        <v>1003</v>
      </c>
      <c r="G26" s="294">
        <v>2201071</v>
      </c>
      <c r="H26" s="195" t="s">
        <v>1012</v>
      </c>
      <c r="I26" s="294">
        <v>2201071</v>
      </c>
      <c r="J26" s="195" t="s">
        <v>1012</v>
      </c>
      <c r="K26" s="294">
        <v>220107100</v>
      </c>
      <c r="L26" s="195" t="s">
        <v>1013</v>
      </c>
      <c r="M26" s="295">
        <v>220107100</v>
      </c>
      <c r="N26" s="195" t="s">
        <v>1013</v>
      </c>
      <c r="O26" s="288">
        <v>54</v>
      </c>
      <c r="P26" s="288"/>
      <c r="Q26" s="288">
        <v>54</v>
      </c>
      <c r="R26" s="289">
        <v>2020003630016</v>
      </c>
      <c r="S26" s="195" t="s">
        <v>1006</v>
      </c>
      <c r="T26" s="290">
        <f t="shared" si="1"/>
        <v>0.99953459106358844</v>
      </c>
      <c r="U26" s="195" t="s">
        <v>1007</v>
      </c>
      <c r="V26" s="227" t="s">
        <v>1014</v>
      </c>
      <c r="W26" s="227" t="s">
        <v>1019</v>
      </c>
      <c r="X26" s="291">
        <v>95878720</v>
      </c>
      <c r="Y26" s="717">
        <f>95878720</f>
        <v>95878720</v>
      </c>
      <c r="Z26" s="227"/>
      <c r="AA26" s="227"/>
      <c r="AB26" s="291">
        <f t="shared" si="0"/>
        <v>0</v>
      </c>
      <c r="AC26" s="227" t="s">
        <v>1036</v>
      </c>
      <c r="AD26" s="227"/>
      <c r="AE26" s="288">
        <v>25</v>
      </c>
      <c r="AF26" s="195" t="s">
        <v>1021</v>
      </c>
      <c r="AG26" s="292">
        <v>19649</v>
      </c>
      <c r="AH26" s="292">
        <v>20118</v>
      </c>
      <c r="AI26" s="292">
        <v>28907</v>
      </c>
      <c r="AJ26" s="292">
        <v>9525</v>
      </c>
      <c r="AK26" s="292">
        <v>1222</v>
      </c>
      <c r="AL26" s="292">
        <v>113</v>
      </c>
      <c r="AM26" s="292">
        <v>297</v>
      </c>
      <c r="AN26" s="292">
        <v>345</v>
      </c>
      <c r="AO26" s="292">
        <v>0</v>
      </c>
      <c r="AP26" s="292">
        <v>0</v>
      </c>
      <c r="AQ26" s="292">
        <v>0</v>
      </c>
      <c r="AR26" s="292">
        <v>0</v>
      </c>
      <c r="AS26" s="292">
        <v>3301</v>
      </c>
      <c r="AT26" s="292">
        <v>113</v>
      </c>
      <c r="AU26" s="292">
        <v>2507</v>
      </c>
      <c r="AV26" s="292">
        <v>39767</v>
      </c>
      <c r="AW26" s="293">
        <v>45292</v>
      </c>
      <c r="AX26" s="293">
        <v>45657</v>
      </c>
      <c r="AY26" s="195" t="s">
        <v>1011</v>
      </c>
    </row>
    <row r="27" spans="1:51" ht="99.95" customHeight="1" x14ac:dyDescent="0.2">
      <c r="A27" s="65">
        <v>1</v>
      </c>
      <c r="B27" s="195" t="s">
        <v>315</v>
      </c>
      <c r="C27" s="205">
        <v>22</v>
      </c>
      <c r="D27" s="195" t="s">
        <v>1002</v>
      </c>
      <c r="E27" s="205">
        <v>2201</v>
      </c>
      <c r="F27" s="195" t="s">
        <v>1003</v>
      </c>
      <c r="G27" s="294">
        <v>2201071</v>
      </c>
      <c r="H27" s="195" t="s">
        <v>1012</v>
      </c>
      <c r="I27" s="294">
        <v>2201071</v>
      </c>
      <c r="J27" s="195" t="s">
        <v>1012</v>
      </c>
      <c r="K27" s="294">
        <v>220107100</v>
      </c>
      <c r="L27" s="195" t="s">
        <v>1013</v>
      </c>
      <c r="M27" s="295">
        <v>220107100</v>
      </c>
      <c r="N27" s="195" t="s">
        <v>1013</v>
      </c>
      <c r="O27" s="288">
        <v>54</v>
      </c>
      <c r="P27" s="288"/>
      <c r="Q27" s="288">
        <v>54</v>
      </c>
      <c r="R27" s="289">
        <v>2020003630016</v>
      </c>
      <c r="S27" s="195" t="s">
        <v>1006</v>
      </c>
      <c r="T27" s="290">
        <f t="shared" si="1"/>
        <v>0.99953459106358844</v>
      </c>
      <c r="U27" s="195" t="s">
        <v>1007</v>
      </c>
      <c r="V27" s="227" t="s">
        <v>1014</v>
      </c>
      <c r="W27" s="227" t="s">
        <v>1022</v>
      </c>
      <c r="X27" s="749">
        <v>475242929.83999997</v>
      </c>
      <c r="Y27" s="717">
        <f>475242929.84</f>
        <v>475242929.83999997</v>
      </c>
      <c r="Z27" s="227"/>
      <c r="AA27" s="227"/>
      <c r="AB27" s="291">
        <f t="shared" si="0"/>
        <v>0</v>
      </c>
      <c r="AC27" s="227" t="s">
        <v>1037</v>
      </c>
      <c r="AD27" s="227"/>
      <c r="AE27" s="288">
        <v>25</v>
      </c>
      <c r="AF27" s="195" t="s">
        <v>1021</v>
      </c>
      <c r="AG27" s="292">
        <v>19649</v>
      </c>
      <c r="AH27" s="292">
        <v>20118</v>
      </c>
      <c r="AI27" s="292">
        <v>28907</v>
      </c>
      <c r="AJ27" s="292">
        <v>9525</v>
      </c>
      <c r="AK27" s="292">
        <v>1222</v>
      </c>
      <c r="AL27" s="292">
        <v>113</v>
      </c>
      <c r="AM27" s="292">
        <v>297</v>
      </c>
      <c r="AN27" s="292">
        <v>345</v>
      </c>
      <c r="AO27" s="292">
        <v>0</v>
      </c>
      <c r="AP27" s="292">
        <v>0</v>
      </c>
      <c r="AQ27" s="292">
        <v>0</v>
      </c>
      <c r="AR27" s="292">
        <v>0</v>
      </c>
      <c r="AS27" s="292">
        <v>3301</v>
      </c>
      <c r="AT27" s="292">
        <v>113</v>
      </c>
      <c r="AU27" s="292">
        <v>2507</v>
      </c>
      <c r="AV27" s="292">
        <v>39767</v>
      </c>
      <c r="AW27" s="293">
        <v>45292</v>
      </c>
      <c r="AX27" s="293">
        <v>45657</v>
      </c>
      <c r="AY27" s="195" t="s">
        <v>1011</v>
      </c>
    </row>
    <row r="28" spans="1:51" ht="99.95" customHeight="1" x14ac:dyDescent="0.2">
      <c r="A28" s="65">
        <v>1</v>
      </c>
      <c r="B28" s="195" t="s">
        <v>315</v>
      </c>
      <c r="C28" s="205">
        <v>22</v>
      </c>
      <c r="D28" s="195" t="s">
        <v>1002</v>
      </c>
      <c r="E28" s="205">
        <v>2201</v>
      </c>
      <c r="F28" s="195" t="s">
        <v>1003</v>
      </c>
      <c r="G28" s="294">
        <v>2201071</v>
      </c>
      <c r="H28" s="195" t="s">
        <v>1012</v>
      </c>
      <c r="I28" s="294">
        <v>2201071</v>
      </c>
      <c r="J28" s="195" t="s">
        <v>1012</v>
      </c>
      <c r="K28" s="294">
        <v>220107100</v>
      </c>
      <c r="L28" s="195" t="s">
        <v>1013</v>
      </c>
      <c r="M28" s="295">
        <v>220107100</v>
      </c>
      <c r="N28" s="195" t="s">
        <v>1013</v>
      </c>
      <c r="O28" s="288">
        <v>54</v>
      </c>
      <c r="P28" s="288"/>
      <c r="Q28" s="288">
        <v>54</v>
      </c>
      <c r="R28" s="289">
        <v>2020003630016</v>
      </c>
      <c r="S28" s="195" t="s">
        <v>1006</v>
      </c>
      <c r="T28" s="290">
        <f t="shared" si="1"/>
        <v>0.99953459106358844</v>
      </c>
      <c r="U28" s="195" t="s">
        <v>1007</v>
      </c>
      <c r="V28" s="227" t="s">
        <v>1014</v>
      </c>
      <c r="W28" s="227" t="s">
        <v>1022</v>
      </c>
      <c r="X28" s="291">
        <v>4831680000</v>
      </c>
      <c r="Y28" s="717">
        <f>4831680</f>
        <v>4831680</v>
      </c>
      <c r="Z28" s="227"/>
      <c r="AA28" s="227"/>
      <c r="AB28" s="291">
        <f t="shared" si="0"/>
        <v>4826848320</v>
      </c>
      <c r="AC28" s="227" t="s">
        <v>1038</v>
      </c>
      <c r="AD28" s="227"/>
      <c r="AE28" s="288">
        <v>25</v>
      </c>
      <c r="AF28" s="195" t="s">
        <v>1021</v>
      </c>
      <c r="AG28" s="292">
        <v>19649</v>
      </c>
      <c r="AH28" s="292">
        <v>20118</v>
      </c>
      <c r="AI28" s="292">
        <v>28907</v>
      </c>
      <c r="AJ28" s="292">
        <v>9525</v>
      </c>
      <c r="AK28" s="292">
        <v>1222</v>
      </c>
      <c r="AL28" s="292">
        <v>113</v>
      </c>
      <c r="AM28" s="292">
        <v>297</v>
      </c>
      <c r="AN28" s="292">
        <v>345</v>
      </c>
      <c r="AO28" s="292">
        <v>0</v>
      </c>
      <c r="AP28" s="292">
        <v>0</v>
      </c>
      <c r="AQ28" s="292">
        <v>0</v>
      </c>
      <c r="AR28" s="292">
        <v>0</v>
      </c>
      <c r="AS28" s="292">
        <v>3301</v>
      </c>
      <c r="AT28" s="292">
        <v>113</v>
      </c>
      <c r="AU28" s="292">
        <v>2507</v>
      </c>
      <c r="AV28" s="292">
        <v>39767</v>
      </c>
      <c r="AW28" s="293">
        <v>45292</v>
      </c>
      <c r="AX28" s="293">
        <v>45657</v>
      </c>
      <c r="AY28" s="195" t="s">
        <v>1011</v>
      </c>
    </row>
    <row r="29" spans="1:51" ht="99.95" customHeight="1" x14ac:dyDescent="0.2">
      <c r="A29" s="65">
        <v>1</v>
      </c>
      <c r="B29" s="195" t="s">
        <v>315</v>
      </c>
      <c r="C29" s="205">
        <v>22</v>
      </c>
      <c r="D29" s="195" t="s">
        <v>1002</v>
      </c>
      <c r="E29" s="205">
        <v>2201</v>
      </c>
      <c r="F29" s="195" t="s">
        <v>1003</v>
      </c>
      <c r="G29" s="294">
        <v>2201071</v>
      </c>
      <c r="H29" s="195" t="s">
        <v>1012</v>
      </c>
      <c r="I29" s="294">
        <v>2201071</v>
      </c>
      <c r="J29" s="195" t="s">
        <v>1012</v>
      </c>
      <c r="K29" s="294">
        <v>220107100</v>
      </c>
      <c r="L29" s="195" t="s">
        <v>1013</v>
      </c>
      <c r="M29" s="295">
        <v>220107100</v>
      </c>
      <c r="N29" s="195" t="s">
        <v>1013</v>
      </c>
      <c r="O29" s="288">
        <v>54</v>
      </c>
      <c r="P29" s="288"/>
      <c r="Q29" s="288">
        <v>54</v>
      </c>
      <c r="R29" s="289">
        <v>2020003630016</v>
      </c>
      <c r="S29" s="195" t="s">
        <v>1006</v>
      </c>
      <c r="T29" s="290">
        <f t="shared" si="1"/>
        <v>0.99953459106358844</v>
      </c>
      <c r="U29" s="195" t="s">
        <v>1007</v>
      </c>
      <c r="V29" s="227" t="s">
        <v>1014</v>
      </c>
      <c r="W29" s="227" t="s">
        <v>1025</v>
      </c>
      <c r="X29" s="291">
        <v>692160000</v>
      </c>
      <c r="Y29" s="717">
        <f>962160000</f>
        <v>962160000</v>
      </c>
      <c r="Z29" s="227"/>
      <c r="AA29" s="227"/>
      <c r="AB29" s="291">
        <f t="shared" si="0"/>
        <v>-270000000</v>
      </c>
      <c r="AC29" s="227" t="s">
        <v>1039</v>
      </c>
      <c r="AD29" s="227"/>
      <c r="AE29" s="288">
        <v>25</v>
      </c>
      <c r="AF29" s="195" t="s">
        <v>1021</v>
      </c>
      <c r="AG29" s="292">
        <v>19649</v>
      </c>
      <c r="AH29" s="292">
        <v>20118</v>
      </c>
      <c r="AI29" s="292">
        <v>28907</v>
      </c>
      <c r="AJ29" s="292">
        <v>9525</v>
      </c>
      <c r="AK29" s="292">
        <v>1222</v>
      </c>
      <c r="AL29" s="292">
        <v>113</v>
      </c>
      <c r="AM29" s="292">
        <v>297</v>
      </c>
      <c r="AN29" s="292">
        <v>345</v>
      </c>
      <c r="AO29" s="292">
        <v>0</v>
      </c>
      <c r="AP29" s="292">
        <v>0</v>
      </c>
      <c r="AQ29" s="292">
        <v>0</v>
      </c>
      <c r="AR29" s="292">
        <v>0</v>
      </c>
      <c r="AS29" s="292">
        <v>3301</v>
      </c>
      <c r="AT29" s="292">
        <v>113</v>
      </c>
      <c r="AU29" s="292">
        <v>2507</v>
      </c>
      <c r="AV29" s="292">
        <v>39767</v>
      </c>
      <c r="AW29" s="293">
        <v>45292</v>
      </c>
      <c r="AX29" s="293">
        <v>45657</v>
      </c>
      <c r="AY29" s="195" t="s">
        <v>1011</v>
      </c>
    </row>
    <row r="30" spans="1:51" ht="99.95" customHeight="1" x14ac:dyDescent="0.2">
      <c r="A30" s="65">
        <v>1</v>
      </c>
      <c r="B30" s="195" t="s">
        <v>315</v>
      </c>
      <c r="C30" s="205">
        <v>22</v>
      </c>
      <c r="D30" s="195" t="s">
        <v>1002</v>
      </c>
      <c r="E30" s="205">
        <v>2201</v>
      </c>
      <c r="F30" s="195" t="s">
        <v>1003</v>
      </c>
      <c r="G30" s="294">
        <v>2201071</v>
      </c>
      <c r="H30" s="195" t="s">
        <v>1012</v>
      </c>
      <c r="I30" s="294">
        <v>2201071</v>
      </c>
      <c r="J30" s="195" t="s">
        <v>1012</v>
      </c>
      <c r="K30" s="294">
        <v>220107100</v>
      </c>
      <c r="L30" s="195" t="s">
        <v>1013</v>
      </c>
      <c r="M30" s="295">
        <v>220107100</v>
      </c>
      <c r="N30" s="195" t="s">
        <v>1013</v>
      </c>
      <c r="O30" s="288">
        <v>54</v>
      </c>
      <c r="P30" s="288"/>
      <c r="Q30" s="288">
        <v>54</v>
      </c>
      <c r="R30" s="289">
        <v>2020003630016</v>
      </c>
      <c r="S30" s="195" t="s">
        <v>1006</v>
      </c>
      <c r="T30" s="290">
        <f t="shared" si="1"/>
        <v>0.99953459106358844</v>
      </c>
      <c r="U30" s="195" t="s">
        <v>1007</v>
      </c>
      <c r="V30" s="227" t="s">
        <v>1014</v>
      </c>
      <c r="W30" s="227" t="s">
        <v>1019</v>
      </c>
      <c r="X30" s="291">
        <v>60892845.552000001</v>
      </c>
      <c r="Y30" s="717">
        <f>60892845.55</f>
        <v>60892845.549999997</v>
      </c>
      <c r="Z30" s="227"/>
      <c r="AA30" s="227"/>
      <c r="AB30" s="291">
        <f t="shared" si="0"/>
        <v>2.0000040531158447E-3</v>
      </c>
      <c r="AC30" s="227" t="s">
        <v>1040</v>
      </c>
      <c r="AD30" s="227"/>
      <c r="AE30" s="288">
        <v>25</v>
      </c>
      <c r="AF30" s="195" t="s">
        <v>1021</v>
      </c>
      <c r="AG30" s="292">
        <v>19649</v>
      </c>
      <c r="AH30" s="292">
        <v>20118</v>
      </c>
      <c r="AI30" s="292">
        <v>28907</v>
      </c>
      <c r="AJ30" s="292">
        <v>9525</v>
      </c>
      <c r="AK30" s="292">
        <v>1222</v>
      </c>
      <c r="AL30" s="292">
        <v>113</v>
      </c>
      <c r="AM30" s="292">
        <v>297</v>
      </c>
      <c r="AN30" s="292">
        <v>345</v>
      </c>
      <c r="AO30" s="292">
        <v>0</v>
      </c>
      <c r="AP30" s="292">
        <v>0</v>
      </c>
      <c r="AQ30" s="292">
        <v>0</v>
      </c>
      <c r="AR30" s="292">
        <v>0</v>
      </c>
      <c r="AS30" s="292">
        <v>3301</v>
      </c>
      <c r="AT30" s="292">
        <v>113</v>
      </c>
      <c r="AU30" s="292">
        <v>2507</v>
      </c>
      <c r="AV30" s="292">
        <v>39767</v>
      </c>
      <c r="AW30" s="293">
        <v>45292</v>
      </c>
      <c r="AX30" s="293">
        <v>45657</v>
      </c>
      <c r="AY30" s="195" t="s">
        <v>1011</v>
      </c>
    </row>
    <row r="31" spans="1:51" ht="99.95" customHeight="1" x14ac:dyDescent="0.2">
      <c r="A31" s="65">
        <v>1</v>
      </c>
      <c r="B31" s="195" t="s">
        <v>315</v>
      </c>
      <c r="C31" s="205">
        <v>22</v>
      </c>
      <c r="D31" s="195" t="s">
        <v>1002</v>
      </c>
      <c r="E31" s="205">
        <v>2201</v>
      </c>
      <c r="F31" s="195" t="s">
        <v>1003</v>
      </c>
      <c r="G31" s="294">
        <v>2201071</v>
      </c>
      <c r="H31" s="195" t="s">
        <v>1012</v>
      </c>
      <c r="I31" s="294">
        <v>2201071</v>
      </c>
      <c r="J31" s="195" t="s">
        <v>1012</v>
      </c>
      <c r="K31" s="294">
        <v>220107100</v>
      </c>
      <c r="L31" s="195" t="s">
        <v>1013</v>
      </c>
      <c r="M31" s="295">
        <v>220107100</v>
      </c>
      <c r="N31" s="195" t="s">
        <v>1013</v>
      </c>
      <c r="O31" s="288">
        <v>54</v>
      </c>
      <c r="P31" s="288"/>
      <c r="Q31" s="288">
        <v>54</v>
      </c>
      <c r="R31" s="289">
        <v>2020003630016</v>
      </c>
      <c r="S31" s="195" t="s">
        <v>1006</v>
      </c>
      <c r="T31" s="290">
        <f t="shared" si="1"/>
        <v>0.99953459106358844</v>
      </c>
      <c r="U31" s="195" t="s">
        <v>1007</v>
      </c>
      <c r="V31" s="227" t="s">
        <v>1014</v>
      </c>
      <c r="W31" s="227" t="s">
        <v>1022</v>
      </c>
      <c r="X31" s="291">
        <v>322426172.15200001</v>
      </c>
      <c r="Y31" s="717">
        <f>322426172.15</f>
        <v>322426172.14999998</v>
      </c>
      <c r="Z31" s="227"/>
      <c r="AA31" s="227"/>
      <c r="AB31" s="291">
        <f t="shared" si="0"/>
        <v>2.0000338554382324E-3</v>
      </c>
      <c r="AC31" s="227" t="s">
        <v>1041</v>
      </c>
      <c r="AD31" s="227"/>
      <c r="AE31" s="288">
        <v>25</v>
      </c>
      <c r="AF31" s="195" t="s">
        <v>1021</v>
      </c>
      <c r="AG31" s="292">
        <v>19649</v>
      </c>
      <c r="AH31" s="292">
        <v>20118</v>
      </c>
      <c r="AI31" s="292">
        <v>28907</v>
      </c>
      <c r="AJ31" s="292">
        <v>9525</v>
      </c>
      <c r="AK31" s="292">
        <v>1222</v>
      </c>
      <c r="AL31" s="292">
        <v>113</v>
      </c>
      <c r="AM31" s="292">
        <v>297</v>
      </c>
      <c r="AN31" s="292">
        <v>345</v>
      </c>
      <c r="AO31" s="292">
        <v>0</v>
      </c>
      <c r="AP31" s="292">
        <v>0</v>
      </c>
      <c r="AQ31" s="292">
        <v>0</v>
      </c>
      <c r="AR31" s="292">
        <v>0</v>
      </c>
      <c r="AS31" s="292">
        <v>3301</v>
      </c>
      <c r="AT31" s="292">
        <v>113</v>
      </c>
      <c r="AU31" s="292">
        <v>2507</v>
      </c>
      <c r="AV31" s="292">
        <v>39767</v>
      </c>
      <c r="AW31" s="293">
        <v>45292</v>
      </c>
      <c r="AX31" s="293">
        <v>45657</v>
      </c>
      <c r="AY31" s="195" t="s">
        <v>1011</v>
      </c>
    </row>
    <row r="32" spans="1:51" ht="99.95" customHeight="1" x14ac:dyDescent="0.2">
      <c r="A32" s="65">
        <v>1</v>
      </c>
      <c r="B32" s="195" t="s">
        <v>315</v>
      </c>
      <c r="C32" s="205">
        <v>22</v>
      </c>
      <c r="D32" s="195" t="s">
        <v>1002</v>
      </c>
      <c r="E32" s="205">
        <v>2201</v>
      </c>
      <c r="F32" s="195" t="s">
        <v>1003</v>
      </c>
      <c r="G32" s="294">
        <v>2201071</v>
      </c>
      <c r="H32" s="195" t="s">
        <v>1012</v>
      </c>
      <c r="I32" s="294">
        <v>2201071</v>
      </c>
      <c r="J32" s="195" t="s">
        <v>1012</v>
      </c>
      <c r="K32" s="294">
        <v>220107100</v>
      </c>
      <c r="L32" s="195" t="s">
        <v>1013</v>
      </c>
      <c r="M32" s="295">
        <v>220107100</v>
      </c>
      <c r="N32" s="195" t="s">
        <v>1013</v>
      </c>
      <c r="O32" s="288">
        <v>54</v>
      </c>
      <c r="P32" s="288"/>
      <c r="Q32" s="288">
        <v>54</v>
      </c>
      <c r="R32" s="289">
        <v>2020003630016</v>
      </c>
      <c r="S32" s="195" t="s">
        <v>1006</v>
      </c>
      <c r="T32" s="290">
        <f t="shared" si="1"/>
        <v>0.99953459106358844</v>
      </c>
      <c r="U32" s="195" t="s">
        <v>1007</v>
      </c>
      <c r="V32" s="227" t="s">
        <v>1014</v>
      </c>
      <c r="W32" s="227" t="s">
        <v>1019</v>
      </c>
      <c r="X32" s="291">
        <v>189536480</v>
      </c>
      <c r="Y32" s="717">
        <f>189536480</f>
        <v>189536480</v>
      </c>
      <c r="Z32" s="227"/>
      <c r="AA32" s="227"/>
      <c r="AB32" s="291">
        <f t="shared" si="0"/>
        <v>0</v>
      </c>
      <c r="AC32" s="227" t="s">
        <v>1042</v>
      </c>
      <c r="AD32" s="227"/>
      <c r="AE32" s="288">
        <v>25</v>
      </c>
      <c r="AF32" s="195" t="s">
        <v>1021</v>
      </c>
      <c r="AG32" s="292">
        <v>19649</v>
      </c>
      <c r="AH32" s="292">
        <v>20118</v>
      </c>
      <c r="AI32" s="292">
        <v>28907</v>
      </c>
      <c r="AJ32" s="292">
        <v>9525</v>
      </c>
      <c r="AK32" s="292">
        <v>1222</v>
      </c>
      <c r="AL32" s="292">
        <v>113</v>
      </c>
      <c r="AM32" s="292">
        <v>297</v>
      </c>
      <c r="AN32" s="292">
        <v>345</v>
      </c>
      <c r="AO32" s="292">
        <v>0</v>
      </c>
      <c r="AP32" s="292">
        <v>0</v>
      </c>
      <c r="AQ32" s="292">
        <v>0</v>
      </c>
      <c r="AR32" s="292">
        <v>0</v>
      </c>
      <c r="AS32" s="292">
        <v>3301</v>
      </c>
      <c r="AT32" s="292">
        <v>113</v>
      </c>
      <c r="AU32" s="292">
        <v>2507</v>
      </c>
      <c r="AV32" s="292">
        <v>39767</v>
      </c>
      <c r="AW32" s="293">
        <v>45292</v>
      </c>
      <c r="AX32" s="293">
        <v>45657</v>
      </c>
      <c r="AY32" s="195" t="s">
        <v>1011</v>
      </c>
    </row>
    <row r="33" spans="1:51" ht="99.95" customHeight="1" x14ac:dyDescent="0.2">
      <c r="A33" s="65">
        <v>1</v>
      </c>
      <c r="B33" s="195" t="s">
        <v>315</v>
      </c>
      <c r="C33" s="205">
        <v>22</v>
      </c>
      <c r="D33" s="195" t="s">
        <v>1002</v>
      </c>
      <c r="E33" s="205">
        <v>2201</v>
      </c>
      <c r="F33" s="195" t="s">
        <v>1003</v>
      </c>
      <c r="G33" s="294">
        <v>2201071</v>
      </c>
      <c r="H33" s="195" t="s">
        <v>1012</v>
      </c>
      <c r="I33" s="294">
        <v>2201071</v>
      </c>
      <c r="J33" s="195" t="s">
        <v>1012</v>
      </c>
      <c r="K33" s="294">
        <v>220107100</v>
      </c>
      <c r="L33" s="195" t="s">
        <v>1013</v>
      </c>
      <c r="M33" s="295">
        <v>220107100</v>
      </c>
      <c r="N33" s="195" t="s">
        <v>1013</v>
      </c>
      <c r="O33" s="288">
        <v>54</v>
      </c>
      <c r="P33" s="288"/>
      <c r="Q33" s="288">
        <v>54</v>
      </c>
      <c r="R33" s="289">
        <v>2020003630016</v>
      </c>
      <c r="S33" s="195" t="s">
        <v>1006</v>
      </c>
      <c r="T33" s="290">
        <f t="shared" si="1"/>
        <v>0.99953459106358844</v>
      </c>
      <c r="U33" s="195" t="s">
        <v>1007</v>
      </c>
      <c r="V33" s="227" t="s">
        <v>1014</v>
      </c>
      <c r="W33" s="227" t="s">
        <v>1022</v>
      </c>
      <c r="X33" s="291">
        <v>582910049.23199999</v>
      </c>
      <c r="Y33" s="717">
        <f>582910049.23</f>
        <v>582910049.23000002</v>
      </c>
      <c r="Z33" s="227"/>
      <c r="AA33" s="227"/>
      <c r="AB33" s="291">
        <f t="shared" si="0"/>
        <v>1.999974250793457E-3</v>
      </c>
      <c r="AC33" s="227" t="s">
        <v>1043</v>
      </c>
      <c r="AD33" s="227"/>
      <c r="AE33" s="288">
        <v>25</v>
      </c>
      <c r="AF33" s="195" t="s">
        <v>1021</v>
      </c>
      <c r="AG33" s="292">
        <v>19649</v>
      </c>
      <c r="AH33" s="292">
        <v>20118</v>
      </c>
      <c r="AI33" s="292">
        <v>28907</v>
      </c>
      <c r="AJ33" s="292">
        <v>9525</v>
      </c>
      <c r="AK33" s="292">
        <v>1222</v>
      </c>
      <c r="AL33" s="292">
        <v>113</v>
      </c>
      <c r="AM33" s="292">
        <v>297</v>
      </c>
      <c r="AN33" s="292">
        <v>345</v>
      </c>
      <c r="AO33" s="292">
        <v>0</v>
      </c>
      <c r="AP33" s="292">
        <v>0</v>
      </c>
      <c r="AQ33" s="292">
        <v>0</v>
      </c>
      <c r="AR33" s="292">
        <v>0</v>
      </c>
      <c r="AS33" s="292">
        <v>3301</v>
      </c>
      <c r="AT33" s="292">
        <v>113</v>
      </c>
      <c r="AU33" s="292">
        <v>2507</v>
      </c>
      <c r="AV33" s="292">
        <v>39767</v>
      </c>
      <c r="AW33" s="293">
        <v>45292</v>
      </c>
      <c r="AX33" s="293">
        <v>45657</v>
      </c>
      <c r="AY33" s="195" t="s">
        <v>1011</v>
      </c>
    </row>
    <row r="34" spans="1:51" ht="99.95" customHeight="1" x14ac:dyDescent="0.2">
      <c r="A34" s="65">
        <v>1</v>
      </c>
      <c r="B34" s="195" t="s">
        <v>315</v>
      </c>
      <c r="C34" s="205">
        <v>22</v>
      </c>
      <c r="D34" s="195" t="s">
        <v>1002</v>
      </c>
      <c r="E34" s="205">
        <v>2201</v>
      </c>
      <c r="F34" s="195" t="s">
        <v>1003</v>
      </c>
      <c r="G34" s="294">
        <v>2201071</v>
      </c>
      <c r="H34" s="195" t="s">
        <v>1012</v>
      </c>
      <c r="I34" s="294">
        <v>2201071</v>
      </c>
      <c r="J34" s="195" t="s">
        <v>1012</v>
      </c>
      <c r="K34" s="294">
        <v>220107100</v>
      </c>
      <c r="L34" s="195" t="s">
        <v>1013</v>
      </c>
      <c r="M34" s="295">
        <v>220107100</v>
      </c>
      <c r="N34" s="195" t="s">
        <v>1013</v>
      </c>
      <c r="O34" s="288">
        <v>54</v>
      </c>
      <c r="P34" s="288"/>
      <c r="Q34" s="288">
        <v>54</v>
      </c>
      <c r="R34" s="289">
        <v>2020003630016</v>
      </c>
      <c r="S34" s="195" t="s">
        <v>1006</v>
      </c>
      <c r="T34" s="290">
        <f t="shared" si="1"/>
        <v>0.99953459106358844</v>
      </c>
      <c r="U34" s="195" t="s">
        <v>1007</v>
      </c>
      <c r="V34" s="227" t="s">
        <v>1014</v>
      </c>
      <c r="W34" s="227" t="s">
        <v>1022</v>
      </c>
      <c r="X34" s="291">
        <v>9228800000</v>
      </c>
      <c r="Y34" s="717">
        <f>9228800000</f>
        <v>9228800000</v>
      </c>
      <c r="Z34" s="227"/>
      <c r="AA34" s="227"/>
      <c r="AB34" s="291">
        <f t="shared" si="0"/>
        <v>0</v>
      </c>
      <c r="AC34" s="227" t="s">
        <v>1044</v>
      </c>
      <c r="AD34" s="227"/>
      <c r="AE34" s="288">
        <v>25</v>
      </c>
      <c r="AF34" s="195" t="s">
        <v>1021</v>
      </c>
      <c r="AG34" s="292">
        <v>19649</v>
      </c>
      <c r="AH34" s="292">
        <v>20118</v>
      </c>
      <c r="AI34" s="292">
        <v>28907</v>
      </c>
      <c r="AJ34" s="292">
        <v>9525</v>
      </c>
      <c r="AK34" s="292">
        <v>1222</v>
      </c>
      <c r="AL34" s="292">
        <v>113</v>
      </c>
      <c r="AM34" s="292">
        <v>297</v>
      </c>
      <c r="AN34" s="292">
        <v>345</v>
      </c>
      <c r="AO34" s="292">
        <v>0</v>
      </c>
      <c r="AP34" s="292">
        <v>0</v>
      </c>
      <c r="AQ34" s="292">
        <v>0</v>
      </c>
      <c r="AR34" s="292">
        <v>0</v>
      </c>
      <c r="AS34" s="292">
        <v>3301</v>
      </c>
      <c r="AT34" s="292">
        <v>113</v>
      </c>
      <c r="AU34" s="292">
        <v>2507</v>
      </c>
      <c r="AV34" s="292">
        <v>39767</v>
      </c>
      <c r="AW34" s="293">
        <v>45292</v>
      </c>
      <c r="AX34" s="293">
        <v>45657</v>
      </c>
      <c r="AY34" s="195" t="s">
        <v>1011</v>
      </c>
    </row>
    <row r="35" spans="1:51" ht="99.95" customHeight="1" x14ac:dyDescent="0.2">
      <c r="A35" s="65">
        <v>1</v>
      </c>
      <c r="B35" s="195" t="s">
        <v>315</v>
      </c>
      <c r="C35" s="205">
        <v>22</v>
      </c>
      <c r="D35" s="195" t="s">
        <v>1002</v>
      </c>
      <c r="E35" s="205">
        <v>2201</v>
      </c>
      <c r="F35" s="195" t="s">
        <v>1003</v>
      </c>
      <c r="G35" s="294">
        <v>2201071</v>
      </c>
      <c r="H35" s="195" t="s">
        <v>1012</v>
      </c>
      <c r="I35" s="294">
        <v>2201071</v>
      </c>
      <c r="J35" s="195" t="s">
        <v>1012</v>
      </c>
      <c r="K35" s="294">
        <v>220107100</v>
      </c>
      <c r="L35" s="195" t="s">
        <v>1013</v>
      </c>
      <c r="M35" s="295">
        <v>220107100</v>
      </c>
      <c r="N35" s="195" t="s">
        <v>1013</v>
      </c>
      <c r="O35" s="288">
        <v>54</v>
      </c>
      <c r="P35" s="288"/>
      <c r="Q35" s="288">
        <v>54</v>
      </c>
      <c r="R35" s="289">
        <v>2020003630016</v>
      </c>
      <c r="S35" s="195" t="s">
        <v>1006</v>
      </c>
      <c r="T35" s="290">
        <f t="shared" si="1"/>
        <v>0.99953459106358844</v>
      </c>
      <c r="U35" s="195" t="s">
        <v>1007</v>
      </c>
      <c r="V35" s="227" t="s">
        <v>1014</v>
      </c>
      <c r="W35" s="227" t="s">
        <v>1025</v>
      </c>
      <c r="X35" s="291">
        <v>1730400000</v>
      </c>
      <c r="Y35" s="717">
        <v>1730400000</v>
      </c>
      <c r="Z35" s="227"/>
      <c r="AA35" s="227"/>
      <c r="AB35" s="291">
        <f t="shared" si="0"/>
        <v>0</v>
      </c>
      <c r="AC35" s="227" t="s">
        <v>1045</v>
      </c>
      <c r="AD35" s="227"/>
      <c r="AE35" s="288">
        <v>25</v>
      </c>
      <c r="AF35" s="195" t="s">
        <v>1021</v>
      </c>
      <c r="AG35" s="292">
        <v>19649</v>
      </c>
      <c r="AH35" s="292">
        <v>20118</v>
      </c>
      <c r="AI35" s="292">
        <v>28907</v>
      </c>
      <c r="AJ35" s="292">
        <v>9525</v>
      </c>
      <c r="AK35" s="292">
        <v>1222</v>
      </c>
      <c r="AL35" s="292">
        <v>113</v>
      </c>
      <c r="AM35" s="292">
        <v>297</v>
      </c>
      <c r="AN35" s="292">
        <v>345</v>
      </c>
      <c r="AO35" s="292">
        <v>0</v>
      </c>
      <c r="AP35" s="292">
        <v>0</v>
      </c>
      <c r="AQ35" s="292">
        <v>0</v>
      </c>
      <c r="AR35" s="292">
        <v>0</v>
      </c>
      <c r="AS35" s="292">
        <v>3301</v>
      </c>
      <c r="AT35" s="292">
        <v>113</v>
      </c>
      <c r="AU35" s="292">
        <v>2507</v>
      </c>
      <c r="AV35" s="292">
        <v>39767</v>
      </c>
      <c r="AW35" s="293">
        <v>45292</v>
      </c>
      <c r="AX35" s="293">
        <v>45657</v>
      </c>
      <c r="AY35" s="195" t="s">
        <v>1011</v>
      </c>
    </row>
    <row r="36" spans="1:51" ht="99.95" customHeight="1" x14ac:dyDescent="0.2">
      <c r="A36" s="65">
        <v>1</v>
      </c>
      <c r="B36" s="195" t="s">
        <v>315</v>
      </c>
      <c r="C36" s="205">
        <v>22</v>
      </c>
      <c r="D36" s="195" t="s">
        <v>1002</v>
      </c>
      <c r="E36" s="205">
        <v>2201</v>
      </c>
      <c r="F36" s="195" t="s">
        <v>1003</v>
      </c>
      <c r="G36" s="294">
        <v>2201071</v>
      </c>
      <c r="H36" s="195" t="s">
        <v>1012</v>
      </c>
      <c r="I36" s="294">
        <v>2201071</v>
      </c>
      <c r="J36" s="195" t="s">
        <v>1012</v>
      </c>
      <c r="K36" s="294">
        <v>220107100</v>
      </c>
      <c r="L36" s="195" t="s">
        <v>1013</v>
      </c>
      <c r="M36" s="295">
        <v>220107100</v>
      </c>
      <c r="N36" s="195" t="s">
        <v>1013</v>
      </c>
      <c r="O36" s="288">
        <v>54</v>
      </c>
      <c r="P36" s="288"/>
      <c r="Q36" s="288">
        <v>54</v>
      </c>
      <c r="R36" s="289">
        <v>2020003630016</v>
      </c>
      <c r="S36" s="195" t="s">
        <v>1006</v>
      </c>
      <c r="T36" s="290">
        <f t="shared" si="1"/>
        <v>0.99953459106358844</v>
      </c>
      <c r="U36" s="195" t="s">
        <v>1007</v>
      </c>
      <c r="V36" s="227" t="s">
        <v>1014</v>
      </c>
      <c r="W36" s="227" t="s">
        <v>1019</v>
      </c>
      <c r="X36" s="291">
        <v>96602464</v>
      </c>
      <c r="Y36" s="717">
        <f>96602464</f>
        <v>96602464</v>
      </c>
      <c r="Z36" s="227"/>
      <c r="AA36" s="227"/>
      <c r="AB36" s="291">
        <f t="shared" si="0"/>
        <v>0</v>
      </c>
      <c r="AC36" s="227" t="s">
        <v>1046</v>
      </c>
      <c r="AD36" s="227"/>
      <c r="AE36" s="288">
        <v>25</v>
      </c>
      <c r="AF36" s="195" t="s">
        <v>1021</v>
      </c>
      <c r="AG36" s="292">
        <v>19649</v>
      </c>
      <c r="AH36" s="292">
        <v>20118</v>
      </c>
      <c r="AI36" s="292">
        <v>28907</v>
      </c>
      <c r="AJ36" s="292">
        <v>9525</v>
      </c>
      <c r="AK36" s="292">
        <v>1222</v>
      </c>
      <c r="AL36" s="292">
        <v>113</v>
      </c>
      <c r="AM36" s="292">
        <v>297</v>
      </c>
      <c r="AN36" s="292">
        <v>345</v>
      </c>
      <c r="AO36" s="292">
        <v>0</v>
      </c>
      <c r="AP36" s="292">
        <v>0</v>
      </c>
      <c r="AQ36" s="292">
        <v>0</v>
      </c>
      <c r="AR36" s="292">
        <v>0</v>
      </c>
      <c r="AS36" s="292">
        <v>3301</v>
      </c>
      <c r="AT36" s="292">
        <v>113</v>
      </c>
      <c r="AU36" s="292">
        <v>2507</v>
      </c>
      <c r="AV36" s="292">
        <v>39767</v>
      </c>
      <c r="AW36" s="293">
        <v>45292</v>
      </c>
      <c r="AX36" s="293">
        <v>45657</v>
      </c>
      <c r="AY36" s="195" t="s">
        <v>1011</v>
      </c>
    </row>
    <row r="37" spans="1:51" ht="99.95" customHeight="1" x14ac:dyDescent="0.2">
      <c r="A37" s="65">
        <v>1</v>
      </c>
      <c r="B37" s="195" t="s">
        <v>315</v>
      </c>
      <c r="C37" s="205">
        <v>22</v>
      </c>
      <c r="D37" s="195" t="s">
        <v>1002</v>
      </c>
      <c r="E37" s="205">
        <v>2201</v>
      </c>
      <c r="F37" s="195" t="s">
        <v>1003</v>
      </c>
      <c r="G37" s="294">
        <v>2201071</v>
      </c>
      <c r="H37" s="195" t="s">
        <v>1012</v>
      </c>
      <c r="I37" s="294">
        <v>2201071</v>
      </c>
      <c r="J37" s="195" t="s">
        <v>1012</v>
      </c>
      <c r="K37" s="294">
        <v>220107100</v>
      </c>
      <c r="L37" s="195" t="s">
        <v>1013</v>
      </c>
      <c r="M37" s="295">
        <v>220107100</v>
      </c>
      <c r="N37" s="195" t="s">
        <v>1013</v>
      </c>
      <c r="O37" s="288">
        <v>54</v>
      </c>
      <c r="P37" s="288"/>
      <c r="Q37" s="288">
        <v>54</v>
      </c>
      <c r="R37" s="289">
        <v>2020003630016</v>
      </c>
      <c r="S37" s="195" t="s">
        <v>1006</v>
      </c>
      <c r="T37" s="290">
        <f t="shared" si="1"/>
        <v>0.99953459106358844</v>
      </c>
      <c r="U37" s="195" t="s">
        <v>1007</v>
      </c>
      <c r="V37" s="227" t="s">
        <v>1014</v>
      </c>
      <c r="W37" s="227" t="s">
        <v>1022</v>
      </c>
      <c r="X37" s="749">
        <v>492129489.54400003</v>
      </c>
      <c r="Y37" s="717">
        <f>492129489.54</f>
        <v>492129489.54000002</v>
      </c>
      <c r="Z37" s="227"/>
      <c r="AA37" s="227"/>
      <c r="AB37" s="291">
        <f t="shared" si="0"/>
        <v>4.0000081062316895E-3</v>
      </c>
      <c r="AC37" s="227" t="s">
        <v>1047</v>
      </c>
      <c r="AD37" s="227"/>
      <c r="AE37" s="288">
        <v>25</v>
      </c>
      <c r="AF37" s="195" t="s">
        <v>1021</v>
      </c>
      <c r="AG37" s="292">
        <v>19649</v>
      </c>
      <c r="AH37" s="292">
        <v>20118</v>
      </c>
      <c r="AI37" s="292">
        <v>28907</v>
      </c>
      <c r="AJ37" s="292">
        <v>9525</v>
      </c>
      <c r="AK37" s="292">
        <v>1222</v>
      </c>
      <c r="AL37" s="292">
        <v>113</v>
      </c>
      <c r="AM37" s="292">
        <v>297</v>
      </c>
      <c r="AN37" s="292">
        <v>345</v>
      </c>
      <c r="AO37" s="292">
        <v>0</v>
      </c>
      <c r="AP37" s="292">
        <v>0</v>
      </c>
      <c r="AQ37" s="292">
        <v>0</v>
      </c>
      <c r="AR37" s="292">
        <v>0</v>
      </c>
      <c r="AS37" s="292">
        <v>3301</v>
      </c>
      <c r="AT37" s="292">
        <v>113</v>
      </c>
      <c r="AU37" s="292">
        <v>2507</v>
      </c>
      <c r="AV37" s="292">
        <v>39767</v>
      </c>
      <c r="AW37" s="293">
        <v>45292</v>
      </c>
      <c r="AX37" s="293">
        <v>45657</v>
      </c>
      <c r="AY37" s="195" t="s">
        <v>1011</v>
      </c>
    </row>
    <row r="38" spans="1:51" ht="99.95" customHeight="1" x14ac:dyDescent="0.2">
      <c r="A38" s="65">
        <v>1</v>
      </c>
      <c r="B38" s="195" t="s">
        <v>315</v>
      </c>
      <c r="C38" s="205">
        <v>22</v>
      </c>
      <c r="D38" s="195" t="s">
        <v>1002</v>
      </c>
      <c r="E38" s="205">
        <v>2201</v>
      </c>
      <c r="F38" s="195" t="s">
        <v>1003</v>
      </c>
      <c r="G38" s="294">
        <v>2201071</v>
      </c>
      <c r="H38" s="195" t="s">
        <v>1012</v>
      </c>
      <c r="I38" s="294">
        <v>2201071</v>
      </c>
      <c r="J38" s="195" t="s">
        <v>1012</v>
      </c>
      <c r="K38" s="294">
        <v>220107100</v>
      </c>
      <c r="L38" s="195" t="s">
        <v>1013</v>
      </c>
      <c r="M38" s="295">
        <v>220107100</v>
      </c>
      <c r="N38" s="195" t="s">
        <v>1013</v>
      </c>
      <c r="O38" s="288">
        <v>54</v>
      </c>
      <c r="P38" s="288"/>
      <c r="Q38" s="288">
        <v>54</v>
      </c>
      <c r="R38" s="289">
        <v>2020003630016</v>
      </c>
      <c r="S38" s="195" t="s">
        <v>1006</v>
      </c>
      <c r="T38" s="290">
        <f t="shared" si="1"/>
        <v>0.99953459106358844</v>
      </c>
      <c r="U38" s="195" t="s">
        <v>1007</v>
      </c>
      <c r="V38" s="227" t="s">
        <v>1014</v>
      </c>
      <c r="W38" s="227" t="s">
        <v>1022</v>
      </c>
      <c r="X38" s="291">
        <v>4383680000</v>
      </c>
      <c r="Y38" s="717">
        <f>4383680000</f>
        <v>4383680000</v>
      </c>
      <c r="Z38" s="227"/>
      <c r="AA38" s="227"/>
      <c r="AB38" s="291">
        <f t="shared" si="0"/>
        <v>0</v>
      </c>
      <c r="AC38" s="227" t="s">
        <v>1048</v>
      </c>
      <c r="AD38" s="227"/>
      <c r="AE38" s="288">
        <v>25</v>
      </c>
      <c r="AF38" s="195" t="s">
        <v>1021</v>
      </c>
      <c r="AG38" s="292">
        <v>19649</v>
      </c>
      <c r="AH38" s="292">
        <v>20118</v>
      </c>
      <c r="AI38" s="292">
        <v>28907</v>
      </c>
      <c r="AJ38" s="292">
        <v>9525</v>
      </c>
      <c r="AK38" s="292">
        <v>1222</v>
      </c>
      <c r="AL38" s="292">
        <v>113</v>
      </c>
      <c r="AM38" s="292">
        <v>297</v>
      </c>
      <c r="AN38" s="292">
        <v>345</v>
      </c>
      <c r="AO38" s="292">
        <v>0</v>
      </c>
      <c r="AP38" s="292">
        <v>0</v>
      </c>
      <c r="AQ38" s="292">
        <v>0</v>
      </c>
      <c r="AR38" s="292">
        <v>0</v>
      </c>
      <c r="AS38" s="292">
        <v>3301</v>
      </c>
      <c r="AT38" s="292">
        <v>113</v>
      </c>
      <c r="AU38" s="292">
        <v>2507</v>
      </c>
      <c r="AV38" s="292">
        <v>39767</v>
      </c>
      <c r="AW38" s="293">
        <v>45292</v>
      </c>
      <c r="AX38" s="293">
        <v>45657</v>
      </c>
      <c r="AY38" s="195" t="s">
        <v>1011</v>
      </c>
    </row>
    <row r="39" spans="1:51" ht="99.95" customHeight="1" x14ac:dyDescent="0.2">
      <c r="A39" s="65">
        <v>1</v>
      </c>
      <c r="B39" s="195" t="s">
        <v>315</v>
      </c>
      <c r="C39" s="205">
        <v>22</v>
      </c>
      <c r="D39" s="195" t="s">
        <v>1002</v>
      </c>
      <c r="E39" s="205">
        <v>2201</v>
      </c>
      <c r="F39" s="195" t="s">
        <v>1003</v>
      </c>
      <c r="G39" s="294">
        <v>2201071</v>
      </c>
      <c r="H39" s="195" t="s">
        <v>1012</v>
      </c>
      <c r="I39" s="294">
        <v>2201071</v>
      </c>
      <c r="J39" s="195" t="s">
        <v>1012</v>
      </c>
      <c r="K39" s="294">
        <v>220107100</v>
      </c>
      <c r="L39" s="195" t="s">
        <v>1013</v>
      </c>
      <c r="M39" s="295">
        <v>220107100</v>
      </c>
      <c r="N39" s="195" t="s">
        <v>1013</v>
      </c>
      <c r="O39" s="288">
        <v>54</v>
      </c>
      <c r="P39" s="288"/>
      <c r="Q39" s="288">
        <v>54</v>
      </c>
      <c r="R39" s="289">
        <v>2020003630016</v>
      </c>
      <c r="S39" s="195" t="s">
        <v>1006</v>
      </c>
      <c r="T39" s="290">
        <f t="shared" si="1"/>
        <v>0.99953459106358844</v>
      </c>
      <c r="U39" s="195" t="s">
        <v>1007</v>
      </c>
      <c r="V39" s="227" t="s">
        <v>1014</v>
      </c>
      <c r="W39" s="227" t="s">
        <v>1025</v>
      </c>
      <c r="X39" s="749">
        <v>720084163.78079998</v>
      </c>
      <c r="Y39" s="717">
        <f>720084163.78</f>
        <v>720084163.77999997</v>
      </c>
      <c r="Z39" s="227"/>
      <c r="AA39" s="227"/>
      <c r="AB39" s="291">
        <f t="shared" si="0"/>
        <v>8.0001354217529297E-4</v>
      </c>
      <c r="AC39" s="227" t="s">
        <v>1049</v>
      </c>
      <c r="AD39" s="227"/>
      <c r="AE39" s="288">
        <v>25</v>
      </c>
      <c r="AF39" s="195" t="s">
        <v>1021</v>
      </c>
      <c r="AG39" s="292">
        <v>19649</v>
      </c>
      <c r="AH39" s="292">
        <v>20118</v>
      </c>
      <c r="AI39" s="292">
        <v>28907</v>
      </c>
      <c r="AJ39" s="292">
        <v>9525</v>
      </c>
      <c r="AK39" s="292">
        <v>1222</v>
      </c>
      <c r="AL39" s="292">
        <v>113</v>
      </c>
      <c r="AM39" s="292">
        <v>297</v>
      </c>
      <c r="AN39" s="292">
        <v>345</v>
      </c>
      <c r="AO39" s="292">
        <v>0</v>
      </c>
      <c r="AP39" s="292">
        <v>0</v>
      </c>
      <c r="AQ39" s="292">
        <v>0</v>
      </c>
      <c r="AR39" s="292">
        <v>0</v>
      </c>
      <c r="AS39" s="292">
        <v>3301</v>
      </c>
      <c r="AT39" s="292">
        <v>113</v>
      </c>
      <c r="AU39" s="292">
        <v>2507</v>
      </c>
      <c r="AV39" s="292">
        <v>39767</v>
      </c>
      <c r="AW39" s="293">
        <v>45292</v>
      </c>
      <c r="AX39" s="293">
        <v>45657</v>
      </c>
      <c r="AY39" s="195" t="s">
        <v>1011</v>
      </c>
    </row>
    <row r="40" spans="1:51" ht="99.95" customHeight="1" x14ac:dyDescent="0.2">
      <c r="A40" s="65">
        <v>1</v>
      </c>
      <c r="B40" s="195" t="s">
        <v>315</v>
      </c>
      <c r="C40" s="205">
        <v>22</v>
      </c>
      <c r="D40" s="195" t="s">
        <v>1002</v>
      </c>
      <c r="E40" s="205">
        <v>2201</v>
      </c>
      <c r="F40" s="195" t="s">
        <v>1003</v>
      </c>
      <c r="G40" s="294">
        <v>2201071</v>
      </c>
      <c r="H40" s="195" t="s">
        <v>1012</v>
      </c>
      <c r="I40" s="294">
        <v>2201071</v>
      </c>
      <c r="J40" s="195" t="s">
        <v>1012</v>
      </c>
      <c r="K40" s="294">
        <v>220107100</v>
      </c>
      <c r="L40" s="195" t="s">
        <v>1013</v>
      </c>
      <c r="M40" s="295">
        <v>220107100</v>
      </c>
      <c r="N40" s="195" t="s">
        <v>1013</v>
      </c>
      <c r="O40" s="288">
        <v>54</v>
      </c>
      <c r="P40" s="288"/>
      <c r="Q40" s="288">
        <v>54</v>
      </c>
      <c r="R40" s="289">
        <v>2020003630016</v>
      </c>
      <c r="S40" s="195" t="s">
        <v>1006</v>
      </c>
      <c r="T40" s="290">
        <f t="shared" si="1"/>
        <v>0.99953459106358844</v>
      </c>
      <c r="U40" s="195" t="s">
        <v>1007</v>
      </c>
      <c r="V40" s="227" t="s">
        <v>1014</v>
      </c>
      <c r="W40" s="227" t="s">
        <v>1022</v>
      </c>
      <c r="X40" s="291">
        <v>3000000</v>
      </c>
      <c r="Y40" s="717">
        <f>3000000</f>
        <v>3000000</v>
      </c>
      <c r="Z40" s="227"/>
      <c r="AA40" s="227"/>
      <c r="AB40" s="291">
        <f t="shared" si="0"/>
        <v>0</v>
      </c>
      <c r="AC40" s="227" t="s">
        <v>1050</v>
      </c>
      <c r="AD40" s="227"/>
      <c r="AE40" s="288">
        <v>25</v>
      </c>
      <c r="AF40" s="195" t="s">
        <v>1021</v>
      </c>
      <c r="AG40" s="292">
        <v>19649</v>
      </c>
      <c r="AH40" s="292">
        <v>20118</v>
      </c>
      <c r="AI40" s="292">
        <v>28907</v>
      </c>
      <c r="AJ40" s="292">
        <v>9525</v>
      </c>
      <c r="AK40" s="292">
        <v>1222</v>
      </c>
      <c r="AL40" s="292">
        <v>113</v>
      </c>
      <c r="AM40" s="292">
        <v>297</v>
      </c>
      <c r="AN40" s="292">
        <v>345</v>
      </c>
      <c r="AO40" s="292">
        <v>0</v>
      </c>
      <c r="AP40" s="292">
        <v>0</v>
      </c>
      <c r="AQ40" s="292">
        <v>0</v>
      </c>
      <c r="AR40" s="292">
        <v>0</v>
      </c>
      <c r="AS40" s="292">
        <v>3301</v>
      </c>
      <c r="AT40" s="292">
        <v>113</v>
      </c>
      <c r="AU40" s="292">
        <v>2507</v>
      </c>
      <c r="AV40" s="292">
        <v>39767</v>
      </c>
      <c r="AW40" s="293">
        <v>45292</v>
      </c>
      <c r="AX40" s="293">
        <v>45657</v>
      </c>
      <c r="AY40" s="195" t="s">
        <v>1011</v>
      </c>
    </row>
    <row r="41" spans="1:51" ht="99.95" customHeight="1" x14ac:dyDescent="0.2">
      <c r="A41" s="65">
        <v>1</v>
      </c>
      <c r="B41" s="195" t="s">
        <v>315</v>
      </c>
      <c r="C41" s="205">
        <v>22</v>
      </c>
      <c r="D41" s="195" t="s">
        <v>1002</v>
      </c>
      <c r="E41" s="205">
        <v>2201</v>
      </c>
      <c r="F41" s="195" t="s">
        <v>1003</v>
      </c>
      <c r="G41" s="294">
        <v>2201071</v>
      </c>
      <c r="H41" s="195" t="s">
        <v>1012</v>
      </c>
      <c r="I41" s="294">
        <v>2201071</v>
      </c>
      <c r="J41" s="195" t="s">
        <v>1012</v>
      </c>
      <c r="K41" s="294">
        <v>220107100</v>
      </c>
      <c r="L41" s="195" t="s">
        <v>1013</v>
      </c>
      <c r="M41" s="295">
        <v>220107100</v>
      </c>
      <c r="N41" s="195" t="s">
        <v>1013</v>
      </c>
      <c r="O41" s="288">
        <v>54</v>
      </c>
      <c r="P41" s="288"/>
      <c r="Q41" s="288">
        <v>54</v>
      </c>
      <c r="R41" s="289">
        <v>2020003630016</v>
      </c>
      <c r="S41" s="195" t="s">
        <v>1006</v>
      </c>
      <c r="T41" s="290">
        <f t="shared" si="1"/>
        <v>0.99953459106358844</v>
      </c>
      <c r="U41" s="195" t="s">
        <v>1007</v>
      </c>
      <c r="V41" s="227" t="s">
        <v>1014</v>
      </c>
      <c r="W41" s="227" t="s">
        <v>1022</v>
      </c>
      <c r="X41" s="291">
        <v>10000000</v>
      </c>
      <c r="Y41" s="717">
        <f>10000000</f>
        <v>10000000</v>
      </c>
      <c r="Z41" s="227"/>
      <c r="AA41" s="227"/>
      <c r="AB41" s="291">
        <f t="shared" si="0"/>
        <v>0</v>
      </c>
      <c r="AC41" s="227" t="s">
        <v>1051</v>
      </c>
      <c r="AD41" s="227"/>
      <c r="AE41" s="288">
        <v>25</v>
      </c>
      <c r="AF41" s="195" t="s">
        <v>1021</v>
      </c>
      <c r="AG41" s="292">
        <v>19649</v>
      </c>
      <c r="AH41" s="292">
        <v>20118</v>
      </c>
      <c r="AI41" s="292">
        <v>28907</v>
      </c>
      <c r="AJ41" s="292">
        <v>9525</v>
      </c>
      <c r="AK41" s="292">
        <v>1222</v>
      </c>
      <c r="AL41" s="292">
        <v>113</v>
      </c>
      <c r="AM41" s="292">
        <v>297</v>
      </c>
      <c r="AN41" s="292">
        <v>345</v>
      </c>
      <c r="AO41" s="292">
        <v>0</v>
      </c>
      <c r="AP41" s="292">
        <v>0</v>
      </c>
      <c r="AQ41" s="292">
        <v>0</v>
      </c>
      <c r="AR41" s="292">
        <v>0</v>
      </c>
      <c r="AS41" s="292">
        <v>3301</v>
      </c>
      <c r="AT41" s="292">
        <v>113</v>
      </c>
      <c r="AU41" s="292">
        <v>2507</v>
      </c>
      <c r="AV41" s="292">
        <v>39767</v>
      </c>
      <c r="AW41" s="293">
        <v>45292</v>
      </c>
      <c r="AX41" s="293">
        <v>45657</v>
      </c>
      <c r="AY41" s="195" t="s">
        <v>1011</v>
      </c>
    </row>
    <row r="42" spans="1:51" ht="99.95" customHeight="1" x14ac:dyDescent="0.2">
      <c r="A42" s="65">
        <v>1</v>
      </c>
      <c r="B42" s="195" t="s">
        <v>315</v>
      </c>
      <c r="C42" s="205">
        <v>22</v>
      </c>
      <c r="D42" s="195" t="s">
        <v>1002</v>
      </c>
      <c r="E42" s="205">
        <v>2201</v>
      </c>
      <c r="F42" s="195" t="s">
        <v>1003</v>
      </c>
      <c r="G42" s="294">
        <v>2201071</v>
      </c>
      <c r="H42" s="195" t="s">
        <v>1012</v>
      </c>
      <c r="I42" s="294">
        <v>2201071</v>
      </c>
      <c r="J42" s="195" t="s">
        <v>1012</v>
      </c>
      <c r="K42" s="294">
        <v>220107100</v>
      </c>
      <c r="L42" s="195" t="s">
        <v>1013</v>
      </c>
      <c r="M42" s="295">
        <v>220107100</v>
      </c>
      <c r="N42" s="195" t="s">
        <v>1013</v>
      </c>
      <c r="O42" s="288">
        <v>54</v>
      </c>
      <c r="P42" s="288"/>
      <c r="Q42" s="288">
        <v>54</v>
      </c>
      <c r="R42" s="289">
        <v>2020003630016</v>
      </c>
      <c r="S42" s="195" t="s">
        <v>1006</v>
      </c>
      <c r="T42" s="290">
        <f t="shared" si="1"/>
        <v>0.99953459106358844</v>
      </c>
      <c r="U42" s="195" t="s">
        <v>1007</v>
      </c>
      <c r="V42" s="227" t="s">
        <v>1014</v>
      </c>
      <c r="W42" s="227" t="s">
        <v>1025</v>
      </c>
      <c r="X42" s="291">
        <v>5000000</v>
      </c>
      <c r="Y42" s="717">
        <f>5000000</f>
        <v>5000000</v>
      </c>
      <c r="Z42" s="227"/>
      <c r="AA42" s="227"/>
      <c r="AB42" s="291">
        <f t="shared" si="0"/>
        <v>0</v>
      </c>
      <c r="AC42" s="227" t="s">
        <v>1052</v>
      </c>
      <c r="AD42" s="227"/>
      <c r="AE42" s="288">
        <v>25</v>
      </c>
      <c r="AF42" s="195" t="s">
        <v>1021</v>
      </c>
      <c r="AG42" s="292">
        <v>19649</v>
      </c>
      <c r="AH42" s="292">
        <v>20118</v>
      </c>
      <c r="AI42" s="292">
        <v>28907</v>
      </c>
      <c r="AJ42" s="292">
        <v>9525</v>
      </c>
      <c r="AK42" s="292">
        <v>1222</v>
      </c>
      <c r="AL42" s="292">
        <v>113</v>
      </c>
      <c r="AM42" s="292">
        <v>297</v>
      </c>
      <c r="AN42" s="292">
        <v>345</v>
      </c>
      <c r="AO42" s="292">
        <v>0</v>
      </c>
      <c r="AP42" s="292">
        <v>0</v>
      </c>
      <c r="AQ42" s="292">
        <v>0</v>
      </c>
      <c r="AR42" s="292">
        <v>0</v>
      </c>
      <c r="AS42" s="292">
        <v>3301</v>
      </c>
      <c r="AT42" s="292">
        <v>113</v>
      </c>
      <c r="AU42" s="292">
        <v>2507</v>
      </c>
      <c r="AV42" s="292">
        <v>39767</v>
      </c>
      <c r="AW42" s="293">
        <v>45292</v>
      </c>
      <c r="AX42" s="293">
        <v>45657</v>
      </c>
      <c r="AY42" s="195" t="s">
        <v>1011</v>
      </c>
    </row>
    <row r="43" spans="1:51" ht="99.95" customHeight="1" x14ac:dyDescent="0.2">
      <c r="A43" s="65">
        <v>1</v>
      </c>
      <c r="B43" s="195" t="s">
        <v>315</v>
      </c>
      <c r="C43" s="205">
        <v>22</v>
      </c>
      <c r="D43" s="195" t="s">
        <v>1002</v>
      </c>
      <c r="E43" s="205">
        <v>2201</v>
      </c>
      <c r="F43" s="195" t="s">
        <v>1003</v>
      </c>
      <c r="G43" s="294">
        <v>2201071</v>
      </c>
      <c r="H43" s="195" t="s">
        <v>1012</v>
      </c>
      <c r="I43" s="294">
        <v>2201071</v>
      </c>
      <c r="J43" s="195" t="s">
        <v>1012</v>
      </c>
      <c r="K43" s="294">
        <v>220107100</v>
      </c>
      <c r="L43" s="195" t="s">
        <v>1013</v>
      </c>
      <c r="M43" s="295">
        <v>220107100</v>
      </c>
      <c r="N43" s="195" t="s">
        <v>1013</v>
      </c>
      <c r="O43" s="288">
        <v>54</v>
      </c>
      <c r="P43" s="288"/>
      <c r="Q43" s="288">
        <v>54</v>
      </c>
      <c r="R43" s="289">
        <v>2020003630016</v>
      </c>
      <c r="S43" s="195" t="s">
        <v>1006</v>
      </c>
      <c r="T43" s="290">
        <f t="shared" si="1"/>
        <v>0.99953459106358844</v>
      </c>
      <c r="U43" s="195" t="s">
        <v>1007</v>
      </c>
      <c r="V43" s="227" t="s">
        <v>1014</v>
      </c>
      <c r="W43" s="227" t="s">
        <v>1022</v>
      </c>
      <c r="X43" s="749">
        <v>1600720440.8831999</v>
      </c>
      <c r="Y43" s="717">
        <f>1600720440.88</f>
        <v>1600720440.8800001</v>
      </c>
      <c r="Z43" s="227"/>
      <c r="AA43" s="227"/>
      <c r="AB43" s="291">
        <f t="shared" si="0"/>
        <v>3.1998157501220703E-3</v>
      </c>
      <c r="AC43" s="227" t="s">
        <v>1053</v>
      </c>
      <c r="AD43" s="227"/>
      <c r="AE43" s="288">
        <v>25</v>
      </c>
      <c r="AF43" s="195" t="s">
        <v>1021</v>
      </c>
      <c r="AG43" s="292">
        <v>19649</v>
      </c>
      <c r="AH43" s="292">
        <v>20118</v>
      </c>
      <c r="AI43" s="292">
        <v>28907</v>
      </c>
      <c r="AJ43" s="292">
        <v>9525</v>
      </c>
      <c r="AK43" s="292">
        <v>1222</v>
      </c>
      <c r="AL43" s="292">
        <v>113</v>
      </c>
      <c r="AM43" s="292">
        <v>297</v>
      </c>
      <c r="AN43" s="292">
        <v>345</v>
      </c>
      <c r="AO43" s="292">
        <v>0</v>
      </c>
      <c r="AP43" s="292">
        <v>0</v>
      </c>
      <c r="AQ43" s="292">
        <v>0</v>
      </c>
      <c r="AR43" s="292">
        <v>0</v>
      </c>
      <c r="AS43" s="292">
        <v>3301</v>
      </c>
      <c r="AT43" s="292">
        <v>113</v>
      </c>
      <c r="AU43" s="292">
        <v>2507</v>
      </c>
      <c r="AV43" s="292">
        <v>39767</v>
      </c>
      <c r="AW43" s="293">
        <v>45292</v>
      </c>
      <c r="AX43" s="293">
        <v>45657</v>
      </c>
      <c r="AY43" s="195" t="s">
        <v>1011</v>
      </c>
    </row>
    <row r="44" spans="1:51" ht="99.95" customHeight="1" x14ac:dyDescent="0.2">
      <c r="A44" s="65">
        <v>1</v>
      </c>
      <c r="B44" s="195" t="s">
        <v>315</v>
      </c>
      <c r="C44" s="205">
        <v>22</v>
      </c>
      <c r="D44" s="195" t="s">
        <v>1002</v>
      </c>
      <c r="E44" s="205">
        <v>2201</v>
      </c>
      <c r="F44" s="195" t="s">
        <v>1003</v>
      </c>
      <c r="G44" s="294">
        <v>2201071</v>
      </c>
      <c r="H44" s="195" t="s">
        <v>1012</v>
      </c>
      <c r="I44" s="294">
        <v>2201071</v>
      </c>
      <c r="J44" s="195" t="s">
        <v>1012</v>
      </c>
      <c r="K44" s="294">
        <v>220107100</v>
      </c>
      <c r="L44" s="195" t="s">
        <v>1013</v>
      </c>
      <c r="M44" s="295">
        <v>220107100</v>
      </c>
      <c r="N44" s="195" t="s">
        <v>1013</v>
      </c>
      <c r="O44" s="288">
        <v>54</v>
      </c>
      <c r="P44" s="288"/>
      <c r="Q44" s="288">
        <v>54</v>
      </c>
      <c r="R44" s="289">
        <v>2020003630016</v>
      </c>
      <c r="S44" s="195" t="s">
        <v>1006</v>
      </c>
      <c r="T44" s="290">
        <f t="shared" si="1"/>
        <v>0.99953459106358844</v>
      </c>
      <c r="U44" s="195" t="s">
        <v>1007</v>
      </c>
      <c r="V44" s="227" t="s">
        <v>1014</v>
      </c>
      <c r="W44" s="227" t="s">
        <v>1025</v>
      </c>
      <c r="X44" s="291">
        <v>257600000</v>
      </c>
      <c r="Y44" s="717">
        <f>257600000</f>
        <v>257600000</v>
      </c>
      <c r="Z44" s="227"/>
      <c r="AA44" s="227"/>
      <c r="AB44" s="291">
        <f t="shared" si="0"/>
        <v>0</v>
      </c>
      <c r="AC44" s="227" t="s">
        <v>1054</v>
      </c>
      <c r="AD44" s="227"/>
      <c r="AE44" s="288">
        <v>25</v>
      </c>
      <c r="AF44" s="195" t="s">
        <v>1021</v>
      </c>
      <c r="AG44" s="292">
        <v>19649</v>
      </c>
      <c r="AH44" s="292">
        <v>20118</v>
      </c>
      <c r="AI44" s="292">
        <v>28907</v>
      </c>
      <c r="AJ44" s="292">
        <v>9525</v>
      </c>
      <c r="AK44" s="292">
        <v>1222</v>
      </c>
      <c r="AL44" s="292">
        <v>113</v>
      </c>
      <c r="AM44" s="292">
        <v>297</v>
      </c>
      <c r="AN44" s="292">
        <v>345</v>
      </c>
      <c r="AO44" s="292">
        <v>0</v>
      </c>
      <c r="AP44" s="292">
        <v>0</v>
      </c>
      <c r="AQ44" s="292">
        <v>0</v>
      </c>
      <c r="AR44" s="292">
        <v>0</v>
      </c>
      <c r="AS44" s="292">
        <v>3301</v>
      </c>
      <c r="AT44" s="292">
        <v>113</v>
      </c>
      <c r="AU44" s="292">
        <v>2507</v>
      </c>
      <c r="AV44" s="292">
        <v>39767</v>
      </c>
      <c r="AW44" s="293">
        <v>45292</v>
      </c>
      <c r="AX44" s="293">
        <v>45657</v>
      </c>
      <c r="AY44" s="195" t="s">
        <v>1011</v>
      </c>
    </row>
    <row r="45" spans="1:51" ht="99.95" customHeight="1" x14ac:dyDescent="0.2">
      <c r="A45" s="65">
        <v>1</v>
      </c>
      <c r="B45" s="195" t="s">
        <v>315</v>
      </c>
      <c r="C45" s="205">
        <v>22</v>
      </c>
      <c r="D45" s="195" t="s">
        <v>1002</v>
      </c>
      <c r="E45" s="205">
        <v>2201</v>
      </c>
      <c r="F45" s="195" t="s">
        <v>1003</v>
      </c>
      <c r="G45" s="294">
        <v>2201071</v>
      </c>
      <c r="H45" s="195" t="s">
        <v>1012</v>
      </c>
      <c r="I45" s="294">
        <v>2201071</v>
      </c>
      <c r="J45" s="195" t="s">
        <v>1012</v>
      </c>
      <c r="K45" s="294">
        <v>220107100</v>
      </c>
      <c r="L45" s="195" t="s">
        <v>1013</v>
      </c>
      <c r="M45" s="295">
        <v>220107100</v>
      </c>
      <c r="N45" s="195" t="s">
        <v>1013</v>
      </c>
      <c r="O45" s="288">
        <v>54</v>
      </c>
      <c r="P45" s="288"/>
      <c r="Q45" s="288">
        <v>54</v>
      </c>
      <c r="R45" s="289">
        <v>2020003630016</v>
      </c>
      <c r="S45" s="195" t="s">
        <v>1006</v>
      </c>
      <c r="T45" s="290">
        <f t="shared" si="1"/>
        <v>0.99953459106358844</v>
      </c>
      <c r="U45" s="195" t="s">
        <v>1007</v>
      </c>
      <c r="V45" s="227" t="s">
        <v>1014</v>
      </c>
      <c r="W45" s="227" t="s">
        <v>1022</v>
      </c>
      <c r="X45" s="291">
        <v>29347584</v>
      </c>
      <c r="Y45" s="717">
        <f>29347584</f>
        <v>29347584</v>
      </c>
      <c r="Z45" s="227"/>
      <c r="AA45" s="227"/>
      <c r="AB45" s="291">
        <f t="shared" si="0"/>
        <v>0</v>
      </c>
      <c r="AC45" s="227" t="s">
        <v>1055</v>
      </c>
      <c r="AD45" s="227"/>
      <c r="AE45" s="288">
        <v>25</v>
      </c>
      <c r="AF45" s="195" t="s">
        <v>1021</v>
      </c>
      <c r="AG45" s="292">
        <v>19649</v>
      </c>
      <c r="AH45" s="292">
        <v>20118</v>
      </c>
      <c r="AI45" s="292">
        <v>28907</v>
      </c>
      <c r="AJ45" s="292">
        <v>9525</v>
      </c>
      <c r="AK45" s="292">
        <v>1222</v>
      </c>
      <c r="AL45" s="292">
        <v>113</v>
      </c>
      <c r="AM45" s="292">
        <v>297</v>
      </c>
      <c r="AN45" s="292">
        <v>345</v>
      </c>
      <c r="AO45" s="292">
        <v>0</v>
      </c>
      <c r="AP45" s="292">
        <v>0</v>
      </c>
      <c r="AQ45" s="292">
        <v>0</v>
      </c>
      <c r="AR45" s="292">
        <v>0</v>
      </c>
      <c r="AS45" s="292">
        <v>3301</v>
      </c>
      <c r="AT45" s="292">
        <v>113</v>
      </c>
      <c r="AU45" s="292">
        <v>2507</v>
      </c>
      <c r="AV45" s="292">
        <v>39767</v>
      </c>
      <c r="AW45" s="293">
        <v>45292</v>
      </c>
      <c r="AX45" s="293">
        <v>45657</v>
      </c>
      <c r="AY45" s="195" t="s">
        <v>1011</v>
      </c>
    </row>
    <row r="46" spans="1:51" ht="99.95" customHeight="1" x14ac:dyDescent="0.2">
      <c r="A46" s="65">
        <v>1</v>
      </c>
      <c r="B46" s="195" t="s">
        <v>315</v>
      </c>
      <c r="C46" s="205">
        <v>22</v>
      </c>
      <c r="D46" s="195" t="s">
        <v>1002</v>
      </c>
      <c r="E46" s="205">
        <v>2201</v>
      </c>
      <c r="F46" s="195" t="s">
        <v>1003</v>
      </c>
      <c r="G46" s="294">
        <v>2201071</v>
      </c>
      <c r="H46" s="195" t="s">
        <v>1012</v>
      </c>
      <c r="I46" s="294">
        <v>2201071</v>
      </c>
      <c r="J46" s="195" t="s">
        <v>1012</v>
      </c>
      <c r="K46" s="294">
        <v>220107100</v>
      </c>
      <c r="L46" s="195" t="s">
        <v>1013</v>
      </c>
      <c r="M46" s="295">
        <v>220107100</v>
      </c>
      <c r="N46" s="195" t="s">
        <v>1013</v>
      </c>
      <c r="O46" s="288">
        <v>54</v>
      </c>
      <c r="P46" s="288"/>
      <c r="Q46" s="288">
        <v>54</v>
      </c>
      <c r="R46" s="289">
        <v>2020003630016</v>
      </c>
      <c r="S46" s="195" t="s">
        <v>1006</v>
      </c>
      <c r="T46" s="290">
        <f t="shared" si="1"/>
        <v>0.99953459106358844</v>
      </c>
      <c r="U46" s="195" t="s">
        <v>1007</v>
      </c>
      <c r="V46" s="227" t="s">
        <v>1014</v>
      </c>
      <c r="W46" s="227" t="s">
        <v>1025</v>
      </c>
      <c r="X46" s="291">
        <v>3483802784</v>
      </c>
      <c r="Y46" s="717">
        <f>3483802784</f>
        <v>3483802784</v>
      </c>
      <c r="Z46" s="227"/>
      <c r="AA46" s="227"/>
      <c r="AB46" s="291">
        <f t="shared" si="0"/>
        <v>0</v>
      </c>
      <c r="AC46" s="227" t="s">
        <v>1056</v>
      </c>
      <c r="AD46" s="227"/>
      <c r="AE46" s="288">
        <v>25</v>
      </c>
      <c r="AF46" s="195" t="s">
        <v>1021</v>
      </c>
      <c r="AG46" s="292">
        <v>19649</v>
      </c>
      <c r="AH46" s="292">
        <v>20118</v>
      </c>
      <c r="AI46" s="292">
        <v>28907</v>
      </c>
      <c r="AJ46" s="292">
        <v>9525</v>
      </c>
      <c r="AK46" s="292">
        <v>1222</v>
      </c>
      <c r="AL46" s="292">
        <v>113</v>
      </c>
      <c r="AM46" s="292">
        <v>297</v>
      </c>
      <c r="AN46" s="292">
        <v>345</v>
      </c>
      <c r="AO46" s="292">
        <v>0</v>
      </c>
      <c r="AP46" s="292">
        <v>0</v>
      </c>
      <c r="AQ46" s="292">
        <v>0</v>
      </c>
      <c r="AR46" s="292">
        <v>0</v>
      </c>
      <c r="AS46" s="292">
        <v>3301</v>
      </c>
      <c r="AT46" s="292">
        <v>113</v>
      </c>
      <c r="AU46" s="292">
        <v>2507</v>
      </c>
      <c r="AV46" s="292">
        <v>39767</v>
      </c>
      <c r="AW46" s="293">
        <v>45292</v>
      </c>
      <c r="AX46" s="293">
        <v>45657</v>
      </c>
      <c r="AY46" s="195" t="s">
        <v>1011</v>
      </c>
    </row>
    <row r="47" spans="1:51" ht="99.95" customHeight="1" x14ac:dyDescent="0.2">
      <c r="A47" s="65">
        <v>1</v>
      </c>
      <c r="B47" s="195" t="s">
        <v>315</v>
      </c>
      <c r="C47" s="205">
        <v>22</v>
      </c>
      <c r="D47" s="195" t="s">
        <v>1002</v>
      </c>
      <c r="E47" s="205">
        <v>2201</v>
      </c>
      <c r="F47" s="195" t="s">
        <v>1003</v>
      </c>
      <c r="G47" s="294">
        <v>2201071</v>
      </c>
      <c r="H47" s="195" t="s">
        <v>1012</v>
      </c>
      <c r="I47" s="294">
        <v>2201071</v>
      </c>
      <c r="J47" s="195" t="s">
        <v>1012</v>
      </c>
      <c r="K47" s="294">
        <v>220107100</v>
      </c>
      <c r="L47" s="195" t="s">
        <v>1013</v>
      </c>
      <c r="M47" s="295">
        <v>220107100</v>
      </c>
      <c r="N47" s="195" t="s">
        <v>1013</v>
      </c>
      <c r="O47" s="288">
        <v>54</v>
      </c>
      <c r="P47" s="288"/>
      <c r="Q47" s="288">
        <v>54</v>
      </c>
      <c r="R47" s="289">
        <v>2020003630016</v>
      </c>
      <c r="S47" s="195" t="s">
        <v>1006</v>
      </c>
      <c r="T47" s="290">
        <f t="shared" si="1"/>
        <v>0.99953459106358844</v>
      </c>
      <c r="U47" s="195" t="s">
        <v>1007</v>
      </c>
      <c r="V47" s="227" t="s">
        <v>1014</v>
      </c>
      <c r="W47" s="227" t="s">
        <v>1019</v>
      </c>
      <c r="X47" s="291">
        <v>268534991.19999999</v>
      </c>
      <c r="Y47" s="717">
        <f>268534991.2</f>
        <v>268534991.19999999</v>
      </c>
      <c r="Z47" s="227"/>
      <c r="AA47" s="227"/>
      <c r="AB47" s="291">
        <f t="shared" si="0"/>
        <v>0</v>
      </c>
      <c r="AC47" s="227" t="s">
        <v>1057</v>
      </c>
      <c r="AD47" s="227"/>
      <c r="AE47" s="288">
        <v>25</v>
      </c>
      <c r="AF47" s="195" t="s">
        <v>1021</v>
      </c>
      <c r="AG47" s="292">
        <v>19649</v>
      </c>
      <c r="AH47" s="292">
        <v>20118</v>
      </c>
      <c r="AI47" s="292">
        <v>28907</v>
      </c>
      <c r="AJ47" s="292">
        <v>9525</v>
      </c>
      <c r="AK47" s="292">
        <v>1222</v>
      </c>
      <c r="AL47" s="292">
        <v>113</v>
      </c>
      <c r="AM47" s="292">
        <v>297</v>
      </c>
      <c r="AN47" s="292">
        <v>345</v>
      </c>
      <c r="AO47" s="292">
        <v>0</v>
      </c>
      <c r="AP47" s="292">
        <v>0</v>
      </c>
      <c r="AQ47" s="292">
        <v>0</v>
      </c>
      <c r="AR47" s="292">
        <v>0</v>
      </c>
      <c r="AS47" s="292">
        <v>3301</v>
      </c>
      <c r="AT47" s="292">
        <v>113</v>
      </c>
      <c r="AU47" s="292">
        <v>2507</v>
      </c>
      <c r="AV47" s="292">
        <v>39767</v>
      </c>
      <c r="AW47" s="293">
        <v>45292</v>
      </c>
      <c r="AX47" s="293">
        <v>45657</v>
      </c>
      <c r="AY47" s="195" t="s">
        <v>1011</v>
      </c>
    </row>
    <row r="48" spans="1:51" ht="99.95" customHeight="1" x14ac:dyDescent="0.2">
      <c r="A48" s="65">
        <v>1</v>
      </c>
      <c r="B48" s="195" t="s">
        <v>315</v>
      </c>
      <c r="C48" s="205">
        <v>22</v>
      </c>
      <c r="D48" s="195" t="s">
        <v>1002</v>
      </c>
      <c r="E48" s="205">
        <v>2201</v>
      </c>
      <c r="F48" s="195" t="s">
        <v>1003</v>
      </c>
      <c r="G48" s="294">
        <v>2201071</v>
      </c>
      <c r="H48" s="195" t="s">
        <v>1012</v>
      </c>
      <c r="I48" s="294">
        <v>2201071</v>
      </c>
      <c r="J48" s="195" t="s">
        <v>1012</v>
      </c>
      <c r="K48" s="294">
        <v>220107100</v>
      </c>
      <c r="L48" s="195" t="s">
        <v>1013</v>
      </c>
      <c r="M48" s="295">
        <v>220107100</v>
      </c>
      <c r="N48" s="195" t="s">
        <v>1013</v>
      </c>
      <c r="O48" s="288">
        <v>54</v>
      </c>
      <c r="P48" s="288"/>
      <c r="Q48" s="288">
        <v>54</v>
      </c>
      <c r="R48" s="289">
        <v>2020003630016</v>
      </c>
      <c r="S48" s="195" t="s">
        <v>1006</v>
      </c>
      <c r="T48" s="290">
        <f t="shared" si="1"/>
        <v>0.99953459106358844</v>
      </c>
      <c r="U48" s="195" t="s">
        <v>1007</v>
      </c>
      <c r="V48" s="227" t="s">
        <v>1014</v>
      </c>
      <c r="W48" s="227" t="s">
        <v>1022</v>
      </c>
      <c r="X48" s="291">
        <v>1436573376</v>
      </c>
      <c r="Y48" s="717">
        <f>1436573376</f>
        <v>1436573376</v>
      </c>
      <c r="Z48" s="227"/>
      <c r="AA48" s="227"/>
      <c r="AB48" s="291">
        <f t="shared" si="0"/>
        <v>0</v>
      </c>
      <c r="AC48" s="227" t="s">
        <v>1058</v>
      </c>
      <c r="AD48" s="227"/>
      <c r="AE48" s="288">
        <v>25</v>
      </c>
      <c r="AF48" s="195" t="s">
        <v>1021</v>
      </c>
      <c r="AG48" s="292">
        <v>19649</v>
      </c>
      <c r="AH48" s="292">
        <v>20118</v>
      </c>
      <c r="AI48" s="292">
        <v>28907</v>
      </c>
      <c r="AJ48" s="292">
        <v>9525</v>
      </c>
      <c r="AK48" s="292">
        <v>1222</v>
      </c>
      <c r="AL48" s="292">
        <v>113</v>
      </c>
      <c r="AM48" s="292">
        <v>297</v>
      </c>
      <c r="AN48" s="292">
        <v>345</v>
      </c>
      <c r="AO48" s="292">
        <v>0</v>
      </c>
      <c r="AP48" s="292">
        <v>0</v>
      </c>
      <c r="AQ48" s="292">
        <v>0</v>
      </c>
      <c r="AR48" s="292">
        <v>0</v>
      </c>
      <c r="AS48" s="292">
        <v>3301</v>
      </c>
      <c r="AT48" s="292">
        <v>113</v>
      </c>
      <c r="AU48" s="292">
        <v>2507</v>
      </c>
      <c r="AV48" s="292">
        <v>39767</v>
      </c>
      <c r="AW48" s="293">
        <v>45292</v>
      </c>
      <c r="AX48" s="293">
        <v>45657</v>
      </c>
      <c r="AY48" s="195" t="s">
        <v>1011</v>
      </c>
    </row>
    <row r="49" spans="1:51" ht="99.95" customHeight="1" x14ac:dyDescent="0.2">
      <c r="A49" s="65">
        <v>1</v>
      </c>
      <c r="B49" s="195" t="s">
        <v>315</v>
      </c>
      <c r="C49" s="205">
        <v>22</v>
      </c>
      <c r="D49" s="195" t="s">
        <v>1002</v>
      </c>
      <c r="E49" s="205">
        <v>2201</v>
      </c>
      <c r="F49" s="195" t="s">
        <v>1003</v>
      </c>
      <c r="G49" s="294">
        <v>2201071</v>
      </c>
      <c r="H49" s="195" t="s">
        <v>1012</v>
      </c>
      <c r="I49" s="294">
        <v>2201071</v>
      </c>
      <c r="J49" s="195" t="s">
        <v>1012</v>
      </c>
      <c r="K49" s="294">
        <v>220107100</v>
      </c>
      <c r="L49" s="195" t="s">
        <v>1013</v>
      </c>
      <c r="M49" s="295">
        <v>220107100</v>
      </c>
      <c r="N49" s="195" t="s">
        <v>1013</v>
      </c>
      <c r="O49" s="288">
        <v>54</v>
      </c>
      <c r="P49" s="288"/>
      <c r="Q49" s="288">
        <v>54</v>
      </c>
      <c r="R49" s="289">
        <v>2020003630016</v>
      </c>
      <c r="S49" s="195" t="s">
        <v>1006</v>
      </c>
      <c r="T49" s="290">
        <f t="shared" si="1"/>
        <v>0.99953459106358844</v>
      </c>
      <c r="U49" s="195" t="s">
        <v>1007</v>
      </c>
      <c r="V49" s="227" t="s">
        <v>1014</v>
      </c>
      <c r="W49" s="227" t="s">
        <v>1022</v>
      </c>
      <c r="X49" s="291">
        <v>4614400000</v>
      </c>
      <c r="Y49" s="717">
        <f>4614400</f>
        <v>4614400</v>
      </c>
      <c r="Z49" s="227"/>
      <c r="AA49" s="227"/>
      <c r="AB49" s="291">
        <f t="shared" si="0"/>
        <v>4609785600</v>
      </c>
      <c r="AC49" s="227" t="s">
        <v>1059</v>
      </c>
      <c r="AD49" s="227"/>
      <c r="AE49" s="288">
        <v>26</v>
      </c>
      <c r="AF49" s="195" t="s">
        <v>1028</v>
      </c>
      <c r="AG49" s="292">
        <v>19649</v>
      </c>
      <c r="AH49" s="292">
        <v>20118</v>
      </c>
      <c r="AI49" s="292">
        <v>28907</v>
      </c>
      <c r="AJ49" s="292">
        <v>9525</v>
      </c>
      <c r="AK49" s="292">
        <v>1222</v>
      </c>
      <c r="AL49" s="292">
        <v>113</v>
      </c>
      <c r="AM49" s="292">
        <v>297</v>
      </c>
      <c r="AN49" s="292">
        <v>345</v>
      </c>
      <c r="AO49" s="292">
        <v>0</v>
      </c>
      <c r="AP49" s="292">
        <v>0</v>
      </c>
      <c r="AQ49" s="292">
        <v>0</v>
      </c>
      <c r="AR49" s="292">
        <v>0</v>
      </c>
      <c r="AS49" s="292">
        <v>3301</v>
      </c>
      <c r="AT49" s="292">
        <v>113</v>
      </c>
      <c r="AU49" s="292">
        <v>2507</v>
      </c>
      <c r="AV49" s="292">
        <v>39767</v>
      </c>
      <c r="AW49" s="293">
        <v>45292</v>
      </c>
      <c r="AX49" s="293">
        <v>45657</v>
      </c>
      <c r="AY49" s="195" t="s">
        <v>1011</v>
      </c>
    </row>
    <row r="50" spans="1:51" ht="99.95" customHeight="1" x14ac:dyDescent="0.2">
      <c r="A50" s="65">
        <v>1</v>
      </c>
      <c r="B50" s="195" t="s">
        <v>315</v>
      </c>
      <c r="C50" s="205">
        <v>22</v>
      </c>
      <c r="D50" s="195" t="s">
        <v>1002</v>
      </c>
      <c r="E50" s="205">
        <v>2201</v>
      </c>
      <c r="F50" s="195" t="s">
        <v>1003</v>
      </c>
      <c r="G50" s="294">
        <v>2201071</v>
      </c>
      <c r="H50" s="195" t="s">
        <v>1012</v>
      </c>
      <c r="I50" s="294">
        <v>2201071</v>
      </c>
      <c r="J50" s="195" t="s">
        <v>1012</v>
      </c>
      <c r="K50" s="294">
        <v>220107100</v>
      </c>
      <c r="L50" s="195" t="s">
        <v>1013</v>
      </c>
      <c r="M50" s="295">
        <v>220107100</v>
      </c>
      <c r="N50" s="195" t="s">
        <v>1013</v>
      </c>
      <c r="O50" s="288">
        <v>54</v>
      </c>
      <c r="P50" s="288"/>
      <c r="Q50" s="288">
        <v>54</v>
      </c>
      <c r="R50" s="289">
        <v>2020003630016</v>
      </c>
      <c r="S50" s="195" t="s">
        <v>1006</v>
      </c>
      <c r="T50" s="290">
        <f t="shared" si="1"/>
        <v>0.99953459106358844</v>
      </c>
      <c r="U50" s="195" t="s">
        <v>1007</v>
      </c>
      <c r="V50" s="227" t="s">
        <v>1014</v>
      </c>
      <c r="W50" s="227" t="s">
        <v>1022</v>
      </c>
      <c r="X50" s="291">
        <v>1153600000</v>
      </c>
      <c r="Y50" s="717">
        <f>1153600000</f>
        <v>1153600000</v>
      </c>
      <c r="Z50" s="227"/>
      <c r="AA50" s="227"/>
      <c r="AB50" s="291">
        <f t="shared" si="0"/>
        <v>0</v>
      </c>
      <c r="AC50" s="227" t="s">
        <v>1060</v>
      </c>
      <c r="AD50" s="227"/>
      <c r="AE50" s="288">
        <v>26</v>
      </c>
      <c r="AF50" s="195" t="s">
        <v>1028</v>
      </c>
      <c r="AG50" s="292">
        <v>19649</v>
      </c>
      <c r="AH50" s="292">
        <v>20118</v>
      </c>
      <c r="AI50" s="292">
        <v>28907</v>
      </c>
      <c r="AJ50" s="292">
        <v>9525</v>
      </c>
      <c r="AK50" s="292">
        <v>1222</v>
      </c>
      <c r="AL50" s="292">
        <v>113</v>
      </c>
      <c r="AM50" s="292">
        <v>297</v>
      </c>
      <c r="AN50" s="292">
        <v>345</v>
      </c>
      <c r="AO50" s="292">
        <v>0</v>
      </c>
      <c r="AP50" s="292">
        <v>0</v>
      </c>
      <c r="AQ50" s="292">
        <v>0</v>
      </c>
      <c r="AR50" s="292">
        <v>0</v>
      </c>
      <c r="AS50" s="292">
        <v>3301</v>
      </c>
      <c r="AT50" s="292">
        <v>113</v>
      </c>
      <c r="AU50" s="292">
        <v>2507</v>
      </c>
      <c r="AV50" s="292">
        <v>39767</v>
      </c>
      <c r="AW50" s="293">
        <v>45292</v>
      </c>
      <c r="AX50" s="293">
        <v>45657</v>
      </c>
      <c r="AY50" s="195" t="s">
        <v>1011</v>
      </c>
    </row>
    <row r="51" spans="1:51" ht="99.95" customHeight="1" x14ac:dyDescent="0.2">
      <c r="A51" s="65">
        <v>1</v>
      </c>
      <c r="B51" s="195" t="s">
        <v>315</v>
      </c>
      <c r="C51" s="205">
        <v>22</v>
      </c>
      <c r="D51" s="195" t="s">
        <v>1002</v>
      </c>
      <c r="E51" s="205">
        <v>2201</v>
      </c>
      <c r="F51" s="195" t="s">
        <v>1003</v>
      </c>
      <c r="G51" s="294">
        <v>2201071</v>
      </c>
      <c r="H51" s="195" t="s">
        <v>1012</v>
      </c>
      <c r="I51" s="294">
        <v>2201071</v>
      </c>
      <c r="J51" s="195" t="s">
        <v>1012</v>
      </c>
      <c r="K51" s="294">
        <v>220107100</v>
      </c>
      <c r="L51" s="195" t="s">
        <v>1013</v>
      </c>
      <c r="M51" s="295">
        <v>220107100</v>
      </c>
      <c r="N51" s="195" t="s">
        <v>1013</v>
      </c>
      <c r="O51" s="288">
        <v>54</v>
      </c>
      <c r="P51" s="288"/>
      <c r="Q51" s="288">
        <v>54</v>
      </c>
      <c r="R51" s="289">
        <v>2020003630016</v>
      </c>
      <c r="S51" s="195" t="s">
        <v>1006</v>
      </c>
      <c r="T51" s="290">
        <f t="shared" si="1"/>
        <v>0.99953459106358844</v>
      </c>
      <c r="U51" s="195" t="s">
        <v>1007</v>
      </c>
      <c r="V51" s="227" t="s">
        <v>1014</v>
      </c>
      <c r="W51" s="227" t="s">
        <v>1019</v>
      </c>
      <c r="X51" s="291">
        <v>190214544.80000001</v>
      </c>
      <c r="Y51" s="717">
        <f>190214544.8</f>
        <v>190214544.80000001</v>
      </c>
      <c r="Z51" s="227"/>
      <c r="AA51" s="227"/>
      <c r="AB51" s="291">
        <f t="shared" si="0"/>
        <v>0</v>
      </c>
      <c r="AC51" s="227" t="s">
        <v>1061</v>
      </c>
      <c r="AD51" s="227"/>
      <c r="AE51" s="288">
        <v>25</v>
      </c>
      <c r="AF51" s="195" t="s">
        <v>1021</v>
      </c>
      <c r="AG51" s="292">
        <v>19649</v>
      </c>
      <c r="AH51" s="292">
        <v>20118</v>
      </c>
      <c r="AI51" s="292">
        <v>28907</v>
      </c>
      <c r="AJ51" s="292">
        <v>9525</v>
      </c>
      <c r="AK51" s="292">
        <v>1222</v>
      </c>
      <c r="AL51" s="292">
        <v>113</v>
      </c>
      <c r="AM51" s="292">
        <v>297</v>
      </c>
      <c r="AN51" s="292">
        <v>345</v>
      </c>
      <c r="AO51" s="292">
        <v>0</v>
      </c>
      <c r="AP51" s="292">
        <v>0</v>
      </c>
      <c r="AQ51" s="292">
        <v>0</v>
      </c>
      <c r="AR51" s="292">
        <v>0</v>
      </c>
      <c r="AS51" s="292">
        <v>3301</v>
      </c>
      <c r="AT51" s="292">
        <v>113</v>
      </c>
      <c r="AU51" s="292">
        <v>2507</v>
      </c>
      <c r="AV51" s="292">
        <v>39767</v>
      </c>
      <c r="AW51" s="293">
        <v>45292</v>
      </c>
      <c r="AX51" s="293">
        <v>45657</v>
      </c>
      <c r="AY51" s="195" t="s">
        <v>1011</v>
      </c>
    </row>
    <row r="52" spans="1:51" ht="99.95" customHeight="1" x14ac:dyDescent="0.2">
      <c r="A52" s="65">
        <v>1</v>
      </c>
      <c r="B52" s="195" t="s">
        <v>315</v>
      </c>
      <c r="C52" s="205">
        <v>22</v>
      </c>
      <c r="D52" s="195" t="s">
        <v>1002</v>
      </c>
      <c r="E52" s="205">
        <v>2201</v>
      </c>
      <c r="F52" s="195" t="s">
        <v>1003</v>
      </c>
      <c r="G52" s="294">
        <v>2201071</v>
      </c>
      <c r="H52" s="195" t="s">
        <v>1012</v>
      </c>
      <c r="I52" s="294">
        <v>2201071</v>
      </c>
      <c r="J52" s="195" t="s">
        <v>1012</v>
      </c>
      <c r="K52" s="294">
        <v>220107100</v>
      </c>
      <c r="L52" s="195" t="s">
        <v>1013</v>
      </c>
      <c r="M52" s="295">
        <v>220107100</v>
      </c>
      <c r="N52" s="195" t="s">
        <v>1013</v>
      </c>
      <c r="O52" s="288">
        <v>54</v>
      </c>
      <c r="P52" s="288"/>
      <c r="Q52" s="288">
        <v>54</v>
      </c>
      <c r="R52" s="289">
        <v>2020003630016</v>
      </c>
      <c r="S52" s="195" t="s">
        <v>1006</v>
      </c>
      <c r="T52" s="290">
        <f t="shared" si="1"/>
        <v>0.99953459106358844</v>
      </c>
      <c r="U52" s="195" t="s">
        <v>1007</v>
      </c>
      <c r="V52" s="227" t="s">
        <v>1014</v>
      </c>
      <c r="W52" s="227" t="s">
        <v>1022</v>
      </c>
      <c r="X52" s="749">
        <v>1023043845.6</v>
      </c>
      <c r="Y52" s="717">
        <f>1023043845.6</f>
        <v>1023043845.6</v>
      </c>
      <c r="Z52" s="227"/>
      <c r="AA52" s="227"/>
      <c r="AB52" s="291">
        <f t="shared" si="0"/>
        <v>0</v>
      </c>
      <c r="AC52" s="227" t="s">
        <v>1062</v>
      </c>
      <c r="AD52" s="227"/>
      <c r="AE52" s="288">
        <v>25</v>
      </c>
      <c r="AF52" s="195" t="s">
        <v>1021</v>
      </c>
      <c r="AG52" s="292">
        <v>19649</v>
      </c>
      <c r="AH52" s="292">
        <v>20118</v>
      </c>
      <c r="AI52" s="292">
        <v>28907</v>
      </c>
      <c r="AJ52" s="292">
        <v>9525</v>
      </c>
      <c r="AK52" s="292">
        <v>1222</v>
      </c>
      <c r="AL52" s="292">
        <v>113</v>
      </c>
      <c r="AM52" s="292">
        <v>297</v>
      </c>
      <c r="AN52" s="292">
        <v>345</v>
      </c>
      <c r="AO52" s="292">
        <v>0</v>
      </c>
      <c r="AP52" s="292">
        <v>0</v>
      </c>
      <c r="AQ52" s="292">
        <v>0</v>
      </c>
      <c r="AR52" s="292">
        <v>0</v>
      </c>
      <c r="AS52" s="292">
        <v>3301</v>
      </c>
      <c r="AT52" s="292">
        <v>113</v>
      </c>
      <c r="AU52" s="292">
        <v>2507</v>
      </c>
      <c r="AV52" s="292">
        <v>39767</v>
      </c>
      <c r="AW52" s="293">
        <v>45292</v>
      </c>
      <c r="AX52" s="293">
        <v>45657</v>
      </c>
      <c r="AY52" s="195" t="s">
        <v>1011</v>
      </c>
    </row>
    <row r="53" spans="1:51" ht="99.95" customHeight="1" x14ac:dyDescent="0.2">
      <c r="A53" s="65">
        <v>1</v>
      </c>
      <c r="B53" s="195" t="s">
        <v>315</v>
      </c>
      <c r="C53" s="205">
        <v>22</v>
      </c>
      <c r="D53" s="195" t="s">
        <v>1002</v>
      </c>
      <c r="E53" s="205">
        <v>2201</v>
      </c>
      <c r="F53" s="195" t="s">
        <v>1003</v>
      </c>
      <c r="G53" s="294">
        <v>2201071</v>
      </c>
      <c r="H53" s="195" t="s">
        <v>1012</v>
      </c>
      <c r="I53" s="294">
        <v>2201071</v>
      </c>
      <c r="J53" s="195" t="s">
        <v>1012</v>
      </c>
      <c r="K53" s="294">
        <v>220107100</v>
      </c>
      <c r="L53" s="195" t="s">
        <v>1013</v>
      </c>
      <c r="M53" s="295">
        <v>220107100</v>
      </c>
      <c r="N53" s="195" t="s">
        <v>1013</v>
      </c>
      <c r="O53" s="288">
        <v>54</v>
      </c>
      <c r="P53" s="288"/>
      <c r="Q53" s="288">
        <v>54</v>
      </c>
      <c r="R53" s="289">
        <v>2020003630016</v>
      </c>
      <c r="S53" s="195" t="s">
        <v>1006</v>
      </c>
      <c r="T53" s="290">
        <f t="shared" si="1"/>
        <v>0.99953459106358844</v>
      </c>
      <c r="U53" s="195" t="s">
        <v>1007</v>
      </c>
      <c r="V53" s="227" t="s">
        <v>1014</v>
      </c>
      <c r="W53" s="227" t="s">
        <v>1022</v>
      </c>
      <c r="X53" s="291">
        <v>4614400000</v>
      </c>
      <c r="Y53" s="744">
        <f>4614400000</f>
        <v>4614400000</v>
      </c>
      <c r="Z53" s="227"/>
      <c r="AA53" s="227"/>
      <c r="AB53" s="291">
        <f t="shared" si="0"/>
        <v>0</v>
      </c>
      <c r="AC53" s="227" t="s">
        <v>1063</v>
      </c>
      <c r="AD53" s="227"/>
      <c r="AE53" s="288">
        <v>26</v>
      </c>
      <c r="AF53" s="195" t="s">
        <v>1028</v>
      </c>
      <c r="AG53" s="292">
        <v>19649</v>
      </c>
      <c r="AH53" s="292">
        <v>20118</v>
      </c>
      <c r="AI53" s="292">
        <v>28907</v>
      </c>
      <c r="AJ53" s="292">
        <v>9525</v>
      </c>
      <c r="AK53" s="292">
        <v>1222</v>
      </c>
      <c r="AL53" s="292">
        <v>113</v>
      </c>
      <c r="AM53" s="292">
        <v>297</v>
      </c>
      <c r="AN53" s="292">
        <v>345</v>
      </c>
      <c r="AO53" s="292">
        <v>0</v>
      </c>
      <c r="AP53" s="292">
        <v>0</v>
      </c>
      <c r="AQ53" s="292">
        <v>0</v>
      </c>
      <c r="AR53" s="292">
        <v>0</v>
      </c>
      <c r="AS53" s="292">
        <v>3301</v>
      </c>
      <c r="AT53" s="292">
        <v>113</v>
      </c>
      <c r="AU53" s="292">
        <v>2507</v>
      </c>
      <c r="AV53" s="292">
        <v>39767</v>
      </c>
      <c r="AW53" s="293">
        <v>45292</v>
      </c>
      <c r="AX53" s="293">
        <v>45657</v>
      </c>
      <c r="AY53" s="195" t="s">
        <v>1011</v>
      </c>
    </row>
    <row r="54" spans="1:51" ht="99.95" customHeight="1" x14ac:dyDescent="0.2">
      <c r="A54" s="65">
        <v>1</v>
      </c>
      <c r="B54" s="195" t="s">
        <v>315</v>
      </c>
      <c r="C54" s="205">
        <v>22</v>
      </c>
      <c r="D54" s="195" t="s">
        <v>1002</v>
      </c>
      <c r="E54" s="205">
        <v>2201</v>
      </c>
      <c r="F54" s="195" t="s">
        <v>1003</v>
      </c>
      <c r="G54" s="294">
        <v>2201071</v>
      </c>
      <c r="H54" s="195" t="s">
        <v>1012</v>
      </c>
      <c r="I54" s="294">
        <v>2201071</v>
      </c>
      <c r="J54" s="195" t="s">
        <v>1012</v>
      </c>
      <c r="K54" s="294">
        <v>220107100</v>
      </c>
      <c r="L54" s="195" t="s">
        <v>1013</v>
      </c>
      <c r="M54" s="295">
        <v>220107100</v>
      </c>
      <c r="N54" s="195" t="s">
        <v>1013</v>
      </c>
      <c r="O54" s="288">
        <v>54</v>
      </c>
      <c r="P54" s="288"/>
      <c r="Q54" s="288">
        <v>54</v>
      </c>
      <c r="R54" s="289">
        <v>2020003630016</v>
      </c>
      <c r="S54" s="195" t="s">
        <v>1006</v>
      </c>
      <c r="T54" s="290">
        <f t="shared" si="1"/>
        <v>0.99953459106358844</v>
      </c>
      <c r="U54" s="195" t="s">
        <v>1007</v>
      </c>
      <c r="V54" s="227" t="s">
        <v>1014</v>
      </c>
      <c r="W54" s="227" t="s">
        <v>1022</v>
      </c>
      <c r="X54" s="291">
        <v>1153600000</v>
      </c>
      <c r="Y54" s="717">
        <v>1153600000</v>
      </c>
      <c r="Z54" s="227"/>
      <c r="AA54" s="227"/>
      <c r="AB54" s="291">
        <f t="shared" si="0"/>
        <v>0</v>
      </c>
      <c r="AC54" s="227" t="s">
        <v>1064</v>
      </c>
      <c r="AD54" s="227"/>
      <c r="AE54" s="288">
        <v>26</v>
      </c>
      <c r="AF54" s="195" t="s">
        <v>1028</v>
      </c>
      <c r="AG54" s="292">
        <v>19649</v>
      </c>
      <c r="AH54" s="292">
        <v>20118</v>
      </c>
      <c r="AI54" s="292">
        <v>28907</v>
      </c>
      <c r="AJ54" s="292">
        <v>9525</v>
      </c>
      <c r="AK54" s="292">
        <v>1222</v>
      </c>
      <c r="AL54" s="292">
        <v>113</v>
      </c>
      <c r="AM54" s="292">
        <v>297</v>
      </c>
      <c r="AN54" s="292">
        <v>345</v>
      </c>
      <c r="AO54" s="292">
        <v>0</v>
      </c>
      <c r="AP54" s="292">
        <v>0</v>
      </c>
      <c r="AQ54" s="292">
        <v>0</v>
      </c>
      <c r="AR54" s="292">
        <v>0</v>
      </c>
      <c r="AS54" s="292">
        <v>3301</v>
      </c>
      <c r="AT54" s="292">
        <v>113</v>
      </c>
      <c r="AU54" s="292">
        <v>2507</v>
      </c>
      <c r="AV54" s="292">
        <v>39767</v>
      </c>
      <c r="AW54" s="293">
        <v>45292</v>
      </c>
      <c r="AX54" s="293">
        <v>45657</v>
      </c>
      <c r="AY54" s="195" t="s">
        <v>1011</v>
      </c>
    </row>
    <row r="55" spans="1:51" ht="99.95" customHeight="1" x14ac:dyDescent="0.2">
      <c r="A55" s="65">
        <v>1</v>
      </c>
      <c r="B55" s="195" t="s">
        <v>315</v>
      </c>
      <c r="C55" s="205">
        <v>22</v>
      </c>
      <c r="D55" s="195" t="s">
        <v>1002</v>
      </c>
      <c r="E55" s="205">
        <v>2201</v>
      </c>
      <c r="F55" s="195" t="s">
        <v>1003</v>
      </c>
      <c r="G55" s="294">
        <v>2201071</v>
      </c>
      <c r="H55" s="195" t="s">
        <v>1012</v>
      </c>
      <c r="I55" s="294">
        <v>2201071</v>
      </c>
      <c r="J55" s="195" t="s">
        <v>1012</v>
      </c>
      <c r="K55" s="294">
        <v>220107100</v>
      </c>
      <c r="L55" s="195" t="s">
        <v>1013</v>
      </c>
      <c r="M55" s="295">
        <v>220107100</v>
      </c>
      <c r="N55" s="195" t="s">
        <v>1013</v>
      </c>
      <c r="O55" s="288">
        <v>54</v>
      </c>
      <c r="P55" s="288"/>
      <c r="Q55" s="288">
        <v>54</v>
      </c>
      <c r="R55" s="289">
        <v>2020003630016</v>
      </c>
      <c r="S55" s="195" t="s">
        <v>1006</v>
      </c>
      <c r="T55" s="290">
        <f t="shared" si="1"/>
        <v>0.99953459106358844</v>
      </c>
      <c r="U55" s="195" t="s">
        <v>1007</v>
      </c>
      <c r="V55" s="227" t="s">
        <v>1014</v>
      </c>
      <c r="W55" s="227" t="s">
        <v>1019</v>
      </c>
      <c r="X55" s="291">
        <v>460446531.384</v>
      </c>
      <c r="Y55" s="717">
        <f>460446531.38</f>
        <v>460446531.38</v>
      </c>
      <c r="Z55" s="227"/>
      <c r="AA55" s="227"/>
      <c r="AB55" s="291">
        <f t="shared" si="0"/>
        <v>4.0000081062316895E-3</v>
      </c>
      <c r="AC55" s="227" t="s">
        <v>1065</v>
      </c>
      <c r="AD55" s="227"/>
      <c r="AE55" s="288">
        <v>25</v>
      </c>
      <c r="AF55" s="195" t="s">
        <v>1021</v>
      </c>
      <c r="AG55" s="292">
        <v>19649</v>
      </c>
      <c r="AH55" s="292">
        <v>20118</v>
      </c>
      <c r="AI55" s="292">
        <v>28907</v>
      </c>
      <c r="AJ55" s="292">
        <v>9525</v>
      </c>
      <c r="AK55" s="292">
        <v>1222</v>
      </c>
      <c r="AL55" s="292">
        <v>113</v>
      </c>
      <c r="AM55" s="292">
        <v>297</v>
      </c>
      <c r="AN55" s="292">
        <v>345</v>
      </c>
      <c r="AO55" s="292">
        <v>0</v>
      </c>
      <c r="AP55" s="292">
        <v>0</v>
      </c>
      <c r="AQ55" s="292">
        <v>0</v>
      </c>
      <c r="AR55" s="292">
        <v>0</v>
      </c>
      <c r="AS55" s="292">
        <v>3301</v>
      </c>
      <c r="AT55" s="292">
        <v>113</v>
      </c>
      <c r="AU55" s="292">
        <v>2507</v>
      </c>
      <c r="AV55" s="292">
        <v>39767</v>
      </c>
      <c r="AW55" s="293">
        <v>45292</v>
      </c>
      <c r="AX55" s="293">
        <v>45657</v>
      </c>
      <c r="AY55" s="195" t="s">
        <v>1011</v>
      </c>
    </row>
    <row r="56" spans="1:51" ht="99.95" customHeight="1" x14ac:dyDescent="0.2">
      <c r="A56" s="65">
        <v>1</v>
      </c>
      <c r="B56" s="195" t="s">
        <v>315</v>
      </c>
      <c r="C56" s="205">
        <v>22</v>
      </c>
      <c r="D56" s="195" t="s">
        <v>1002</v>
      </c>
      <c r="E56" s="205">
        <v>2201</v>
      </c>
      <c r="F56" s="195" t="s">
        <v>1003</v>
      </c>
      <c r="G56" s="294">
        <v>2201071</v>
      </c>
      <c r="H56" s="195" t="s">
        <v>1012</v>
      </c>
      <c r="I56" s="294">
        <v>2201071</v>
      </c>
      <c r="J56" s="195" t="s">
        <v>1012</v>
      </c>
      <c r="K56" s="294">
        <v>220107100</v>
      </c>
      <c r="L56" s="195" t="s">
        <v>1013</v>
      </c>
      <c r="M56" s="295">
        <v>220107100</v>
      </c>
      <c r="N56" s="195" t="s">
        <v>1013</v>
      </c>
      <c r="O56" s="288">
        <v>54</v>
      </c>
      <c r="P56" s="288"/>
      <c r="Q56" s="288">
        <v>54</v>
      </c>
      <c r="R56" s="289">
        <v>2020003630016</v>
      </c>
      <c r="S56" s="195" t="s">
        <v>1006</v>
      </c>
      <c r="T56" s="290">
        <f t="shared" si="1"/>
        <v>0.99953459106358844</v>
      </c>
      <c r="U56" s="195" t="s">
        <v>1007</v>
      </c>
      <c r="V56" s="227" t="s">
        <v>1014</v>
      </c>
      <c r="W56" s="227" t="s">
        <v>1022</v>
      </c>
      <c r="X56" s="291">
        <v>9459520000</v>
      </c>
      <c r="Y56" s="719">
        <v>9459520000</v>
      </c>
      <c r="Z56" s="227"/>
      <c r="AA56" s="227"/>
      <c r="AB56" s="291">
        <f t="shared" si="0"/>
        <v>0</v>
      </c>
      <c r="AC56" s="227" t="s">
        <v>1066</v>
      </c>
      <c r="AD56" s="227"/>
      <c r="AE56" s="288">
        <v>26</v>
      </c>
      <c r="AF56" s="195" t="s">
        <v>1028</v>
      </c>
      <c r="AG56" s="292">
        <v>19649</v>
      </c>
      <c r="AH56" s="292">
        <v>20118</v>
      </c>
      <c r="AI56" s="292">
        <v>28907</v>
      </c>
      <c r="AJ56" s="292">
        <v>9525</v>
      </c>
      <c r="AK56" s="292">
        <v>1222</v>
      </c>
      <c r="AL56" s="292">
        <v>113</v>
      </c>
      <c r="AM56" s="292">
        <v>297</v>
      </c>
      <c r="AN56" s="292">
        <v>345</v>
      </c>
      <c r="AO56" s="292">
        <v>0</v>
      </c>
      <c r="AP56" s="292">
        <v>0</v>
      </c>
      <c r="AQ56" s="292">
        <v>0</v>
      </c>
      <c r="AR56" s="292">
        <v>0</v>
      </c>
      <c r="AS56" s="292">
        <v>3301</v>
      </c>
      <c r="AT56" s="292">
        <v>113</v>
      </c>
      <c r="AU56" s="292">
        <v>2507</v>
      </c>
      <c r="AV56" s="292">
        <v>39767</v>
      </c>
      <c r="AW56" s="293">
        <v>45292</v>
      </c>
      <c r="AX56" s="293">
        <v>45657</v>
      </c>
      <c r="AY56" s="195" t="s">
        <v>1011</v>
      </c>
    </row>
    <row r="57" spans="1:51" ht="99.95" customHeight="1" x14ac:dyDescent="0.2">
      <c r="A57" s="65">
        <v>1</v>
      </c>
      <c r="B57" s="195" t="s">
        <v>315</v>
      </c>
      <c r="C57" s="205">
        <v>22</v>
      </c>
      <c r="D57" s="195" t="s">
        <v>1002</v>
      </c>
      <c r="E57" s="205">
        <v>2201</v>
      </c>
      <c r="F57" s="195" t="s">
        <v>1003</v>
      </c>
      <c r="G57" s="294">
        <v>2201071</v>
      </c>
      <c r="H57" s="195" t="s">
        <v>1012</v>
      </c>
      <c r="I57" s="294">
        <v>2201071</v>
      </c>
      <c r="J57" s="195" t="s">
        <v>1012</v>
      </c>
      <c r="K57" s="294">
        <v>220107100</v>
      </c>
      <c r="L57" s="195" t="s">
        <v>1013</v>
      </c>
      <c r="M57" s="295">
        <v>220107100</v>
      </c>
      <c r="N57" s="195" t="s">
        <v>1013</v>
      </c>
      <c r="O57" s="288">
        <v>54</v>
      </c>
      <c r="P57" s="288"/>
      <c r="Q57" s="288">
        <v>54</v>
      </c>
      <c r="R57" s="289">
        <v>2020003630016</v>
      </c>
      <c r="S57" s="195" t="s">
        <v>1006</v>
      </c>
      <c r="T57" s="290">
        <f t="shared" si="1"/>
        <v>0.99953459106358844</v>
      </c>
      <c r="U57" s="195" t="s">
        <v>1007</v>
      </c>
      <c r="V57" s="227" t="s">
        <v>1014</v>
      </c>
      <c r="W57" s="227" t="s">
        <v>1022</v>
      </c>
      <c r="X57" s="291">
        <v>2307200000</v>
      </c>
      <c r="Y57" s="717">
        <f>2307200000</f>
        <v>2307200000</v>
      </c>
      <c r="Z57" s="227"/>
      <c r="AA57" s="227"/>
      <c r="AB57" s="291">
        <f t="shared" si="0"/>
        <v>0</v>
      </c>
      <c r="AC57" s="227" t="s">
        <v>1067</v>
      </c>
      <c r="AD57" s="227"/>
      <c r="AE57" s="288">
        <v>26</v>
      </c>
      <c r="AF57" s="195" t="s">
        <v>1028</v>
      </c>
      <c r="AG57" s="292">
        <v>19649</v>
      </c>
      <c r="AH57" s="292">
        <v>20118</v>
      </c>
      <c r="AI57" s="292">
        <v>28907</v>
      </c>
      <c r="AJ57" s="292">
        <v>9525</v>
      </c>
      <c r="AK57" s="292">
        <v>1222</v>
      </c>
      <c r="AL57" s="292">
        <v>113</v>
      </c>
      <c r="AM57" s="292">
        <v>297</v>
      </c>
      <c r="AN57" s="292">
        <v>345</v>
      </c>
      <c r="AO57" s="292">
        <v>0</v>
      </c>
      <c r="AP57" s="292">
        <v>0</v>
      </c>
      <c r="AQ57" s="292">
        <v>0</v>
      </c>
      <c r="AR57" s="292">
        <v>0</v>
      </c>
      <c r="AS57" s="292">
        <v>3301</v>
      </c>
      <c r="AT57" s="292">
        <v>113</v>
      </c>
      <c r="AU57" s="292">
        <v>2507</v>
      </c>
      <c r="AV57" s="292">
        <v>39767</v>
      </c>
      <c r="AW57" s="293">
        <v>45292</v>
      </c>
      <c r="AX57" s="293">
        <v>45657</v>
      </c>
      <c r="AY57" s="195" t="s">
        <v>1011</v>
      </c>
    </row>
    <row r="58" spans="1:51" ht="99.95" customHeight="1" x14ac:dyDescent="0.2">
      <c r="A58" s="65">
        <v>1</v>
      </c>
      <c r="B58" s="195" t="s">
        <v>315</v>
      </c>
      <c r="C58" s="205">
        <v>22</v>
      </c>
      <c r="D58" s="195" t="s">
        <v>1002</v>
      </c>
      <c r="E58" s="205">
        <v>2201</v>
      </c>
      <c r="F58" s="195" t="s">
        <v>1003</v>
      </c>
      <c r="G58" s="294">
        <v>2201071</v>
      </c>
      <c r="H58" s="195" t="s">
        <v>1012</v>
      </c>
      <c r="I58" s="294">
        <v>2201071</v>
      </c>
      <c r="J58" s="195" t="s">
        <v>1012</v>
      </c>
      <c r="K58" s="294">
        <v>220107100</v>
      </c>
      <c r="L58" s="195" t="s">
        <v>1013</v>
      </c>
      <c r="M58" s="295">
        <v>220107100</v>
      </c>
      <c r="N58" s="195" t="s">
        <v>1013</v>
      </c>
      <c r="O58" s="288">
        <v>54</v>
      </c>
      <c r="P58" s="288"/>
      <c r="Q58" s="288">
        <v>54</v>
      </c>
      <c r="R58" s="289">
        <v>2020003630016</v>
      </c>
      <c r="S58" s="195" t="s">
        <v>1006</v>
      </c>
      <c r="T58" s="290">
        <f t="shared" si="1"/>
        <v>0.99953459106358844</v>
      </c>
      <c r="U58" s="195" t="s">
        <v>1007</v>
      </c>
      <c r="V58" s="227" t="s">
        <v>1014</v>
      </c>
      <c r="W58" s="227" t="s">
        <v>1022</v>
      </c>
      <c r="X58" s="291">
        <v>1641085206.8</v>
      </c>
      <c r="Y58" s="227"/>
      <c r="Z58" s="227"/>
      <c r="AA58" s="227"/>
      <c r="AB58" s="291">
        <f t="shared" si="0"/>
        <v>1641085206.8</v>
      </c>
      <c r="AC58" s="227" t="s">
        <v>1068</v>
      </c>
      <c r="AD58" s="227"/>
      <c r="AE58" s="288">
        <v>25</v>
      </c>
      <c r="AF58" s="195" t="s">
        <v>1021</v>
      </c>
      <c r="AG58" s="292">
        <v>19649</v>
      </c>
      <c r="AH58" s="292">
        <v>20118</v>
      </c>
      <c r="AI58" s="292">
        <v>28907</v>
      </c>
      <c r="AJ58" s="292">
        <v>9525</v>
      </c>
      <c r="AK58" s="292">
        <v>1222</v>
      </c>
      <c r="AL58" s="292">
        <v>113</v>
      </c>
      <c r="AM58" s="292">
        <v>297</v>
      </c>
      <c r="AN58" s="292">
        <v>345</v>
      </c>
      <c r="AO58" s="292">
        <v>0</v>
      </c>
      <c r="AP58" s="292">
        <v>0</v>
      </c>
      <c r="AQ58" s="292">
        <v>0</v>
      </c>
      <c r="AR58" s="292">
        <v>0</v>
      </c>
      <c r="AS58" s="292">
        <v>3301</v>
      </c>
      <c r="AT58" s="292">
        <v>113</v>
      </c>
      <c r="AU58" s="292">
        <v>2507</v>
      </c>
      <c r="AV58" s="292">
        <v>39767</v>
      </c>
      <c r="AW58" s="293">
        <v>45292</v>
      </c>
      <c r="AX58" s="293">
        <v>45657</v>
      </c>
      <c r="AY58" s="195" t="s">
        <v>1011</v>
      </c>
    </row>
    <row r="59" spans="1:51" ht="99.95" customHeight="1" x14ac:dyDescent="0.2">
      <c r="A59" s="65">
        <v>1</v>
      </c>
      <c r="B59" s="195" t="s">
        <v>315</v>
      </c>
      <c r="C59" s="205">
        <v>22</v>
      </c>
      <c r="D59" s="195" t="s">
        <v>1002</v>
      </c>
      <c r="E59" s="205">
        <v>2201</v>
      </c>
      <c r="F59" s="195" t="s">
        <v>1003</v>
      </c>
      <c r="G59" s="294">
        <v>2201071</v>
      </c>
      <c r="H59" s="195" t="s">
        <v>1012</v>
      </c>
      <c r="I59" s="294">
        <v>2201071</v>
      </c>
      <c r="J59" s="195" t="s">
        <v>1012</v>
      </c>
      <c r="K59" s="294">
        <v>220107100</v>
      </c>
      <c r="L59" s="195" t="s">
        <v>1013</v>
      </c>
      <c r="M59" s="295">
        <v>220107100</v>
      </c>
      <c r="N59" s="195" t="s">
        <v>1013</v>
      </c>
      <c r="O59" s="288">
        <v>54</v>
      </c>
      <c r="P59" s="288"/>
      <c r="Q59" s="288">
        <v>54</v>
      </c>
      <c r="R59" s="289">
        <v>2020003630016</v>
      </c>
      <c r="S59" s="195" t="s">
        <v>1006</v>
      </c>
      <c r="T59" s="290">
        <f t="shared" si="1"/>
        <v>0.99953459106358844</v>
      </c>
      <c r="U59" s="195" t="s">
        <v>1007</v>
      </c>
      <c r="V59" s="227" t="s">
        <v>1014</v>
      </c>
      <c r="W59" s="227" t="s">
        <v>1019</v>
      </c>
      <c r="X59" s="749">
        <v>96137092.799999997</v>
      </c>
      <c r="Y59" s="717">
        <f>96137092.8</f>
        <v>96137092.799999997</v>
      </c>
      <c r="Z59" s="227"/>
      <c r="AA59" s="227"/>
      <c r="AB59" s="291">
        <f t="shared" si="0"/>
        <v>0</v>
      </c>
      <c r="AC59" s="227" t="s">
        <v>1069</v>
      </c>
      <c r="AD59" s="227"/>
      <c r="AE59" s="288">
        <v>25</v>
      </c>
      <c r="AF59" s="195" t="s">
        <v>1021</v>
      </c>
      <c r="AG59" s="292">
        <v>19649</v>
      </c>
      <c r="AH59" s="292">
        <v>20118</v>
      </c>
      <c r="AI59" s="292">
        <v>28907</v>
      </c>
      <c r="AJ59" s="292">
        <v>9525</v>
      </c>
      <c r="AK59" s="292">
        <v>1222</v>
      </c>
      <c r="AL59" s="292">
        <v>113</v>
      </c>
      <c r="AM59" s="292">
        <v>297</v>
      </c>
      <c r="AN59" s="292">
        <v>345</v>
      </c>
      <c r="AO59" s="292">
        <v>0</v>
      </c>
      <c r="AP59" s="292">
        <v>0</v>
      </c>
      <c r="AQ59" s="292">
        <v>0</v>
      </c>
      <c r="AR59" s="292">
        <v>0</v>
      </c>
      <c r="AS59" s="292">
        <v>3301</v>
      </c>
      <c r="AT59" s="292">
        <v>113</v>
      </c>
      <c r="AU59" s="292">
        <v>2507</v>
      </c>
      <c r="AV59" s="292">
        <v>39767</v>
      </c>
      <c r="AW59" s="293">
        <v>45292</v>
      </c>
      <c r="AX59" s="293">
        <v>45657</v>
      </c>
      <c r="AY59" s="195" t="s">
        <v>1011</v>
      </c>
    </row>
    <row r="60" spans="1:51" ht="99.95" customHeight="1" x14ac:dyDescent="0.2">
      <c r="A60" s="65">
        <v>1</v>
      </c>
      <c r="B60" s="195" t="s">
        <v>315</v>
      </c>
      <c r="C60" s="205">
        <v>22</v>
      </c>
      <c r="D60" s="195" t="s">
        <v>1002</v>
      </c>
      <c r="E60" s="205">
        <v>2201</v>
      </c>
      <c r="F60" s="195" t="s">
        <v>1003</v>
      </c>
      <c r="G60" s="294">
        <v>2201071</v>
      </c>
      <c r="H60" s="195" t="s">
        <v>1012</v>
      </c>
      <c r="I60" s="294">
        <v>2201071</v>
      </c>
      <c r="J60" s="195" t="s">
        <v>1012</v>
      </c>
      <c r="K60" s="294">
        <v>220107100</v>
      </c>
      <c r="L60" s="195" t="s">
        <v>1013</v>
      </c>
      <c r="M60" s="295">
        <v>220107100</v>
      </c>
      <c r="N60" s="195" t="s">
        <v>1013</v>
      </c>
      <c r="O60" s="288">
        <v>54</v>
      </c>
      <c r="P60" s="288"/>
      <c r="Q60" s="288">
        <v>54</v>
      </c>
      <c r="R60" s="289">
        <v>2020003630016</v>
      </c>
      <c r="S60" s="195" t="s">
        <v>1006</v>
      </c>
      <c r="T60" s="290">
        <f t="shared" si="1"/>
        <v>0.99953459106358844</v>
      </c>
      <c r="U60" s="195" t="s">
        <v>1007</v>
      </c>
      <c r="V60" s="227" t="s">
        <v>1014</v>
      </c>
      <c r="W60" s="227" t="s">
        <v>1022</v>
      </c>
      <c r="X60" s="291">
        <v>525595834.39999998</v>
      </c>
      <c r="Y60" s="717">
        <f>525595834.4</f>
        <v>525595834.39999998</v>
      </c>
      <c r="Z60" s="227"/>
      <c r="AA60" s="227"/>
      <c r="AB60" s="291">
        <f t="shared" si="0"/>
        <v>0</v>
      </c>
      <c r="AC60" s="227" t="s">
        <v>1070</v>
      </c>
      <c r="AD60" s="227"/>
      <c r="AE60" s="288">
        <v>25</v>
      </c>
      <c r="AF60" s="195" t="s">
        <v>1021</v>
      </c>
      <c r="AG60" s="292">
        <v>19649</v>
      </c>
      <c r="AH60" s="292">
        <v>20118</v>
      </c>
      <c r="AI60" s="292">
        <v>28907</v>
      </c>
      <c r="AJ60" s="292">
        <v>9525</v>
      </c>
      <c r="AK60" s="292">
        <v>1222</v>
      </c>
      <c r="AL60" s="292">
        <v>113</v>
      </c>
      <c r="AM60" s="292">
        <v>297</v>
      </c>
      <c r="AN60" s="292">
        <v>345</v>
      </c>
      <c r="AO60" s="292">
        <v>0</v>
      </c>
      <c r="AP60" s="292">
        <v>0</v>
      </c>
      <c r="AQ60" s="292">
        <v>0</v>
      </c>
      <c r="AR60" s="292">
        <v>0</v>
      </c>
      <c r="AS60" s="292">
        <v>3301</v>
      </c>
      <c r="AT60" s="292">
        <v>113</v>
      </c>
      <c r="AU60" s="292">
        <v>2507</v>
      </c>
      <c r="AV60" s="292">
        <v>39767</v>
      </c>
      <c r="AW60" s="293">
        <v>45292</v>
      </c>
      <c r="AX60" s="293">
        <v>45657</v>
      </c>
      <c r="AY60" s="195" t="s">
        <v>1011</v>
      </c>
    </row>
    <row r="61" spans="1:51" ht="99.95" customHeight="1" x14ac:dyDescent="0.2">
      <c r="A61" s="65">
        <v>1</v>
      </c>
      <c r="B61" s="195" t="s">
        <v>315</v>
      </c>
      <c r="C61" s="205">
        <v>22</v>
      </c>
      <c r="D61" s="195" t="s">
        <v>1002</v>
      </c>
      <c r="E61" s="205">
        <v>2201</v>
      </c>
      <c r="F61" s="195" t="s">
        <v>1003</v>
      </c>
      <c r="G61" s="294">
        <v>2201071</v>
      </c>
      <c r="H61" s="195" t="s">
        <v>1012</v>
      </c>
      <c r="I61" s="294">
        <v>2201071</v>
      </c>
      <c r="J61" s="195" t="s">
        <v>1012</v>
      </c>
      <c r="K61" s="294">
        <v>220107100</v>
      </c>
      <c r="L61" s="195" t="s">
        <v>1013</v>
      </c>
      <c r="M61" s="295">
        <v>220107100</v>
      </c>
      <c r="N61" s="195" t="s">
        <v>1013</v>
      </c>
      <c r="O61" s="288">
        <v>54</v>
      </c>
      <c r="P61" s="288"/>
      <c r="Q61" s="288">
        <v>54</v>
      </c>
      <c r="R61" s="289">
        <v>2020003630016</v>
      </c>
      <c r="S61" s="195" t="s">
        <v>1006</v>
      </c>
      <c r="T61" s="290">
        <f t="shared" si="1"/>
        <v>0.99953459106358844</v>
      </c>
      <c r="U61" s="195" t="s">
        <v>1007</v>
      </c>
      <c r="V61" s="227" t="s">
        <v>1014</v>
      </c>
      <c r="W61" s="227" t="s">
        <v>1022</v>
      </c>
      <c r="X61" s="291">
        <v>4312872032</v>
      </c>
      <c r="Y61" s="717">
        <f>4312872032</f>
        <v>4312872032</v>
      </c>
      <c r="Z61" s="227"/>
      <c r="AA61" s="227"/>
      <c r="AB61" s="291">
        <f t="shared" si="0"/>
        <v>0</v>
      </c>
      <c r="AC61" s="227" t="s">
        <v>1071</v>
      </c>
      <c r="AD61" s="227"/>
      <c r="AE61" s="288">
        <v>25</v>
      </c>
      <c r="AF61" s="195" t="s">
        <v>1021</v>
      </c>
      <c r="AG61" s="292">
        <v>19649</v>
      </c>
      <c r="AH61" s="292">
        <v>20118</v>
      </c>
      <c r="AI61" s="292">
        <v>28907</v>
      </c>
      <c r="AJ61" s="292">
        <v>9525</v>
      </c>
      <c r="AK61" s="292">
        <v>1222</v>
      </c>
      <c r="AL61" s="292">
        <v>113</v>
      </c>
      <c r="AM61" s="292">
        <v>297</v>
      </c>
      <c r="AN61" s="292">
        <v>345</v>
      </c>
      <c r="AO61" s="292">
        <v>0</v>
      </c>
      <c r="AP61" s="292">
        <v>0</v>
      </c>
      <c r="AQ61" s="292">
        <v>0</v>
      </c>
      <c r="AR61" s="292">
        <v>0</v>
      </c>
      <c r="AS61" s="292">
        <v>3301</v>
      </c>
      <c r="AT61" s="292">
        <v>113</v>
      </c>
      <c r="AU61" s="292">
        <v>2507</v>
      </c>
      <c r="AV61" s="292">
        <v>39767</v>
      </c>
      <c r="AW61" s="293">
        <v>45292</v>
      </c>
      <c r="AX61" s="293">
        <v>45657</v>
      </c>
      <c r="AY61" s="195" t="s">
        <v>1011</v>
      </c>
    </row>
    <row r="62" spans="1:51" ht="99.95" customHeight="1" x14ac:dyDescent="0.2">
      <c r="A62" s="65">
        <v>1</v>
      </c>
      <c r="B62" s="195" t="s">
        <v>315</v>
      </c>
      <c r="C62" s="205">
        <v>22</v>
      </c>
      <c r="D62" s="195" t="s">
        <v>1002</v>
      </c>
      <c r="E62" s="205">
        <v>2201</v>
      </c>
      <c r="F62" s="195" t="s">
        <v>1003</v>
      </c>
      <c r="G62" s="294">
        <v>2201071</v>
      </c>
      <c r="H62" s="195" t="s">
        <v>1012</v>
      </c>
      <c r="I62" s="294">
        <v>2201071</v>
      </c>
      <c r="J62" s="195" t="s">
        <v>1012</v>
      </c>
      <c r="K62" s="294">
        <v>220107100</v>
      </c>
      <c r="L62" s="195" t="s">
        <v>1013</v>
      </c>
      <c r="M62" s="295">
        <v>220107100</v>
      </c>
      <c r="N62" s="195" t="s">
        <v>1013</v>
      </c>
      <c r="O62" s="288">
        <v>54</v>
      </c>
      <c r="P62" s="288"/>
      <c r="Q62" s="288">
        <v>54</v>
      </c>
      <c r="R62" s="289">
        <v>2020003630016</v>
      </c>
      <c r="S62" s="195" t="s">
        <v>1006</v>
      </c>
      <c r="T62" s="290">
        <f t="shared" si="1"/>
        <v>0.99953459106358844</v>
      </c>
      <c r="U62" s="195" t="s">
        <v>1007</v>
      </c>
      <c r="V62" s="227" t="s">
        <v>1014</v>
      </c>
      <c r="W62" s="227" t="s">
        <v>1025</v>
      </c>
      <c r="X62" s="291">
        <v>693336672</v>
      </c>
      <c r="Y62" s="717">
        <f>693336672</f>
        <v>693336672</v>
      </c>
      <c r="Z62" s="227"/>
      <c r="AA62" s="227"/>
      <c r="AB62" s="291">
        <f t="shared" si="0"/>
        <v>0</v>
      </c>
      <c r="AC62" s="227" t="s">
        <v>1072</v>
      </c>
      <c r="AD62" s="227"/>
      <c r="AE62" s="288">
        <v>25</v>
      </c>
      <c r="AF62" s="195" t="s">
        <v>1021</v>
      </c>
      <c r="AG62" s="292">
        <v>19649</v>
      </c>
      <c r="AH62" s="292">
        <v>20118</v>
      </c>
      <c r="AI62" s="292">
        <v>28907</v>
      </c>
      <c r="AJ62" s="292">
        <v>9525</v>
      </c>
      <c r="AK62" s="292">
        <v>1222</v>
      </c>
      <c r="AL62" s="292">
        <v>113</v>
      </c>
      <c r="AM62" s="292">
        <v>297</v>
      </c>
      <c r="AN62" s="292">
        <v>345</v>
      </c>
      <c r="AO62" s="292">
        <v>0</v>
      </c>
      <c r="AP62" s="292">
        <v>0</v>
      </c>
      <c r="AQ62" s="292">
        <v>0</v>
      </c>
      <c r="AR62" s="292">
        <v>0</v>
      </c>
      <c r="AS62" s="292">
        <v>3301</v>
      </c>
      <c r="AT62" s="292">
        <v>113</v>
      </c>
      <c r="AU62" s="292">
        <v>2507</v>
      </c>
      <c r="AV62" s="292">
        <v>39767</v>
      </c>
      <c r="AW62" s="293">
        <v>45292</v>
      </c>
      <c r="AX62" s="293">
        <v>45657</v>
      </c>
      <c r="AY62" s="195" t="s">
        <v>1011</v>
      </c>
    </row>
    <row r="63" spans="1:51" ht="99.95" customHeight="1" x14ac:dyDescent="0.2">
      <c r="A63" s="65">
        <v>1</v>
      </c>
      <c r="B63" s="195" t="s">
        <v>315</v>
      </c>
      <c r="C63" s="205">
        <v>22</v>
      </c>
      <c r="D63" s="195" t="s">
        <v>1002</v>
      </c>
      <c r="E63" s="205">
        <v>2201</v>
      </c>
      <c r="F63" s="195" t="s">
        <v>1003</v>
      </c>
      <c r="G63" s="294">
        <v>2201071</v>
      </c>
      <c r="H63" s="195" t="s">
        <v>1012</v>
      </c>
      <c r="I63" s="294">
        <v>2201071</v>
      </c>
      <c r="J63" s="195" t="s">
        <v>1012</v>
      </c>
      <c r="K63" s="294">
        <v>220107100</v>
      </c>
      <c r="L63" s="195" t="s">
        <v>1013</v>
      </c>
      <c r="M63" s="295">
        <v>220107100</v>
      </c>
      <c r="N63" s="195" t="s">
        <v>1013</v>
      </c>
      <c r="O63" s="288">
        <v>54</v>
      </c>
      <c r="P63" s="288"/>
      <c r="Q63" s="288">
        <v>54</v>
      </c>
      <c r="R63" s="289">
        <v>2020003630016</v>
      </c>
      <c r="S63" s="195" t="s">
        <v>1006</v>
      </c>
      <c r="T63" s="290">
        <f t="shared" si="1"/>
        <v>0.99953459106358844</v>
      </c>
      <c r="U63" s="195" t="s">
        <v>1007</v>
      </c>
      <c r="V63" s="227" t="s">
        <v>1014</v>
      </c>
      <c r="W63" s="227" t="s">
        <v>1019</v>
      </c>
      <c r="X63" s="291">
        <v>10826928</v>
      </c>
      <c r="Y63" s="717">
        <f>10826928</f>
        <v>10826928</v>
      </c>
      <c r="Z63" s="227"/>
      <c r="AA63" s="227"/>
      <c r="AB63" s="291">
        <f t="shared" si="0"/>
        <v>0</v>
      </c>
      <c r="AC63" s="227" t="s">
        <v>1073</v>
      </c>
      <c r="AD63" s="227"/>
      <c r="AE63" s="288">
        <v>25</v>
      </c>
      <c r="AF63" s="195" t="s">
        <v>1021</v>
      </c>
      <c r="AG63" s="292">
        <v>19649</v>
      </c>
      <c r="AH63" s="292">
        <v>20118</v>
      </c>
      <c r="AI63" s="292">
        <v>28907</v>
      </c>
      <c r="AJ63" s="292">
        <v>9525</v>
      </c>
      <c r="AK63" s="292">
        <v>1222</v>
      </c>
      <c r="AL63" s="292">
        <v>113</v>
      </c>
      <c r="AM63" s="292">
        <v>297</v>
      </c>
      <c r="AN63" s="292">
        <v>345</v>
      </c>
      <c r="AO63" s="292">
        <v>0</v>
      </c>
      <c r="AP63" s="292">
        <v>0</v>
      </c>
      <c r="AQ63" s="292">
        <v>0</v>
      </c>
      <c r="AR63" s="292">
        <v>0</v>
      </c>
      <c r="AS63" s="292">
        <v>3301</v>
      </c>
      <c r="AT63" s="292">
        <v>113</v>
      </c>
      <c r="AU63" s="292">
        <v>2507</v>
      </c>
      <c r="AV63" s="292">
        <v>39767</v>
      </c>
      <c r="AW63" s="293">
        <v>45292</v>
      </c>
      <c r="AX63" s="293">
        <v>45657</v>
      </c>
      <c r="AY63" s="195" t="s">
        <v>1011</v>
      </c>
    </row>
    <row r="64" spans="1:51" ht="99.95" customHeight="1" x14ac:dyDescent="0.2">
      <c r="A64" s="65">
        <v>1</v>
      </c>
      <c r="B64" s="195" t="s">
        <v>315</v>
      </c>
      <c r="C64" s="205">
        <v>22</v>
      </c>
      <c r="D64" s="195" t="s">
        <v>1002</v>
      </c>
      <c r="E64" s="205">
        <v>2201</v>
      </c>
      <c r="F64" s="195" t="s">
        <v>1003</v>
      </c>
      <c r="G64" s="294">
        <v>2201071</v>
      </c>
      <c r="H64" s="195" t="s">
        <v>1012</v>
      </c>
      <c r="I64" s="294">
        <v>2201071</v>
      </c>
      <c r="J64" s="195" t="s">
        <v>1012</v>
      </c>
      <c r="K64" s="294">
        <v>220107100</v>
      </c>
      <c r="L64" s="195" t="s">
        <v>1013</v>
      </c>
      <c r="M64" s="295">
        <v>220107100</v>
      </c>
      <c r="N64" s="195" t="s">
        <v>1013</v>
      </c>
      <c r="O64" s="288">
        <v>54</v>
      </c>
      <c r="P64" s="288"/>
      <c r="Q64" s="288">
        <v>54</v>
      </c>
      <c r="R64" s="289">
        <v>2020003630016</v>
      </c>
      <c r="S64" s="195" t="s">
        <v>1006</v>
      </c>
      <c r="T64" s="290">
        <f t="shared" si="1"/>
        <v>0.99953459106358844</v>
      </c>
      <c r="U64" s="195" t="s">
        <v>1007</v>
      </c>
      <c r="V64" s="227" t="s">
        <v>1014</v>
      </c>
      <c r="W64" s="227" t="s">
        <v>1022</v>
      </c>
      <c r="X64" s="291">
        <v>61140800</v>
      </c>
      <c r="Y64" s="717">
        <f>61140800</f>
        <v>61140800</v>
      </c>
      <c r="Z64" s="227"/>
      <c r="AA64" s="227"/>
      <c r="AB64" s="291">
        <f t="shared" si="0"/>
        <v>0</v>
      </c>
      <c r="AC64" s="227" t="s">
        <v>1074</v>
      </c>
      <c r="AD64" s="227"/>
      <c r="AE64" s="288">
        <v>25</v>
      </c>
      <c r="AF64" s="195" t="s">
        <v>1021</v>
      </c>
      <c r="AG64" s="292">
        <v>19649</v>
      </c>
      <c r="AH64" s="292">
        <v>20118</v>
      </c>
      <c r="AI64" s="292">
        <v>28907</v>
      </c>
      <c r="AJ64" s="292">
        <v>9525</v>
      </c>
      <c r="AK64" s="292">
        <v>1222</v>
      </c>
      <c r="AL64" s="292">
        <v>113</v>
      </c>
      <c r="AM64" s="292">
        <v>297</v>
      </c>
      <c r="AN64" s="292">
        <v>345</v>
      </c>
      <c r="AO64" s="292">
        <v>0</v>
      </c>
      <c r="AP64" s="292">
        <v>0</v>
      </c>
      <c r="AQ64" s="292">
        <v>0</v>
      </c>
      <c r="AR64" s="292">
        <v>0</v>
      </c>
      <c r="AS64" s="292">
        <v>3301</v>
      </c>
      <c r="AT64" s="292">
        <v>113</v>
      </c>
      <c r="AU64" s="292">
        <v>2507</v>
      </c>
      <c r="AV64" s="292">
        <v>39767</v>
      </c>
      <c r="AW64" s="293">
        <v>45292</v>
      </c>
      <c r="AX64" s="293">
        <v>45657</v>
      </c>
      <c r="AY64" s="195" t="s">
        <v>1011</v>
      </c>
    </row>
    <row r="65" spans="1:51" ht="99.95" customHeight="1" x14ac:dyDescent="0.2">
      <c r="A65" s="65">
        <v>1</v>
      </c>
      <c r="B65" s="195" t="s">
        <v>315</v>
      </c>
      <c r="C65" s="205">
        <v>22</v>
      </c>
      <c r="D65" s="195" t="s">
        <v>1002</v>
      </c>
      <c r="E65" s="205">
        <v>2201</v>
      </c>
      <c r="F65" s="195" t="s">
        <v>1003</v>
      </c>
      <c r="G65" s="294">
        <v>2201071</v>
      </c>
      <c r="H65" s="195" t="s">
        <v>1012</v>
      </c>
      <c r="I65" s="294">
        <v>2201071</v>
      </c>
      <c r="J65" s="195" t="s">
        <v>1012</v>
      </c>
      <c r="K65" s="294">
        <v>220107100</v>
      </c>
      <c r="L65" s="195" t="s">
        <v>1013</v>
      </c>
      <c r="M65" s="295">
        <v>220107100</v>
      </c>
      <c r="N65" s="195" t="s">
        <v>1013</v>
      </c>
      <c r="O65" s="288">
        <v>54</v>
      </c>
      <c r="P65" s="288"/>
      <c r="Q65" s="288">
        <v>54</v>
      </c>
      <c r="R65" s="289">
        <v>2020003630016</v>
      </c>
      <c r="S65" s="195" t="s">
        <v>1006</v>
      </c>
      <c r="T65" s="290">
        <f t="shared" si="1"/>
        <v>0.99953459106358844</v>
      </c>
      <c r="U65" s="195" t="s">
        <v>1007</v>
      </c>
      <c r="V65" s="227" t="s">
        <v>1014</v>
      </c>
      <c r="W65" s="227" t="s">
        <v>1019</v>
      </c>
      <c r="X65" s="749">
        <v>72111513.599999994</v>
      </c>
      <c r="Y65" s="717">
        <f>72111513.6</f>
        <v>72111513.599999994</v>
      </c>
      <c r="Z65" s="227"/>
      <c r="AA65" s="227"/>
      <c r="AB65" s="291">
        <f t="shared" si="0"/>
        <v>0</v>
      </c>
      <c r="AC65" s="227" t="s">
        <v>1075</v>
      </c>
      <c r="AD65" s="227"/>
      <c r="AE65" s="288">
        <v>25</v>
      </c>
      <c r="AF65" s="195" t="s">
        <v>1021</v>
      </c>
      <c r="AG65" s="292">
        <v>19649</v>
      </c>
      <c r="AH65" s="292">
        <v>20118</v>
      </c>
      <c r="AI65" s="292">
        <v>28907</v>
      </c>
      <c r="AJ65" s="292">
        <v>9525</v>
      </c>
      <c r="AK65" s="292">
        <v>1222</v>
      </c>
      <c r="AL65" s="292">
        <v>113</v>
      </c>
      <c r="AM65" s="292">
        <v>297</v>
      </c>
      <c r="AN65" s="292">
        <v>345</v>
      </c>
      <c r="AO65" s="292">
        <v>0</v>
      </c>
      <c r="AP65" s="292">
        <v>0</v>
      </c>
      <c r="AQ65" s="292">
        <v>0</v>
      </c>
      <c r="AR65" s="292">
        <v>0</v>
      </c>
      <c r="AS65" s="292">
        <v>3301</v>
      </c>
      <c r="AT65" s="292">
        <v>113</v>
      </c>
      <c r="AU65" s="292">
        <v>2507</v>
      </c>
      <c r="AV65" s="292">
        <v>39767</v>
      </c>
      <c r="AW65" s="293">
        <v>45292</v>
      </c>
      <c r="AX65" s="293">
        <v>45657</v>
      </c>
      <c r="AY65" s="195" t="s">
        <v>1011</v>
      </c>
    </row>
    <row r="66" spans="1:51" ht="99.95" customHeight="1" x14ac:dyDescent="0.2">
      <c r="A66" s="65">
        <v>1</v>
      </c>
      <c r="B66" s="195" t="s">
        <v>315</v>
      </c>
      <c r="C66" s="205">
        <v>22</v>
      </c>
      <c r="D66" s="195" t="s">
        <v>1002</v>
      </c>
      <c r="E66" s="205">
        <v>2201</v>
      </c>
      <c r="F66" s="195" t="s">
        <v>1003</v>
      </c>
      <c r="G66" s="294">
        <v>2201071</v>
      </c>
      <c r="H66" s="195" t="s">
        <v>1012</v>
      </c>
      <c r="I66" s="294">
        <v>2201071</v>
      </c>
      <c r="J66" s="195" t="s">
        <v>1012</v>
      </c>
      <c r="K66" s="294">
        <v>220107100</v>
      </c>
      <c r="L66" s="195" t="s">
        <v>1013</v>
      </c>
      <c r="M66" s="295">
        <v>220107100</v>
      </c>
      <c r="N66" s="195" t="s">
        <v>1013</v>
      </c>
      <c r="O66" s="288">
        <v>54</v>
      </c>
      <c r="P66" s="288"/>
      <c r="Q66" s="288">
        <v>54</v>
      </c>
      <c r="R66" s="289">
        <v>2020003630016</v>
      </c>
      <c r="S66" s="195" t="s">
        <v>1006</v>
      </c>
      <c r="T66" s="290">
        <f t="shared" si="1"/>
        <v>0.99953459106358844</v>
      </c>
      <c r="U66" s="195" t="s">
        <v>1007</v>
      </c>
      <c r="V66" s="227" t="s">
        <v>1014</v>
      </c>
      <c r="W66" s="227" t="s">
        <v>1022</v>
      </c>
      <c r="X66" s="749">
        <v>394224728.80000001</v>
      </c>
      <c r="Y66" s="717">
        <f>394224728.8</f>
        <v>394224728.80000001</v>
      </c>
      <c r="Z66" s="227"/>
      <c r="AA66" s="227"/>
      <c r="AB66" s="291">
        <f t="shared" si="0"/>
        <v>0</v>
      </c>
      <c r="AC66" s="227" t="s">
        <v>1076</v>
      </c>
      <c r="AD66" s="227"/>
      <c r="AE66" s="288">
        <v>25</v>
      </c>
      <c r="AF66" s="195" t="s">
        <v>1021</v>
      </c>
      <c r="AG66" s="292">
        <v>19649</v>
      </c>
      <c r="AH66" s="292">
        <v>20118</v>
      </c>
      <c r="AI66" s="292">
        <v>28907</v>
      </c>
      <c r="AJ66" s="292">
        <v>9525</v>
      </c>
      <c r="AK66" s="292">
        <v>1222</v>
      </c>
      <c r="AL66" s="292">
        <v>113</v>
      </c>
      <c r="AM66" s="292">
        <v>297</v>
      </c>
      <c r="AN66" s="292">
        <v>345</v>
      </c>
      <c r="AO66" s="292">
        <v>0</v>
      </c>
      <c r="AP66" s="292">
        <v>0</v>
      </c>
      <c r="AQ66" s="292">
        <v>0</v>
      </c>
      <c r="AR66" s="292">
        <v>0</v>
      </c>
      <c r="AS66" s="292">
        <v>3301</v>
      </c>
      <c r="AT66" s="292">
        <v>113</v>
      </c>
      <c r="AU66" s="292">
        <v>2507</v>
      </c>
      <c r="AV66" s="292">
        <v>39767</v>
      </c>
      <c r="AW66" s="293">
        <v>45292</v>
      </c>
      <c r="AX66" s="293">
        <v>45657</v>
      </c>
      <c r="AY66" s="195" t="s">
        <v>1011</v>
      </c>
    </row>
    <row r="67" spans="1:51" ht="99.95" customHeight="1" x14ac:dyDescent="0.2">
      <c r="A67" s="65">
        <v>1</v>
      </c>
      <c r="B67" s="195" t="s">
        <v>315</v>
      </c>
      <c r="C67" s="205">
        <v>22</v>
      </c>
      <c r="D67" s="195" t="s">
        <v>1002</v>
      </c>
      <c r="E67" s="205">
        <v>2201</v>
      </c>
      <c r="F67" s="195" t="s">
        <v>1003</v>
      </c>
      <c r="G67" s="294">
        <v>2201071</v>
      </c>
      <c r="H67" s="195" t="s">
        <v>1012</v>
      </c>
      <c r="I67" s="294">
        <v>2201071</v>
      </c>
      <c r="J67" s="195" t="s">
        <v>1012</v>
      </c>
      <c r="K67" s="294">
        <v>220107100</v>
      </c>
      <c r="L67" s="195" t="s">
        <v>1013</v>
      </c>
      <c r="M67" s="295">
        <v>220107100</v>
      </c>
      <c r="N67" s="195" t="s">
        <v>1013</v>
      </c>
      <c r="O67" s="288">
        <v>54</v>
      </c>
      <c r="P67" s="288"/>
      <c r="Q67" s="288">
        <v>54</v>
      </c>
      <c r="R67" s="289">
        <v>2020003630016</v>
      </c>
      <c r="S67" s="195" t="s">
        <v>1006</v>
      </c>
      <c r="T67" s="290">
        <f t="shared" si="1"/>
        <v>0.99953459106358844</v>
      </c>
      <c r="U67" s="195" t="s">
        <v>1007</v>
      </c>
      <c r="V67" s="227" t="s">
        <v>1014</v>
      </c>
      <c r="W67" s="227" t="s">
        <v>1022</v>
      </c>
      <c r="X67" s="291">
        <v>3481052094</v>
      </c>
      <c r="Y67" s="743">
        <f>3481052094</f>
        <v>3481052094</v>
      </c>
      <c r="Z67" s="742"/>
      <c r="AA67" s="227"/>
      <c r="AB67" s="291">
        <f t="shared" si="0"/>
        <v>0</v>
      </c>
      <c r="AC67" s="227" t="s">
        <v>1077</v>
      </c>
      <c r="AD67" s="227"/>
      <c r="AE67" s="288">
        <v>25</v>
      </c>
      <c r="AF67" s="195" t="s">
        <v>1021</v>
      </c>
      <c r="AG67" s="292">
        <v>19649</v>
      </c>
      <c r="AH67" s="292">
        <v>20118</v>
      </c>
      <c r="AI67" s="292">
        <v>28907</v>
      </c>
      <c r="AJ67" s="292">
        <v>9525</v>
      </c>
      <c r="AK67" s="292">
        <v>1222</v>
      </c>
      <c r="AL67" s="292">
        <v>113</v>
      </c>
      <c r="AM67" s="292">
        <v>297</v>
      </c>
      <c r="AN67" s="292">
        <v>345</v>
      </c>
      <c r="AO67" s="292">
        <v>0</v>
      </c>
      <c r="AP67" s="292">
        <v>0</v>
      </c>
      <c r="AQ67" s="292">
        <v>0</v>
      </c>
      <c r="AR67" s="292">
        <v>0</v>
      </c>
      <c r="AS67" s="292">
        <v>3301</v>
      </c>
      <c r="AT67" s="292">
        <v>113</v>
      </c>
      <c r="AU67" s="292">
        <v>2507</v>
      </c>
      <c r="AV67" s="292">
        <v>39767</v>
      </c>
      <c r="AW67" s="293">
        <v>45292</v>
      </c>
      <c r="AX67" s="293">
        <v>45657</v>
      </c>
      <c r="AY67" s="195" t="s">
        <v>1011</v>
      </c>
    </row>
    <row r="68" spans="1:51" ht="99.95" customHeight="1" x14ac:dyDescent="0.2">
      <c r="A68" s="65">
        <v>1</v>
      </c>
      <c r="B68" s="195" t="s">
        <v>315</v>
      </c>
      <c r="C68" s="205">
        <v>22</v>
      </c>
      <c r="D68" s="195" t="s">
        <v>1002</v>
      </c>
      <c r="E68" s="205">
        <v>2201</v>
      </c>
      <c r="F68" s="195" t="s">
        <v>1003</v>
      </c>
      <c r="G68" s="294">
        <v>2201071</v>
      </c>
      <c r="H68" s="195" t="s">
        <v>1012</v>
      </c>
      <c r="I68" s="294">
        <v>2201071</v>
      </c>
      <c r="J68" s="195" t="s">
        <v>1012</v>
      </c>
      <c r="K68" s="294">
        <v>220107100</v>
      </c>
      <c r="L68" s="195" t="s">
        <v>1013</v>
      </c>
      <c r="M68" s="295">
        <v>220107100</v>
      </c>
      <c r="N68" s="195" t="s">
        <v>1013</v>
      </c>
      <c r="O68" s="288">
        <v>54</v>
      </c>
      <c r="P68" s="288"/>
      <c r="Q68" s="288">
        <v>54</v>
      </c>
      <c r="R68" s="289">
        <v>2020003630016</v>
      </c>
      <c r="S68" s="195" t="s">
        <v>1006</v>
      </c>
      <c r="T68" s="290">
        <f t="shared" si="1"/>
        <v>0.99953459106358844</v>
      </c>
      <c r="U68" s="195" t="s">
        <v>1007</v>
      </c>
      <c r="V68" s="227" t="s">
        <v>1014</v>
      </c>
      <c r="W68" s="227" t="s">
        <v>1025</v>
      </c>
      <c r="X68" s="291">
        <v>520919616</v>
      </c>
      <c r="Y68" s="717">
        <f>520919616</f>
        <v>520919616</v>
      </c>
      <c r="Z68" s="227"/>
      <c r="AA68" s="227"/>
      <c r="AB68" s="291">
        <f t="shared" si="0"/>
        <v>0</v>
      </c>
      <c r="AC68" s="227" t="s">
        <v>1078</v>
      </c>
      <c r="AD68" s="227"/>
      <c r="AE68" s="288">
        <v>25</v>
      </c>
      <c r="AF68" s="195" t="s">
        <v>1021</v>
      </c>
      <c r="AG68" s="292">
        <v>19649</v>
      </c>
      <c r="AH68" s="292">
        <v>20118</v>
      </c>
      <c r="AI68" s="292">
        <v>28907</v>
      </c>
      <c r="AJ68" s="292">
        <v>9525</v>
      </c>
      <c r="AK68" s="292">
        <v>1222</v>
      </c>
      <c r="AL68" s="292">
        <v>113</v>
      </c>
      <c r="AM68" s="292">
        <v>297</v>
      </c>
      <c r="AN68" s="292">
        <v>345</v>
      </c>
      <c r="AO68" s="292">
        <v>0</v>
      </c>
      <c r="AP68" s="292">
        <v>0</v>
      </c>
      <c r="AQ68" s="292">
        <v>0</v>
      </c>
      <c r="AR68" s="292">
        <v>0</v>
      </c>
      <c r="AS68" s="292">
        <v>3301</v>
      </c>
      <c r="AT68" s="292">
        <v>113</v>
      </c>
      <c r="AU68" s="292">
        <v>2507</v>
      </c>
      <c r="AV68" s="292">
        <v>39767</v>
      </c>
      <c r="AW68" s="293">
        <v>45292</v>
      </c>
      <c r="AX68" s="293">
        <v>45657</v>
      </c>
      <c r="AY68" s="195" t="s">
        <v>1011</v>
      </c>
    </row>
    <row r="69" spans="1:51" ht="99.95" customHeight="1" x14ac:dyDescent="0.2">
      <c r="A69" s="65">
        <v>1</v>
      </c>
      <c r="B69" s="195" t="s">
        <v>315</v>
      </c>
      <c r="C69" s="205">
        <v>22</v>
      </c>
      <c r="D69" s="195" t="s">
        <v>1002</v>
      </c>
      <c r="E69" s="205">
        <v>2201</v>
      </c>
      <c r="F69" s="195" t="s">
        <v>1003</v>
      </c>
      <c r="G69" s="294">
        <v>2201071</v>
      </c>
      <c r="H69" s="195" t="s">
        <v>1012</v>
      </c>
      <c r="I69" s="294">
        <v>2201071</v>
      </c>
      <c r="J69" s="195" t="s">
        <v>1012</v>
      </c>
      <c r="K69" s="294">
        <v>220107100</v>
      </c>
      <c r="L69" s="195" t="s">
        <v>1013</v>
      </c>
      <c r="M69" s="295">
        <v>220107100</v>
      </c>
      <c r="N69" s="195" t="s">
        <v>1013</v>
      </c>
      <c r="O69" s="288">
        <v>54</v>
      </c>
      <c r="P69" s="288"/>
      <c r="Q69" s="288">
        <v>54</v>
      </c>
      <c r="R69" s="289">
        <v>2020003630016</v>
      </c>
      <c r="S69" s="195" t="s">
        <v>1006</v>
      </c>
      <c r="T69" s="290">
        <f t="shared" si="1"/>
        <v>0.99953459106358844</v>
      </c>
      <c r="U69" s="195" t="s">
        <v>1007</v>
      </c>
      <c r="V69" s="227" t="s">
        <v>1014</v>
      </c>
      <c r="W69" s="227" t="s">
        <v>1019</v>
      </c>
      <c r="X69" s="291">
        <v>12035973.6</v>
      </c>
      <c r="Y69" s="717">
        <f>12035973.6</f>
        <v>12035973.6</v>
      </c>
      <c r="Z69" s="227"/>
      <c r="AA69" s="227"/>
      <c r="AB69" s="291">
        <f t="shared" si="0"/>
        <v>0</v>
      </c>
      <c r="AC69" s="227" t="s">
        <v>1079</v>
      </c>
      <c r="AD69" s="227"/>
      <c r="AE69" s="288">
        <v>25</v>
      </c>
      <c r="AF69" s="195" t="s">
        <v>1021</v>
      </c>
      <c r="AG69" s="292">
        <v>19649</v>
      </c>
      <c r="AH69" s="292">
        <v>20118</v>
      </c>
      <c r="AI69" s="292">
        <v>28907</v>
      </c>
      <c r="AJ69" s="292">
        <v>9525</v>
      </c>
      <c r="AK69" s="292">
        <v>1222</v>
      </c>
      <c r="AL69" s="292">
        <v>113</v>
      </c>
      <c r="AM69" s="292">
        <v>297</v>
      </c>
      <c r="AN69" s="292">
        <v>345</v>
      </c>
      <c r="AO69" s="292">
        <v>0</v>
      </c>
      <c r="AP69" s="292">
        <v>0</v>
      </c>
      <c r="AQ69" s="292">
        <v>0</v>
      </c>
      <c r="AR69" s="292">
        <v>0</v>
      </c>
      <c r="AS69" s="292">
        <v>3301</v>
      </c>
      <c r="AT69" s="292">
        <v>113</v>
      </c>
      <c r="AU69" s="292">
        <v>2507</v>
      </c>
      <c r="AV69" s="292">
        <v>39767</v>
      </c>
      <c r="AW69" s="293">
        <v>45292</v>
      </c>
      <c r="AX69" s="293">
        <v>45657</v>
      </c>
      <c r="AY69" s="195" t="s">
        <v>1011</v>
      </c>
    </row>
    <row r="70" spans="1:51" ht="99.95" customHeight="1" x14ac:dyDescent="0.2">
      <c r="A70" s="65">
        <v>1</v>
      </c>
      <c r="B70" s="195" t="s">
        <v>315</v>
      </c>
      <c r="C70" s="205">
        <v>22</v>
      </c>
      <c r="D70" s="195" t="s">
        <v>1002</v>
      </c>
      <c r="E70" s="205">
        <v>2201</v>
      </c>
      <c r="F70" s="195" t="s">
        <v>1003</v>
      </c>
      <c r="G70" s="294">
        <v>2201071</v>
      </c>
      <c r="H70" s="195" t="s">
        <v>1012</v>
      </c>
      <c r="I70" s="294">
        <v>2201071</v>
      </c>
      <c r="J70" s="195" t="s">
        <v>1012</v>
      </c>
      <c r="K70" s="294">
        <v>220107100</v>
      </c>
      <c r="L70" s="195" t="s">
        <v>1013</v>
      </c>
      <c r="M70" s="295">
        <v>220107100</v>
      </c>
      <c r="N70" s="195" t="s">
        <v>1013</v>
      </c>
      <c r="O70" s="288">
        <v>54</v>
      </c>
      <c r="P70" s="288"/>
      <c r="Q70" s="288">
        <v>54</v>
      </c>
      <c r="R70" s="289">
        <v>2020003630016</v>
      </c>
      <c r="S70" s="195" t="s">
        <v>1006</v>
      </c>
      <c r="T70" s="290">
        <f t="shared" si="1"/>
        <v>0.99953459106358844</v>
      </c>
      <c r="U70" s="195" t="s">
        <v>1007</v>
      </c>
      <c r="V70" s="227" t="s">
        <v>1014</v>
      </c>
      <c r="W70" s="227" t="s">
        <v>1022</v>
      </c>
      <c r="X70" s="749">
        <v>65818860.799999997</v>
      </c>
      <c r="Y70" s="717">
        <f>65818860.8</f>
        <v>65818860.799999997</v>
      </c>
      <c r="Z70" s="227"/>
      <c r="AA70" s="227"/>
      <c r="AB70" s="291">
        <f t="shared" si="0"/>
        <v>0</v>
      </c>
      <c r="AC70" s="227" t="s">
        <v>1080</v>
      </c>
      <c r="AD70" s="227"/>
      <c r="AE70" s="288">
        <v>25</v>
      </c>
      <c r="AF70" s="195" t="s">
        <v>1021</v>
      </c>
      <c r="AG70" s="292">
        <v>19649</v>
      </c>
      <c r="AH70" s="292">
        <v>20118</v>
      </c>
      <c r="AI70" s="292">
        <v>28907</v>
      </c>
      <c r="AJ70" s="292">
        <v>9525</v>
      </c>
      <c r="AK70" s="292">
        <v>1222</v>
      </c>
      <c r="AL70" s="292">
        <v>113</v>
      </c>
      <c r="AM70" s="292">
        <v>297</v>
      </c>
      <c r="AN70" s="292">
        <v>345</v>
      </c>
      <c r="AO70" s="292">
        <v>0</v>
      </c>
      <c r="AP70" s="292">
        <v>0</v>
      </c>
      <c r="AQ70" s="292">
        <v>0</v>
      </c>
      <c r="AR70" s="292">
        <v>0</v>
      </c>
      <c r="AS70" s="292">
        <v>3301</v>
      </c>
      <c r="AT70" s="292">
        <v>113</v>
      </c>
      <c r="AU70" s="292">
        <v>2507</v>
      </c>
      <c r="AV70" s="292">
        <v>39767</v>
      </c>
      <c r="AW70" s="293">
        <v>45292</v>
      </c>
      <c r="AX70" s="293">
        <v>45657</v>
      </c>
      <c r="AY70" s="195" t="s">
        <v>1011</v>
      </c>
    </row>
    <row r="71" spans="1:51" ht="99.95" customHeight="1" x14ac:dyDescent="0.2">
      <c r="A71" s="65">
        <v>1</v>
      </c>
      <c r="B71" s="195" t="s">
        <v>315</v>
      </c>
      <c r="C71" s="205">
        <v>22</v>
      </c>
      <c r="D71" s="195" t="s">
        <v>1002</v>
      </c>
      <c r="E71" s="205">
        <v>2201</v>
      </c>
      <c r="F71" s="195" t="s">
        <v>1003</v>
      </c>
      <c r="G71" s="294">
        <v>2201071</v>
      </c>
      <c r="H71" s="195" t="s">
        <v>1012</v>
      </c>
      <c r="I71" s="294">
        <v>2201071</v>
      </c>
      <c r="J71" s="195" t="s">
        <v>1012</v>
      </c>
      <c r="K71" s="294">
        <v>220107100</v>
      </c>
      <c r="L71" s="195" t="s">
        <v>1013</v>
      </c>
      <c r="M71" s="295">
        <v>220107100</v>
      </c>
      <c r="N71" s="195" t="s">
        <v>1013</v>
      </c>
      <c r="O71" s="288">
        <v>54</v>
      </c>
      <c r="P71" s="288"/>
      <c r="Q71" s="288">
        <v>54</v>
      </c>
      <c r="R71" s="289">
        <v>2020003630016</v>
      </c>
      <c r="S71" s="195" t="s">
        <v>1006</v>
      </c>
      <c r="T71" s="290">
        <f t="shared" si="1"/>
        <v>0.99953459106358844</v>
      </c>
      <c r="U71" s="195" t="s">
        <v>1007</v>
      </c>
      <c r="V71" s="227" t="s">
        <v>1014</v>
      </c>
      <c r="W71" s="227" t="s">
        <v>1022</v>
      </c>
      <c r="X71" s="749">
        <v>651196596.96000004</v>
      </c>
      <c r="Y71" s="717">
        <f>651196596.96</f>
        <v>651196596.96000004</v>
      </c>
      <c r="Z71" s="227"/>
      <c r="AA71" s="227"/>
      <c r="AB71" s="291">
        <f t="shared" si="0"/>
        <v>0</v>
      </c>
      <c r="AC71" s="227" t="s">
        <v>1081</v>
      </c>
      <c r="AD71" s="227"/>
      <c r="AE71" s="288">
        <v>25</v>
      </c>
      <c r="AF71" s="195" t="s">
        <v>1021</v>
      </c>
      <c r="AG71" s="292">
        <v>19649</v>
      </c>
      <c r="AH71" s="292">
        <v>20118</v>
      </c>
      <c r="AI71" s="292">
        <v>28907</v>
      </c>
      <c r="AJ71" s="292">
        <v>9525</v>
      </c>
      <c r="AK71" s="292">
        <v>1222</v>
      </c>
      <c r="AL71" s="292">
        <v>113</v>
      </c>
      <c r="AM71" s="292">
        <v>297</v>
      </c>
      <c r="AN71" s="292">
        <v>345</v>
      </c>
      <c r="AO71" s="292">
        <v>0</v>
      </c>
      <c r="AP71" s="292">
        <v>0</v>
      </c>
      <c r="AQ71" s="292">
        <v>0</v>
      </c>
      <c r="AR71" s="292">
        <v>0</v>
      </c>
      <c r="AS71" s="292">
        <v>3301</v>
      </c>
      <c r="AT71" s="292">
        <v>113</v>
      </c>
      <c r="AU71" s="292">
        <v>2507</v>
      </c>
      <c r="AV71" s="292">
        <v>39767</v>
      </c>
      <c r="AW71" s="293">
        <v>45292</v>
      </c>
      <c r="AX71" s="293">
        <v>45657</v>
      </c>
      <c r="AY71" s="195" t="s">
        <v>1011</v>
      </c>
    </row>
    <row r="72" spans="1:51" ht="99.95" customHeight="1" x14ac:dyDescent="0.2">
      <c r="A72" s="65">
        <v>1</v>
      </c>
      <c r="B72" s="195" t="s">
        <v>315</v>
      </c>
      <c r="C72" s="205">
        <v>22</v>
      </c>
      <c r="D72" s="195" t="s">
        <v>1002</v>
      </c>
      <c r="E72" s="205">
        <v>2201</v>
      </c>
      <c r="F72" s="195" t="s">
        <v>1003</v>
      </c>
      <c r="G72" s="294">
        <v>2201071</v>
      </c>
      <c r="H72" s="195" t="s">
        <v>1012</v>
      </c>
      <c r="I72" s="294">
        <v>2201071</v>
      </c>
      <c r="J72" s="195" t="s">
        <v>1012</v>
      </c>
      <c r="K72" s="294">
        <v>220107100</v>
      </c>
      <c r="L72" s="195" t="s">
        <v>1013</v>
      </c>
      <c r="M72" s="295">
        <v>220107100</v>
      </c>
      <c r="N72" s="195" t="s">
        <v>1013</v>
      </c>
      <c r="O72" s="288">
        <v>54</v>
      </c>
      <c r="P72" s="288"/>
      <c r="Q72" s="288">
        <v>54</v>
      </c>
      <c r="R72" s="289">
        <v>2020003630016</v>
      </c>
      <c r="S72" s="195" t="s">
        <v>1006</v>
      </c>
      <c r="T72" s="290">
        <f t="shared" si="1"/>
        <v>0.99953459106358844</v>
      </c>
      <c r="U72" s="195" t="s">
        <v>1007</v>
      </c>
      <c r="V72" s="227" t="s">
        <v>1014</v>
      </c>
      <c r="W72" s="227" t="s">
        <v>1025</v>
      </c>
      <c r="X72" s="291">
        <v>86819936</v>
      </c>
      <c r="Y72" s="717">
        <v>86819936</v>
      </c>
      <c r="Z72" s="227"/>
      <c r="AA72" s="227"/>
      <c r="AB72" s="291">
        <f t="shared" si="0"/>
        <v>0</v>
      </c>
      <c r="AC72" s="227" t="s">
        <v>1082</v>
      </c>
      <c r="AD72" s="227"/>
      <c r="AE72" s="288">
        <v>25</v>
      </c>
      <c r="AF72" s="195" t="s">
        <v>1021</v>
      </c>
      <c r="AG72" s="292">
        <v>19649</v>
      </c>
      <c r="AH72" s="292">
        <v>20118</v>
      </c>
      <c r="AI72" s="292">
        <v>28907</v>
      </c>
      <c r="AJ72" s="292">
        <v>9525</v>
      </c>
      <c r="AK72" s="292">
        <v>1222</v>
      </c>
      <c r="AL72" s="292">
        <v>113</v>
      </c>
      <c r="AM72" s="292">
        <v>297</v>
      </c>
      <c r="AN72" s="292">
        <v>345</v>
      </c>
      <c r="AO72" s="292">
        <v>0</v>
      </c>
      <c r="AP72" s="292">
        <v>0</v>
      </c>
      <c r="AQ72" s="292">
        <v>0</v>
      </c>
      <c r="AR72" s="292">
        <v>0</v>
      </c>
      <c r="AS72" s="292">
        <v>3301</v>
      </c>
      <c r="AT72" s="292">
        <v>113</v>
      </c>
      <c r="AU72" s="292">
        <v>2507</v>
      </c>
      <c r="AV72" s="292">
        <v>39767</v>
      </c>
      <c r="AW72" s="293">
        <v>45292</v>
      </c>
      <c r="AX72" s="293">
        <v>45657</v>
      </c>
      <c r="AY72" s="195" t="s">
        <v>1011</v>
      </c>
    </row>
    <row r="73" spans="1:51" ht="99.95" customHeight="1" x14ac:dyDescent="0.2">
      <c r="A73" s="65">
        <v>1</v>
      </c>
      <c r="B73" s="195" t="s">
        <v>315</v>
      </c>
      <c r="C73" s="205">
        <v>22</v>
      </c>
      <c r="D73" s="195" t="s">
        <v>1002</v>
      </c>
      <c r="E73" s="205">
        <v>2201</v>
      </c>
      <c r="F73" s="195" t="s">
        <v>1003</v>
      </c>
      <c r="G73" s="294">
        <v>2201071</v>
      </c>
      <c r="H73" s="195" t="s">
        <v>1012</v>
      </c>
      <c r="I73" s="294">
        <v>2201071</v>
      </c>
      <c r="J73" s="195" t="s">
        <v>1012</v>
      </c>
      <c r="K73" s="294">
        <v>220107100</v>
      </c>
      <c r="L73" s="195" t="s">
        <v>1013</v>
      </c>
      <c r="M73" s="295">
        <v>220107100</v>
      </c>
      <c r="N73" s="195" t="s">
        <v>1013</v>
      </c>
      <c r="O73" s="288">
        <v>54</v>
      </c>
      <c r="P73" s="288"/>
      <c r="Q73" s="288">
        <v>54</v>
      </c>
      <c r="R73" s="289">
        <v>2020003630016</v>
      </c>
      <c r="S73" s="195" t="s">
        <v>1006</v>
      </c>
      <c r="T73" s="290">
        <f t="shared" si="1"/>
        <v>0.99953459106358844</v>
      </c>
      <c r="U73" s="195" t="s">
        <v>1007</v>
      </c>
      <c r="V73" s="227" t="s">
        <v>1014</v>
      </c>
      <c r="W73" s="227" t="s">
        <v>1019</v>
      </c>
      <c r="X73" s="291">
        <v>12035973.6</v>
      </c>
      <c r="Y73" s="717">
        <f>12035973.6</f>
        <v>12035973.6</v>
      </c>
      <c r="Z73" s="227"/>
      <c r="AA73" s="227"/>
      <c r="AB73" s="291">
        <f t="shared" si="0"/>
        <v>0</v>
      </c>
      <c r="AC73" s="227" t="s">
        <v>1083</v>
      </c>
      <c r="AD73" s="227"/>
      <c r="AE73" s="288">
        <v>25</v>
      </c>
      <c r="AF73" s="195" t="s">
        <v>1021</v>
      </c>
      <c r="AG73" s="292">
        <v>19649</v>
      </c>
      <c r="AH73" s="292">
        <v>20118</v>
      </c>
      <c r="AI73" s="292">
        <v>28907</v>
      </c>
      <c r="AJ73" s="292">
        <v>9525</v>
      </c>
      <c r="AK73" s="292">
        <v>1222</v>
      </c>
      <c r="AL73" s="292">
        <v>113</v>
      </c>
      <c r="AM73" s="292">
        <v>297</v>
      </c>
      <c r="AN73" s="292">
        <v>345</v>
      </c>
      <c r="AO73" s="292">
        <v>0</v>
      </c>
      <c r="AP73" s="292">
        <v>0</v>
      </c>
      <c r="AQ73" s="292">
        <v>0</v>
      </c>
      <c r="AR73" s="292">
        <v>0</v>
      </c>
      <c r="AS73" s="292">
        <v>3301</v>
      </c>
      <c r="AT73" s="292">
        <v>113</v>
      </c>
      <c r="AU73" s="292">
        <v>2507</v>
      </c>
      <c r="AV73" s="292">
        <v>39767</v>
      </c>
      <c r="AW73" s="293">
        <v>45292</v>
      </c>
      <c r="AX73" s="293">
        <v>45657</v>
      </c>
      <c r="AY73" s="195" t="s">
        <v>1011</v>
      </c>
    </row>
    <row r="74" spans="1:51" ht="99.95" customHeight="1" x14ac:dyDescent="0.2">
      <c r="A74" s="65">
        <v>1</v>
      </c>
      <c r="B74" s="195" t="s">
        <v>315</v>
      </c>
      <c r="C74" s="205">
        <v>22</v>
      </c>
      <c r="D74" s="195" t="s">
        <v>1002</v>
      </c>
      <c r="E74" s="205">
        <v>2201</v>
      </c>
      <c r="F74" s="195" t="s">
        <v>1003</v>
      </c>
      <c r="G74" s="294">
        <v>2201071</v>
      </c>
      <c r="H74" s="195" t="s">
        <v>1012</v>
      </c>
      <c r="I74" s="294">
        <v>2201071</v>
      </c>
      <c r="J74" s="195" t="s">
        <v>1012</v>
      </c>
      <c r="K74" s="294">
        <v>220107100</v>
      </c>
      <c r="L74" s="195" t="s">
        <v>1013</v>
      </c>
      <c r="M74" s="295">
        <v>220107100</v>
      </c>
      <c r="N74" s="195" t="s">
        <v>1013</v>
      </c>
      <c r="O74" s="288">
        <v>54</v>
      </c>
      <c r="P74" s="288"/>
      <c r="Q74" s="288">
        <v>54</v>
      </c>
      <c r="R74" s="289">
        <v>2020003630016</v>
      </c>
      <c r="S74" s="195" t="s">
        <v>1006</v>
      </c>
      <c r="T74" s="290">
        <f t="shared" si="1"/>
        <v>0.99953459106358844</v>
      </c>
      <c r="U74" s="195" t="s">
        <v>1007</v>
      </c>
      <c r="V74" s="227" t="s">
        <v>1014</v>
      </c>
      <c r="W74" s="227" t="s">
        <v>1022</v>
      </c>
      <c r="X74" s="749">
        <v>65818860.799999997</v>
      </c>
      <c r="Y74" s="717">
        <f>65818860.8</f>
        <v>65818860.799999997</v>
      </c>
      <c r="Z74" s="227"/>
      <c r="AA74" s="227"/>
      <c r="AB74" s="291">
        <f t="shared" si="0"/>
        <v>0</v>
      </c>
      <c r="AC74" s="227" t="s">
        <v>1084</v>
      </c>
      <c r="AD74" s="227"/>
      <c r="AE74" s="288">
        <v>25</v>
      </c>
      <c r="AF74" s="195" t="s">
        <v>1021</v>
      </c>
      <c r="AG74" s="292">
        <v>19649</v>
      </c>
      <c r="AH74" s="292">
        <v>20118</v>
      </c>
      <c r="AI74" s="292">
        <v>28907</v>
      </c>
      <c r="AJ74" s="292">
        <v>9525</v>
      </c>
      <c r="AK74" s="292">
        <v>1222</v>
      </c>
      <c r="AL74" s="292">
        <v>113</v>
      </c>
      <c r="AM74" s="292">
        <v>297</v>
      </c>
      <c r="AN74" s="292">
        <v>345</v>
      </c>
      <c r="AO74" s="292">
        <v>0</v>
      </c>
      <c r="AP74" s="292">
        <v>0</v>
      </c>
      <c r="AQ74" s="292">
        <v>0</v>
      </c>
      <c r="AR74" s="292">
        <v>0</v>
      </c>
      <c r="AS74" s="292">
        <v>3301</v>
      </c>
      <c r="AT74" s="292">
        <v>113</v>
      </c>
      <c r="AU74" s="292">
        <v>2507</v>
      </c>
      <c r="AV74" s="292">
        <v>39767</v>
      </c>
      <c r="AW74" s="293">
        <v>45292</v>
      </c>
      <c r="AX74" s="293">
        <v>45657</v>
      </c>
      <c r="AY74" s="195" t="s">
        <v>1011</v>
      </c>
    </row>
    <row r="75" spans="1:51" ht="99.95" customHeight="1" x14ac:dyDescent="0.2">
      <c r="A75" s="65">
        <v>1</v>
      </c>
      <c r="B75" s="195" t="s">
        <v>315</v>
      </c>
      <c r="C75" s="205">
        <v>22</v>
      </c>
      <c r="D75" s="195" t="s">
        <v>1002</v>
      </c>
      <c r="E75" s="205">
        <v>2201</v>
      </c>
      <c r="F75" s="195" t="s">
        <v>1003</v>
      </c>
      <c r="G75" s="294">
        <v>2201071</v>
      </c>
      <c r="H75" s="195" t="s">
        <v>1012</v>
      </c>
      <c r="I75" s="294">
        <v>2201071</v>
      </c>
      <c r="J75" s="195" t="s">
        <v>1012</v>
      </c>
      <c r="K75" s="294">
        <v>220107100</v>
      </c>
      <c r="L75" s="195" t="s">
        <v>1013</v>
      </c>
      <c r="M75" s="295">
        <v>220107100</v>
      </c>
      <c r="N75" s="195" t="s">
        <v>1013</v>
      </c>
      <c r="O75" s="288">
        <v>54</v>
      </c>
      <c r="P75" s="288"/>
      <c r="Q75" s="288">
        <v>54</v>
      </c>
      <c r="R75" s="289">
        <v>2020003630016</v>
      </c>
      <c r="S75" s="195" t="s">
        <v>1006</v>
      </c>
      <c r="T75" s="290">
        <f t="shared" si="1"/>
        <v>0.99953459106358844</v>
      </c>
      <c r="U75" s="195" t="s">
        <v>1007</v>
      </c>
      <c r="V75" s="227" t="s">
        <v>1014</v>
      </c>
      <c r="W75" s="227" t="s">
        <v>1022</v>
      </c>
      <c r="X75" s="749">
        <v>651196596.96000004</v>
      </c>
      <c r="Y75" s="717">
        <f>651196596.96</f>
        <v>651196596.96000004</v>
      </c>
      <c r="Z75" s="227"/>
      <c r="AA75" s="227"/>
      <c r="AB75" s="291">
        <f t="shared" si="0"/>
        <v>0</v>
      </c>
      <c r="AC75" s="227" t="s">
        <v>1085</v>
      </c>
      <c r="AD75" s="227"/>
      <c r="AE75" s="288">
        <v>25</v>
      </c>
      <c r="AF75" s="195" t="s">
        <v>1021</v>
      </c>
      <c r="AG75" s="292">
        <v>19649</v>
      </c>
      <c r="AH75" s="292">
        <v>20118</v>
      </c>
      <c r="AI75" s="292">
        <v>28907</v>
      </c>
      <c r="AJ75" s="292">
        <v>9525</v>
      </c>
      <c r="AK75" s="292">
        <v>1222</v>
      </c>
      <c r="AL75" s="292">
        <v>113</v>
      </c>
      <c r="AM75" s="292">
        <v>297</v>
      </c>
      <c r="AN75" s="292">
        <v>345</v>
      </c>
      <c r="AO75" s="292">
        <v>0</v>
      </c>
      <c r="AP75" s="292">
        <v>0</v>
      </c>
      <c r="AQ75" s="292">
        <v>0</v>
      </c>
      <c r="AR75" s="292">
        <v>0</v>
      </c>
      <c r="AS75" s="292">
        <v>3301</v>
      </c>
      <c r="AT75" s="292">
        <v>113</v>
      </c>
      <c r="AU75" s="292">
        <v>2507</v>
      </c>
      <c r="AV75" s="292">
        <v>39767</v>
      </c>
      <c r="AW75" s="293">
        <v>45292</v>
      </c>
      <c r="AX75" s="293">
        <v>45657</v>
      </c>
      <c r="AY75" s="195" t="s">
        <v>1011</v>
      </c>
    </row>
    <row r="76" spans="1:51" ht="99.95" customHeight="1" x14ac:dyDescent="0.2">
      <c r="A76" s="65">
        <v>1</v>
      </c>
      <c r="B76" s="195" t="s">
        <v>315</v>
      </c>
      <c r="C76" s="205">
        <v>22</v>
      </c>
      <c r="D76" s="195" t="s">
        <v>1002</v>
      </c>
      <c r="E76" s="205">
        <v>2201</v>
      </c>
      <c r="F76" s="195" t="s">
        <v>1003</v>
      </c>
      <c r="G76" s="294">
        <v>2201071</v>
      </c>
      <c r="H76" s="195" t="s">
        <v>1012</v>
      </c>
      <c r="I76" s="294">
        <v>2201071</v>
      </c>
      <c r="J76" s="195" t="s">
        <v>1012</v>
      </c>
      <c r="K76" s="294">
        <v>220107100</v>
      </c>
      <c r="L76" s="195" t="s">
        <v>1013</v>
      </c>
      <c r="M76" s="295">
        <v>220107100</v>
      </c>
      <c r="N76" s="195" t="s">
        <v>1013</v>
      </c>
      <c r="O76" s="288">
        <v>54</v>
      </c>
      <c r="P76" s="288"/>
      <c r="Q76" s="288">
        <v>54</v>
      </c>
      <c r="R76" s="289">
        <v>2020003630016</v>
      </c>
      <c r="S76" s="195" t="s">
        <v>1006</v>
      </c>
      <c r="T76" s="290">
        <f t="shared" si="1"/>
        <v>0.99953459106358844</v>
      </c>
      <c r="U76" s="195" t="s">
        <v>1007</v>
      </c>
      <c r="V76" s="227" t="s">
        <v>1014</v>
      </c>
      <c r="W76" s="227" t="s">
        <v>1025</v>
      </c>
      <c r="X76" s="291">
        <v>86819936</v>
      </c>
      <c r="Y76" s="717">
        <f>86819936</f>
        <v>86819936</v>
      </c>
      <c r="Z76" s="227"/>
      <c r="AA76" s="227"/>
      <c r="AB76" s="291">
        <f t="shared" ref="AB76:AB114" si="2">X76-Y76+Z76-AA76</f>
        <v>0</v>
      </c>
      <c r="AC76" s="227" t="s">
        <v>1086</v>
      </c>
      <c r="AD76" s="227"/>
      <c r="AE76" s="288">
        <v>25</v>
      </c>
      <c r="AF76" s="195" t="s">
        <v>1021</v>
      </c>
      <c r="AG76" s="292">
        <v>19649</v>
      </c>
      <c r="AH76" s="292">
        <v>20118</v>
      </c>
      <c r="AI76" s="292">
        <v>28907</v>
      </c>
      <c r="AJ76" s="292">
        <v>9525</v>
      </c>
      <c r="AK76" s="292">
        <v>1222</v>
      </c>
      <c r="AL76" s="292">
        <v>113</v>
      </c>
      <c r="AM76" s="292">
        <v>297</v>
      </c>
      <c r="AN76" s="292">
        <v>345</v>
      </c>
      <c r="AO76" s="292">
        <v>0</v>
      </c>
      <c r="AP76" s="292">
        <v>0</v>
      </c>
      <c r="AQ76" s="292">
        <v>0</v>
      </c>
      <c r="AR76" s="292">
        <v>0</v>
      </c>
      <c r="AS76" s="292">
        <v>3301</v>
      </c>
      <c r="AT76" s="292">
        <v>113</v>
      </c>
      <c r="AU76" s="292">
        <v>2507</v>
      </c>
      <c r="AV76" s="292">
        <v>39767</v>
      </c>
      <c r="AW76" s="293">
        <v>45292</v>
      </c>
      <c r="AX76" s="293">
        <v>45657</v>
      </c>
      <c r="AY76" s="195" t="s">
        <v>1011</v>
      </c>
    </row>
    <row r="77" spans="1:51" ht="99.95" customHeight="1" x14ac:dyDescent="0.2">
      <c r="A77" s="65">
        <v>1</v>
      </c>
      <c r="B77" s="195" t="s">
        <v>315</v>
      </c>
      <c r="C77" s="205">
        <v>22</v>
      </c>
      <c r="D77" s="195" t="s">
        <v>1002</v>
      </c>
      <c r="E77" s="205">
        <v>2201</v>
      </c>
      <c r="F77" s="195" t="s">
        <v>1003</v>
      </c>
      <c r="G77" s="294">
        <v>2201071</v>
      </c>
      <c r="H77" s="195" t="s">
        <v>1012</v>
      </c>
      <c r="I77" s="294">
        <v>2201071</v>
      </c>
      <c r="J77" s="195" t="s">
        <v>1012</v>
      </c>
      <c r="K77" s="294">
        <v>220107100</v>
      </c>
      <c r="L77" s="195" t="s">
        <v>1013</v>
      </c>
      <c r="M77" s="295">
        <v>220107100</v>
      </c>
      <c r="N77" s="195" t="s">
        <v>1013</v>
      </c>
      <c r="O77" s="288">
        <v>54</v>
      </c>
      <c r="P77" s="288"/>
      <c r="Q77" s="288">
        <v>54</v>
      </c>
      <c r="R77" s="289">
        <v>2020003630016</v>
      </c>
      <c r="S77" s="195" t="s">
        <v>1006</v>
      </c>
      <c r="T77" s="290">
        <f t="shared" ref="T77:T103" si="3">SUM($X$12:$X$103)/SUM($X$11:$X$103)</f>
        <v>0.99953459106358844</v>
      </c>
      <c r="U77" s="195" t="s">
        <v>1007</v>
      </c>
      <c r="V77" s="227" t="s">
        <v>1014</v>
      </c>
      <c r="W77" s="227" t="s">
        <v>1019</v>
      </c>
      <c r="X77" s="291">
        <v>24042194.399999999</v>
      </c>
      <c r="Y77" s="717">
        <f>24042194.4</f>
        <v>24042194.399999999</v>
      </c>
      <c r="Z77" s="227"/>
      <c r="AA77" s="227"/>
      <c r="AB77" s="291">
        <f t="shared" si="2"/>
        <v>0</v>
      </c>
      <c r="AC77" s="227" t="s">
        <v>1087</v>
      </c>
      <c r="AD77" s="227"/>
      <c r="AE77" s="288">
        <v>25</v>
      </c>
      <c r="AF77" s="195" t="s">
        <v>1021</v>
      </c>
      <c r="AG77" s="292">
        <v>19649</v>
      </c>
      <c r="AH77" s="292">
        <v>20118</v>
      </c>
      <c r="AI77" s="292">
        <v>28907</v>
      </c>
      <c r="AJ77" s="292">
        <v>9525</v>
      </c>
      <c r="AK77" s="292">
        <v>1222</v>
      </c>
      <c r="AL77" s="292">
        <v>113</v>
      </c>
      <c r="AM77" s="292">
        <v>297</v>
      </c>
      <c r="AN77" s="292">
        <v>345</v>
      </c>
      <c r="AO77" s="292">
        <v>0</v>
      </c>
      <c r="AP77" s="292">
        <v>0</v>
      </c>
      <c r="AQ77" s="292">
        <v>0</v>
      </c>
      <c r="AR77" s="292">
        <v>0</v>
      </c>
      <c r="AS77" s="292">
        <v>3301</v>
      </c>
      <c r="AT77" s="292">
        <v>113</v>
      </c>
      <c r="AU77" s="292">
        <v>2507</v>
      </c>
      <c r="AV77" s="292">
        <v>39767</v>
      </c>
      <c r="AW77" s="293">
        <v>45292</v>
      </c>
      <c r="AX77" s="293">
        <v>45657</v>
      </c>
      <c r="AY77" s="195" t="s">
        <v>1011</v>
      </c>
    </row>
    <row r="78" spans="1:51" ht="99.95" customHeight="1" x14ac:dyDescent="0.2">
      <c r="A78" s="65">
        <v>1</v>
      </c>
      <c r="B78" s="195" t="s">
        <v>315</v>
      </c>
      <c r="C78" s="205">
        <v>22</v>
      </c>
      <c r="D78" s="195" t="s">
        <v>1002</v>
      </c>
      <c r="E78" s="205">
        <v>2201</v>
      </c>
      <c r="F78" s="195" t="s">
        <v>1003</v>
      </c>
      <c r="G78" s="294">
        <v>2201071</v>
      </c>
      <c r="H78" s="195" t="s">
        <v>1012</v>
      </c>
      <c r="I78" s="294">
        <v>2201071</v>
      </c>
      <c r="J78" s="195" t="s">
        <v>1012</v>
      </c>
      <c r="K78" s="294">
        <v>220107100</v>
      </c>
      <c r="L78" s="195" t="s">
        <v>1013</v>
      </c>
      <c r="M78" s="295">
        <v>220107100</v>
      </c>
      <c r="N78" s="195" t="s">
        <v>1013</v>
      </c>
      <c r="O78" s="288">
        <v>54</v>
      </c>
      <c r="P78" s="288"/>
      <c r="Q78" s="288">
        <v>54</v>
      </c>
      <c r="R78" s="289">
        <v>2020003630016</v>
      </c>
      <c r="S78" s="195" t="s">
        <v>1006</v>
      </c>
      <c r="T78" s="290">
        <f t="shared" si="3"/>
        <v>0.99953459106358844</v>
      </c>
      <c r="U78" s="195" t="s">
        <v>1007</v>
      </c>
      <c r="V78" s="227" t="s">
        <v>1014</v>
      </c>
      <c r="W78" s="227" t="s">
        <v>1022</v>
      </c>
      <c r="X78" s="749">
        <v>131461780.8</v>
      </c>
      <c r="Y78" s="717">
        <f>131461780.8</f>
        <v>131461780.8</v>
      </c>
      <c r="Z78" s="227"/>
      <c r="AA78" s="227"/>
      <c r="AB78" s="291">
        <f t="shared" si="2"/>
        <v>0</v>
      </c>
      <c r="AC78" s="227" t="s">
        <v>1088</v>
      </c>
      <c r="AD78" s="227"/>
      <c r="AE78" s="288">
        <v>25</v>
      </c>
      <c r="AF78" s="195" t="s">
        <v>1021</v>
      </c>
      <c r="AG78" s="292">
        <v>19649</v>
      </c>
      <c r="AH78" s="292">
        <v>20118</v>
      </c>
      <c r="AI78" s="292">
        <v>28907</v>
      </c>
      <c r="AJ78" s="292">
        <v>9525</v>
      </c>
      <c r="AK78" s="292">
        <v>1222</v>
      </c>
      <c r="AL78" s="292">
        <v>113</v>
      </c>
      <c r="AM78" s="292">
        <v>297</v>
      </c>
      <c r="AN78" s="292">
        <v>345</v>
      </c>
      <c r="AO78" s="292">
        <v>0</v>
      </c>
      <c r="AP78" s="292">
        <v>0</v>
      </c>
      <c r="AQ78" s="292">
        <v>0</v>
      </c>
      <c r="AR78" s="292">
        <v>0</v>
      </c>
      <c r="AS78" s="292">
        <v>3301</v>
      </c>
      <c r="AT78" s="292">
        <v>113</v>
      </c>
      <c r="AU78" s="292">
        <v>2507</v>
      </c>
      <c r="AV78" s="292">
        <v>39767</v>
      </c>
      <c r="AW78" s="293">
        <v>45292</v>
      </c>
      <c r="AX78" s="293">
        <v>45657</v>
      </c>
      <c r="AY78" s="195" t="s">
        <v>1011</v>
      </c>
    </row>
    <row r="79" spans="1:51" ht="99.95" customHeight="1" x14ac:dyDescent="0.2">
      <c r="A79" s="65">
        <v>1</v>
      </c>
      <c r="B79" s="195" t="s">
        <v>315</v>
      </c>
      <c r="C79" s="205">
        <v>22</v>
      </c>
      <c r="D79" s="195" t="s">
        <v>1002</v>
      </c>
      <c r="E79" s="205">
        <v>2201</v>
      </c>
      <c r="F79" s="195" t="s">
        <v>1003</v>
      </c>
      <c r="G79" s="294">
        <v>2201071</v>
      </c>
      <c r="H79" s="195" t="s">
        <v>1012</v>
      </c>
      <c r="I79" s="294">
        <v>2201071</v>
      </c>
      <c r="J79" s="195" t="s">
        <v>1012</v>
      </c>
      <c r="K79" s="294">
        <v>220107100</v>
      </c>
      <c r="L79" s="195" t="s">
        <v>1013</v>
      </c>
      <c r="M79" s="295">
        <v>220107100</v>
      </c>
      <c r="N79" s="195" t="s">
        <v>1013</v>
      </c>
      <c r="O79" s="288">
        <v>54</v>
      </c>
      <c r="P79" s="288"/>
      <c r="Q79" s="288">
        <v>54</v>
      </c>
      <c r="R79" s="289">
        <v>2020003630016</v>
      </c>
      <c r="S79" s="195" t="s">
        <v>1006</v>
      </c>
      <c r="T79" s="290">
        <f t="shared" si="3"/>
        <v>0.99953459106358844</v>
      </c>
      <c r="U79" s="195" t="s">
        <v>1007</v>
      </c>
      <c r="V79" s="227" t="s">
        <v>1014</v>
      </c>
      <c r="W79" s="227" t="s">
        <v>1022</v>
      </c>
      <c r="X79" s="291">
        <v>1300609084.3199999</v>
      </c>
      <c r="Y79" s="717">
        <f>1300609084.32</f>
        <v>1300609084.3199999</v>
      </c>
      <c r="Z79" s="227"/>
      <c r="AA79" s="227"/>
      <c r="AB79" s="291">
        <f t="shared" si="2"/>
        <v>0</v>
      </c>
      <c r="AC79" s="227" t="s">
        <v>1089</v>
      </c>
      <c r="AD79" s="227"/>
      <c r="AE79" s="288">
        <v>25</v>
      </c>
      <c r="AF79" s="195" t="s">
        <v>1021</v>
      </c>
      <c r="AG79" s="292">
        <v>19649</v>
      </c>
      <c r="AH79" s="292">
        <v>20118</v>
      </c>
      <c r="AI79" s="292">
        <v>28907</v>
      </c>
      <c r="AJ79" s="292">
        <v>9525</v>
      </c>
      <c r="AK79" s="292">
        <v>1222</v>
      </c>
      <c r="AL79" s="292">
        <v>113</v>
      </c>
      <c r="AM79" s="292">
        <v>297</v>
      </c>
      <c r="AN79" s="292">
        <v>345</v>
      </c>
      <c r="AO79" s="292">
        <v>0</v>
      </c>
      <c r="AP79" s="292">
        <v>0</v>
      </c>
      <c r="AQ79" s="292">
        <v>0</v>
      </c>
      <c r="AR79" s="292">
        <v>0</v>
      </c>
      <c r="AS79" s="292">
        <v>3301</v>
      </c>
      <c r="AT79" s="292">
        <v>113</v>
      </c>
      <c r="AU79" s="292">
        <v>2507</v>
      </c>
      <c r="AV79" s="292">
        <v>39767</v>
      </c>
      <c r="AW79" s="293">
        <v>45292</v>
      </c>
      <c r="AX79" s="293">
        <v>45657</v>
      </c>
      <c r="AY79" s="195" t="s">
        <v>1011</v>
      </c>
    </row>
    <row r="80" spans="1:51" ht="99.95" customHeight="1" x14ac:dyDescent="0.2">
      <c r="A80" s="65">
        <v>1</v>
      </c>
      <c r="B80" s="195" t="s">
        <v>315</v>
      </c>
      <c r="C80" s="205">
        <v>22</v>
      </c>
      <c r="D80" s="195" t="s">
        <v>1002</v>
      </c>
      <c r="E80" s="205">
        <v>2201</v>
      </c>
      <c r="F80" s="195" t="s">
        <v>1003</v>
      </c>
      <c r="G80" s="294">
        <v>2201071</v>
      </c>
      <c r="H80" s="195" t="s">
        <v>1012</v>
      </c>
      <c r="I80" s="294">
        <v>2201071</v>
      </c>
      <c r="J80" s="195" t="s">
        <v>1012</v>
      </c>
      <c r="K80" s="294">
        <v>220107100</v>
      </c>
      <c r="L80" s="195" t="s">
        <v>1013</v>
      </c>
      <c r="M80" s="295">
        <v>220107100</v>
      </c>
      <c r="N80" s="195" t="s">
        <v>1013</v>
      </c>
      <c r="O80" s="288">
        <v>54</v>
      </c>
      <c r="P80" s="288"/>
      <c r="Q80" s="288">
        <v>54</v>
      </c>
      <c r="R80" s="289">
        <v>2020003630016</v>
      </c>
      <c r="S80" s="195" t="s">
        <v>1006</v>
      </c>
      <c r="T80" s="290">
        <f t="shared" si="3"/>
        <v>0.99953459106358844</v>
      </c>
      <c r="U80" s="195" t="s">
        <v>1007</v>
      </c>
      <c r="V80" s="227" t="s">
        <v>1014</v>
      </c>
      <c r="W80" s="227" t="s">
        <v>1025</v>
      </c>
      <c r="X80" s="291">
        <v>173639872</v>
      </c>
      <c r="Y80" s="717">
        <f>173639872</f>
        <v>173639872</v>
      </c>
      <c r="Z80" s="227"/>
      <c r="AA80" s="227"/>
      <c r="AB80" s="291">
        <f t="shared" si="2"/>
        <v>0</v>
      </c>
      <c r="AC80" s="227" t="s">
        <v>1090</v>
      </c>
      <c r="AD80" s="227"/>
      <c r="AE80" s="288">
        <v>25</v>
      </c>
      <c r="AF80" s="195" t="s">
        <v>1021</v>
      </c>
      <c r="AG80" s="292">
        <v>19649</v>
      </c>
      <c r="AH80" s="292">
        <v>20118</v>
      </c>
      <c r="AI80" s="292">
        <v>28907</v>
      </c>
      <c r="AJ80" s="292">
        <v>9525</v>
      </c>
      <c r="AK80" s="292">
        <v>1222</v>
      </c>
      <c r="AL80" s="292">
        <v>113</v>
      </c>
      <c r="AM80" s="292">
        <v>297</v>
      </c>
      <c r="AN80" s="292">
        <v>345</v>
      </c>
      <c r="AO80" s="292">
        <v>0</v>
      </c>
      <c r="AP80" s="292">
        <v>0</v>
      </c>
      <c r="AQ80" s="292">
        <v>0</v>
      </c>
      <c r="AR80" s="292">
        <v>0</v>
      </c>
      <c r="AS80" s="292">
        <v>3301</v>
      </c>
      <c r="AT80" s="292">
        <v>113</v>
      </c>
      <c r="AU80" s="292">
        <v>2507</v>
      </c>
      <c r="AV80" s="292">
        <v>39767</v>
      </c>
      <c r="AW80" s="293">
        <v>45292</v>
      </c>
      <c r="AX80" s="293">
        <v>45657</v>
      </c>
      <c r="AY80" s="195" t="s">
        <v>1011</v>
      </c>
    </row>
    <row r="81" spans="1:51" ht="99.95" customHeight="1" x14ac:dyDescent="0.2">
      <c r="A81" s="65">
        <v>1</v>
      </c>
      <c r="B81" s="195" t="s">
        <v>315</v>
      </c>
      <c r="C81" s="205">
        <v>22</v>
      </c>
      <c r="D81" s="195" t="s">
        <v>1002</v>
      </c>
      <c r="E81" s="205">
        <v>2201</v>
      </c>
      <c r="F81" s="195" t="s">
        <v>1003</v>
      </c>
      <c r="G81" s="294">
        <v>2201071</v>
      </c>
      <c r="H81" s="195" t="s">
        <v>1012</v>
      </c>
      <c r="I81" s="294">
        <v>2201071</v>
      </c>
      <c r="J81" s="195" t="s">
        <v>1012</v>
      </c>
      <c r="K81" s="294">
        <v>220107100</v>
      </c>
      <c r="L81" s="195" t="s">
        <v>1013</v>
      </c>
      <c r="M81" s="295">
        <v>220107100</v>
      </c>
      <c r="N81" s="195" t="s">
        <v>1013</v>
      </c>
      <c r="O81" s="288">
        <v>54</v>
      </c>
      <c r="P81" s="288"/>
      <c r="Q81" s="288">
        <v>54</v>
      </c>
      <c r="R81" s="289">
        <v>2020003630016</v>
      </c>
      <c r="S81" s="195" t="s">
        <v>1006</v>
      </c>
      <c r="T81" s="290">
        <f t="shared" si="3"/>
        <v>0.99953459106358844</v>
      </c>
      <c r="U81" s="195" t="s">
        <v>1007</v>
      </c>
      <c r="V81" s="227" t="s">
        <v>1014</v>
      </c>
      <c r="W81" s="227" t="s">
        <v>1019</v>
      </c>
      <c r="X81" s="291">
        <v>5000000</v>
      </c>
      <c r="Y81" s="227">
        <f>5000000</f>
        <v>5000000</v>
      </c>
      <c r="Z81" s="227"/>
      <c r="AA81" s="227"/>
      <c r="AB81" s="291">
        <f t="shared" si="2"/>
        <v>0</v>
      </c>
      <c r="AC81" s="227" t="s">
        <v>1091</v>
      </c>
      <c r="AD81" s="227"/>
      <c r="AE81" s="288">
        <v>25</v>
      </c>
      <c r="AF81" s="195" t="s">
        <v>1021</v>
      </c>
      <c r="AG81" s="292">
        <v>19649</v>
      </c>
      <c r="AH81" s="292">
        <v>20118</v>
      </c>
      <c r="AI81" s="292">
        <v>28907</v>
      </c>
      <c r="AJ81" s="292">
        <v>9525</v>
      </c>
      <c r="AK81" s="292">
        <v>1222</v>
      </c>
      <c r="AL81" s="292">
        <v>113</v>
      </c>
      <c r="AM81" s="292">
        <v>297</v>
      </c>
      <c r="AN81" s="292">
        <v>345</v>
      </c>
      <c r="AO81" s="292">
        <v>0</v>
      </c>
      <c r="AP81" s="292">
        <v>0</v>
      </c>
      <c r="AQ81" s="292">
        <v>0</v>
      </c>
      <c r="AR81" s="292">
        <v>0</v>
      </c>
      <c r="AS81" s="292">
        <v>3301</v>
      </c>
      <c r="AT81" s="292">
        <v>113</v>
      </c>
      <c r="AU81" s="292">
        <v>2507</v>
      </c>
      <c r="AV81" s="292">
        <v>39767</v>
      </c>
      <c r="AW81" s="293">
        <v>45292</v>
      </c>
      <c r="AX81" s="293">
        <v>45657</v>
      </c>
      <c r="AY81" s="195" t="s">
        <v>1011</v>
      </c>
    </row>
    <row r="82" spans="1:51" ht="99.95" customHeight="1" x14ac:dyDescent="0.2">
      <c r="A82" s="65">
        <v>1</v>
      </c>
      <c r="B82" s="195" t="s">
        <v>315</v>
      </c>
      <c r="C82" s="205">
        <v>22</v>
      </c>
      <c r="D82" s="195" t="s">
        <v>1002</v>
      </c>
      <c r="E82" s="205">
        <v>2201</v>
      </c>
      <c r="F82" s="195" t="s">
        <v>1003</v>
      </c>
      <c r="G82" s="294">
        <v>2201071</v>
      </c>
      <c r="H82" s="195" t="s">
        <v>1012</v>
      </c>
      <c r="I82" s="294">
        <v>2201071</v>
      </c>
      <c r="J82" s="195" t="s">
        <v>1012</v>
      </c>
      <c r="K82" s="294">
        <v>220107100</v>
      </c>
      <c r="L82" s="195" t="s">
        <v>1013</v>
      </c>
      <c r="M82" s="295">
        <v>220107100</v>
      </c>
      <c r="N82" s="195" t="s">
        <v>1013</v>
      </c>
      <c r="O82" s="288">
        <v>54</v>
      </c>
      <c r="P82" s="288"/>
      <c r="Q82" s="288">
        <v>54</v>
      </c>
      <c r="R82" s="289">
        <v>2020003630016</v>
      </c>
      <c r="S82" s="195" t="s">
        <v>1006</v>
      </c>
      <c r="T82" s="290">
        <f t="shared" si="3"/>
        <v>0.99953459106358844</v>
      </c>
      <c r="U82" s="195" t="s">
        <v>1007</v>
      </c>
      <c r="V82" s="227" t="s">
        <v>1014</v>
      </c>
      <c r="W82" s="227" t="s">
        <v>1022</v>
      </c>
      <c r="X82" s="291">
        <v>10000000</v>
      </c>
      <c r="Y82" s="717">
        <f>10000000</f>
        <v>10000000</v>
      </c>
      <c r="Z82" s="227"/>
      <c r="AA82" s="227"/>
      <c r="AB82" s="291">
        <f t="shared" si="2"/>
        <v>0</v>
      </c>
      <c r="AC82" s="227" t="s">
        <v>1092</v>
      </c>
      <c r="AD82" s="227"/>
      <c r="AE82" s="288">
        <v>25</v>
      </c>
      <c r="AF82" s="195" t="s">
        <v>1021</v>
      </c>
      <c r="AG82" s="292">
        <v>19649</v>
      </c>
      <c r="AH82" s="292">
        <v>20118</v>
      </c>
      <c r="AI82" s="292">
        <v>28907</v>
      </c>
      <c r="AJ82" s="292">
        <v>9525</v>
      </c>
      <c r="AK82" s="292">
        <v>1222</v>
      </c>
      <c r="AL82" s="292">
        <v>113</v>
      </c>
      <c r="AM82" s="292">
        <v>297</v>
      </c>
      <c r="AN82" s="292">
        <v>345</v>
      </c>
      <c r="AO82" s="292">
        <v>0</v>
      </c>
      <c r="AP82" s="292">
        <v>0</v>
      </c>
      <c r="AQ82" s="292">
        <v>0</v>
      </c>
      <c r="AR82" s="292">
        <v>0</v>
      </c>
      <c r="AS82" s="292">
        <v>3301</v>
      </c>
      <c r="AT82" s="292">
        <v>113</v>
      </c>
      <c r="AU82" s="292">
        <v>2507</v>
      </c>
      <c r="AV82" s="292">
        <v>39767</v>
      </c>
      <c r="AW82" s="293">
        <v>45292</v>
      </c>
      <c r="AX82" s="293">
        <v>45657</v>
      </c>
      <c r="AY82" s="195" t="s">
        <v>1011</v>
      </c>
    </row>
    <row r="83" spans="1:51" ht="99.95" customHeight="1" x14ac:dyDescent="0.2">
      <c r="A83" s="65">
        <v>1</v>
      </c>
      <c r="B83" s="195" t="s">
        <v>315</v>
      </c>
      <c r="C83" s="205">
        <v>22</v>
      </c>
      <c r="D83" s="195" t="s">
        <v>1002</v>
      </c>
      <c r="E83" s="205">
        <v>2201</v>
      </c>
      <c r="F83" s="195" t="s">
        <v>1003</v>
      </c>
      <c r="G83" s="294">
        <v>2201071</v>
      </c>
      <c r="H83" s="195" t="s">
        <v>1012</v>
      </c>
      <c r="I83" s="294">
        <v>2201071</v>
      </c>
      <c r="J83" s="195" t="s">
        <v>1012</v>
      </c>
      <c r="K83" s="294">
        <v>220107100</v>
      </c>
      <c r="L83" s="195" t="s">
        <v>1013</v>
      </c>
      <c r="M83" s="295">
        <v>220107100</v>
      </c>
      <c r="N83" s="195" t="s">
        <v>1013</v>
      </c>
      <c r="O83" s="288">
        <v>54</v>
      </c>
      <c r="P83" s="288"/>
      <c r="Q83" s="288">
        <v>54</v>
      </c>
      <c r="R83" s="289">
        <v>2020003630016</v>
      </c>
      <c r="S83" s="195" t="s">
        <v>1006</v>
      </c>
      <c r="T83" s="290">
        <f t="shared" si="3"/>
        <v>0.99953459106358844</v>
      </c>
      <c r="U83" s="195" t="s">
        <v>1007</v>
      </c>
      <c r="V83" s="227" t="s">
        <v>1014</v>
      </c>
      <c r="W83" s="227" t="s">
        <v>1019</v>
      </c>
      <c r="X83" s="291">
        <v>12228160</v>
      </c>
      <c r="Y83" s="717">
        <f>12228160</f>
        <v>12228160</v>
      </c>
      <c r="Z83" s="227"/>
      <c r="AA83" s="227"/>
      <c r="AB83" s="291">
        <f t="shared" si="2"/>
        <v>0</v>
      </c>
      <c r="AC83" s="227" t="s">
        <v>1093</v>
      </c>
      <c r="AD83" s="227"/>
      <c r="AE83" s="288">
        <v>25</v>
      </c>
      <c r="AF83" s="195" t="s">
        <v>1021</v>
      </c>
      <c r="AG83" s="292">
        <v>19649</v>
      </c>
      <c r="AH83" s="292">
        <v>20118</v>
      </c>
      <c r="AI83" s="292">
        <v>28907</v>
      </c>
      <c r="AJ83" s="292">
        <v>9525</v>
      </c>
      <c r="AK83" s="292">
        <v>1222</v>
      </c>
      <c r="AL83" s="292">
        <v>113</v>
      </c>
      <c r="AM83" s="292">
        <v>297</v>
      </c>
      <c r="AN83" s="292">
        <v>345</v>
      </c>
      <c r="AO83" s="292">
        <v>0</v>
      </c>
      <c r="AP83" s="292">
        <v>0</v>
      </c>
      <c r="AQ83" s="292">
        <v>0</v>
      </c>
      <c r="AR83" s="292">
        <v>0</v>
      </c>
      <c r="AS83" s="292">
        <v>3301</v>
      </c>
      <c r="AT83" s="292">
        <v>113</v>
      </c>
      <c r="AU83" s="292">
        <v>2507</v>
      </c>
      <c r="AV83" s="292">
        <v>39767</v>
      </c>
      <c r="AW83" s="293">
        <v>45292</v>
      </c>
      <c r="AX83" s="293">
        <v>45657</v>
      </c>
      <c r="AY83" s="195" t="s">
        <v>1011</v>
      </c>
    </row>
    <row r="84" spans="1:51" ht="99.95" customHeight="1" x14ac:dyDescent="0.2">
      <c r="A84" s="65">
        <v>1</v>
      </c>
      <c r="B84" s="195" t="s">
        <v>315</v>
      </c>
      <c r="C84" s="205">
        <v>22</v>
      </c>
      <c r="D84" s="195" t="s">
        <v>1002</v>
      </c>
      <c r="E84" s="205">
        <v>2201</v>
      </c>
      <c r="F84" s="195" t="s">
        <v>1003</v>
      </c>
      <c r="G84" s="294">
        <v>2201071</v>
      </c>
      <c r="H84" s="195" t="s">
        <v>1012</v>
      </c>
      <c r="I84" s="294">
        <v>2201071</v>
      </c>
      <c r="J84" s="195" t="s">
        <v>1012</v>
      </c>
      <c r="K84" s="294">
        <v>220107100</v>
      </c>
      <c r="L84" s="195" t="s">
        <v>1013</v>
      </c>
      <c r="M84" s="295">
        <v>220107100</v>
      </c>
      <c r="N84" s="195" t="s">
        <v>1013</v>
      </c>
      <c r="O84" s="288">
        <v>54</v>
      </c>
      <c r="P84" s="288"/>
      <c r="Q84" s="288">
        <v>54</v>
      </c>
      <c r="R84" s="289">
        <v>2020003630016</v>
      </c>
      <c r="S84" s="195" t="s">
        <v>1006</v>
      </c>
      <c r="T84" s="290">
        <f t="shared" si="3"/>
        <v>0.99953459106358844</v>
      </c>
      <c r="U84" s="195" t="s">
        <v>1007</v>
      </c>
      <c r="V84" s="227" t="s">
        <v>1014</v>
      </c>
      <c r="W84" s="227" t="s">
        <v>1022</v>
      </c>
      <c r="X84" s="291">
        <v>61384297.408</v>
      </c>
      <c r="Y84" s="717">
        <f>61384297.41</f>
        <v>61384297.409999996</v>
      </c>
      <c r="Z84" s="227"/>
      <c r="AA84" s="227"/>
      <c r="AB84" s="291">
        <f t="shared" si="2"/>
        <v>-1.9999966025352478E-3</v>
      </c>
      <c r="AC84" s="227" t="s">
        <v>1094</v>
      </c>
      <c r="AD84" s="227"/>
      <c r="AE84" s="288">
        <v>25</v>
      </c>
      <c r="AF84" s="195" t="s">
        <v>1021</v>
      </c>
      <c r="AG84" s="292">
        <v>19649</v>
      </c>
      <c r="AH84" s="292">
        <v>20118</v>
      </c>
      <c r="AI84" s="292">
        <v>28907</v>
      </c>
      <c r="AJ84" s="292">
        <v>9525</v>
      </c>
      <c r="AK84" s="292">
        <v>1222</v>
      </c>
      <c r="AL84" s="292">
        <v>113</v>
      </c>
      <c r="AM84" s="292">
        <v>297</v>
      </c>
      <c r="AN84" s="292">
        <v>345</v>
      </c>
      <c r="AO84" s="292">
        <v>0</v>
      </c>
      <c r="AP84" s="292">
        <v>0</v>
      </c>
      <c r="AQ84" s="292">
        <v>0</v>
      </c>
      <c r="AR84" s="292">
        <v>0</v>
      </c>
      <c r="AS84" s="292">
        <v>3301</v>
      </c>
      <c r="AT84" s="292">
        <v>113</v>
      </c>
      <c r="AU84" s="292">
        <v>2507</v>
      </c>
      <c r="AV84" s="292">
        <v>39767</v>
      </c>
      <c r="AW84" s="293">
        <v>45292</v>
      </c>
      <c r="AX84" s="293">
        <v>45657</v>
      </c>
      <c r="AY84" s="195" t="s">
        <v>1011</v>
      </c>
    </row>
    <row r="85" spans="1:51" ht="99.95" customHeight="1" x14ac:dyDescent="0.2">
      <c r="A85" s="65">
        <v>1</v>
      </c>
      <c r="B85" s="195" t="s">
        <v>315</v>
      </c>
      <c r="C85" s="205">
        <v>22</v>
      </c>
      <c r="D85" s="195" t="s">
        <v>1002</v>
      </c>
      <c r="E85" s="205">
        <v>2201</v>
      </c>
      <c r="F85" s="195" t="s">
        <v>1003</v>
      </c>
      <c r="G85" s="294">
        <v>2201071</v>
      </c>
      <c r="H85" s="195" t="s">
        <v>1012</v>
      </c>
      <c r="I85" s="294">
        <v>2201071</v>
      </c>
      <c r="J85" s="195" t="s">
        <v>1012</v>
      </c>
      <c r="K85" s="294">
        <v>220107100</v>
      </c>
      <c r="L85" s="195" t="s">
        <v>1013</v>
      </c>
      <c r="M85" s="295">
        <v>220107100</v>
      </c>
      <c r="N85" s="195" t="s">
        <v>1013</v>
      </c>
      <c r="O85" s="288">
        <v>54</v>
      </c>
      <c r="P85" s="288"/>
      <c r="Q85" s="288">
        <v>54</v>
      </c>
      <c r="R85" s="289">
        <v>2020003630016</v>
      </c>
      <c r="S85" s="195" t="s">
        <v>1006</v>
      </c>
      <c r="T85" s="290">
        <f t="shared" si="3"/>
        <v>0.99953459106358844</v>
      </c>
      <c r="U85" s="195" t="s">
        <v>1007</v>
      </c>
      <c r="V85" s="227" t="s">
        <v>1014</v>
      </c>
      <c r="W85" s="227" t="s">
        <v>1019</v>
      </c>
      <c r="X85" s="291">
        <v>24559584</v>
      </c>
      <c r="Y85" s="717">
        <f>24559584</f>
        <v>24559584</v>
      </c>
      <c r="Z85" s="227"/>
      <c r="AA85" s="227"/>
      <c r="AB85" s="291">
        <f t="shared" si="2"/>
        <v>0</v>
      </c>
      <c r="AC85" s="227" t="s">
        <v>1095</v>
      </c>
      <c r="AD85" s="227"/>
      <c r="AE85" s="288">
        <v>25</v>
      </c>
      <c r="AF85" s="195" t="s">
        <v>1021</v>
      </c>
      <c r="AG85" s="292">
        <v>19649</v>
      </c>
      <c r="AH85" s="292">
        <v>20118</v>
      </c>
      <c r="AI85" s="292">
        <v>28907</v>
      </c>
      <c r="AJ85" s="292">
        <v>9525</v>
      </c>
      <c r="AK85" s="292">
        <v>1222</v>
      </c>
      <c r="AL85" s="292">
        <v>113</v>
      </c>
      <c r="AM85" s="292">
        <v>297</v>
      </c>
      <c r="AN85" s="292">
        <v>345</v>
      </c>
      <c r="AO85" s="292">
        <v>0</v>
      </c>
      <c r="AP85" s="292">
        <v>0</v>
      </c>
      <c r="AQ85" s="292">
        <v>0</v>
      </c>
      <c r="AR85" s="292">
        <v>0</v>
      </c>
      <c r="AS85" s="292">
        <v>3301</v>
      </c>
      <c r="AT85" s="292">
        <v>113</v>
      </c>
      <c r="AU85" s="292">
        <v>2507</v>
      </c>
      <c r="AV85" s="292">
        <v>39767</v>
      </c>
      <c r="AW85" s="293">
        <v>45292</v>
      </c>
      <c r="AX85" s="293">
        <v>45657</v>
      </c>
      <c r="AY85" s="195" t="s">
        <v>1011</v>
      </c>
    </row>
    <row r="86" spans="1:51" ht="99.95" customHeight="1" x14ac:dyDescent="0.2">
      <c r="A86" s="65">
        <v>1</v>
      </c>
      <c r="B86" s="195" t="s">
        <v>315</v>
      </c>
      <c r="C86" s="205">
        <v>22</v>
      </c>
      <c r="D86" s="195" t="s">
        <v>1002</v>
      </c>
      <c r="E86" s="205">
        <v>2201</v>
      </c>
      <c r="F86" s="195" t="s">
        <v>1003</v>
      </c>
      <c r="G86" s="294">
        <v>2201071</v>
      </c>
      <c r="H86" s="195" t="s">
        <v>1012</v>
      </c>
      <c r="I86" s="294">
        <v>2201071</v>
      </c>
      <c r="J86" s="195" t="s">
        <v>1012</v>
      </c>
      <c r="K86" s="294">
        <v>220107100</v>
      </c>
      <c r="L86" s="195" t="s">
        <v>1013</v>
      </c>
      <c r="M86" s="295">
        <v>220107100</v>
      </c>
      <c r="N86" s="195" t="s">
        <v>1013</v>
      </c>
      <c r="O86" s="288">
        <v>54</v>
      </c>
      <c r="P86" s="288"/>
      <c r="Q86" s="288">
        <v>54</v>
      </c>
      <c r="R86" s="289">
        <v>2020003630016</v>
      </c>
      <c r="S86" s="195" t="s">
        <v>1006</v>
      </c>
      <c r="T86" s="290">
        <f t="shared" si="3"/>
        <v>0.99953459106358844</v>
      </c>
      <c r="U86" s="195" t="s">
        <v>1007</v>
      </c>
      <c r="V86" s="227" t="s">
        <v>1014</v>
      </c>
      <c r="W86" s="227" t="s">
        <v>1022</v>
      </c>
      <c r="X86" s="291">
        <v>299589920</v>
      </c>
      <c r="Y86" s="717">
        <f>299589920</f>
        <v>299589920</v>
      </c>
      <c r="Z86" s="227"/>
      <c r="AA86" s="227"/>
      <c r="AB86" s="291">
        <f t="shared" si="2"/>
        <v>0</v>
      </c>
      <c r="AC86" s="227" t="s">
        <v>1096</v>
      </c>
      <c r="AD86" s="227"/>
      <c r="AE86" s="288">
        <v>25</v>
      </c>
      <c r="AF86" s="195" t="s">
        <v>1021</v>
      </c>
      <c r="AG86" s="292">
        <v>19649</v>
      </c>
      <c r="AH86" s="292">
        <v>20118</v>
      </c>
      <c r="AI86" s="292">
        <v>28907</v>
      </c>
      <c r="AJ86" s="292">
        <v>9525</v>
      </c>
      <c r="AK86" s="292">
        <v>1222</v>
      </c>
      <c r="AL86" s="292">
        <v>113</v>
      </c>
      <c r="AM86" s="292">
        <v>297</v>
      </c>
      <c r="AN86" s="292">
        <v>345</v>
      </c>
      <c r="AO86" s="292">
        <v>0</v>
      </c>
      <c r="AP86" s="292">
        <v>0</v>
      </c>
      <c r="AQ86" s="292">
        <v>0</v>
      </c>
      <c r="AR86" s="292">
        <v>0</v>
      </c>
      <c r="AS86" s="292">
        <v>3301</v>
      </c>
      <c r="AT86" s="292">
        <v>113</v>
      </c>
      <c r="AU86" s="292">
        <v>2507</v>
      </c>
      <c r="AV86" s="292">
        <v>39767</v>
      </c>
      <c r="AW86" s="293">
        <v>45292</v>
      </c>
      <c r="AX86" s="293">
        <v>45657</v>
      </c>
      <c r="AY86" s="195" t="s">
        <v>1011</v>
      </c>
    </row>
    <row r="87" spans="1:51" ht="99.95" customHeight="1" x14ac:dyDescent="0.2">
      <c r="A87" s="65">
        <v>1</v>
      </c>
      <c r="B87" s="195" t="s">
        <v>315</v>
      </c>
      <c r="C87" s="205">
        <v>22</v>
      </c>
      <c r="D87" s="195" t="s">
        <v>1002</v>
      </c>
      <c r="E87" s="205">
        <v>2201</v>
      </c>
      <c r="F87" s="195" t="s">
        <v>1003</v>
      </c>
      <c r="G87" s="294">
        <v>2201071</v>
      </c>
      <c r="H87" s="195" t="s">
        <v>1012</v>
      </c>
      <c r="I87" s="294">
        <v>2201071</v>
      </c>
      <c r="J87" s="195" t="s">
        <v>1012</v>
      </c>
      <c r="K87" s="294">
        <v>220107100</v>
      </c>
      <c r="L87" s="195" t="s">
        <v>1013</v>
      </c>
      <c r="M87" s="295">
        <v>220107100</v>
      </c>
      <c r="N87" s="195" t="s">
        <v>1013</v>
      </c>
      <c r="O87" s="288">
        <v>54</v>
      </c>
      <c r="P87" s="288"/>
      <c r="Q87" s="288">
        <v>54</v>
      </c>
      <c r="R87" s="289">
        <v>2020003630016</v>
      </c>
      <c r="S87" s="195" t="s">
        <v>1006</v>
      </c>
      <c r="T87" s="290">
        <f t="shared" si="3"/>
        <v>0.99953459106358844</v>
      </c>
      <c r="U87" s="195" t="s">
        <v>1007</v>
      </c>
      <c r="V87" s="227" t="s">
        <v>1014</v>
      </c>
      <c r="W87" s="227" t="s">
        <v>1022</v>
      </c>
      <c r="X87" s="749">
        <v>723384002.5776</v>
      </c>
      <c r="Y87" s="717">
        <f>723384002.58</f>
        <v>723384002.58000004</v>
      </c>
      <c r="Z87" s="227"/>
      <c r="AA87" s="227"/>
      <c r="AB87" s="291">
        <f t="shared" si="2"/>
        <v>-2.4000406265258789E-3</v>
      </c>
      <c r="AC87" s="227" t="s">
        <v>1097</v>
      </c>
      <c r="AD87" s="227"/>
      <c r="AE87" s="288">
        <v>25</v>
      </c>
      <c r="AF87" s="195" t="s">
        <v>1021</v>
      </c>
      <c r="AG87" s="292">
        <v>19649</v>
      </c>
      <c r="AH87" s="292">
        <v>20118</v>
      </c>
      <c r="AI87" s="292">
        <v>28907</v>
      </c>
      <c r="AJ87" s="292">
        <v>9525</v>
      </c>
      <c r="AK87" s="292">
        <v>1222</v>
      </c>
      <c r="AL87" s="292">
        <v>113</v>
      </c>
      <c r="AM87" s="292">
        <v>297</v>
      </c>
      <c r="AN87" s="292">
        <v>345</v>
      </c>
      <c r="AO87" s="292">
        <v>0</v>
      </c>
      <c r="AP87" s="292">
        <v>0</v>
      </c>
      <c r="AQ87" s="292">
        <v>0</v>
      </c>
      <c r="AR87" s="292">
        <v>0</v>
      </c>
      <c r="AS87" s="292">
        <v>3301</v>
      </c>
      <c r="AT87" s="292">
        <v>113</v>
      </c>
      <c r="AU87" s="292">
        <v>2507</v>
      </c>
      <c r="AV87" s="292">
        <v>39767</v>
      </c>
      <c r="AW87" s="293">
        <v>45292</v>
      </c>
      <c r="AX87" s="293">
        <v>45657</v>
      </c>
      <c r="AY87" s="195" t="s">
        <v>1011</v>
      </c>
    </row>
    <row r="88" spans="1:51" ht="99.95" customHeight="1" x14ac:dyDescent="0.2">
      <c r="A88" s="65">
        <v>1</v>
      </c>
      <c r="B88" s="195" t="s">
        <v>315</v>
      </c>
      <c r="C88" s="205">
        <v>22</v>
      </c>
      <c r="D88" s="195" t="s">
        <v>1002</v>
      </c>
      <c r="E88" s="205">
        <v>2201</v>
      </c>
      <c r="F88" s="195" t="s">
        <v>1003</v>
      </c>
      <c r="G88" s="294">
        <v>2201071</v>
      </c>
      <c r="H88" s="195" t="s">
        <v>1012</v>
      </c>
      <c r="I88" s="294">
        <v>2201071</v>
      </c>
      <c r="J88" s="195" t="s">
        <v>1012</v>
      </c>
      <c r="K88" s="294">
        <v>220107100</v>
      </c>
      <c r="L88" s="195" t="s">
        <v>1013</v>
      </c>
      <c r="M88" s="295">
        <v>220107100</v>
      </c>
      <c r="N88" s="195" t="s">
        <v>1013</v>
      </c>
      <c r="O88" s="288">
        <v>54</v>
      </c>
      <c r="P88" s="288"/>
      <c r="Q88" s="288">
        <v>54</v>
      </c>
      <c r="R88" s="289">
        <v>2020003630016</v>
      </c>
      <c r="S88" s="195" t="s">
        <v>1006</v>
      </c>
      <c r="T88" s="290">
        <f t="shared" si="3"/>
        <v>0.99953459106358844</v>
      </c>
      <c r="U88" s="195" t="s">
        <v>1007</v>
      </c>
      <c r="V88" s="227" t="s">
        <v>1014</v>
      </c>
      <c r="W88" s="227" t="s">
        <v>1025</v>
      </c>
      <c r="X88" s="291">
        <v>61440000</v>
      </c>
      <c r="Y88" s="717">
        <f>61440000</f>
        <v>61440000</v>
      </c>
      <c r="Z88" s="227"/>
      <c r="AA88" s="227"/>
      <c r="AB88" s="291">
        <f t="shared" si="2"/>
        <v>0</v>
      </c>
      <c r="AC88" s="227" t="s">
        <v>1098</v>
      </c>
      <c r="AD88" s="227"/>
      <c r="AE88" s="288">
        <v>25</v>
      </c>
      <c r="AF88" s="195" t="s">
        <v>1021</v>
      </c>
      <c r="AG88" s="292">
        <v>19649</v>
      </c>
      <c r="AH88" s="292">
        <v>20118</v>
      </c>
      <c r="AI88" s="292">
        <v>28907</v>
      </c>
      <c r="AJ88" s="292">
        <v>9525</v>
      </c>
      <c r="AK88" s="292">
        <v>1222</v>
      </c>
      <c r="AL88" s="292">
        <v>113</v>
      </c>
      <c r="AM88" s="292">
        <v>297</v>
      </c>
      <c r="AN88" s="292">
        <v>345</v>
      </c>
      <c r="AO88" s="292">
        <v>0</v>
      </c>
      <c r="AP88" s="292">
        <v>0</v>
      </c>
      <c r="AQ88" s="292">
        <v>0</v>
      </c>
      <c r="AR88" s="292">
        <v>0</v>
      </c>
      <c r="AS88" s="292">
        <v>3301</v>
      </c>
      <c r="AT88" s="292">
        <v>113</v>
      </c>
      <c r="AU88" s="292">
        <v>2507</v>
      </c>
      <c r="AV88" s="292">
        <v>39767</v>
      </c>
      <c r="AW88" s="293">
        <v>45292</v>
      </c>
      <c r="AX88" s="293">
        <v>45657</v>
      </c>
      <c r="AY88" s="195" t="s">
        <v>1011</v>
      </c>
    </row>
    <row r="89" spans="1:51" ht="99.95" customHeight="1" x14ac:dyDescent="0.2">
      <c r="A89" s="65">
        <v>1</v>
      </c>
      <c r="B89" s="195" t="s">
        <v>315</v>
      </c>
      <c r="C89" s="205">
        <v>22</v>
      </c>
      <c r="D89" s="195" t="s">
        <v>1002</v>
      </c>
      <c r="E89" s="205">
        <v>2201</v>
      </c>
      <c r="F89" s="195" t="s">
        <v>1003</v>
      </c>
      <c r="G89" s="294">
        <v>2201071</v>
      </c>
      <c r="H89" s="195" t="s">
        <v>1012</v>
      </c>
      <c r="I89" s="294">
        <v>2201071</v>
      </c>
      <c r="J89" s="195" t="s">
        <v>1012</v>
      </c>
      <c r="K89" s="294">
        <v>220107100</v>
      </c>
      <c r="L89" s="195" t="s">
        <v>1013</v>
      </c>
      <c r="M89" s="295">
        <v>220107100</v>
      </c>
      <c r="N89" s="195" t="s">
        <v>1013</v>
      </c>
      <c r="O89" s="288">
        <v>54</v>
      </c>
      <c r="P89" s="288"/>
      <c r="Q89" s="288">
        <v>54</v>
      </c>
      <c r="R89" s="289">
        <v>2020003630016</v>
      </c>
      <c r="S89" s="195" t="s">
        <v>1006</v>
      </c>
      <c r="T89" s="290">
        <f t="shared" si="3"/>
        <v>0.99953459106358844</v>
      </c>
      <c r="U89" s="195" t="s">
        <v>1007</v>
      </c>
      <c r="V89" s="227" t="s">
        <v>1014</v>
      </c>
      <c r="W89" s="227" t="s">
        <v>1022</v>
      </c>
      <c r="X89" s="291">
        <v>942455833.30079997</v>
      </c>
      <c r="Y89" s="717">
        <f>942455833.3</f>
        <v>942455833.29999995</v>
      </c>
      <c r="Z89" s="227"/>
      <c r="AA89" s="227"/>
      <c r="AB89" s="291">
        <f t="shared" si="2"/>
        <v>8.0001354217529297E-4</v>
      </c>
      <c r="AC89" s="227" t="s">
        <v>1099</v>
      </c>
      <c r="AD89" s="227"/>
      <c r="AE89" s="288">
        <v>25</v>
      </c>
      <c r="AF89" s="195" t="s">
        <v>1021</v>
      </c>
      <c r="AG89" s="292">
        <v>19649</v>
      </c>
      <c r="AH89" s="292">
        <v>20118</v>
      </c>
      <c r="AI89" s="292">
        <v>28907</v>
      </c>
      <c r="AJ89" s="292">
        <v>9525</v>
      </c>
      <c r="AK89" s="292">
        <v>1222</v>
      </c>
      <c r="AL89" s="292">
        <v>113</v>
      </c>
      <c r="AM89" s="292">
        <v>297</v>
      </c>
      <c r="AN89" s="292">
        <v>345</v>
      </c>
      <c r="AO89" s="292">
        <v>0</v>
      </c>
      <c r="AP89" s="292">
        <v>0</v>
      </c>
      <c r="AQ89" s="292">
        <v>0</v>
      </c>
      <c r="AR89" s="292">
        <v>0</v>
      </c>
      <c r="AS89" s="292">
        <v>3301</v>
      </c>
      <c r="AT89" s="292">
        <v>113</v>
      </c>
      <c r="AU89" s="292">
        <v>2507</v>
      </c>
      <c r="AV89" s="292">
        <v>39767</v>
      </c>
      <c r="AW89" s="293">
        <v>45292</v>
      </c>
      <c r="AX89" s="293">
        <v>45657</v>
      </c>
      <c r="AY89" s="195" t="s">
        <v>1011</v>
      </c>
    </row>
    <row r="90" spans="1:51" ht="99.95" customHeight="1" x14ac:dyDescent="0.2">
      <c r="A90" s="65">
        <v>1</v>
      </c>
      <c r="B90" s="195" t="s">
        <v>315</v>
      </c>
      <c r="C90" s="205">
        <v>22</v>
      </c>
      <c r="D90" s="195" t="s">
        <v>1002</v>
      </c>
      <c r="E90" s="205">
        <v>2201</v>
      </c>
      <c r="F90" s="195" t="s">
        <v>1003</v>
      </c>
      <c r="G90" s="294">
        <v>2201071</v>
      </c>
      <c r="H90" s="195" t="s">
        <v>1012</v>
      </c>
      <c r="I90" s="294">
        <v>2201071</v>
      </c>
      <c r="J90" s="195" t="s">
        <v>1012</v>
      </c>
      <c r="K90" s="294">
        <v>220107100</v>
      </c>
      <c r="L90" s="195" t="s">
        <v>1013</v>
      </c>
      <c r="M90" s="295">
        <v>220107100</v>
      </c>
      <c r="N90" s="195" t="s">
        <v>1013</v>
      </c>
      <c r="O90" s="288">
        <v>54</v>
      </c>
      <c r="P90" s="288"/>
      <c r="Q90" s="288">
        <v>54</v>
      </c>
      <c r="R90" s="289">
        <v>2020003630016</v>
      </c>
      <c r="S90" s="195" t="s">
        <v>1006</v>
      </c>
      <c r="T90" s="290">
        <f t="shared" si="3"/>
        <v>0.99953459106358844</v>
      </c>
      <c r="U90" s="195" t="s">
        <v>1007</v>
      </c>
      <c r="V90" s="227" t="s">
        <v>1014</v>
      </c>
      <c r="W90" s="227" t="s">
        <v>1025</v>
      </c>
      <c r="X90" s="291">
        <v>123697784.2464</v>
      </c>
      <c r="Y90" s="717">
        <f>123697784.25</f>
        <v>123697784.25</v>
      </c>
      <c r="Z90" s="227"/>
      <c r="AA90" s="227"/>
      <c r="AB90" s="291">
        <f t="shared" si="2"/>
        <v>-3.600001335144043E-3</v>
      </c>
      <c r="AC90" s="227" t="s">
        <v>1100</v>
      </c>
      <c r="AD90" s="227"/>
      <c r="AE90" s="288">
        <v>25</v>
      </c>
      <c r="AF90" s="195" t="s">
        <v>1021</v>
      </c>
      <c r="AG90" s="292">
        <v>19649</v>
      </c>
      <c r="AH90" s="292">
        <v>20118</v>
      </c>
      <c r="AI90" s="292">
        <v>28907</v>
      </c>
      <c r="AJ90" s="292">
        <v>9525</v>
      </c>
      <c r="AK90" s="292">
        <v>1222</v>
      </c>
      <c r="AL90" s="292">
        <v>113</v>
      </c>
      <c r="AM90" s="292">
        <v>297</v>
      </c>
      <c r="AN90" s="292">
        <v>345</v>
      </c>
      <c r="AO90" s="292">
        <v>0</v>
      </c>
      <c r="AP90" s="292">
        <v>0</v>
      </c>
      <c r="AQ90" s="292">
        <v>0</v>
      </c>
      <c r="AR90" s="292">
        <v>0</v>
      </c>
      <c r="AS90" s="292">
        <v>3301</v>
      </c>
      <c r="AT90" s="292">
        <v>113</v>
      </c>
      <c r="AU90" s="292">
        <v>2507</v>
      </c>
      <c r="AV90" s="292">
        <v>39767</v>
      </c>
      <c r="AW90" s="293">
        <v>45292</v>
      </c>
      <c r="AX90" s="293">
        <v>45657</v>
      </c>
      <c r="AY90" s="195" t="s">
        <v>1011</v>
      </c>
    </row>
    <row r="91" spans="1:51" ht="99.95" customHeight="1" x14ac:dyDescent="0.2">
      <c r="A91" s="65">
        <v>1</v>
      </c>
      <c r="B91" s="195" t="s">
        <v>315</v>
      </c>
      <c r="C91" s="205">
        <v>22</v>
      </c>
      <c r="D91" s="195" t="s">
        <v>1002</v>
      </c>
      <c r="E91" s="205">
        <v>2201</v>
      </c>
      <c r="F91" s="195" t="s">
        <v>1003</v>
      </c>
      <c r="G91" s="294">
        <v>2201071</v>
      </c>
      <c r="H91" s="195" t="s">
        <v>1012</v>
      </c>
      <c r="I91" s="294">
        <v>2201071</v>
      </c>
      <c r="J91" s="195" t="s">
        <v>1012</v>
      </c>
      <c r="K91" s="294">
        <v>220107100</v>
      </c>
      <c r="L91" s="195" t="s">
        <v>1013</v>
      </c>
      <c r="M91" s="295">
        <v>220107100</v>
      </c>
      <c r="N91" s="195" t="s">
        <v>1013</v>
      </c>
      <c r="O91" s="288">
        <v>54</v>
      </c>
      <c r="P91" s="288"/>
      <c r="Q91" s="288">
        <v>54</v>
      </c>
      <c r="R91" s="289">
        <v>2020003630016</v>
      </c>
      <c r="S91" s="195" t="s">
        <v>1006</v>
      </c>
      <c r="T91" s="290">
        <f t="shared" si="3"/>
        <v>0.99953459106358844</v>
      </c>
      <c r="U91" s="195" t="s">
        <v>1007</v>
      </c>
      <c r="V91" s="227" t="s">
        <v>1014</v>
      </c>
      <c r="W91" s="227" t="s">
        <v>1025</v>
      </c>
      <c r="X91" s="749">
        <v>24217178.731199998</v>
      </c>
      <c r="Y91" s="741">
        <f>24217178.73</f>
        <v>24217178.73</v>
      </c>
      <c r="Z91" s="227"/>
      <c r="AA91" s="227"/>
      <c r="AB91" s="291">
        <f t="shared" si="2"/>
        <v>1.1999979615211487E-3</v>
      </c>
      <c r="AC91" s="227" t="s">
        <v>1101</v>
      </c>
      <c r="AD91" s="227"/>
      <c r="AE91" s="288">
        <v>25</v>
      </c>
      <c r="AF91" s="195" t="s">
        <v>1021</v>
      </c>
      <c r="AG91" s="292">
        <v>19649</v>
      </c>
      <c r="AH91" s="292">
        <v>20118</v>
      </c>
      <c r="AI91" s="292">
        <v>28907</v>
      </c>
      <c r="AJ91" s="292">
        <v>9525</v>
      </c>
      <c r="AK91" s="292">
        <v>1222</v>
      </c>
      <c r="AL91" s="292">
        <v>113</v>
      </c>
      <c r="AM91" s="292">
        <v>297</v>
      </c>
      <c r="AN91" s="292">
        <v>345</v>
      </c>
      <c r="AO91" s="292">
        <v>0</v>
      </c>
      <c r="AP91" s="292">
        <v>0</v>
      </c>
      <c r="AQ91" s="292">
        <v>0</v>
      </c>
      <c r="AR91" s="292">
        <v>0</v>
      </c>
      <c r="AS91" s="292">
        <v>3301</v>
      </c>
      <c r="AT91" s="292">
        <v>113</v>
      </c>
      <c r="AU91" s="292">
        <v>2507</v>
      </c>
      <c r="AV91" s="292">
        <v>39767</v>
      </c>
      <c r="AW91" s="293">
        <v>45292</v>
      </c>
      <c r="AX91" s="293">
        <v>45657</v>
      </c>
      <c r="AY91" s="195" t="s">
        <v>1011</v>
      </c>
    </row>
    <row r="92" spans="1:51" ht="99.95" customHeight="1" x14ac:dyDescent="0.2">
      <c r="A92" s="65">
        <v>1</v>
      </c>
      <c r="B92" s="195" t="s">
        <v>315</v>
      </c>
      <c r="C92" s="205">
        <v>22</v>
      </c>
      <c r="D92" s="195" t="s">
        <v>1002</v>
      </c>
      <c r="E92" s="205">
        <v>2201</v>
      </c>
      <c r="F92" s="195" t="s">
        <v>1003</v>
      </c>
      <c r="G92" s="294">
        <v>2201071</v>
      </c>
      <c r="H92" s="195" t="s">
        <v>1012</v>
      </c>
      <c r="I92" s="294">
        <v>2201071</v>
      </c>
      <c r="J92" s="195" t="s">
        <v>1012</v>
      </c>
      <c r="K92" s="294">
        <v>220107100</v>
      </c>
      <c r="L92" s="195" t="s">
        <v>1013</v>
      </c>
      <c r="M92" s="295">
        <v>220107100</v>
      </c>
      <c r="N92" s="195" t="s">
        <v>1013</v>
      </c>
      <c r="O92" s="288">
        <v>54</v>
      </c>
      <c r="P92" s="288"/>
      <c r="Q92" s="288">
        <v>54</v>
      </c>
      <c r="R92" s="289">
        <v>2020003630016</v>
      </c>
      <c r="S92" s="195" t="s">
        <v>1006</v>
      </c>
      <c r="T92" s="290">
        <f t="shared" si="3"/>
        <v>0.99953459106358844</v>
      </c>
      <c r="U92" s="195" t="s">
        <v>1007</v>
      </c>
      <c r="V92" s="227" t="s">
        <v>1014</v>
      </c>
      <c r="W92" s="227" t="s">
        <v>1022</v>
      </c>
      <c r="X92" s="291">
        <v>10000000</v>
      </c>
      <c r="Y92" s="227"/>
      <c r="Z92" s="227"/>
      <c r="AA92" s="227"/>
      <c r="AB92" s="291">
        <f t="shared" si="2"/>
        <v>10000000</v>
      </c>
      <c r="AC92" s="227" t="s">
        <v>1102</v>
      </c>
      <c r="AD92" s="227"/>
      <c r="AE92" s="288">
        <v>25</v>
      </c>
      <c r="AF92" s="195" t="s">
        <v>1021</v>
      </c>
      <c r="AG92" s="292">
        <v>19649</v>
      </c>
      <c r="AH92" s="292">
        <v>20118</v>
      </c>
      <c r="AI92" s="292">
        <v>28907</v>
      </c>
      <c r="AJ92" s="292">
        <v>9525</v>
      </c>
      <c r="AK92" s="292">
        <v>1222</v>
      </c>
      <c r="AL92" s="292">
        <v>113</v>
      </c>
      <c r="AM92" s="292">
        <v>297</v>
      </c>
      <c r="AN92" s="292">
        <v>345</v>
      </c>
      <c r="AO92" s="292">
        <v>0</v>
      </c>
      <c r="AP92" s="292">
        <v>0</v>
      </c>
      <c r="AQ92" s="292">
        <v>0</v>
      </c>
      <c r="AR92" s="292">
        <v>0</v>
      </c>
      <c r="AS92" s="292">
        <v>3301</v>
      </c>
      <c r="AT92" s="292">
        <v>113</v>
      </c>
      <c r="AU92" s="292">
        <v>2507</v>
      </c>
      <c r="AV92" s="292">
        <v>39767</v>
      </c>
      <c r="AW92" s="293">
        <v>45292</v>
      </c>
      <c r="AX92" s="293">
        <v>45657</v>
      </c>
      <c r="AY92" s="195" t="s">
        <v>1011</v>
      </c>
    </row>
    <row r="93" spans="1:51" ht="99.95" customHeight="1" x14ac:dyDescent="0.2">
      <c r="A93" s="65">
        <v>1</v>
      </c>
      <c r="B93" s="195" t="s">
        <v>315</v>
      </c>
      <c r="C93" s="205">
        <v>22</v>
      </c>
      <c r="D93" s="195" t="s">
        <v>1002</v>
      </c>
      <c r="E93" s="205">
        <v>2201</v>
      </c>
      <c r="F93" s="195" t="s">
        <v>1003</v>
      </c>
      <c r="G93" s="294">
        <v>2201071</v>
      </c>
      <c r="H93" s="195" t="s">
        <v>1012</v>
      </c>
      <c r="I93" s="294">
        <v>2201071</v>
      </c>
      <c r="J93" s="195" t="s">
        <v>1012</v>
      </c>
      <c r="K93" s="294">
        <v>220107100</v>
      </c>
      <c r="L93" s="195" t="s">
        <v>1013</v>
      </c>
      <c r="M93" s="295">
        <v>220107100</v>
      </c>
      <c r="N93" s="195" t="s">
        <v>1013</v>
      </c>
      <c r="O93" s="288">
        <v>54</v>
      </c>
      <c r="P93" s="288"/>
      <c r="Q93" s="288">
        <v>54</v>
      </c>
      <c r="R93" s="289">
        <v>2020003630016</v>
      </c>
      <c r="S93" s="195" t="s">
        <v>1006</v>
      </c>
      <c r="T93" s="290">
        <f t="shared" si="3"/>
        <v>0.99953459106358844</v>
      </c>
      <c r="U93" s="195" t="s">
        <v>1007</v>
      </c>
      <c r="V93" s="227" t="s">
        <v>1014</v>
      </c>
      <c r="W93" s="227" t="s">
        <v>1022</v>
      </c>
      <c r="X93" s="291">
        <v>10000000</v>
      </c>
      <c r="Y93" s="227"/>
      <c r="Z93" s="227"/>
      <c r="AA93" s="227"/>
      <c r="AB93" s="291">
        <f t="shared" si="2"/>
        <v>10000000</v>
      </c>
      <c r="AC93" s="227" t="s">
        <v>1103</v>
      </c>
      <c r="AD93" s="227"/>
      <c r="AE93" s="288">
        <v>25</v>
      </c>
      <c r="AF93" s="195" t="s">
        <v>1021</v>
      </c>
      <c r="AG93" s="292">
        <v>19649</v>
      </c>
      <c r="AH93" s="292">
        <v>20118</v>
      </c>
      <c r="AI93" s="292">
        <v>28907</v>
      </c>
      <c r="AJ93" s="292">
        <v>9525</v>
      </c>
      <c r="AK93" s="292">
        <v>1222</v>
      </c>
      <c r="AL93" s="292">
        <v>113</v>
      </c>
      <c r="AM93" s="292">
        <v>297</v>
      </c>
      <c r="AN93" s="292">
        <v>345</v>
      </c>
      <c r="AO93" s="292">
        <v>0</v>
      </c>
      <c r="AP93" s="292">
        <v>0</v>
      </c>
      <c r="AQ93" s="292">
        <v>0</v>
      </c>
      <c r="AR93" s="292">
        <v>0</v>
      </c>
      <c r="AS93" s="292">
        <v>3301</v>
      </c>
      <c r="AT93" s="292">
        <v>113</v>
      </c>
      <c r="AU93" s="292">
        <v>2507</v>
      </c>
      <c r="AV93" s="292">
        <v>39767</v>
      </c>
      <c r="AW93" s="293">
        <v>45292</v>
      </c>
      <c r="AX93" s="293">
        <v>45657</v>
      </c>
      <c r="AY93" s="195" t="s">
        <v>1011</v>
      </c>
    </row>
    <row r="94" spans="1:51" ht="99.95" customHeight="1" x14ac:dyDescent="0.2">
      <c r="A94" s="65">
        <v>1</v>
      </c>
      <c r="B94" s="195" t="s">
        <v>315</v>
      </c>
      <c r="C94" s="205">
        <v>22</v>
      </c>
      <c r="D94" s="195" t="s">
        <v>1002</v>
      </c>
      <c r="E94" s="205">
        <v>2201</v>
      </c>
      <c r="F94" s="195" t="s">
        <v>1003</v>
      </c>
      <c r="G94" s="294">
        <v>2201071</v>
      </c>
      <c r="H94" s="195" t="s">
        <v>1012</v>
      </c>
      <c r="I94" s="294">
        <v>2201071</v>
      </c>
      <c r="J94" s="195" t="s">
        <v>1012</v>
      </c>
      <c r="K94" s="294">
        <v>220107100</v>
      </c>
      <c r="L94" s="195" t="s">
        <v>1013</v>
      </c>
      <c r="M94" s="295">
        <v>220107100</v>
      </c>
      <c r="N94" s="195" t="s">
        <v>1013</v>
      </c>
      <c r="O94" s="288">
        <v>54</v>
      </c>
      <c r="P94" s="288"/>
      <c r="Q94" s="288">
        <v>54</v>
      </c>
      <c r="R94" s="289">
        <v>2020003630016</v>
      </c>
      <c r="S94" s="195" t="s">
        <v>1006</v>
      </c>
      <c r="T94" s="290">
        <f t="shared" si="3"/>
        <v>0.99953459106358844</v>
      </c>
      <c r="U94" s="195" t="s">
        <v>1007</v>
      </c>
      <c r="V94" s="227" t="s">
        <v>1014</v>
      </c>
      <c r="W94" s="227" t="s">
        <v>1025</v>
      </c>
      <c r="X94" s="291">
        <v>10000000</v>
      </c>
      <c r="Y94" s="227"/>
      <c r="Z94" s="227"/>
      <c r="AA94" s="227"/>
      <c r="AB94" s="291">
        <f t="shared" si="2"/>
        <v>10000000</v>
      </c>
      <c r="AC94" s="227" t="s">
        <v>1104</v>
      </c>
      <c r="AD94" s="227"/>
      <c r="AE94" s="288">
        <v>25</v>
      </c>
      <c r="AF94" s="195" t="s">
        <v>1021</v>
      </c>
      <c r="AG94" s="292">
        <v>19649</v>
      </c>
      <c r="AH94" s="292">
        <v>20118</v>
      </c>
      <c r="AI94" s="292">
        <v>28907</v>
      </c>
      <c r="AJ94" s="292">
        <v>9525</v>
      </c>
      <c r="AK94" s="292">
        <v>1222</v>
      </c>
      <c r="AL94" s="292">
        <v>113</v>
      </c>
      <c r="AM94" s="292">
        <v>297</v>
      </c>
      <c r="AN94" s="292">
        <v>345</v>
      </c>
      <c r="AO94" s="292">
        <v>0</v>
      </c>
      <c r="AP94" s="292">
        <v>0</v>
      </c>
      <c r="AQ94" s="292">
        <v>0</v>
      </c>
      <c r="AR94" s="292">
        <v>0</v>
      </c>
      <c r="AS94" s="292">
        <v>3301</v>
      </c>
      <c r="AT94" s="292">
        <v>113</v>
      </c>
      <c r="AU94" s="292">
        <v>2507</v>
      </c>
      <c r="AV94" s="292">
        <v>39767</v>
      </c>
      <c r="AW94" s="293">
        <v>45292</v>
      </c>
      <c r="AX94" s="293">
        <v>45657</v>
      </c>
      <c r="AY94" s="195" t="s">
        <v>1011</v>
      </c>
    </row>
    <row r="95" spans="1:51" ht="99.95" customHeight="1" x14ac:dyDescent="0.2">
      <c r="A95" s="65">
        <v>1</v>
      </c>
      <c r="B95" s="195" t="s">
        <v>315</v>
      </c>
      <c r="C95" s="205">
        <v>22</v>
      </c>
      <c r="D95" s="195" t="s">
        <v>1002</v>
      </c>
      <c r="E95" s="205">
        <v>2201</v>
      </c>
      <c r="F95" s="195" t="s">
        <v>1003</v>
      </c>
      <c r="G95" s="294">
        <v>2201071</v>
      </c>
      <c r="H95" s="195" t="s">
        <v>1012</v>
      </c>
      <c r="I95" s="294">
        <v>2201071</v>
      </c>
      <c r="J95" s="195" t="s">
        <v>1012</v>
      </c>
      <c r="K95" s="294">
        <v>220107100</v>
      </c>
      <c r="L95" s="195" t="s">
        <v>1013</v>
      </c>
      <c r="M95" s="295">
        <v>220107100</v>
      </c>
      <c r="N95" s="195" t="s">
        <v>1013</v>
      </c>
      <c r="O95" s="288">
        <v>54</v>
      </c>
      <c r="P95" s="288"/>
      <c r="Q95" s="288">
        <v>54</v>
      </c>
      <c r="R95" s="289">
        <v>2020003630016</v>
      </c>
      <c r="S95" s="195" t="s">
        <v>1006</v>
      </c>
      <c r="T95" s="290">
        <f t="shared" si="3"/>
        <v>0.99953459106358844</v>
      </c>
      <c r="U95" s="195" t="s">
        <v>1007</v>
      </c>
      <c r="V95" s="227" t="s">
        <v>1014</v>
      </c>
      <c r="W95" s="227" t="s">
        <v>1022</v>
      </c>
      <c r="X95" s="291">
        <v>18000000</v>
      </c>
      <c r="Y95" s="227"/>
      <c r="Z95" s="227"/>
      <c r="AA95" s="721">
        <v>18000000</v>
      </c>
      <c r="AB95" s="291">
        <f t="shared" si="2"/>
        <v>0</v>
      </c>
      <c r="AC95" s="227" t="s">
        <v>1102</v>
      </c>
      <c r="AD95" s="227"/>
      <c r="AE95" s="288">
        <v>25</v>
      </c>
      <c r="AF95" s="195" t="s">
        <v>1021</v>
      </c>
      <c r="AG95" s="292">
        <v>19649</v>
      </c>
      <c r="AH95" s="292">
        <v>20118</v>
      </c>
      <c r="AI95" s="292">
        <v>28907</v>
      </c>
      <c r="AJ95" s="292">
        <v>9525</v>
      </c>
      <c r="AK95" s="292">
        <v>1222</v>
      </c>
      <c r="AL95" s="292">
        <v>113</v>
      </c>
      <c r="AM95" s="292">
        <v>297</v>
      </c>
      <c r="AN95" s="292">
        <v>345</v>
      </c>
      <c r="AO95" s="292">
        <v>0</v>
      </c>
      <c r="AP95" s="292">
        <v>0</v>
      </c>
      <c r="AQ95" s="292">
        <v>0</v>
      </c>
      <c r="AR95" s="292">
        <v>0</v>
      </c>
      <c r="AS95" s="292">
        <v>3301</v>
      </c>
      <c r="AT95" s="292">
        <v>113</v>
      </c>
      <c r="AU95" s="292">
        <v>2507</v>
      </c>
      <c r="AV95" s="292">
        <v>39767</v>
      </c>
      <c r="AW95" s="293">
        <v>45292</v>
      </c>
      <c r="AX95" s="293">
        <v>45657</v>
      </c>
      <c r="AY95" s="195" t="s">
        <v>1011</v>
      </c>
    </row>
    <row r="96" spans="1:51" ht="99.95" customHeight="1" x14ac:dyDescent="0.2">
      <c r="A96" s="65">
        <v>1</v>
      </c>
      <c r="B96" s="195" t="s">
        <v>315</v>
      </c>
      <c r="C96" s="205">
        <v>22</v>
      </c>
      <c r="D96" s="195" t="s">
        <v>1002</v>
      </c>
      <c r="E96" s="205">
        <v>2201</v>
      </c>
      <c r="F96" s="195" t="s">
        <v>1003</v>
      </c>
      <c r="G96" s="294">
        <v>2201071</v>
      </c>
      <c r="H96" s="195" t="s">
        <v>1012</v>
      </c>
      <c r="I96" s="294">
        <v>2201071</v>
      </c>
      <c r="J96" s="195" t="s">
        <v>1012</v>
      </c>
      <c r="K96" s="294">
        <v>220107100</v>
      </c>
      <c r="L96" s="195" t="s">
        <v>1013</v>
      </c>
      <c r="M96" s="295">
        <v>220107100</v>
      </c>
      <c r="N96" s="195" t="s">
        <v>1013</v>
      </c>
      <c r="O96" s="288">
        <v>54</v>
      </c>
      <c r="P96" s="288"/>
      <c r="Q96" s="288">
        <v>54</v>
      </c>
      <c r="R96" s="289">
        <v>2020003630016</v>
      </c>
      <c r="S96" s="195" t="s">
        <v>1006</v>
      </c>
      <c r="T96" s="290">
        <f t="shared" si="3"/>
        <v>0.99953459106358844</v>
      </c>
      <c r="U96" s="195" t="s">
        <v>1007</v>
      </c>
      <c r="V96" s="227" t="s">
        <v>1014</v>
      </c>
      <c r="W96" s="227" t="s">
        <v>1022</v>
      </c>
      <c r="X96" s="291">
        <v>319825280</v>
      </c>
      <c r="Y96" s="227"/>
      <c r="Z96" s="227"/>
      <c r="AA96" s="227"/>
      <c r="AB96" s="291">
        <f t="shared" si="2"/>
        <v>319825280</v>
      </c>
      <c r="AC96" s="227" t="s">
        <v>1105</v>
      </c>
      <c r="AD96" s="227"/>
      <c r="AE96" s="288">
        <v>25</v>
      </c>
      <c r="AF96" s="195" t="s">
        <v>1021</v>
      </c>
      <c r="AG96" s="292">
        <v>19649</v>
      </c>
      <c r="AH96" s="292">
        <v>20118</v>
      </c>
      <c r="AI96" s="292">
        <v>28907</v>
      </c>
      <c r="AJ96" s="292">
        <v>9525</v>
      </c>
      <c r="AK96" s="292">
        <v>1222</v>
      </c>
      <c r="AL96" s="292">
        <v>113</v>
      </c>
      <c r="AM96" s="292">
        <v>297</v>
      </c>
      <c r="AN96" s="292">
        <v>345</v>
      </c>
      <c r="AO96" s="292">
        <v>0</v>
      </c>
      <c r="AP96" s="292">
        <v>0</v>
      </c>
      <c r="AQ96" s="292">
        <v>0</v>
      </c>
      <c r="AR96" s="292">
        <v>0</v>
      </c>
      <c r="AS96" s="292">
        <v>3301</v>
      </c>
      <c r="AT96" s="292">
        <v>113</v>
      </c>
      <c r="AU96" s="292">
        <v>2507</v>
      </c>
      <c r="AV96" s="292">
        <v>39767</v>
      </c>
      <c r="AW96" s="293">
        <v>45292</v>
      </c>
      <c r="AX96" s="293">
        <v>45657</v>
      </c>
      <c r="AY96" s="195" t="s">
        <v>1011</v>
      </c>
    </row>
    <row r="97" spans="1:56" ht="99.95" customHeight="1" x14ac:dyDescent="0.2">
      <c r="A97" s="65">
        <v>1</v>
      </c>
      <c r="B97" s="195" t="s">
        <v>315</v>
      </c>
      <c r="C97" s="205">
        <v>22</v>
      </c>
      <c r="D97" s="195" t="s">
        <v>1002</v>
      </c>
      <c r="E97" s="205">
        <v>2201</v>
      </c>
      <c r="F97" s="195" t="s">
        <v>1003</v>
      </c>
      <c r="G97" s="294">
        <v>2201071</v>
      </c>
      <c r="H97" s="195" t="s">
        <v>1012</v>
      </c>
      <c r="I97" s="294">
        <v>2201071</v>
      </c>
      <c r="J97" s="195" t="s">
        <v>1012</v>
      </c>
      <c r="K97" s="294">
        <v>220107100</v>
      </c>
      <c r="L97" s="195" t="s">
        <v>1013</v>
      </c>
      <c r="M97" s="295">
        <v>220107100</v>
      </c>
      <c r="N97" s="195" t="s">
        <v>1013</v>
      </c>
      <c r="O97" s="288">
        <v>54</v>
      </c>
      <c r="P97" s="288"/>
      <c r="Q97" s="288">
        <v>54</v>
      </c>
      <c r="R97" s="289">
        <v>2020003630016</v>
      </c>
      <c r="S97" s="195" t="s">
        <v>1006</v>
      </c>
      <c r="T97" s="290">
        <f t="shared" si="3"/>
        <v>0.99953459106358844</v>
      </c>
      <c r="U97" s="195" t="s">
        <v>1007</v>
      </c>
      <c r="V97" s="227" t="s">
        <v>1014</v>
      </c>
      <c r="W97" s="227" t="s">
        <v>1022</v>
      </c>
      <c r="X97" s="291">
        <v>78260224</v>
      </c>
      <c r="Y97" s="227"/>
      <c r="Z97" s="227"/>
      <c r="AA97" s="227"/>
      <c r="AB97" s="291">
        <f t="shared" si="2"/>
        <v>78260224</v>
      </c>
      <c r="AC97" s="227" t="s">
        <v>1106</v>
      </c>
      <c r="AD97" s="227"/>
      <c r="AE97" s="288">
        <v>25</v>
      </c>
      <c r="AF97" s="195" t="s">
        <v>1021</v>
      </c>
      <c r="AG97" s="292">
        <v>19649</v>
      </c>
      <c r="AH97" s="292">
        <v>20118</v>
      </c>
      <c r="AI97" s="292">
        <v>28907</v>
      </c>
      <c r="AJ97" s="292">
        <v>9525</v>
      </c>
      <c r="AK97" s="292">
        <v>1222</v>
      </c>
      <c r="AL97" s="292">
        <v>113</v>
      </c>
      <c r="AM97" s="292">
        <v>297</v>
      </c>
      <c r="AN97" s="292">
        <v>345</v>
      </c>
      <c r="AO97" s="292">
        <v>0</v>
      </c>
      <c r="AP97" s="292">
        <v>0</v>
      </c>
      <c r="AQ97" s="292">
        <v>0</v>
      </c>
      <c r="AR97" s="292">
        <v>0</v>
      </c>
      <c r="AS97" s="292">
        <v>3301</v>
      </c>
      <c r="AT97" s="292">
        <v>113</v>
      </c>
      <c r="AU97" s="292">
        <v>2507</v>
      </c>
      <c r="AV97" s="292">
        <v>39767</v>
      </c>
      <c r="AW97" s="293">
        <v>45292</v>
      </c>
      <c r="AX97" s="293">
        <v>45657</v>
      </c>
      <c r="AY97" s="195" t="s">
        <v>1011</v>
      </c>
    </row>
    <row r="98" spans="1:56" ht="99.95" customHeight="1" x14ac:dyDescent="0.2">
      <c r="A98" s="65">
        <v>1</v>
      </c>
      <c r="B98" s="195" t="s">
        <v>315</v>
      </c>
      <c r="C98" s="205">
        <v>22</v>
      </c>
      <c r="D98" s="195" t="s">
        <v>1002</v>
      </c>
      <c r="E98" s="205">
        <v>2201</v>
      </c>
      <c r="F98" s="195" t="s">
        <v>1003</v>
      </c>
      <c r="G98" s="294">
        <v>2201071</v>
      </c>
      <c r="H98" s="195" t="s">
        <v>1012</v>
      </c>
      <c r="I98" s="294">
        <v>2201071</v>
      </c>
      <c r="J98" s="195" t="s">
        <v>1012</v>
      </c>
      <c r="K98" s="294">
        <v>220107100</v>
      </c>
      <c r="L98" s="195" t="s">
        <v>1013</v>
      </c>
      <c r="M98" s="295">
        <v>220107100</v>
      </c>
      <c r="N98" s="195" t="s">
        <v>1013</v>
      </c>
      <c r="O98" s="288">
        <v>54</v>
      </c>
      <c r="P98" s="288"/>
      <c r="Q98" s="288">
        <v>54</v>
      </c>
      <c r="R98" s="289">
        <v>2020003630016</v>
      </c>
      <c r="S98" s="195" t="s">
        <v>1006</v>
      </c>
      <c r="T98" s="290">
        <f t="shared" si="3"/>
        <v>0.99953459106358844</v>
      </c>
      <c r="U98" s="195" t="s">
        <v>1007</v>
      </c>
      <c r="V98" s="227" t="s">
        <v>1014</v>
      </c>
      <c r="W98" s="227" t="s">
        <v>1022</v>
      </c>
      <c r="X98" s="291">
        <v>10000000</v>
      </c>
      <c r="Y98" s="227"/>
      <c r="Z98" s="227"/>
      <c r="AA98" s="227"/>
      <c r="AB98" s="291">
        <f t="shared" si="2"/>
        <v>10000000</v>
      </c>
      <c r="AC98" s="227" t="s">
        <v>1107</v>
      </c>
      <c r="AD98" s="227"/>
      <c r="AE98" s="288">
        <v>25</v>
      </c>
      <c r="AF98" s="195" t="s">
        <v>1021</v>
      </c>
      <c r="AG98" s="292">
        <v>19649</v>
      </c>
      <c r="AH98" s="292">
        <v>20118</v>
      </c>
      <c r="AI98" s="292">
        <v>28907</v>
      </c>
      <c r="AJ98" s="292">
        <v>9525</v>
      </c>
      <c r="AK98" s="292">
        <v>1222</v>
      </c>
      <c r="AL98" s="292">
        <v>113</v>
      </c>
      <c r="AM98" s="292">
        <v>297</v>
      </c>
      <c r="AN98" s="292">
        <v>345</v>
      </c>
      <c r="AO98" s="292">
        <v>0</v>
      </c>
      <c r="AP98" s="292">
        <v>0</v>
      </c>
      <c r="AQ98" s="292">
        <v>0</v>
      </c>
      <c r="AR98" s="292">
        <v>0</v>
      </c>
      <c r="AS98" s="292">
        <v>3301</v>
      </c>
      <c r="AT98" s="292">
        <v>113</v>
      </c>
      <c r="AU98" s="292">
        <v>2507</v>
      </c>
      <c r="AV98" s="292">
        <v>39767</v>
      </c>
      <c r="AW98" s="293">
        <v>45292</v>
      </c>
      <c r="AX98" s="293">
        <v>45657</v>
      </c>
      <c r="AY98" s="195" t="s">
        <v>1011</v>
      </c>
    </row>
    <row r="99" spans="1:56" ht="99.95" customHeight="1" x14ac:dyDescent="0.2">
      <c r="A99" s="65">
        <v>1</v>
      </c>
      <c r="B99" s="195" t="s">
        <v>315</v>
      </c>
      <c r="C99" s="205">
        <v>22</v>
      </c>
      <c r="D99" s="195" t="s">
        <v>1002</v>
      </c>
      <c r="E99" s="205">
        <v>2201</v>
      </c>
      <c r="F99" s="195" t="s">
        <v>1003</v>
      </c>
      <c r="G99" s="294">
        <v>2201071</v>
      </c>
      <c r="H99" s="195" t="s">
        <v>1012</v>
      </c>
      <c r="I99" s="294">
        <v>2201071</v>
      </c>
      <c r="J99" s="195" t="s">
        <v>1012</v>
      </c>
      <c r="K99" s="294">
        <v>220107100</v>
      </c>
      <c r="L99" s="195" t="s">
        <v>1013</v>
      </c>
      <c r="M99" s="295">
        <v>220107100</v>
      </c>
      <c r="N99" s="195" t="s">
        <v>1013</v>
      </c>
      <c r="O99" s="288">
        <v>54</v>
      </c>
      <c r="P99" s="288"/>
      <c r="Q99" s="288">
        <v>54</v>
      </c>
      <c r="R99" s="289">
        <v>2020003630016</v>
      </c>
      <c r="S99" s="195" t="s">
        <v>1006</v>
      </c>
      <c r="T99" s="290">
        <f t="shared" si="3"/>
        <v>0.99953459106358844</v>
      </c>
      <c r="U99" s="195" t="s">
        <v>1007</v>
      </c>
      <c r="V99" s="227" t="s">
        <v>1014</v>
      </c>
      <c r="W99" s="227" t="s">
        <v>1025</v>
      </c>
      <c r="X99" s="291">
        <v>5000000</v>
      </c>
      <c r="Y99" s="227"/>
      <c r="Z99" s="227"/>
      <c r="AA99" s="227"/>
      <c r="AB99" s="291">
        <f t="shared" si="2"/>
        <v>5000000</v>
      </c>
      <c r="AC99" s="227" t="s">
        <v>1108</v>
      </c>
      <c r="AD99" s="227"/>
      <c r="AE99" s="288">
        <v>25</v>
      </c>
      <c r="AF99" s="195" t="s">
        <v>1021</v>
      </c>
      <c r="AG99" s="292">
        <v>19649</v>
      </c>
      <c r="AH99" s="292">
        <v>20118</v>
      </c>
      <c r="AI99" s="292">
        <v>28907</v>
      </c>
      <c r="AJ99" s="292">
        <v>9525</v>
      </c>
      <c r="AK99" s="292">
        <v>1222</v>
      </c>
      <c r="AL99" s="292">
        <v>113</v>
      </c>
      <c r="AM99" s="292">
        <v>297</v>
      </c>
      <c r="AN99" s="292">
        <v>345</v>
      </c>
      <c r="AO99" s="292">
        <v>0</v>
      </c>
      <c r="AP99" s="292">
        <v>0</v>
      </c>
      <c r="AQ99" s="292">
        <v>0</v>
      </c>
      <c r="AR99" s="292">
        <v>0</v>
      </c>
      <c r="AS99" s="292">
        <v>3301</v>
      </c>
      <c r="AT99" s="292">
        <v>113</v>
      </c>
      <c r="AU99" s="292">
        <v>2507</v>
      </c>
      <c r="AV99" s="292">
        <v>39767</v>
      </c>
      <c r="AW99" s="293">
        <v>45292</v>
      </c>
      <c r="AX99" s="293">
        <v>45657</v>
      </c>
      <c r="AY99" s="195" t="s">
        <v>1011</v>
      </c>
    </row>
    <row r="100" spans="1:56" ht="99.95" customHeight="1" x14ac:dyDescent="0.2">
      <c r="A100" s="65">
        <v>1</v>
      </c>
      <c r="B100" s="195" t="s">
        <v>315</v>
      </c>
      <c r="C100" s="205">
        <v>22</v>
      </c>
      <c r="D100" s="195" t="s">
        <v>1002</v>
      </c>
      <c r="E100" s="205">
        <v>2201</v>
      </c>
      <c r="F100" s="195" t="s">
        <v>1003</v>
      </c>
      <c r="G100" s="294">
        <v>2201071</v>
      </c>
      <c r="H100" s="195" t="s">
        <v>1012</v>
      </c>
      <c r="I100" s="294">
        <v>2201071</v>
      </c>
      <c r="J100" s="195" t="s">
        <v>1012</v>
      </c>
      <c r="K100" s="294">
        <v>220107100</v>
      </c>
      <c r="L100" s="195" t="s">
        <v>1013</v>
      </c>
      <c r="M100" s="295">
        <v>220107100</v>
      </c>
      <c r="N100" s="195" t="s">
        <v>1013</v>
      </c>
      <c r="O100" s="288">
        <v>54</v>
      </c>
      <c r="P100" s="288"/>
      <c r="Q100" s="288">
        <v>54</v>
      </c>
      <c r="R100" s="289">
        <v>2020003630016</v>
      </c>
      <c r="S100" s="195" t="s">
        <v>1006</v>
      </c>
      <c r="T100" s="290">
        <f t="shared" si="3"/>
        <v>0.99953459106358844</v>
      </c>
      <c r="U100" s="195" t="s">
        <v>1007</v>
      </c>
      <c r="V100" s="227" t="s">
        <v>1014</v>
      </c>
      <c r="W100" s="227" t="s">
        <v>1022</v>
      </c>
      <c r="X100" s="291">
        <v>595526400</v>
      </c>
      <c r="Y100" s="717">
        <f>122595000+110388091</f>
        <v>232983091</v>
      </c>
      <c r="Z100" s="227"/>
      <c r="AA100" s="227"/>
      <c r="AB100" s="291">
        <f t="shared" si="2"/>
        <v>362543309</v>
      </c>
      <c r="AC100" s="227" t="s">
        <v>1109</v>
      </c>
      <c r="AD100" s="227"/>
      <c r="AE100" s="288">
        <v>25</v>
      </c>
      <c r="AF100" s="195" t="s">
        <v>1021</v>
      </c>
      <c r="AG100" s="292">
        <v>19649</v>
      </c>
      <c r="AH100" s="292">
        <v>20118</v>
      </c>
      <c r="AI100" s="292">
        <v>28907</v>
      </c>
      <c r="AJ100" s="292">
        <v>9525</v>
      </c>
      <c r="AK100" s="292">
        <v>1222</v>
      </c>
      <c r="AL100" s="292">
        <v>113</v>
      </c>
      <c r="AM100" s="292">
        <v>297</v>
      </c>
      <c r="AN100" s="292">
        <v>345</v>
      </c>
      <c r="AO100" s="292">
        <v>0</v>
      </c>
      <c r="AP100" s="292">
        <v>0</v>
      </c>
      <c r="AQ100" s="292">
        <v>0</v>
      </c>
      <c r="AR100" s="292">
        <v>0</v>
      </c>
      <c r="AS100" s="292">
        <v>3301</v>
      </c>
      <c r="AT100" s="292">
        <v>113</v>
      </c>
      <c r="AU100" s="292">
        <v>2507</v>
      </c>
      <c r="AV100" s="292">
        <v>39767</v>
      </c>
      <c r="AW100" s="293">
        <v>45292</v>
      </c>
      <c r="AX100" s="293">
        <v>45657</v>
      </c>
      <c r="AY100" s="195" t="s">
        <v>1011</v>
      </c>
    </row>
    <row r="101" spans="1:56" ht="99.95" customHeight="1" x14ac:dyDescent="0.2">
      <c r="A101" s="65">
        <v>1</v>
      </c>
      <c r="B101" s="195" t="s">
        <v>315</v>
      </c>
      <c r="C101" s="205">
        <v>22</v>
      </c>
      <c r="D101" s="195" t="s">
        <v>1002</v>
      </c>
      <c r="E101" s="205">
        <v>2201</v>
      </c>
      <c r="F101" s="195" t="s">
        <v>1003</v>
      </c>
      <c r="G101" s="294">
        <v>2201071</v>
      </c>
      <c r="H101" s="195" t="s">
        <v>1012</v>
      </c>
      <c r="I101" s="294">
        <v>2201071</v>
      </c>
      <c r="J101" s="195" t="s">
        <v>1012</v>
      </c>
      <c r="K101" s="294">
        <v>220107100</v>
      </c>
      <c r="L101" s="195" t="s">
        <v>1013</v>
      </c>
      <c r="M101" s="295">
        <v>220107100</v>
      </c>
      <c r="N101" s="195" t="s">
        <v>1013</v>
      </c>
      <c r="O101" s="288">
        <v>54</v>
      </c>
      <c r="P101" s="288"/>
      <c r="Q101" s="288">
        <v>54</v>
      </c>
      <c r="R101" s="289">
        <v>2020003630016</v>
      </c>
      <c r="S101" s="195" t="s">
        <v>1006</v>
      </c>
      <c r="T101" s="290">
        <f t="shared" si="3"/>
        <v>0.99953459106358844</v>
      </c>
      <c r="U101" s="195" t="s">
        <v>1007</v>
      </c>
      <c r="V101" s="227" t="s">
        <v>1014</v>
      </c>
      <c r="W101" s="227" t="s">
        <v>1022</v>
      </c>
      <c r="X101" s="291">
        <v>0</v>
      </c>
      <c r="Y101" s="227"/>
      <c r="Z101" s="227"/>
      <c r="AA101" s="227"/>
      <c r="AB101" s="291">
        <f t="shared" si="2"/>
        <v>0</v>
      </c>
      <c r="AC101" s="227" t="s">
        <v>1110</v>
      </c>
      <c r="AD101" s="227"/>
      <c r="AE101" s="288">
        <v>204</v>
      </c>
      <c r="AF101" s="195" t="s">
        <v>1111</v>
      </c>
      <c r="AG101" s="292">
        <v>19649</v>
      </c>
      <c r="AH101" s="292">
        <v>20118</v>
      </c>
      <c r="AI101" s="292">
        <v>28907</v>
      </c>
      <c r="AJ101" s="292">
        <v>9525</v>
      </c>
      <c r="AK101" s="292">
        <v>1222</v>
      </c>
      <c r="AL101" s="292">
        <v>113</v>
      </c>
      <c r="AM101" s="292">
        <v>297</v>
      </c>
      <c r="AN101" s="292">
        <v>345</v>
      </c>
      <c r="AO101" s="292">
        <v>0</v>
      </c>
      <c r="AP101" s="292">
        <v>0</v>
      </c>
      <c r="AQ101" s="292">
        <v>0</v>
      </c>
      <c r="AR101" s="292">
        <v>0</v>
      </c>
      <c r="AS101" s="292">
        <v>3301</v>
      </c>
      <c r="AT101" s="292">
        <v>113</v>
      </c>
      <c r="AU101" s="292">
        <v>2507</v>
      </c>
      <c r="AV101" s="292">
        <v>39767</v>
      </c>
      <c r="AW101" s="293">
        <v>45292</v>
      </c>
      <c r="AX101" s="293">
        <v>45657</v>
      </c>
      <c r="AY101" s="195" t="s">
        <v>1011</v>
      </c>
    </row>
    <row r="102" spans="1:56" ht="99.95" customHeight="1" x14ac:dyDescent="0.2">
      <c r="A102" s="961">
        <v>1</v>
      </c>
      <c r="B102" s="195" t="s">
        <v>315</v>
      </c>
      <c r="C102" s="726">
        <v>22</v>
      </c>
      <c r="D102" s="725" t="s">
        <v>1002</v>
      </c>
      <c r="E102" s="726">
        <v>2201</v>
      </c>
      <c r="F102" s="725" t="s">
        <v>1003</v>
      </c>
      <c r="G102" s="727">
        <v>2201071</v>
      </c>
      <c r="H102" s="725" t="s">
        <v>1012</v>
      </c>
      <c r="I102" s="727">
        <v>2201071</v>
      </c>
      <c r="J102" s="725" t="s">
        <v>1012</v>
      </c>
      <c r="K102" s="727">
        <v>220107100</v>
      </c>
      <c r="L102" s="725" t="s">
        <v>1013</v>
      </c>
      <c r="M102" s="728">
        <v>220107100</v>
      </c>
      <c r="N102" s="725" t="s">
        <v>1013</v>
      </c>
      <c r="O102" s="729">
        <v>54</v>
      </c>
      <c r="P102" s="729"/>
      <c r="Q102" s="729">
        <v>54</v>
      </c>
      <c r="R102" s="730">
        <v>2020003630016</v>
      </c>
      <c r="S102" s="725" t="s">
        <v>1006</v>
      </c>
      <c r="T102" s="290">
        <f t="shared" si="3"/>
        <v>0.99953459106358844</v>
      </c>
      <c r="U102" s="725" t="s">
        <v>1007</v>
      </c>
      <c r="V102" s="731" t="s">
        <v>1014</v>
      </c>
      <c r="W102" s="731" t="s">
        <v>1022</v>
      </c>
      <c r="X102" s="720">
        <v>23304426.399999999</v>
      </c>
      <c r="Y102" s="731"/>
      <c r="Z102" s="731"/>
      <c r="AA102" s="731"/>
      <c r="AB102" s="291">
        <f t="shared" si="2"/>
        <v>23304426.399999999</v>
      </c>
      <c r="AC102" s="735" t="s">
        <v>1112</v>
      </c>
      <c r="AD102" s="731"/>
      <c r="AE102" s="729">
        <v>9</v>
      </c>
      <c r="AF102" s="725" t="s">
        <v>1113</v>
      </c>
      <c r="AG102" s="732">
        <v>19649</v>
      </c>
      <c r="AH102" s="732">
        <v>20118</v>
      </c>
      <c r="AI102" s="732">
        <v>28907</v>
      </c>
      <c r="AJ102" s="732">
        <v>9525</v>
      </c>
      <c r="AK102" s="732">
        <v>1222</v>
      </c>
      <c r="AL102" s="732">
        <v>113</v>
      </c>
      <c r="AM102" s="732">
        <v>297</v>
      </c>
      <c r="AN102" s="732">
        <v>345</v>
      </c>
      <c r="AO102" s="732">
        <v>0</v>
      </c>
      <c r="AP102" s="732">
        <v>0</v>
      </c>
      <c r="AQ102" s="732">
        <v>0</v>
      </c>
      <c r="AR102" s="732">
        <v>0</v>
      </c>
      <c r="AS102" s="732">
        <v>3301</v>
      </c>
      <c r="AT102" s="732">
        <v>113</v>
      </c>
      <c r="AU102" s="732">
        <v>2507</v>
      </c>
      <c r="AV102" s="732">
        <v>39767</v>
      </c>
      <c r="AW102" s="733">
        <v>45292</v>
      </c>
      <c r="AX102" s="733">
        <v>45657</v>
      </c>
      <c r="AY102" s="725" t="s">
        <v>1011</v>
      </c>
      <c r="AZ102" s="734"/>
      <c r="BA102" s="734"/>
      <c r="BB102" s="734"/>
      <c r="BC102" s="734"/>
      <c r="BD102" s="734"/>
    </row>
    <row r="103" spans="1:56" ht="99.95" customHeight="1" x14ac:dyDescent="0.2">
      <c r="A103" s="961">
        <v>1</v>
      </c>
      <c r="B103" s="195" t="s">
        <v>315</v>
      </c>
      <c r="C103" s="726">
        <v>22</v>
      </c>
      <c r="D103" s="725" t="s">
        <v>1002</v>
      </c>
      <c r="E103" s="726">
        <v>2201</v>
      </c>
      <c r="F103" s="725" t="s">
        <v>1003</v>
      </c>
      <c r="G103" s="727">
        <v>2201071</v>
      </c>
      <c r="H103" s="725" t="s">
        <v>1012</v>
      </c>
      <c r="I103" s="727">
        <v>2201071</v>
      </c>
      <c r="J103" s="725" t="s">
        <v>1012</v>
      </c>
      <c r="K103" s="727">
        <v>220107100</v>
      </c>
      <c r="L103" s="725" t="s">
        <v>1013</v>
      </c>
      <c r="M103" s="728">
        <v>220107100</v>
      </c>
      <c r="N103" s="725" t="s">
        <v>1013</v>
      </c>
      <c r="O103" s="729">
        <v>54</v>
      </c>
      <c r="P103" s="729"/>
      <c r="Q103" s="729">
        <v>54</v>
      </c>
      <c r="R103" s="730">
        <v>2020003630016</v>
      </c>
      <c r="S103" s="725" t="s">
        <v>1006</v>
      </c>
      <c r="T103" s="290">
        <f t="shared" si="3"/>
        <v>0.99953459106358844</v>
      </c>
      <c r="U103" s="725" t="s">
        <v>1007</v>
      </c>
      <c r="V103" s="731" t="s">
        <v>1014</v>
      </c>
      <c r="W103" s="731" t="s">
        <v>1022</v>
      </c>
      <c r="X103" s="720">
        <v>115811865.59</v>
      </c>
      <c r="Y103" s="731"/>
      <c r="Z103" s="731"/>
      <c r="AA103" s="731"/>
      <c r="AB103" s="291">
        <f t="shared" si="2"/>
        <v>115811865.59</v>
      </c>
      <c r="AC103" s="735" t="s">
        <v>1114</v>
      </c>
      <c r="AD103" s="731"/>
      <c r="AE103" s="729">
        <v>9</v>
      </c>
      <c r="AF103" s="725" t="s">
        <v>1113</v>
      </c>
      <c r="AG103" s="732">
        <v>19649</v>
      </c>
      <c r="AH103" s="732">
        <v>20118</v>
      </c>
      <c r="AI103" s="732">
        <v>28907</v>
      </c>
      <c r="AJ103" s="732">
        <v>9525</v>
      </c>
      <c r="AK103" s="732">
        <v>1222</v>
      </c>
      <c r="AL103" s="732">
        <v>113</v>
      </c>
      <c r="AM103" s="732">
        <v>297</v>
      </c>
      <c r="AN103" s="732">
        <v>345</v>
      </c>
      <c r="AO103" s="732">
        <v>0</v>
      </c>
      <c r="AP103" s="732">
        <v>0</v>
      </c>
      <c r="AQ103" s="732">
        <v>0</v>
      </c>
      <c r="AR103" s="732">
        <v>0</v>
      </c>
      <c r="AS103" s="732">
        <v>3301</v>
      </c>
      <c r="AT103" s="732">
        <v>113</v>
      </c>
      <c r="AU103" s="732">
        <v>2507</v>
      </c>
      <c r="AV103" s="732">
        <v>39767</v>
      </c>
      <c r="AW103" s="733">
        <v>45292</v>
      </c>
      <c r="AX103" s="733">
        <v>45657</v>
      </c>
      <c r="AY103" s="725" t="s">
        <v>1011</v>
      </c>
      <c r="AZ103" s="734"/>
      <c r="BA103" s="734"/>
      <c r="BB103" s="734"/>
      <c r="BC103" s="734"/>
      <c r="BD103" s="734"/>
    </row>
    <row r="104" spans="1:56" ht="99.95" customHeight="1" x14ac:dyDescent="0.2">
      <c r="A104" s="65">
        <v>1</v>
      </c>
      <c r="B104" s="195" t="s">
        <v>315</v>
      </c>
      <c r="C104" s="205">
        <v>22</v>
      </c>
      <c r="D104" s="195" t="s">
        <v>1002</v>
      </c>
      <c r="E104" s="205">
        <v>2201</v>
      </c>
      <c r="F104" s="195" t="s">
        <v>1003</v>
      </c>
      <c r="G104" s="286">
        <v>2201030</v>
      </c>
      <c r="H104" s="195" t="s">
        <v>1115</v>
      </c>
      <c r="I104" s="286">
        <v>2201030</v>
      </c>
      <c r="J104" s="195" t="s">
        <v>1115</v>
      </c>
      <c r="K104" s="296">
        <v>220103000</v>
      </c>
      <c r="L104" s="195" t="s">
        <v>1116</v>
      </c>
      <c r="M104" s="297">
        <v>220103000</v>
      </c>
      <c r="N104" s="195" t="s">
        <v>1116</v>
      </c>
      <c r="O104" s="288">
        <v>2500</v>
      </c>
      <c r="P104" s="288"/>
      <c r="Q104" s="288">
        <v>2500</v>
      </c>
      <c r="R104" s="289">
        <v>2020003630091</v>
      </c>
      <c r="S104" s="195" t="s">
        <v>1117</v>
      </c>
      <c r="T104" s="290">
        <f>SUM(X104)/SUM(X104:X128)</f>
        <v>8.1736184286637009E-2</v>
      </c>
      <c r="U104" s="195" t="s">
        <v>1118</v>
      </c>
      <c r="V104" s="227" t="s">
        <v>1119</v>
      </c>
      <c r="W104" s="227" t="s">
        <v>1120</v>
      </c>
      <c r="X104" s="291">
        <v>1526888200</v>
      </c>
      <c r="Y104" s="716">
        <f>15166666+15166666+15166666+18633333+16900000+15166666+15166666+18633333+15166666+15166666+15166666+15166666+15166666+15166666+15166666+15166666+18633333+15166666+15166666+15166666+15166666+15166666+16900000+16900000</f>
        <v>379599987</v>
      </c>
      <c r="Z104" s="227"/>
      <c r="AA104" s="227"/>
      <c r="AB104" s="291">
        <f t="shared" si="2"/>
        <v>1147288213</v>
      </c>
      <c r="AC104" s="227" t="s">
        <v>1121</v>
      </c>
      <c r="AD104" s="227"/>
      <c r="AE104" s="288">
        <v>25</v>
      </c>
      <c r="AF104" s="195" t="s">
        <v>1021</v>
      </c>
      <c r="AG104" s="292">
        <v>19649</v>
      </c>
      <c r="AH104" s="292">
        <v>20118</v>
      </c>
      <c r="AI104" s="292">
        <v>28907</v>
      </c>
      <c r="AJ104" s="292">
        <v>9525</v>
      </c>
      <c r="AK104" s="292">
        <v>1222</v>
      </c>
      <c r="AL104" s="292">
        <v>113</v>
      </c>
      <c r="AM104" s="292">
        <v>297</v>
      </c>
      <c r="AN104" s="292">
        <v>345</v>
      </c>
      <c r="AO104" s="292">
        <v>0</v>
      </c>
      <c r="AP104" s="292">
        <v>0</v>
      </c>
      <c r="AQ104" s="292">
        <v>0</v>
      </c>
      <c r="AR104" s="292">
        <v>0</v>
      </c>
      <c r="AS104" s="292">
        <v>3301</v>
      </c>
      <c r="AT104" s="292">
        <v>113</v>
      </c>
      <c r="AU104" s="292">
        <v>2507</v>
      </c>
      <c r="AV104" s="292">
        <v>39767</v>
      </c>
      <c r="AW104" s="293">
        <v>45292</v>
      </c>
      <c r="AX104" s="293">
        <v>45657</v>
      </c>
      <c r="AY104" s="195" t="s">
        <v>1122</v>
      </c>
    </row>
    <row r="105" spans="1:56" ht="99.95" customHeight="1" x14ac:dyDescent="0.2">
      <c r="A105" s="65">
        <v>1</v>
      </c>
      <c r="B105" s="195" t="s">
        <v>315</v>
      </c>
      <c r="C105" s="205">
        <v>22</v>
      </c>
      <c r="D105" s="195" t="s">
        <v>1002</v>
      </c>
      <c r="E105" s="205">
        <v>2201</v>
      </c>
      <c r="F105" s="195" t="s">
        <v>1003</v>
      </c>
      <c r="G105" s="286">
        <v>2201055</v>
      </c>
      <c r="H105" s="195" t="s">
        <v>1123</v>
      </c>
      <c r="I105" s="286">
        <v>2201055</v>
      </c>
      <c r="J105" s="195" t="s">
        <v>1123</v>
      </c>
      <c r="K105" s="296">
        <v>220105500</v>
      </c>
      <c r="L105" s="195" t="s">
        <v>1124</v>
      </c>
      <c r="M105" s="960">
        <v>220105500</v>
      </c>
      <c r="N105" s="195" t="s">
        <v>1124</v>
      </c>
      <c r="O105" s="288">
        <v>1</v>
      </c>
      <c r="P105" s="288"/>
      <c r="Q105" s="288">
        <v>1</v>
      </c>
      <c r="R105" s="289">
        <v>2020003630091</v>
      </c>
      <c r="S105" s="195" t="s">
        <v>1117</v>
      </c>
      <c r="T105" s="290">
        <f>SUM($X$105:$X$107)/SUM($X$104:$X$128)</f>
        <v>1.3483368112649065E-3</v>
      </c>
      <c r="U105" s="195" t="s">
        <v>1118</v>
      </c>
      <c r="V105" s="227" t="s">
        <v>1125</v>
      </c>
      <c r="W105" s="227" t="s">
        <v>1126</v>
      </c>
      <c r="X105" s="291">
        <v>10000000</v>
      </c>
      <c r="Y105" s="716"/>
      <c r="Z105" s="227"/>
      <c r="AA105" s="227"/>
      <c r="AB105" s="291">
        <f t="shared" si="2"/>
        <v>10000000</v>
      </c>
      <c r="AC105" s="227" t="s">
        <v>1127</v>
      </c>
      <c r="AD105" s="227"/>
      <c r="AE105" s="288">
        <v>25</v>
      </c>
      <c r="AF105" s="195" t="s">
        <v>1021</v>
      </c>
      <c r="AG105" s="292">
        <v>19649</v>
      </c>
      <c r="AH105" s="292">
        <v>20118</v>
      </c>
      <c r="AI105" s="292">
        <v>28907</v>
      </c>
      <c r="AJ105" s="292">
        <v>9525</v>
      </c>
      <c r="AK105" s="292">
        <v>1222</v>
      </c>
      <c r="AL105" s="292">
        <v>113</v>
      </c>
      <c r="AM105" s="292">
        <v>297</v>
      </c>
      <c r="AN105" s="292">
        <v>345</v>
      </c>
      <c r="AO105" s="292">
        <v>0</v>
      </c>
      <c r="AP105" s="292">
        <v>0</v>
      </c>
      <c r="AQ105" s="292">
        <v>0</v>
      </c>
      <c r="AR105" s="292">
        <v>0</v>
      </c>
      <c r="AS105" s="292">
        <v>3301</v>
      </c>
      <c r="AT105" s="292">
        <v>113</v>
      </c>
      <c r="AU105" s="292">
        <v>2507</v>
      </c>
      <c r="AV105" s="292">
        <v>39767</v>
      </c>
      <c r="AW105" s="293">
        <v>45292</v>
      </c>
      <c r="AX105" s="293">
        <v>45657</v>
      </c>
      <c r="AY105" s="195" t="s">
        <v>1122</v>
      </c>
    </row>
    <row r="106" spans="1:56" ht="99.95" customHeight="1" x14ac:dyDescent="0.2">
      <c r="A106" s="65">
        <v>1</v>
      </c>
      <c r="B106" s="195" t="s">
        <v>315</v>
      </c>
      <c r="C106" s="205">
        <v>22</v>
      </c>
      <c r="D106" s="195" t="s">
        <v>1002</v>
      </c>
      <c r="E106" s="205">
        <v>2201</v>
      </c>
      <c r="F106" s="195" t="s">
        <v>1003</v>
      </c>
      <c r="G106" s="286">
        <v>2201055</v>
      </c>
      <c r="H106" s="195" t="s">
        <v>1123</v>
      </c>
      <c r="I106" s="286">
        <v>2201055</v>
      </c>
      <c r="J106" s="195" t="s">
        <v>1123</v>
      </c>
      <c r="K106" s="296">
        <v>220105500</v>
      </c>
      <c r="L106" s="195" t="s">
        <v>1124</v>
      </c>
      <c r="M106" s="960">
        <v>220105500</v>
      </c>
      <c r="N106" s="195" t="s">
        <v>1124</v>
      </c>
      <c r="O106" s="288">
        <v>1</v>
      </c>
      <c r="P106" s="288"/>
      <c r="Q106" s="288">
        <v>1</v>
      </c>
      <c r="R106" s="289">
        <v>2020003630091</v>
      </c>
      <c r="S106" s="195" t="s">
        <v>1117</v>
      </c>
      <c r="T106" s="290">
        <f t="shared" ref="T106:T107" si="4">SUM($X$105:$X$107)/SUM($X$104:$X$128)</f>
        <v>1.3483368112649065E-3</v>
      </c>
      <c r="U106" s="195" t="s">
        <v>1118</v>
      </c>
      <c r="V106" s="227" t="s">
        <v>1125</v>
      </c>
      <c r="W106" s="227" t="s">
        <v>1126</v>
      </c>
      <c r="X106" s="291">
        <v>10187860</v>
      </c>
      <c r="Y106" s="716"/>
      <c r="Z106" s="227"/>
      <c r="AA106" s="227"/>
      <c r="AB106" s="291">
        <f t="shared" si="2"/>
        <v>10187860</v>
      </c>
      <c r="AC106" s="227" t="s">
        <v>1128</v>
      </c>
      <c r="AD106" s="227"/>
      <c r="AE106" s="288">
        <v>25</v>
      </c>
      <c r="AF106" s="195" t="s">
        <v>1021</v>
      </c>
      <c r="AG106" s="292">
        <v>19649</v>
      </c>
      <c r="AH106" s="292">
        <v>20118</v>
      </c>
      <c r="AI106" s="292">
        <v>28907</v>
      </c>
      <c r="AJ106" s="292">
        <v>9525</v>
      </c>
      <c r="AK106" s="292">
        <v>1222</v>
      </c>
      <c r="AL106" s="292">
        <v>113</v>
      </c>
      <c r="AM106" s="292">
        <v>297</v>
      </c>
      <c r="AN106" s="292">
        <v>345</v>
      </c>
      <c r="AO106" s="292">
        <v>0</v>
      </c>
      <c r="AP106" s="292">
        <v>0</v>
      </c>
      <c r="AQ106" s="292">
        <v>0</v>
      </c>
      <c r="AR106" s="292">
        <v>0</v>
      </c>
      <c r="AS106" s="292">
        <v>3301</v>
      </c>
      <c r="AT106" s="292">
        <v>113</v>
      </c>
      <c r="AU106" s="292">
        <v>2507</v>
      </c>
      <c r="AV106" s="292">
        <v>39767</v>
      </c>
      <c r="AW106" s="293">
        <v>45292</v>
      </c>
      <c r="AX106" s="293">
        <v>45657</v>
      </c>
      <c r="AY106" s="195" t="s">
        <v>1122</v>
      </c>
    </row>
    <row r="107" spans="1:56" ht="99.95" customHeight="1" x14ac:dyDescent="0.2">
      <c r="A107" s="65">
        <v>1</v>
      </c>
      <c r="B107" s="195" t="s">
        <v>315</v>
      </c>
      <c r="C107" s="205">
        <v>22</v>
      </c>
      <c r="D107" s="195" t="s">
        <v>1002</v>
      </c>
      <c r="E107" s="205">
        <v>2201</v>
      </c>
      <c r="F107" s="195" t="s">
        <v>1003</v>
      </c>
      <c r="G107" s="286">
        <v>2201055</v>
      </c>
      <c r="H107" s="195" t="s">
        <v>1123</v>
      </c>
      <c r="I107" s="286">
        <v>2201055</v>
      </c>
      <c r="J107" s="195" t="s">
        <v>1123</v>
      </c>
      <c r="K107" s="296">
        <v>220105500</v>
      </c>
      <c r="L107" s="195" t="s">
        <v>1124</v>
      </c>
      <c r="M107" s="960">
        <v>220105500</v>
      </c>
      <c r="N107" s="195" t="s">
        <v>1124</v>
      </c>
      <c r="O107" s="288">
        <v>1</v>
      </c>
      <c r="P107" s="288"/>
      <c r="Q107" s="288">
        <v>1</v>
      </c>
      <c r="R107" s="289">
        <v>2020003630091</v>
      </c>
      <c r="S107" s="195" t="s">
        <v>1117</v>
      </c>
      <c r="T107" s="290">
        <f t="shared" si="4"/>
        <v>1.3483368112649065E-3</v>
      </c>
      <c r="U107" s="195" t="s">
        <v>1118</v>
      </c>
      <c r="V107" s="227" t="s">
        <v>1125</v>
      </c>
      <c r="W107" s="227" t="s">
        <v>1126</v>
      </c>
      <c r="X107" s="291">
        <v>5000000</v>
      </c>
      <c r="Y107" s="716"/>
      <c r="Z107" s="227"/>
      <c r="AA107" s="227"/>
      <c r="AB107" s="291">
        <f t="shared" si="2"/>
        <v>5000000</v>
      </c>
      <c r="AC107" s="227" t="s">
        <v>1129</v>
      </c>
      <c r="AD107" s="227"/>
      <c r="AE107" s="288">
        <v>25</v>
      </c>
      <c r="AF107" s="195" t="s">
        <v>1021</v>
      </c>
      <c r="AG107" s="292">
        <v>19649</v>
      </c>
      <c r="AH107" s="292">
        <v>20118</v>
      </c>
      <c r="AI107" s="292">
        <v>28907</v>
      </c>
      <c r="AJ107" s="292">
        <v>9525</v>
      </c>
      <c r="AK107" s="292">
        <v>1222</v>
      </c>
      <c r="AL107" s="292">
        <v>113</v>
      </c>
      <c r="AM107" s="292">
        <v>297</v>
      </c>
      <c r="AN107" s="292">
        <v>345</v>
      </c>
      <c r="AO107" s="292">
        <v>0</v>
      </c>
      <c r="AP107" s="292">
        <v>0</v>
      </c>
      <c r="AQ107" s="292">
        <v>0</v>
      </c>
      <c r="AR107" s="292">
        <v>0</v>
      </c>
      <c r="AS107" s="292">
        <v>3301</v>
      </c>
      <c r="AT107" s="292">
        <v>113</v>
      </c>
      <c r="AU107" s="292">
        <v>2507</v>
      </c>
      <c r="AV107" s="292">
        <v>39767</v>
      </c>
      <c r="AW107" s="293">
        <v>45292</v>
      </c>
      <c r="AX107" s="293">
        <v>45657</v>
      </c>
      <c r="AY107" s="195" t="s">
        <v>1122</v>
      </c>
    </row>
    <row r="108" spans="1:56" ht="99.95" customHeight="1" x14ac:dyDescent="0.2">
      <c r="A108" s="65">
        <v>1</v>
      </c>
      <c r="B108" s="195" t="s">
        <v>315</v>
      </c>
      <c r="C108" s="205">
        <v>22</v>
      </c>
      <c r="D108" s="195" t="s">
        <v>1002</v>
      </c>
      <c r="E108" s="205">
        <v>2201</v>
      </c>
      <c r="F108" s="195" t="s">
        <v>1003</v>
      </c>
      <c r="G108" s="286">
        <v>2201067</v>
      </c>
      <c r="H108" s="195" t="s">
        <v>1130</v>
      </c>
      <c r="I108" s="286">
        <v>2201067</v>
      </c>
      <c r="J108" s="195" t="s">
        <v>1130</v>
      </c>
      <c r="K108" s="298">
        <v>220106700</v>
      </c>
      <c r="L108" s="195" t="s">
        <v>1131</v>
      </c>
      <c r="M108" s="299">
        <v>220106700</v>
      </c>
      <c r="N108" s="195" t="s">
        <v>1131</v>
      </c>
      <c r="O108" s="288">
        <v>54</v>
      </c>
      <c r="P108" s="288"/>
      <c r="Q108" s="288">
        <v>54</v>
      </c>
      <c r="R108" s="289">
        <v>2020003630091</v>
      </c>
      <c r="S108" s="195" t="s">
        <v>1117</v>
      </c>
      <c r="T108" s="290">
        <f>SUM(X108)/SUM($X$104:$X$128)</f>
        <v>1.0706243494007879E-3</v>
      </c>
      <c r="U108" s="195" t="s">
        <v>1118</v>
      </c>
      <c r="V108" s="227" t="s">
        <v>1125</v>
      </c>
      <c r="W108" s="227" t="s">
        <v>1132</v>
      </c>
      <c r="X108" s="291">
        <v>20000000</v>
      </c>
      <c r="Y108" s="716"/>
      <c r="Z108" s="227"/>
      <c r="AA108" s="227"/>
      <c r="AB108" s="291">
        <f t="shared" si="2"/>
        <v>20000000</v>
      </c>
      <c r="AC108" s="227" t="s">
        <v>1133</v>
      </c>
      <c r="AD108" s="227"/>
      <c r="AE108" s="288">
        <v>20</v>
      </c>
      <c r="AF108" s="195" t="s">
        <v>97</v>
      </c>
      <c r="AG108" s="292">
        <v>19649</v>
      </c>
      <c r="AH108" s="292">
        <v>20118</v>
      </c>
      <c r="AI108" s="292">
        <v>28907</v>
      </c>
      <c r="AJ108" s="292">
        <v>9525</v>
      </c>
      <c r="AK108" s="292">
        <v>1222</v>
      </c>
      <c r="AL108" s="292">
        <v>113</v>
      </c>
      <c r="AM108" s="292">
        <v>297</v>
      </c>
      <c r="AN108" s="292">
        <v>345</v>
      </c>
      <c r="AO108" s="292">
        <v>0</v>
      </c>
      <c r="AP108" s="292">
        <v>0</v>
      </c>
      <c r="AQ108" s="292">
        <v>0</v>
      </c>
      <c r="AR108" s="292">
        <v>0</v>
      </c>
      <c r="AS108" s="292">
        <v>3301</v>
      </c>
      <c r="AT108" s="292">
        <v>113</v>
      </c>
      <c r="AU108" s="292">
        <v>2507</v>
      </c>
      <c r="AV108" s="292">
        <v>39767</v>
      </c>
      <c r="AW108" s="293">
        <v>45292</v>
      </c>
      <c r="AX108" s="293">
        <v>45657</v>
      </c>
      <c r="AY108" s="195" t="s">
        <v>1122</v>
      </c>
    </row>
    <row r="109" spans="1:56" ht="99.95" customHeight="1" x14ac:dyDescent="0.2">
      <c r="A109" s="65">
        <v>1</v>
      </c>
      <c r="B109" s="195" t="s">
        <v>315</v>
      </c>
      <c r="C109" s="205">
        <v>22</v>
      </c>
      <c r="D109" s="195" t="s">
        <v>1002</v>
      </c>
      <c r="E109" s="205">
        <v>2201</v>
      </c>
      <c r="F109" s="195" t="s">
        <v>1003</v>
      </c>
      <c r="G109" s="286">
        <v>2201028</v>
      </c>
      <c r="H109" s="195" t="s">
        <v>1134</v>
      </c>
      <c r="I109" s="286">
        <v>2201028</v>
      </c>
      <c r="J109" s="195" t="s">
        <v>1134</v>
      </c>
      <c r="K109" s="300">
        <v>220102801</v>
      </c>
      <c r="L109" s="195" t="s">
        <v>1135</v>
      </c>
      <c r="M109" s="301">
        <v>220102801</v>
      </c>
      <c r="N109" s="195" t="s">
        <v>1135</v>
      </c>
      <c r="O109" s="288">
        <v>36000</v>
      </c>
      <c r="P109" s="288"/>
      <c r="Q109" s="288">
        <v>36000</v>
      </c>
      <c r="R109" s="289">
        <v>2020003630091</v>
      </c>
      <c r="S109" s="195" t="s">
        <v>1117</v>
      </c>
      <c r="T109" s="290">
        <f>SUM($X$109:$X$114)/SUM($X$104:$X$128)</f>
        <v>0.87858074357338356</v>
      </c>
      <c r="U109" s="195" t="s">
        <v>1118</v>
      </c>
      <c r="V109" s="227" t="s">
        <v>1136</v>
      </c>
      <c r="W109" s="227" t="s">
        <v>1137</v>
      </c>
      <c r="X109" s="291">
        <v>9650791000</v>
      </c>
      <c r="Y109" s="716">
        <v>9557680768.0799999</v>
      </c>
      <c r="Z109" s="227"/>
      <c r="AA109" s="227"/>
      <c r="AB109" s="291">
        <f t="shared" si="2"/>
        <v>93110231.920000076</v>
      </c>
      <c r="AC109" s="227" t="s">
        <v>1138</v>
      </c>
      <c r="AD109" s="227"/>
      <c r="AE109" s="288">
        <v>81</v>
      </c>
      <c r="AF109" s="195" t="s">
        <v>1139</v>
      </c>
      <c r="AG109" s="292">
        <v>19649</v>
      </c>
      <c r="AH109" s="292">
        <v>20118</v>
      </c>
      <c r="AI109" s="292">
        <v>28907</v>
      </c>
      <c r="AJ109" s="292">
        <v>9525</v>
      </c>
      <c r="AK109" s="292">
        <v>1222</v>
      </c>
      <c r="AL109" s="292">
        <v>113</v>
      </c>
      <c r="AM109" s="292">
        <v>297</v>
      </c>
      <c r="AN109" s="292">
        <v>345</v>
      </c>
      <c r="AO109" s="292">
        <v>0</v>
      </c>
      <c r="AP109" s="292">
        <v>0</v>
      </c>
      <c r="AQ109" s="292">
        <v>0</v>
      </c>
      <c r="AR109" s="292">
        <v>0</v>
      </c>
      <c r="AS109" s="292">
        <v>3301</v>
      </c>
      <c r="AT109" s="292">
        <v>113</v>
      </c>
      <c r="AU109" s="292">
        <v>2507</v>
      </c>
      <c r="AV109" s="292">
        <v>39767</v>
      </c>
      <c r="AW109" s="293">
        <v>45292</v>
      </c>
      <c r="AX109" s="293">
        <v>45657</v>
      </c>
      <c r="AY109" s="195" t="s">
        <v>1122</v>
      </c>
    </row>
    <row r="110" spans="1:56" ht="99.95" customHeight="1" x14ac:dyDescent="0.2">
      <c r="A110" s="65">
        <v>1</v>
      </c>
      <c r="B110" s="195" t="s">
        <v>315</v>
      </c>
      <c r="C110" s="205">
        <v>22</v>
      </c>
      <c r="D110" s="195" t="s">
        <v>1002</v>
      </c>
      <c r="E110" s="205">
        <v>2201</v>
      </c>
      <c r="F110" s="195" t="s">
        <v>1003</v>
      </c>
      <c r="G110" s="286">
        <v>2201028</v>
      </c>
      <c r="H110" s="195" t="s">
        <v>1134</v>
      </c>
      <c r="I110" s="286">
        <v>2201028</v>
      </c>
      <c r="J110" s="195" t="s">
        <v>1134</v>
      </c>
      <c r="K110" s="300">
        <v>220102801</v>
      </c>
      <c r="L110" s="195" t="s">
        <v>1135</v>
      </c>
      <c r="M110" s="301">
        <v>220102801</v>
      </c>
      <c r="N110" s="195" t="s">
        <v>1135</v>
      </c>
      <c r="O110" s="288">
        <v>36000</v>
      </c>
      <c r="P110" s="288"/>
      <c r="Q110" s="288">
        <v>36000</v>
      </c>
      <c r="R110" s="289">
        <v>2020003630091</v>
      </c>
      <c r="S110" s="195" t="s">
        <v>1117</v>
      </c>
      <c r="T110" s="290">
        <f t="shared" ref="T110:T112" si="5">SUM($X$109:$X$114)/SUM($X$104:$X$128)</f>
        <v>0.87858074357338356</v>
      </c>
      <c r="U110" s="195" t="s">
        <v>1118</v>
      </c>
      <c r="V110" s="227" t="s">
        <v>1136</v>
      </c>
      <c r="W110" s="227" t="s">
        <v>1137</v>
      </c>
      <c r="X110" s="291">
        <v>260760000</v>
      </c>
      <c r="Y110" s="716">
        <f>16800000+17280000+16800000+16800000+17280000+12480000+7200000+19200000+17280000+15166666+15600000</f>
        <v>171886666</v>
      </c>
      <c r="Z110" s="716">
        <f>1728000</f>
        <v>1728000</v>
      </c>
      <c r="AA110" s="227"/>
      <c r="AB110" s="291">
        <f t="shared" si="2"/>
        <v>90601334</v>
      </c>
      <c r="AC110" s="227" t="s">
        <v>1140</v>
      </c>
      <c r="AD110" s="227"/>
      <c r="AE110" s="288">
        <v>81</v>
      </c>
      <c r="AF110" s="195" t="s">
        <v>1139</v>
      </c>
      <c r="AG110" s="292">
        <v>19649</v>
      </c>
      <c r="AH110" s="292">
        <v>20118</v>
      </c>
      <c r="AI110" s="292">
        <v>28907</v>
      </c>
      <c r="AJ110" s="292">
        <v>9525</v>
      </c>
      <c r="AK110" s="292">
        <v>1222</v>
      </c>
      <c r="AL110" s="292">
        <v>113</v>
      </c>
      <c r="AM110" s="292">
        <v>297</v>
      </c>
      <c r="AN110" s="292">
        <v>345</v>
      </c>
      <c r="AO110" s="292">
        <v>0</v>
      </c>
      <c r="AP110" s="292">
        <v>0</v>
      </c>
      <c r="AQ110" s="292">
        <v>0</v>
      </c>
      <c r="AR110" s="292">
        <v>0</v>
      </c>
      <c r="AS110" s="292">
        <v>3301</v>
      </c>
      <c r="AT110" s="292">
        <v>113</v>
      </c>
      <c r="AU110" s="292">
        <v>2507</v>
      </c>
      <c r="AV110" s="292">
        <v>39767</v>
      </c>
      <c r="AW110" s="293">
        <v>45292</v>
      </c>
      <c r="AX110" s="293">
        <v>45657</v>
      </c>
      <c r="AY110" s="195" t="s">
        <v>1122</v>
      </c>
    </row>
    <row r="111" spans="1:56" ht="99.95" customHeight="1" x14ac:dyDescent="0.2">
      <c r="A111" s="65">
        <v>1</v>
      </c>
      <c r="B111" s="195" t="s">
        <v>315</v>
      </c>
      <c r="C111" s="205">
        <v>22</v>
      </c>
      <c r="D111" s="195" t="s">
        <v>1002</v>
      </c>
      <c r="E111" s="205">
        <v>2201</v>
      </c>
      <c r="F111" s="195" t="s">
        <v>1003</v>
      </c>
      <c r="G111" s="286">
        <v>2201028</v>
      </c>
      <c r="H111" s="195" t="s">
        <v>1134</v>
      </c>
      <c r="I111" s="286">
        <v>2201028</v>
      </c>
      <c r="J111" s="195" t="s">
        <v>1134</v>
      </c>
      <c r="K111" s="300">
        <v>220102801</v>
      </c>
      <c r="L111" s="195" t="s">
        <v>1135</v>
      </c>
      <c r="M111" s="301">
        <v>220102801</v>
      </c>
      <c r="N111" s="195" t="s">
        <v>1135</v>
      </c>
      <c r="O111" s="288">
        <v>36000</v>
      </c>
      <c r="P111" s="288"/>
      <c r="Q111" s="288">
        <v>36000</v>
      </c>
      <c r="R111" s="289">
        <v>2020003630091</v>
      </c>
      <c r="S111" s="195" t="s">
        <v>1117</v>
      </c>
      <c r="T111" s="290">
        <f t="shared" si="5"/>
        <v>0.87858074357338356</v>
      </c>
      <c r="U111" s="195" t="s">
        <v>1118</v>
      </c>
      <c r="V111" s="227" t="s">
        <v>1136</v>
      </c>
      <c r="W111" s="227" t="s">
        <v>1137</v>
      </c>
      <c r="X111" s="676">
        <v>127380177</v>
      </c>
      <c r="Y111" s="716">
        <v>127380177</v>
      </c>
      <c r="Z111" s="227"/>
      <c r="AA111" s="227"/>
      <c r="AB111" s="291">
        <f t="shared" si="2"/>
        <v>0</v>
      </c>
      <c r="AC111" s="227" t="s">
        <v>1141</v>
      </c>
      <c r="AD111" s="227"/>
      <c r="AE111" s="288">
        <v>91</v>
      </c>
      <c r="AF111" s="195" t="s">
        <v>1142</v>
      </c>
      <c r="AG111" s="292">
        <v>19649</v>
      </c>
      <c r="AH111" s="292">
        <v>20118</v>
      </c>
      <c r="AI111" s="292">
        <v>28907</v>
      </c>
      <c r="AJ111" s="292">
        <v>9525</v>
      </c>
      <c r="AK111" s="292">
        <v>1222</v>
      </c>
      <c r="AL111" s="292">
        <v>113</v>
      </c>
      <c r="AM111" s="292">
        <v>297</v>
      </c>
      <c r="AN111" s="292">
        <v>345</v>
      </c>
      <c r="AO111" s="292">
        <v>0</v>
      </c>
      <c r="AP111" s="292">
        <v>0</v>
      </c>
      <c r="AQ111" s="292">
        <v>0</v>
      </c>
      <c r="AR111" s="292">
        <v>0</v>
      </c>
      <c r="AS111" s="292">
        <v>3301</v>
      </c>
      <c r="AT111" s="292">
        <v>113</v>
      </c>
      <c r="AU111" s="292">
        <v>2507</v>
      </c>
      <c r="AV111" s="292">
        <v>39767</v>
      </c>
      <c r="AW111" s="293">
        <v>45292</v>
      </c>
      <c r="AX111" s="293">
        <v>45657</v>
      </c>
      <c r="AY111" s="195" t="s">
        <v>1122</v>
      </c>
    </row>
    <row r="112" spans="1:56" ht="99.95" customHeight="1" x14ac:dyDescent="0.2">
      <c r="A112" s="65">
        <v>1</v>
      </c>
      <c r="B112" s="195" t="s">
        <v>315</v>
      </c>
      <c r="C112" s="205">
        <v>22</v>
      </c>
      <c r="D112" s="195" t="s">
        <v>1002</v>
      </c>
      <c r="E112" s="205">
        <v>2201</v>
      </c>
      <c r="F112" s="195" t="s">
        <v>1003</v>
      </c>
      <c r="G112" s="286">
        <v>2201028</v>
      </c>
      <c r="H112" s="195" t="s">
        <v>1134</v>
      </c>
      <c r="I112" s="286">
        <v>2201028</v>
      </c>
      <c r="J112" s="195" t="s">
        <v>1134</v>
      </c>
      <c r="K112" s="300">
        <v>220102801</v>
      </c>
      <c r="L112" s="195" t="s">
        <v>1135</v>
      </c>
      <c r="M112" s="301">
        <v>220102801</v>
      </c>
      <c r="N112" s="195" t="s">
        <v>1135</v>
      </c>
      <c r="O112" s="288">
        <v>36000</v>
      </c>
      <c r="P112" s="288"/>
      <c r="Q112" s="288">
        <v>36000</v>
      </c>
      <c r="R112" s="289">
        <v>2020003630091</v>
      </c>
      <c r="S112" s="195" t="s">
        <v>1117</v>
      </c>
      <c r="T112" s="290">
        <f t="shared" si="5"/>
        <v>0.87858074357338356</v>
      </c>
      <c r="U112" s="195" t="s">
        <v>1118</v>
      </c>
      <c r="V112" s="227" t="s">
        <v>1136</v>
      </c>
      <c r="W112" s="227" t="s">
        <v>1137</v>
      </c>
      <c r="X112" s="719">
        <v>3000000000</v>
      </c>
      <c r="Y112" s="716">
        <f>3000000000</f>
        <v>3000000000</v>
      </c>
      <c r="Z112" s="227"/>
      <c r="AA112" s="227"/>
      <c r="AB112" s="291">
        <f t="shared" si="2"/>
        <v>0</v>
      </c>
      <c r="AC112" s="227" t="s">
        <v>1143</v>
      </c>
      <c r="AD112" s="227"/>
      <c r="AE112" s="288">
        <v>20</v>
      </c>
      <c r="AF112" s="195" t="s">
        <v>97</v>
      </c>
      <c r="AG112" s="292">
        <v>19649</v>
      </c>
      <c r="AH112" s="292">
        <v>20118</v>
      </c>
      <c r="AI112" s="292">
        <v>28907</v>
      </c>
      <c r="AJ112" s="292">
        <v>9525</v>
      </c>
      <c r="AK112" s="292">
        <v>1222</v>
      </c>
      <c r="AL112" s="292">
        <v>113</v>
      </c>
      <c r="AM112" s="292">
        <v>297</v>
      </c>
      <c r="AN112" s="292">
        <v>345</v>
      </c>
      <c r="AO112" s="292">
        <v>0</v>
      </c>
      <c r="AP112" s="292">
        <v>0</v>
      </c>
      <c r="AQ112" s="292">
        <v>0</v>
      </c>
      <c r="AR112" s="292">
        <v>0</v>
      </c>
      <c r="AS112" s="292">
        <v>3301</v>
      </c>
      <c r="AT112" s="292">
        <v>113</v>
      </c>
      <c r="AU112" s="292">
        <v>2507</v>
      </c>
      <c r="AV112" s="292">
        <v>39767</v>
      </c>
      <c r="AW112" s="293">
        <v>45292</v>
      </c>
      <c r="AX112" s="293">
        <v>45657</v>
      </c>
      <c r="AY112" s="195" t="s">
        <v>1122</v>
      </c>
    </row>
    <row r="113" spans="1:51" ht="99.95" customHeight="1" x14ac:dyDescent="0.2">
      <c r="A113" s="65">
        <v>1</v>
      </c>
      <c r="B113" s="195" t="s">
        <v>315</v>
      </c>
      <c r="C113" s="205">
        <v>22</v>
      </c>
      <c r="D113" s="195" t="s">
        <v>1002</v>
      </c>
      <c r="E113" s="205">
        <v>2201</v>
      </c>
      <c r="F113" s="195" t="s">
        <v>1003</v>
      </c>
      <c r="G113" s="286">
        <v>2201028</v>
      </c>
      <c r="H113" s="195" t="s">
        <v>1134</v>
      </c>
      <c r="I113" s="286">
        <v>2201028</v>
      </c>
      <c r="J113" s="195" t="s">
        <v>1134</v>
      </c>
      <c r="K113" s="300">
        <v>220102801</v>
      </c>
      <c r="L113" s="195" t="s">
        <v>1135</v>
      </c>
      <c r="M113" s="301">
        <v>220102801</v>
      </c>
      <c r="N113" s="195" t="s">
        <v>1135</v>
      </c>
      <c r="O113" s="288">
        <v>36000</v>
      </c>
      <c r="P113" s="288"/>
      <c r="Q113" s="288">
        <v>36000</v>
      </c>
      <c r="R113" s="289">
        <v>2020003630091</v>
      </c>
      <c r="S113" s="195" t="s">
        <v>1117</v>
      </c>
      <c r="T113" s="290">
        <f>SUM($X$109:$X$114)/SUM($X$104:$X$128)</f>
        <v>0.87858074357338356</v>
      </c>
      <c r="U113" s="195" t="s">
        <v>1118</v>
      </c>
      <c r="V113" s="227" t="s">
        <v>1136</v>
      </c>
      <c r="W113" s="227" t="s">
        <v>1137</v>
      </c>
      <c r="X113" s="720">
        <v>3023562039.04</v>
      </c>
      <c r="Y113" s="716">
        <f>2488020137.34+15166666</f>
        <v>2503186803.3400002</v>
      </c>
      <c r="Z113" s="227"/>
      <c r="AA113" s="227"/>
      <c r="AB113" s="291">
        <f t="shared" si="2"/>
        <v>520375235.69999981</v>
      </c>
      <c r="AC113" s="227" t="s">
        <v>1144</v>
      </c>
      <c r="AD113" s="227"/>
      <c r="AE113" s="288">
        <v>137</v>
      </c>
      <c r="AF113" s="195" t="s">
        <v>1145</v>
      </c>
      <c r="AG113" s="292">
        <v>19649</v>
      </c>
      <c r="AH113" s="292">
        <v>20118</v>
      </c>
      <c r="AI113" s="292">
        <v>28907</v>
      </c>
      <c r="AJ113" s="292">
        <v>9525</v>
      </c>
      <c r="AK113" s="292">
        <v>1222</v>
      </c>
      <c r="AL113" s="292">
        <v>113</v>
      </c>
      <c r="AM113" s="292">
        <v>297</v>
      </c>
      <c r="AN113" s="292">
        <v>345</v>
      </c>
      <c r="AO113" s="292">
        <v>0</v>
      </c>
      <c r="AP113" s="292">
        <v>0</v>
      </c>
      <c r="AQ113" s="292">
        <v>0</v>
      </c>
      <c r="AR113" s="292">
        <v>0</v>
      </c>
      <c r="AS113" s="292">
        <v>3301</v>
      </c>
      <c r="AT113" s="292">
        <v>113</v>
      </c>
      <c r="AU113" s="292">
        <v>2507</v>
      </c>
      <c r="AV113" s="292">
        <v>39767</v>
      </c>
      <c r="AW113" s="293">
        <v>45292</v>
      </c>
      <c r="AX113" s="293">
        <v>45657</v>
      </c>
      <c r="AY113" s="195" t="s">
        <v>1122</v>
      </c>
    </row>
    <row r="114" spans="1:51" ht="99.95" customHeight="1" x14ac:dyDescent="0.2">
      <c r="A114" s="65">
        <v>1</v>
      </c>
      <c r="B114" s="195" t="s">
        <v>315</v>
      </c>
      <c r="C114" s="205">
        <v>22</v>
      </c>
      <c r="D114" s="195" t="s">
        <v>1002</v>
      </c>
      <c r="E114" s="205">
        <v>2201</v>
      </c>
      <c r="F114" s="195" t="s">
        <v>1003</v>
      </c>
      <c r="G114" s="286">
        <v>2201028</v>
      </c>
      <c r="H114" s="195" t="s">
        <v>1134</v>
      </c>
      <c r="I114" s="286">
        <v>2201028</v>
      </c>
      <c r="J114" s="195" t="s">
        <v>1134</v>
      </c>
      <c r="K114" s="300">
        <v>220102801</v>
      </c>
      <c r="L114" s="195" t="s">
        <v>1135</v>
      </c>
      <c r="M114" s="301">
        <v>220102801</v>
      </c>
      <c r="N114" s="195" t="s">
        <v>1135</v>
      </c>
      <c r="O114" s="288">
        <v>36000</v>
      </c>
      <c r="P114" s="288"/>
      <c r="Q114" s="288">
        <v>36000</v>
      </c>
      <c r="R114" s="289">
        <v>2020003630091</v>
      </c>
      <c r="S114" s="195" t="s">
        <v>1117</v>
      </c>
      <c r="T114" s="290">
        <f>SUM($X$109:$X$114)/SUM($X$104:$X$128)</f>
        <v>0.87858074357338356</v>
      </c>
      <c r="U114" s="195" t="s">
        <v>1118</v>
      </c>
      <c r="V114" s="227" t="s">
        <v>1136</v>
      </c>
      <c r="W114" s="227" t="s">
        <v>1137</v>
      </c>
      <c r="X114" s="676">
        <v>350000000</v>
      </c>
      <c r="Y114" s="716"/>
      <c r="Z114" s="227"/>
      <c r="AA114" s="227"/>
      <c r="AB114" s="291">
        <f t="shared" si="2"/>
        <v>350000000</v>
      </c>
      <c r="AC114" s="227" t="s">
        <v>1146</v>
      </c>
      <c r="AD114" s="227"/>
      <c r="AE114" s="288">
        <v>137</v>
      </c>
      <c r="AF114" s="195" t="s">
        <v>1145</v>
      </c>
      <c r="AG114" s="292">
        <v>19649</v>
      </c>
      <c r="AH114" s="292">
        <v>20118</v>
      </c>
      <c r="AI114" s="292">
        <v>28907</v>
      </c>
      <c r="AJ114" s="292">
        <v>9525</v>
      </c>
      <c r="AK114" s="292">
        <v>1222</v>
      </c>
      <c r="AL114" s="292">
        <v>113</v>
      </c>
      <c r="AM114" s="292">
        <v>297</v>
      </c>
      <c r="AN114" s="292">
        <v>345</v>
      </c>
      <c r="AO114" s="292">
        <v>0</v>
      </c>
      <c r="AP114" s="292">
        <v>0</v>
      </c>
      <c r="AQ114" s="292">
        <v>0</v>
      </c>
      <c r="AR114" s="292">
        <v>0</v>
      </c>
      <c r="AS114" s="292">
        <v>3301</v>
      </c>
      <c r="AT114" s="292">
        <v>113</v>
      </c>
      <c r="AU114" s="292">
        <v>2507</v>
      </c>
      <c r="AV114" s="292">
        <v>39767</v>
      </c>
      <c r="AW114" s="293">
        <v>45292</v>
      </c>
      <c r="AX114" s="293">
        <v>45657</v>
      </c>
      <c r="AY114" s="195" t="s">
        <v>1122</v>
      </c>
    </row>
    <row r="115" spans="1:51" ht="99.95" customHeight="1" x14ac:dyDescent="0.2">
      <c r="A115" s="65">
        <v>1</v>
      </c>
      <c r="B115" s="195" t="s">
        <v>315</v>
      </c>
      <c r="C115" s="205">
        <v>22</v>
      </c>
      <c r="D115" s="195" t="s">
        <v>1002</v>
      </c>
      <c r="E115" s="205">
        <v>2201</v>
      </c>
      <c r="F115" s="195" t="s">
        <v>1003</v>
      </c>
      <c r="G115" s="286">
        <v>2201029</v>
      </c>
      <c r="H115" s="195" t="s">
        <v>1147</v>
      </c>
      <c r="I115" s="286">
        <v>2201029</v>
      </c>
      <c r="J115" s="195" t="s">
        <v>1147</v>
      </c>
      <c r="K115" s="296">
        <v>220102900</v>
      </c>
      <c r="L115" s="195" t="s">
        <v>1148</v>
      </c>
      <c r="M115" s="297">
        <v>220102900</v>
      </c>
      <c r="N115" s="195" t="s">
        <v>1148</v>
      </c>
      <c r="O115" s="288">
        <v>1500</v>
      </c>
      <c r="P115" s="288"/>
      <c r="Q115" s="288">
        <v>1500</v>
      </c>
      <c r="R115" s="289">
        <v>2020003630091</v>
      </c>
      <c r="S115" s="195" t="s">
        <v>1117</v>
      </c>
      <c r="T115" s="290">
        <f>SUM($X$115:$X$125)/SUM($X$104:$X$128)</f>
        <v>5.3531217470039394E-3</v>
      </c>
      <c r="U115" s="195" t="s">
        <v>1118</v>
      </c>
      <c r="V115" s="227" t="s">
        <v>1136</v>
      </c>
      <c r="W115" s="227" t="s">
        <v>1149</v>
      </c>
      <c r="X115" s="291">
        <v>8000000</v>
      </c>
      <c r="Y115" s="716"/>
      <c r="Z115" s="227"/>
      <c r="AA115" s="227"/>
      <c r="AB115" s="291">
        <f t="shared" ref="AB115:AB128" si="6">X115-Y115+Z115-AA115</f>
        <v>8000000</v>
      </c>
      <c r="AC115" s="227" t="s">
        <v>1150</v>
      </c>
      <c r="AD115" s="227" t="s">
        <v>1151</v>
      </c>
      <c r="AE115" s="288">
        <v>20</v>
      </c>
      <c r="AF115" s="195" t="s">
        <v>97</v>
      </c>
      <c r="AG115" s="292">
        <v>19649</v>
      </c>
      <c r="AH115" s="292">
        <v>20118</v>
      </c>
      <c r="AI115" s="292">
        <v>28907</v>
      </c>
      <c r="AJ115" s="292">
        <v>9525</v>
      </c>
      <c r="AK115" s="292">
        <v>1222</v>
      </c>
      <c r="AL115" s="292">
        <v>113</v>
      </c>
      <c r="AM115" s="292">
        <v>297</v>
      </c>
      <c r="AN115" s="292">
        <v>345</v>
      </c>
      <c r="AO115" s="292">
        <v>0</v>
      </c>
      <c r="AP115" s="292">
        <v>0</v>
      </c>
      <c r="AQ115" s="292">
        <v>0</v>
      </c>
      <c r="AR115" s="292">
        <v>0</v>
      </c>
      <c r="AS115" s="292">
        <v>3301</v>
      </c>
      <c r="AT115" s="292">
        <v>113</v>
      </c>
      <c r="AU115" s="292">
        <v>2507</v>
      </c>
      <c r="AV115" s="292">
        <v>39767</v>
      </c>
      <c r="AW115" s="293">
        <v>45292</v>
      </c>
      <c r="AX115" s="293">
        <v>45657</v>
      </c>
      <c r="AY115" s="195" t="s">
        <v>1122</v>
      </c>
    </row>
    <row r="116" spans="1:51" ht="99.95" customHeight="1" x14ac:dyDescent="0.2">
      <c r="A116" s="65">
        <v>1</v>
      </c>
      <c r="B116" s="195" t="s">
        <v>315</v>
      </c>
      <c r="C116" s="205">
        <v>22</v>
      </c>
      <c r="D116" s="195" t="s">
        <v>1002</v>
      </c>
      <c r="E116" s="205">
        <v>2201</v>
      </c>
      <c r="F116" s="195" t="s">
        <v>1003</v>
      </c>
      <c r="G116" s="286">
        <v>2201029</v>
      </c>
      <c r="H116" s="195" t="s">
        <v>1147</v>
      </c>
      <c r="I116" s="286">
        <v>2201029</v>
      </c>
      <c r="J116" s="195" t="s">
        <v>1147</v>
      </c>
      <c r="K116" s="296">
        <v>220102900</v>
      </c>
      <c r="L116" s="195" t="s">
        <v>1148</v>
      </c>
      <c r="M116" s="297">
        <v>220102900</v>
      </c>
      <c r="N116" s="195" t="s">
        <v>1148</v>
      </c>
      <c r="O116" s="288">
        <v>1500</v>
      </c>
      <c r="P116" s="288"/>
      <c r="Q116" s="288">
        <v>1500</v>
      </c>
      <c r="R116" s="289">
        <v>2020003630091</v>
      </c>
      <c r="S116" s="195" t="s">
        <v>1117</v>
      </c>
      <c r="T116" s="290">
        <f t="shared" ref="T116:T125" si="7">SUM($X$115:$X$125)/SUM($X$104:$X$128)</f>
        <v>5.3531217470039394E-3</v>
      </c>
      <c r="U116" s="195" t="s">
        <v>1118</v>
      </c>
      <c r="V116" s="227" t="s">
        <v>1136</v>
      </c>
      <c r="W116" s="227" t="s">
        <v>1149</v>
      </c>
      <c r="X116" s="291">
        <v>10000000</v>
      </c>
      <c r="Y116" s="716"/>
      <c r="Z116" s="227"/>
      <c r="AA116" s="227"/>
      <c r="AB116" s="291">
        <f t="shared" si="6"/>
        <v>10000000</v>
      </c>
      <c r="AC116" s="227" t="s">
        <v>1152</v>
      </c>
      <c r="AD116" s="227" t="s">
        <v>1153</v>
      </c>
      <c r="AE116" s="288">
        <v>20</v>
      </c>
      <c r="AF116" s="195" t="s">
        <v>97</v>
      </c>
      <c r="AG116" s="292">
        <v>19649</v>
      </c>
      <c r="AH116" s="292">
        <v>20118</v>
      </c>
      <c r="AI116" s="292">
        <v>28907</v>
      </c>
      <c r="AJ116" s="292">
        <v>9525</v>
      </c>
      <c r="AK116" s="292">
        <v>1222</v>
      </c>
      <c r="AL116" s="292">
        <v>113</v>
      </c>
      <c r="AM116" s="292">
        <v>297</v>
      </c>
      <c r="AN116" s="292">
        <v>345</v>
      </c>
      <c r="AO116" s="292">
        <v>0</v>
      </c>
      <c r="AP116" s="292">
        <v>0</v>
      </c>
      <c r="AQ116" s="292">
        <v>0</v>
      </c>
      <c r="AR116" s="292">
        <v>0</v>
      </c>
      <c r="AS116" s="292">
        <v>3301</v>
      </c>
      <c r="AT116" s="292">
        <v>113</v>
      </c>
      <c r="AU116" s="292">
        <v>2507</v>
      </c>
      <c r="AV116" s="292">
        <v>39767</v>
      </c>
      <c r="AW116" s="293">
        <v>45292</v>
      </c>
      <c r="AX116" s="293">
        <v>45657</v>
      </c>
      <c r="AY116" s="195" t="s">
        <v>1122</v>
      </c>
    </row>
    <row r="117" spans="1:51" ht="99.95" customHeight="1" x14ac:dyDescent="0.2">
      <c r="A117" s="65">
        <v>1</v>
      </c>
      <c r="B117" s="195" t="s">
        <v>315</v>
      </c>
      <c r="C117" s="205">
        <v>22</v>
      </c>
      <c r="D117" s="195" t="s">
        <v>1002</v>
      </c>
      <c r="E117" s="205">
        <v>2201</v>
      </c>
      <c r="F117" s="195" t="s">
        <v>1003</v>
      </c>
      <c r="G117" s="286">
        <v>2201029</v>
      </c>
      <c r="H117" s="195" t="s">
        <v>1147</v>
      </c>
      <c r="I117" s="286">
        <v>2201029</v>
      </c>
      <c r="J117" s="195" t="s">
        <v>1147</v>
      </c>
      <c r="K117" s="296">
        <v>220102900</v>
      </c>
      <c r="L117" s="195" t="s">
        <v>1148</v>
      </c>
      <c r="M117" s="297">
        <v>220102900</v>
      </c>
      <c r="N117" s="195" t="s">
        <v>1148</v>
      </c>
      <c r="O117" s="288">
        <v>1500</v>
      </c>
      <c r="P117" s="288"/>
      <c r="Q117" s="288">
        <v>1500</v>
      </c>
      <c r="R117" s="289">
        <v>2020003630091</v>
      </c>
      <c r="S117" s="195" t="s">
        <v>1117</v>
      </c>
      <c r="T117" s="290">
        <f t="shared" si="7"/>
        <v>5.3531217470039394E-3</v>
      </c>
      <c r="U117" s="195" t="s">
        <v>1118</v>
      </c>
      <c r="V117" s="227" t="s">
        <v>1136</v>
      </c>
      <c r="W117" s="227" t="s">
        <v>1149</v>
      </c>
      <c r="X117" s="291">
        <v>10000000</v>
      </c>
      <c r="Y117" s="716"/>
      <c r="Z117" s="227"/>
      <c r="AA117" s="227"/>
      <c r="AB117" s="291">
        <f t="shared" si="6"/>
        <v>10000000</v>
      </c>
      <c r="AC117" s="227" t="s">
        <v>1154</v>
      </c>
      <c r="AD117" s="227" t="s">
        <v>1155</v>
      </c>
      <c r="AE117" s="288">
        <v>20</v>
      </c>
      <c r="AF117" s="195" t="s">
        <v>97</v>
      </c>
      <c r="AG117" s="292">
        <v>19649</v>
      </c>
      <c r="AH117" s="292">
        <v>20118</v>
      </c>
      <c r="AI117" s="292">
        <v>28907</v>
      </c>
      <c r="AJ117" s="292">
        <v>9525</v>
      </c>
      <c r="AK117" s="292">
        <v>1222</v>
      </c>
      <c r="AL117" s="292">
        <v>113</v>
      </c>
      <c r="AM117" s="292">
        <v>297</v>
      </c>
      <c r="AN117" s="292">
        <v>345</v>
      </c>
      <c r="AO117" s="292">
        <v>0</v>
      </c>
      <c r="AP117" s="292">
        <v>0</v>
      </c>
      <c r="AQ117" s="292">
        <v>0</v>
      </c>
      <c r="AR117" s="292">
        <v>0</v>
      </c>
      <c r="AS117" s="292">
        <v>3301</v>
      </c>
      <c r="AT117" s="292">
        <v>113</v>
      </c>
      <c r="AU117" s="292">
        <v>2507</v>
      </c>
      <c r="AV117" s="292">
        <v>39767</v>
      </c>
      <c r="AW117" s="293">
        <v>45292</v>
      </c>
      <c r="AX117" s="293">
        <v>45657</v>
      </c>
      <c r="AY117" s="195" t="s">
        <v>1122</v>
      </c>
    </row>
    <row r="118" spans="1:51" ht="99.95" customHeight="1" x14ac:dyDescent="0.2">
      <c r="A118" s="65">
        <v>1</v>
      </c>
      <c r="B118" s="195" t="s">
        <v>315</v>
      </c>
      <c r="C118" s="205">
        <v>22</v>
      </c>
      <c r="D118" s="195" t="s">
        <v>1002</v>
      </c>
      <c r="E118" s="205">
        <v>2201</v>
      </c>
      <c r="F118" s="195" t="s">
        <v>1003</v>
      </c>
      <c r="G118" s="286">
        <v>2201029</v>
      </c>
      <c r="H118" s="195" t="s">
        <v>1147</v>
      </c>
      <c r="I118" s="286">
        <v>2201029</v>
      </c>
      <c r="J118" s="195" t="s">
        <v>1147</v>
      </c>
      <c r="K118" s="296">
        <v>220102900</v>
      </c>
      <c r="L118" s="195" t="s">
        <v>1148</v>
      </c>
      <c r="M118" s="297">
        <v>220102900</v>
      </c>
      <c r="N118" s="195" t="s">
        <v>1148</v>
      </c>
      <c r="O118" s="288">
        <v>1500</v>
      </c>
      <c r="P118" s="288"/>
      <c r="Q118" s="288">
        <v>1500</v>
      </c>
      <c r="R118" s="289">
        <v>2020003630091</v>
      </c>
      <c r="S118" s="195" t="s">
        <v>1117</v>
      </c>
      <c r="T118" s="290">
        <f t="shared" si="7"/>
        <v>5.3531217470039394E-3</v>
      </c>
      <c r="U118" s="195" t="s">
        <v>1118</v>
      </c>
      <c r="V118" s="227" t="s">
        <v>1136</v>
      </c>
      <c r="W118" s="227" t="s">
        <v>1149</v>
      </c>
      <c r="X118" s="291">
        <v>8000000</v>
      </c>
      <c r="Y118" s="716"/>
      <c r="Z118" s="227"/>
      <c r="AA118" s="227"/>
      <c r="AB118" s="291">
        <f t="shared" si="6"/>
        <v>8000000</v>
      </c>
      <c r="AC118" s="227" t="s">
        <v>1156</v>
      </c>
      <c r="AD118" s="227" t="s">
        <v>1157</v>
      </c>
      <c r="AE118" s="288">
        <v>20</v>
      </c>
      <c r="AF118" s="195" t="s">
        <v>97</v>
      </c>
      <c r="AG118" s="292">
        <v>19649</v>
      </c>
      <c r="AH118" s="292">
        <v>20118</v>
      </c>
      <c r="AI118" s="292">
        <v>28907</v>
      </c>
      <c r="AJ118" s="292">
        <v>9525</v>
      </c>
      <c r="AK118" s="292">
        <v>1222</v>
      </c>
      <c r="AL118" s="292">
        <v>113</v>
      </c>
      <c r="AM118" s="292">
        <v>297</v>
      </c>
      <c r="AN118" s="292">
        <v>345</v>
      </c>
      <c r="AO118" s="292">
        <v>0</v>
      </c>
      <c r="AP118" s="292">
        <v>0</v>
      </c>
      <c r="AQ118" s="292">
        <v>0</v>
      </c>
      <c r="AR118" s="292">
        <v>0</v>
      </c>
      <c r="AS118" s="292">
        <v>3301</v>
      </c>
      <c r="AT118" s="292">
        <v>113</v>
      </c>
      <c r="AU118" s="292">
        <v>2507</v>
      </c>
      <c r="AV118" s="292">
        <v>39767</v>
      </c>
      <c r="AW118" s="293">
        <v>45292</v>
      </c>
      <c r="AX118" s="293">
        <v>45657</v>
      </c>
      <c r="AY118" s="195" t="s">
        <v>1122</v>
      </c>
    </row>
    <row r="119" spans="1:51" ht="99.95" customHeight="1" x14ac:dyDescent="0.2">
      <c r="A119" s="65">
        <v>1</v>
      </c>
      <c r="B119" s="195" t="s">
        <v>315</v>
      </c>
      <c r="C119" s="205">
        <v>22</v>
      </c>
      <c r="D119" s="195" t="s">
        <v>1002</v>
      </c>
      <c r="E119" s="205">
        <v>2201</v>
      </c>
      <c r="F119" s="195" t="s">
        <v>1003</v>
      </c>
      <c r="G119" s="286">
        <v>2201029</v>
      </c>
      <c r="H119" s="195" t="s">
        <v>1147</v>
      </c>
      <c r="I119" s="286">
        <v>2201029</v>
      </c>
      <c r="J119" s="195" t="s">
        <v>1147</v>
      </c>
      <c r="K119" s="296">
        <v>220102900</v>
      </c>
      <c r="L119" s="195" t="s">
        <v>1148</v>
      </c>
      <c r="M119" s="297">
        <v>220102900</v>
      </c>
      <c r="N119" s="195" t="s">
        <v>1148</v>
      </c>
      <c r="O119" s="288">
        <v>1500</v>
      </c>
      <c r="P119" s="288"/>
      <c r="Q119" s="288">
        <v>1500</v>
      </c>
      <c r="R119" s="289">
        <v>2020003630091</v>
      </c>
      <c r="S119" s="195" t="s">
        <v>1117</v>
      </c>
      <c r="T119" s="290">
        <f t="shared" si="7"/>
        <v>5.3531217470039394E-3</v>
      </c>
      <c r="U119" s="195" t="s">
        <v>1118</v>
      </c>
      <c r="V119" s="227" t="s">
        <v>1136</v>
      </c>
      <c r="W119" s="227" t="s">
        <v>1149</v>
      </c>
      <c r="X119" s="291">
        <v>9000000</v>
      </c>
      <c r="Y119" s="716"/>
      <c r="Z119" s="227"/>
      <c r="AA119" s="227"/>
      <c r="AB119" s="291">
        <f t="shared" si="6"/>
        <v>9000000</v>
      </c>
      <c r="AC119" s="227" t="s">
        <v>1158</v>
      </c>
      <c r="AD119" s="227" t="s">
        <v>1159</v>
      </c>
      <c r="AE119" s="288">
        <v>20</v>
      </c>
      <c r="AF119" s="195" t="s">
        <v>97</v>
      </c>
      <c r="AG119" s="292">
        <v>19649</v>
      </c>
      <c r="AH119" s="292">
        <v>20118</v>
      </c>
      <c r="AI119" s="292">
        <v>28907</v>
      </c>
      <c r="AJ119" s="292">
        <v>9525</v>
      </c>
      <c r="AK119" s="292">
        <v>1222</v>
      </c>
      <c r="AL119" s="292">
        <v>113</v>
      </c>
      <c r="AM119" s="292">
        <v>297</v>
      </c>
      <c r="AN119" s="292">
        <v>345</v>
      </c>
      <c r="AO119" s="292">
        <v>0</v>
      </c>
      <c r="AP119" s="292">
        <v>0</v>
      </c>
      <c r="AQ119" s="292">
        <v>0</v>
      </c>
      <c r="AR119" s="292">
        <v>0</v>
      </c>
      <c r="AS119" s="292">
        <v>3301</v>
      </c>
      <c r="AT119" s="292">
        <v>113</v>
      </c>
      <c r="AU119" s="292">
        <v>2507</v>
      </c>
      <c r="AV119" s="292">
        <v>39767</v>
      </c>
      <c r="AW119" s="293">
        <v>45292</v>
      </c>
      <c r="AX119" s="293">
        <v>45657</v>
      </c>
      <c r="AY119" s="195" t="s">
        <v>1122</v>
      </c>
    </row>
    <row r="120" spans="1:51" ht="99.95" customHeight="1" x14ac:dyDescent="0.2">
      <c r="A120" s="65">
        <v>1</v>
      </c>
      <c r="B120" s="195" t="s">
        <v>315</v>
      </c>
      <c r="C120" s="205">
        <v>22</v>
      </c>
      <c r="D120" s="195" t="s">
        <v>1002</v>
      </c>
      <c r="E120" s="205">
        <v>2201</v>
      </c>
      <c r="F120" s="195" t="s">
        <v>1003</v>
      </c>
      <c r="G120" s="286">
        <v>2201029</v>
      </c>
      <c r="H120" s="195" t="s">
        <v>1147</v>
      </c>
      <c r="I120" s="286">
        <v>2201029</v>
      </c>
      <c r="J120" s="195" t="s">
        <v>1147</v>
      </c>
      <c r="K120" s="296">
        <v>220102900</v>
      </c>
      <c r="L120" s="195" t="s">
        <v>1148</v>
      </c>
      <c r="M120" s="297">
        <v>220102900</v>
      </c>
      <c r="N120" s="195" t="s">
        <v>1148</v>
      </c>
      <c r="O120" s="288">
        <v>1500</v>
      </c>
      <c r="P120" s="288"/>
      <c r="Q120" s="288">
        <v>1500</v>
      </c>
      <c r="R120" s="289">
        <v>2020003630091</v>
      </c>
      <c r="S120" s="195" t="s">
        <v>1117</v>
      </c>
      <c r="T120" s="290">
        <f t="shared" si="7"/>
        <v>5.3531217470039394E-3</v>
      </c>
      <c r="U120" s="195" t="s">
        <v>1118</v>
      </c>
      <c r="V120" s="227" t="s">
        <v>1136</v>
      </c>
      <c r="W120" s="227" t="s">
        <v>1149</v>
      </c>
      <c r="X120" s="291">
        <v>9000000</v>
      </c>
      <c r="Y120" s="716"/>
      <c r="Z120" s="227"/>
      <c r="AA120" s="227"/>
      <c r="AB120" s="291">
        <f t="shared" si="6"/>
        <v>9000000</v>
      </c>
      <c r="AC120" s="227" t="s">
        <v>1160</v>
      </c>
      <c r="AD120" s="227" t="s">
        <v>1161</v>
      </c>
      <c r="AE120" s="288">
        <v>20</v>
      </c>
      <c r="AF120" s="195" t="s">
        <v>97</v>
      </c>
      <c r="AG120" s="292">
        <v>19649</v>
      </c>
      <c r="AH120" s="292">
        <v>20118</v>
      </c>
      <c r="AI120" s="292">
        <v>28907</v>
      </c>
      <c r="AJ120" s="292">
        <v>9525</v>
      </c>
      <c r="AK120" s="292">
        <v>1222</v>
      </c>
      <c r="AL120" s="292">
        <v>113</v>
      </c>
      <c r="AM120" s="292">
        <v>297</v>
      </c>
      <c r="AN120" s="292">
        <v>345</v>
      </c>
      <c r="AO120" s="292">
        <v>0</v>
      </c>
      <c r="AP120" s="292">
        <v>0</v>
      </c>
      <c r="AQ120" s="292">
        <v>0</v>
      </c>
      <c r="AR120" s="292">
        <v>0</v>
      </c>
      <c r="AS120" s="292">
        <v>3301</v>
      </c>
      <c r="AT120" s="292">
        <v>113</v>
      </c>
      <c r="AU120" s="292">
        <v>2507</v>
      </c>
      <c r="AV120" s="292">
        <v>39767</v>
      </c>
      <c r="AW120" s="293">
        <v>45292</v>
      </c>
      <c r="AX120" s="293">
        <v>45657</v>
      </c>
      <c r="AY120" s="195" t="s">
        <v>1122</v>
      </c>
    </row>
    <row r="121" spans="1:51" ht="99.95" customHeight="1" x14ac:dyDescent="0.2">
      <c r="A121" s="65">
        <v>1</v>
      </c>
      <c r="B121" s="195" t="s">
        <v>315</v>
      </c>
      <c r="C121" s="205">
        <v>22</v>
      </c>
      <c r="D121" s="195" t="s">
        <v>1002</v>
      </c>
      <c r="E121" s="205">
        <v>2201</v>
      </c>
      <c r="F121" s="195" t="s">
        <v>1003</v>
      </c>
      <c r="G121" s="286">
        <v>2201029</v>
      </c>
      <c r="H121" s="195" t="s">
        <v>1147</v>
      </c>
      <c r="I121" s="286">
        <v>2201029</v>
      </c>
      <c r="J121" s="195" t="s">
        <v>1147</v>
      </c>
      <c r="K121" s="296">
        <v>220102900</v>
      </c>
      <c r="L121" s="195" t="s">
        <v>1148</v>
      </c>
      <c r="M121" s="297">
        <v>220102900</v>
      </c>
      <c r="N121" s="195" t="s">
        <v>1148</v>
      </c>
      <c r="O121" s="288">
        <v>1500</v>
      </c>
      <c r="P121" s="288"/>
      <c r="Q121" s="288">
        <v>1500</v>
      </c>
      <c r="R121" s="289">
        <v>2020003630091</v>
      </c>
      <c r="S121" s="195" t="s">
        <v>1117</v>
      </c>
      <c r="T121" s="290">
        <f t="shared" si="7"/>
        <v>5.3531217470039394E-3</v>
      </c>
      <c r="U121" s="195" t="s">
        <v>1118</v>
      </c>
      <c r="V121" s="227" t="s">
        <v>1136</v>
      </c>
      <c r="W121" s="227" t="s">
        <v>1149</v>
      </c>
      <c r="X121" s="291">
        <v>9000000</v>
      </c>
      <c r="Y121" s="716"/>
      <c r="Z121" s="227"/>
      <c r="AA121" s="227"/>
      <c r="AB121" s="291">
        <f t="shared" si="6"/>
        <v>9000000</v>
      </c>
      <c r="AC121" s="227" t="s">
        <v>1162</v>
      </c>
      <c r="AD121" s="227" t="s">
        <v>1163</v>
      </c>
      <c r="AE121" s="288">
        <v>20</v>
      </c>
      <c r="AF121" s="195" t="s">
        <v>97</v>
      </c>
      <c r="AG121" s="292">
        <v>19649</v>
      </c>
      <c r="AH121" s="292">
        <v>20118</v>
      </c>
      <c r="AI121" s="292">
        <v>28907</v>
      </c>
      <c r="AJ121" s="292">
        <v>9525</v>
      </c>
      <c r="AK121" s="292">
        <v>1222</v>
      </c>
      <c r="AL121" s="292">
        <v>113</v>
      </c>
      <c r="AM121" s="292">
        <v>297</v>
      </c>
      <c r="AN121" s="292">
        <v>345</v>
      </c>
      <c r="AO121" s="292">
        <v>0</v>
      </c>
      <c r="AP121" s="292">
        <v>0</v>
      </c>
      <c r="AQ121" s="292">
        <v>0</v>
      </c>
      <c r="AR121" s="292">
        <v>0</v>
      </c>
      <c r="AS121" s="292">
        <v>3301</v>
      </c>
      <c r="AT121" s="292">
        <v>113</v>
      </c>
      <c r="AU121" s="292">
        <v>2507</v>
      </c>
      <c r="AV121" s="292">
        <v>39767</v>
      </c>
      <c r="AW121" s="293">
        <v>45292</v>
      </c>
      <c r="AX121" s="293">
        <v>45657</v>
      </c>
      <c r="AY121" s="195" t="s">
        <v>1122</v>
      </c>
    </row>
    <row r="122" spans="1:51" ht="99.95" customHeight="1" x14ac:dyDescent="0.2">
      <c r="A122" s="65">
        <v>1</v>
      </c>
      <c r="B122" s="195" t="s">
        <v>315</v>
      </c>
      <c r="C122" s="205">
        <v>22</v>
      </c>
      <c r="D122" s="195" t="s">
        <v>1002</v>
      </c>
      <c r="E122" s="205">
        <v>2201</v>
      </c>
      <c r="F122" s="195" t="s">
        <v>1003</v>
      </c>
      <c r="G122" s="286">
        <v>2201029</v>
      </c>
      <c r="H122" s="195" t="s">
        <v>1147</v>
      </c>
      <c r="I122" s="286">
        <v>2201029</v>
      </c>
      <c r="J122" s="195" t="s">
        <v>1147</v>
      </c>
      <c r="K122" s="296">
        <v>220102900</v>
      </c>
      <c r="L122" s="195" t="s">
        <v>1148</v>
      </c>
      <c r="M122" s="297">
        <v>220102900</v>
      </c>
      <c r="N122" s="195" t="s">
        <v>1148</v>
      </c>
      <c r="O122" s="288">
        <v>1500</v>
      </c>
      <c r="P122" s="288"/>
      <c r="Q122" s="288">
        <v>1500</v>
      </c>
      <c r="R122" s="289">
        <v>2020003630091</v>
      </c>
      <c r="S122" s="195" t="s">
        <v>1117</v>
      </c>
      <c r="T122" s="290">
        <f t="shared" si="7"/>
        <v>5.3531217470039394E-3</v>
      </c>
      <c r="U122" s="195" t="s">
        <v>1118</v>
      </c>
      <c r="V122" s="227" t="s">
        <v>1136</v>
      </c>
      <c r="W122" s="227" t="s">
        <v>1149</v>
      </c>
      <c r="X122" s="291">
        <v>10000000</v>
      </c>
      <c r="Y122" s="716"/>
      <c r="Z122" s="227"/>
      <c r="AA122" s="227"/>
      <c r="AB122" s="291">
        <f t="shared" si="6"/>
        <v>10000000</v>
      </c>
      <c r="AC122" s="227" t="s">
        <v>1164</v>
      </c>
      <c r="AD122" s="227" t="s">
        <v>1165</v>
      </c>
      <c r="AE122" s="288">
        <v>20</v>
      </c>
      <c r="AF122" s="195" t="s">
        <v>97</v>
      </c>
      <c r="AG122" s="292">
        <v>19649</v>
      </c>
      <c r="AH122" s="292">
        <v>20118</v>
      </c>
      <c r="AI122" s="292">
        <v>28907</v>
      </c>
      <c r="AJ122" s="292">
        <v>9525</v>
      </c>
      <c r="AK122" s="292">
        <v>1222</v>
      </c>
      <c r="AL122" s="292">
        <v>113</v>
      </c>
      <c r="AM122" s="292">
        <v>297</v>
      </c>
      <c r="AN122" s="292">
        <v>345</v>
      </c>
      <c r="AO122" s="292">
        <v>0</v>
      </c>
      <c r="AP122" s="292">
        <v>0</v>
      </c>
      <c r="AQ122" s="292">
        <v>0</v>
      </c>
      <c r="AR122" s="292">
        <v>0</v>
      </c>
      <c r="AS122" s="292">
        <v>3301</v>
      </c>
      <c r="AT122" s="292">
        <v>113</v>
      </c>
      <c r="AU122" s="292">
        <v>2507</v>
      </c>
      <c r="AV122" s="292">
        <v>39767</v>
      </c>
      <c r="AW122" s="293">
        <v>45292</v>
      </c>
      <c r="AX122" s="293">
        <v>45657</v>
      </c>
      <c r="AY122" s="195" t="s">
        <v>1122</v>
      </c>
    </row>
    <row r="123" spans="1:51" ht="99.95" customHeight="1" x14ac:dyDescent="0.2">
      <c r="A123" s="65">
        <v>1</v>
      </c>
      <c r="B123" s="195" t="s">
        <v>315</v>
      </c>
      <c r="C123" s="205">
        <v>22</v>
      </c>
      <c r="D123" s="195" t="s">
        <v>1002</v>
      </c>
      <c r="E123" s="205">
        <v>2201</v>
      </c>
      <c r="F123" s="195" t="s">
        <v>1003</v>
      </c>
      <c r="G123" s="286">
        <v>2201029</v>
      </c>
      <c r="H123" s="195" t="s">
        <v>1147</v>
      </c>
      <c r="I123" s="286">
        <v>2201029</v>
      </c>
      <c r="J123" s="195" t="s">
        <v>1147</v>
      </c>
      <c r="K123" s="296">
        <v>220102900</v>
      </c>
      <c r="L123" s="195" t="s">
        <v>1148</v>
      </c>
      <c r="M123" s="297">
        <v>220102900</v>
      </c>
      <c r="N123" s="195" t="s">
        <v>1148</v>
      </c>
      <c r="O123" s="288">
        <v>1500</v>
      </c>
      <c r="P123" s="288"/>
      <c r="Q123" s="288">
        <v>1500</v>
      </c>
      <c r="R123" s="289">
        <v>2020003630091</v>
      </c>
      <c r="S123" s="195" t="s">
        <v>1117</v>
      </c>
      <c r="T123" s="290">
        <f t="shared" si="7"/>
        <v>5.3531217470039394E-3</v>
      </c>
      <c r="U123" s="195" t="s">
        <v>1118</v>
      </c>
      <c r="V123" s="227" t="s">
        <v>1136</v>
      </c>
      <c r="W123" s="227" t="s">
        <v>1149</v>
      </c>
      <c r="X123" s="291">
        <v>8000000</v>
      </c>
      <c r="Y123" s="716"/>
      <c r="Z123" s="227"/>
      <c r="AA123" s="227"/>
      <c r="AB123" s="291">
        <f t="shared" si="6"/>
        <v>8000000</v>
      </c>
      <c r="AC123" s="227" t="s">
        <v>1166</v>
      </c>
      <c r="AD123" s="227" t="s">
        <v>1167</v>
      </c>
      <c r="AE123" s="288">
        <v>20</v>
      </c>
      <c r="AF123" s="195" t="s">
        <v>97</v>
      </c>
      <c r="AG123" s="292">
        <v>19649</v>
      </c>
      <c r="AH123" s="292">
        <v>20118</v>
      </c>
      <c r="AI123" s="292">
        <v>28907</v>
      </c>
      <c r="AJ123" s="292">
        <v>9525</v>
      </c>
      <c r="AK123" s="292">
        <v>1222</v>
      </c>
      <c r="AL123" s="292">
        <v>113</v>
      </c>
      <c r="AM123" s="292">
        <v>297</v>
      </c>
      <c r="AN123" s="292">
        <v>345</v>
      </c>
      <c r="AO123" s="292">
        <v>0</v>
      </c>
      <c r="AP123" s="292">
        <v>0</v>
      </c>
      <c r="AQ123" s="292">
        <v>0</v>
      </c>
      <c r="AR123" s="292">
        <v>0</v>
      </c>
      <c r="AS123" s="292">
        <v>3301</v>
      </c>
      <c r="AT123" s="292">
        <v>113</v>
      </c>
      <c r="AU123" s="292">
        <v>2507</v>
      </c>
      <c r="AV123" s="292">
        <v>39767</v>
      </c>
      <c r="AW123" s="293">
        <v>45292</v>
      </c>
      <c r="AX123" s="293">
        <v>45657</v>
      </c>
      <c r="AY123" s="195" t="s">
        <v>1122</v>
      </c>
    </row>
    <row r="124" spans="1:51" ht="99.95" customHeight="1" x14ac:dyDescent="0.2">
      <c r="A124" s="65">
        <v>1</v>
      </c>
      <c r="B124" s="195" t="s">
        <v>315</v>
      </c>
      <c r="C124" s="205">
        <v>22</v>
      </c>
      <c r="D124" s="195" t="s">
        <v>1002</v>
      </c>
      <c r="E124" s="205">
        <v>2201</v>
      </c>
      <c r="F124" s="195" t="s">
        <v>1003</v>
      </c>
      <c r="G124" s="286">
        <v>2201029</v>
      </c>
      <c r="H124" s="195" t="s">
        <v>1147</v>
      </c>
      <c r="I124" s="286">
        <v>2201029</v>
      </c>
      <c r="J124" s="195" t="s">
        <v>1147</v>
      </c>
      <c r="K124" s="296">
        <v>220102900</v>
      </c>
      <c r="L124" s="195" t="s">
        <v>1148</v>
      </c>
      <c r="M124" s="297">
        <v>220102900</v>
      </c>
      <c r="N124" s="195" t="s">
        <v>1148</v>
      </c>
      <c r="O124" s="288">
        <v>1500</v>
      </c>
      <c r="P124" s="288"/>
      <c r="Q124" s="288">
        <v>1500</v>
      </c>
      <c r="R124" s="289">
        <v>2020003630091</v>
      </c>
      <c r="S124" s="195" t="s">
        <v>1117</v>
      </c>
      <c r="T124" s="290">
        <f t="shared" si="7"/>
        <v>5.3531217470039394E-3</v>
      </c>
      <c r="U124" s="195" t="s">
        <v>1118</v>
      </c>
      <c r="V124" s="227" t="s">
        <v>1136</v>
      </c>
      <c r="W124" s="227" t="s">
        <v>1149</v>
      </c>
      <c r="X124" s="291">
        <v>10000000</v>
      </c>
      <c r="Y124" s="716"/>
      <c r="Z124" s="227"/>
      <c r="AA124" s="227"/>
      <c r="AB124" s="291">
        <f t="shared" si="6"/>
        <v>10000000</v>
      </c>
      <c r="AC124" s="227" t="s">
        <v>1168</v>
      </c>
      <c r="AD124" s="227" t="s">
        <v>1169</v>
      </c>
      <c r="AE124" s="288">
        <v>20</v>
      </c>
      <c r="AF124" s="195" t="s">
        <v>97</v>
      </c>
      <c r="AG124" s="292">
        <v>19649</v>
      </c>
      <c r="AH124" s="292">
        <v>20118</v>
      </c>
      <c r="AI124" s="292">
        <v>28907</v>
      </c>
      <c r="AJ124" s="292">
        <v>9525</v>
      </c>
      <c r="AK124" s="292">
        <v>1222</v>
      </c>
      <c r="AL124" s="292">
        <v>113</v>
      </c>
      <c r="AM124" s="292">
        <v>297</v>
      </c>
      <c r="AN124" s="292">
        <v>345</v>
      </c>
      <c r="AO124" s="292">
        <v>0</v>
      </c>
      <c r="AP124" s="292">
        <v>0</v>
      </c>
      <c r="AQ124" s="292">
        <v>0</v>
      </c>
      <c r="AR124" s="292">
        <v>0</v>
      </c>
      <c r="AS124" s="292">
        <v>3301</v>
      </c>
      <c r="AT124" s="292">
        <v>113</v>
      </c>
      <c r="AU124" s="292">
        <v>2507</v>
      </c>
      <c r="AV124" s="292">
        <v>39767</v>
      </c>
      <c r="AW124" s="293">
        <v>45292</v>
      </c>
      <c r="AX124" s="293">
        <v>45657</v>
      </c>
      <c r="AY124" s="195" t="s">
        <v>1122</v>
      </c>
    </row>
    <row r="125" spans="1:51" ht="70.150000000000006" customHeight="1" x14ac:dyDescent="0.2">
      <c r="A125" s="65">
        <v>1</v>
      </c>
      <c r="B125" s="195" t="s">
        <v>315</v>
      </c>
      <c r="C125" s="205">
        <v>22</v>
      </c>
      <c r="D125" s="195" t="s">
        <v>1002</v>
      </c>
      <c r="E125" s="205">
        <v>2201</v>
      </c>
      <c r="F125" s="195" t="s">
        <v>1003</v>
      </c>
      <c r="G125" s="286">
        <v>2201029</v>
      </c>
      <c r="H125" s="195" t="s">
        <v>1147</v>
      </c>
      <c r="I125" s="286">
        <v>2201029</v>
      </c>
      <c r="J125" s="195" t="s">
        <v>1147</v>
      </c>
      <c r="K125" s="296">
        <v>220102900</v>
      </c>
      <c r="L125" s="195" t="s">
        <v>1148</v>
      </c>
      <c r="M125" s="297">
        <v>220102900</v>
      </c>
      <c r="N125" s="195" t="s">
        <v>1148</v>
      </c>
      <c r="O125" s="288">
        <v>1500</v>
      </c>
      <c r="P125" s="288"/>
      <c r="Q125" s="288">
        <v>1500</v>
      </c>
      <c r="R125" s="289">
        <v>2020003630091</v>
      </c>
      <c r="S125" s="195" t="s">
        <v>1117</v>
      </c>
      <c r="T125" s="290">
        <f t="shared" si="7"/>
        <v>5.3531217470039394E-3</v>
      </c>
      <c r="U125" s="195" t="s">
        <v>1118</v>
      </c>
      <c r="V125" s="227" t="s">
        <v>1136</v>
      </c>
      <c r="W125" s="227" t="s">
        <v>1149</v>
      </c>
      <c r="X125" s="291">
        <v>9000000</v>
      </c>
      <c r="Y125" s="716"/>
      <c r="Z125" s="227"/>
      <c r="AA125" s="227"/>
      <c r="AB125" s="291">
        <f t="shared" si="6"/>
        <v>9000000</v>
      </c>
      <c r="AC125" s="227" t="s">
        <v>1170</v>
      </c>
      <c r="AD125" s="227" t="s">
        <v>1171</v>
      </c>
      <c r="AE125" s="288">
        <v>20</v>
      </c>
      <c r="AF125" s="195" t="s">
        <v>97</v>
      </c>
      <c r="AG125" s="292">
        <v>19649</v>
      </c>
      <c r="AH125" s="292">
        <v>20118</v>
      </c>
      <c r="AI125" s="292">
        <v>28907</v>
      </c>
      <c r="AJ125" s="292">
        <v>9525</v>
      </c>
      <c r="AK125" s="292">
        <v>1222</v>
      </c>
      <c r="AL125" s="292">
        <v>113</v>
      </c>
      <c r="AM125" s="292">
        <v>297</v>
      </c>
      <c r="AN125" s="292">
        <v>345</v>
      </c>
      <c r="AO125" s="292">
        <v>0</v>
      </c>
      <c r="AP125" s="292">
        <v>0</v>
      </c>
      <c r="AQ125" s="292">
        <v>0</v>
      </c>
      <c r="AR125" s="292">
        <v>0</v>
      </c>
      <c r="AS125" s="292">
        <v>3301</v>
      </c>
      <c r="AT125" s="292">
        <v>113</v>
      </c>
      <c r="AU125" s="292">
        <v>2507</v>
      </c>
      <c r="AV125" s="292">
        <v>39767</v>
      </c>
      <c r="AW125" s="293">
        <v>45292</v>
      </c>
      <c r="AX125" s="293">
        <v>45657</v>
      </c>
      <c r="AY125" s="195" t="s">
        <v>1122</v>
      </c>
    </row>
    <row r="126" spans="1:51" ht="78" customHeight="1" x14ac:dyDescent="0.2">
      <c r="A126" s="65">
        <v>1</v>
      </c>
      <c r="B126" s="195" t="s">
        <v>315</v>
      </c>
      <c r="C126" s="205">
        <v>22</v>
      </c>
      <c r="D126" s="195" t="s">
        <v>1002</v>
      </c>
      <c r="E126" s="205">
        <v>2201</v>
      </c>
      <c r="F126" s="195" t="s">
        <v>1003</v>
      </c>
      <c r="G126" s="286">
        <v>2201069</v>
      </c>
      <c r="H126" s="195" t="s">
        <v>1172</v>
      </c>
      <c r="I126" s="286">
        <v>2201069</v>
      </c>
      <c r="J126" s="195" t="s">
        <v>1172</v>
      </c>
      <c r="K126" s="302">
        <v>220106900</v>
      </c>
      <c r="L126" s="195" t="s">
        <v>1173</v>
      </c>
      <c r="M126" s="303">
        <v>220106900</v>
      </c>
      <c r="N126" s="195" t="s">
        <v>1173</v>
      </c>
      <c r="O126" s="288">
        <v>2</v>
      </c>
      <c r="P126" s="288"/>
      <c r="Q126" s="288">
        <v>2</v>
      </c>
      <c r="R126" s="289">
        <v>2020003630091</v>
      </c>
      <c r="S126" s="195" t="s">
        <v>1117</v>
      </c>
      <c r="T126" s="290">
        <f>SUM($X$126:$X$128)/SUM($X$104:$X$128)</f>
        <v>3.1910989232309894E-2</v>
      </c>
      <c r="U126" s="195" t="s">
        <v>1118</v>
      </c>
      <c r="V126" s="227" t="s">
        <v>1174</v>
      </c>
      <c r="W126" s="227" t="s">
        <v>1175</v>
      </c>
      <c r="X126" s="291">
        <v>100000000</v>
      </c>
      <c r="Y126" s="716"/>
      <c r="Z126" s="227"/>
      <c r="AA126" s="227"/>
      <c r="AB126" s="291">
        <f t="shared" si="6"/>
        <v>100000000</v>
      </c>
      <c r="AC126" s="227" t="s">
        <v>1176</v>
      </c>
      <c r="AD126" s="227"/>
      <c r="AE126" s="288">
        <v>21</v>
      </c>
      <c r="AF126" s="195" t="s">
        <v>1177</v>
      </c>
      <c r="AG126" s="292">
        <v>1263</v>
      </c>
      <c r="AH126" s="292">
        <v>1364</v>
      </c>
      <c r="AI126" s="292">
        <v>2622</v>
      </c>
      <c r="AJ126" s="292">
        <v>4</v>
      </c>
      <c r="AK126" s="292">
        <v>1</v>
      </c>
      <c r="AL126" s="292">
        <v>0</v>
      </c>
      <c r="AM126" s="292">
        <v>14</v>
      </c>
      <c r="AN126" s="292">
        <v>3</v>
      </c>
      <c r="AO126" s="292">
        <v>0</v>
      </c>
      <c r="AP126" s="292">
        <v>0</v>
      </c>
      <c r="AQ126" s="292">
        <v>0</v>
      </c>
      <c r="AR126" s="292">
        <v>0</v>
      </c>
      <c r="AS126" s="292">
        <v>158</v>
      </c>
      <c r="AT126" s="292">
        <v>113</v>
      </c>
      <c r="AU126" s="292">
        <v>2507</v>
      </c>
      <c r="AV126" s="292">
        <v>2627</v>
      </c>
      <c r="AW126" s="293">
        <v>45292</v>
      </c>
      <c r="AX126" s="293">
        <v>45657</v>
      </c>
      <c r="AY126" s="195" t="s">
        <v>1122</v>
      </c>
    </row>
    <row r="127" spans="1:51" ht="99.95" customHeight="1" x14ac:dyDescent="0.2">
      <c r="A127" s="65">
        <v>1</v>
      </c>
      <c r="B127" s="195" t="s">
        <v>315</v>
      </c>
      <c r="C127" s="205">
        <v>22</v>
      </c>
      <c r="D127" s="195" t="s">
        <v>1002</v>
      </c>
      <c r="E127" s="205">
        <v>2201</v>
      </c>
      <c r="F127" s="195" t="s">
        <v>1003</v>
      </c>
      <c r="G127" s="286">
        <v>2201069</v>
      </c>
      <c r="H127" s="195" t="s">
        <v>1172</v>
      </c>
      <c r="I127" s="286">
        <v>2201069</v>
      </c>
      <c r="J127" s="195" t="s">
        <v>1172</v>
      </c>
      <c r="K127" s="302">
        <v>220106900</v>
      </c>
      <c r="L127" s="195" t="s">
        <v>1173</v>
      </c>
      <c r="M127" s="303">
        <v>220106900</v>
      </c>
      <c r="N127" s="195" t="s">
        <v>1173</v>
      </c>
      <c r="O127" s="288">
        <v>2</v>
      </c>
      <c r="P127" s="288"/>
      <c r="Q127" s="288">
        <v>2</v>
      </c>
      <c r="R127" s="289">
        <v>2020003630091</v>
      </c>
      <c r="S127" s="195" t="s">
        <v>1117</v>
      </c>
      <c r="T127" s="290">
        <f t="shared" ref="T127:T128" si="8">SUM($X$126:$X$128)/SUM($X$104:$X$128)</f>
        <v>3.1910989232309894E-2</v>
      </c>
      <c r="U127" s="195" t="s">
        <v>1118</v>
      </c>
      <c r="V127" s="227" t="s">
        <v>1174</v>
      </c>
      <c r="W127" s="227" t="s">
        <v>1175</v>
      </c>
      <c r="X127" s="291">
        <v>6966940</v>
      </c>
      <c r="Y127" s="716"/>
      <c r="Z127" s="227"/>
      <c r="AA127" s="227"/>
      <c r="AB127" s="291">
        <f t="shared" si="6"/>
        <v>6966940</v>
      </c>
      <c r="AC127" s="227" t="s">
        <v>1178</v>
      </c>
      <c r="AD127" s="227"/>
      <c r="AE127" s="288">
        <v>25</v>
      </c>
      <c r="AF127" s="195" t="s">
        <v>1021</v>
      </c>
      <c r="AG127" s="292">
        <v>1263</v>
      </c>
      <c r="AH127" s="292">
        <v>1364</v>
      </c>
      <c r="AI127" s="292">
        <v>2622</v>
      </c>
      <c r="AJ127" s="292">
        <v>4</v>
      </c>
      <c r="AK127" s="292">
        <v>1</v>
      </c>
      <c r="AL127" s="292">
        <v>0</v>
      </c>
      <c r="AM127" s="292">
        <v>14</v>
      </c>
      <c r="AN127" s="292">
        <v>3</v>
      </c>
      <c r="AO127" s="292">
        <v>0</v>
      </c>
      <c r="AP127" s="292">
        <v>0</v>
      </c>
      <c r="AQ127" s="292">
        <v>0</v>
      </c>
      <c r="AR127" s="292">
        <v>0</v>
      </c>
      <c r="AS127" s="292">
        <v>158</v>
      </c>
      <c r="AT127" s="292">
        <v>113</v>
      </c>
      <c r="AU127" s="292">
        <v>2507</v>
      </c>
      <c r="AV127" s="292">
        <v>2627</v>
      </c>
      <c r="AW127" s="293">
        <v>45292</v>
      </c>
      <c r="AX127" s="293">
        <v>45657</v>
      </c>
      <c r="AY127" s="195" t="s">
        <v>1122</v>
      </c>
    </row>
    <row r="128" spans="1:51" ht="99.95" customHeight="1" x14ac:dyDescent="0.2">
      <c r="A128" s="65">
        <v>1</v>
      </c>
      <c r="B128" s="195" t="s">
        <v>315</v>
      </c>
      <c r="C128" s="205">
        <v>22</v>
      </c>
      <c r="D128" s="195" t="s">
        <v>1002</v>
      </c>
      <c r="E128" s="205">
        <v>2201</v>
      </c>
      <c r="F128" s="195" t="s">
        <v>1003</v>
      </c>
      <c r="G128" s="286">
        <v>2201069</v>
      </c>
      <c r="H128" s="195" t="s">
        <v>1172</v>
      </c>
      <c r="I128" s="286">
        <v>2201069</v>
      </c>
      <c r="J128" s="195" t="s">
        <v>1172</v>
      </c>
      <c r="K128" s="302">
        <v>220106900</v>
      </c>
      <c r="L128" s="195" t="s">
        <v>1173</v>
      </c>
      <c r="M128" s="303">
        <v>220106900</v>
      </c>
      <c r="N128" s="195" t="s">
        <v>1173</v>
      </c>
      <c r="O128" s="288">
        <v>2</v>
      </c>
      <c r="P128" s="288"/>
      <c r="Q128" s="288">
        <v>2</v>
      </c>
      <c r="R128" s="289">
        <v>2020003630091</v>
      </c>
      <c r="S128" s="195" t="s">
        <v>1117</v>
      </c>
      <c r="T128" s="290">
        <f t="shared" si="8"/>
        <v>3.1910989232309894E-2</v>
      </c>
      <c r="U128" s="195" t="s">
        <v>1118</v>
      </c>
      <c r="V128" s="227" t="s">
        <v>1174</v>
      </c>
      <c r="W128" s="227" t="s">
        <v>1175</v>
      </c>
      <c r="X128" s="676">
        <v>489152310.42000002</v>
      </c>
      <c r="Y128" s="716"/>
      <c r="Z128" s="227"/>
      <c r="AA128" s="227"/>
      <c r="AB128" s="291">
        <f t="shared" si="6"/>
        <v>489152310.42000002</v>
      </c>
      <c r="AC128" s="227" t="s">
        <v>1179</v>
      </c>
      <c r="AD128" s="227"/>
      <c r="AE128" s="288">
        <v>189</v>
      </c>
      <c r="AF128" s="195" t="s">
        <v>1180</v>
      </c>
      <c r="AG128" s="292">
        <v>1263</v>
      </c>
      <c r="AH128" s="292">
        <v>1364</v>
      </c>
      <c r="AI128" s="292">
        <v>2622</v>
      </c>
      <c r="AJ128" s="292">
        <v>4</v>
      </c>
      <c r="AK128" s="292">
        <v>1</v>
      </c>
      <c r="AL128" s="292">
        <v>0</v>
      </c>
      <c r="AM128" s="292">
        <v>14</v>
      </c>
      <c r="AN128" s="292">
        <v>3</v>
      </c>
      <c r="AO128" s="292">
        <v>0</v>
      </c>
      <c r="AP128" s="292">
        <v>0</v>
      </c>
      <c r="AQ128" s="292">
        <v>0</v>
      </c>
      <c r="AR128" s="292">
        <v>0</v>
      </c>
      <c r="AS128" s="292">
        <v>158</v>
      </c>
      <c r="AT128" s="292">
        <v>113</v>
      </c>
      <c r="AU128" s="292">
        <v>2507</v>
      </c>
      <c r="AV128" s="292">
        <v>2627</v>
      </c>
      <c r="AW128" s="293">
        <v>45292</v>
      </c>
      <c r="AX128" s="293">
        <v>45657</v>
      </c>
      <c r="AY128" s="195" t="s">
        <v>1122</v>
      </c>
    </row>
    <row r="129" spans="1:51" ht="99.95" customHeight="1" x14ac:dyDescent="0.2">
      <c r="A129" s="65">
        <v>1</v>
      </c>
      <c r="B129" s="195" t="s">
        <v>315</v>
      </c>
      <c r="C129" s="205">
        <v>22</v>
      </c>
      <c r="D129" s="195" t="s">
        <v>1002</v>
      </c>
      <c r="E129" s="205">
        <v>2201</v>
      </c>
      <c r="F129" s="195" t="s">
        <v>1003</v>
      </c>
      <c r="G129" s="286">
        <v>2201037</v>
      </c>
      <c r="H129" s="195" t="s">
        <v>1181</v>
      </c>
      <c r="I129" s="286">
        <v>2201037</v>
      </c>
      <c r="J129" s="195" t="s">
        <v>1181</v>
      </c>
      <c r="K129" s="296">
        <v>220103700</v>
      </c>
      <c r="L129" s="195" t="s">
        <v>1182</v>
      </c>
      <c r="M129" s="297">
        <v>220103700</v>
      </c>
      <c r="N129" s="195" t="s">
        <v>1182</v>
      </c>
      <c r="O129" s="288">
        <v>54</v>
      </c>
      <c r="P129" s="288"/>
      <c r="Q129" s="288">
        <v>54</v>
      </c>
      <c r="R129" s="289">
        <v>2020003630092</v>
      </c>
      <c r="S129" s="195" t="s">
        <v>1183</v>
      </c>
      <c r="T129" s="290">
        <f>SUM($X$129:$X$130)/SUM($X$129:$X$130)</f>
        <v>1</v>
      </c>
      <c r="U129" s="195" t="s">
        <v>1184</v>
      </c>
      <c r="V129" s="227" t="s">
        <v>1185</v>
      </c>
      <c r="W129" s="227" t="s">
        <v>1186</v>
      </c>
      <c r="X129" s="291">
        <v>20000000</v>
      </c>
      <c r="Y129" s="227"/>
      <c r="Z129" s="227"/>
      <c r="AA129" s="227"/>
      <c r="AB129" s="291">
        <f t="shared" ref="AB129:AB137" si="9">X129-Y129+Z129-AA129</f>
        <v>20000000</v>
      </c>
      <c r="AC129" s="227" t="s">
        <v>1187</v>
      </c>
      <c r="AD129" s="227"/>
      <c r="AE129" s="288">
        <v>20</v>
      </c>
      <c r="AF129" s="195" t="s">
        <v>97</v>
      </c>
      <c r="AG129" s="292">
        <v>19649</v>
      </c>
      <c r="AH129" s="292">
        <v>20118</v>
      </c>
      <c r="AI129" s="292">
        <v>28907</v>
      </c>
      <c r="AJ129" s="292">
        <v>9525</v>
      </c>
      <c r="AK129" s="292">
        <v>1222</v>
      </c>
      <c r="AL129" s="292">
        <v>113</v>
      </c>
      <c r="AM129" s="292">
        <v>297</v>
      </c>
      <c r="AN129" s="292">
        <v>345</v>
      </c>
      <c r="AO129" s="292">
        <v>0</v>
      </c>
      <c r="AP129" s="292">
        <v>0</v>
      </c>
      <c r="AQ129" s="292">
        <v>0</v>
      </c>
      <c r="AR129" s="292">
        <v>0</v>
      </c>
      <c r="AS129" s="292">
        <v>3301</v>
      </c>
      <c r="AT129" s="292">
        <v>113</v>
      </c>
      <c r="AU129" s="292">
        <v>2507</v>
      </c>
      <c r="AV129" s="292">
        <v>39767</v>
      </c>
      <c r="AW129" s="293">
        <v>45292</v>
      </c>
      <c r="AX129" s="293">
        <v>45657</v>
      </c>
      <c r="AY129" s="195" t="s">
        <v>1188</v>
      </c>
    </row>
    <row r="130" spans="1:51" ht="99.95" customHeight="1" x14ac:dyDescent="0.2">
      <c r="A130" s="65">
        <v>1</v>
      </c>
      <c r="B130" s="195" t="s">
        <v>315</v>
      </c>
      <c r="C130" s="205">
        <v>22</v>
      </c>
      <c r="D130" s="195" t="s">
        <v>1002</v>
      </c>
      <c r="E130" s="205">
        <v>2201</v>
      </c>
      <c r="F130" s="195" t="s">
        <v>1003</v>
      </c>
      <c r="G130" s="286">
        <v>2201037</v>
      </c>
      <c r="H130" s="195" t="s">
        <v>1181</v>
      </c>
      <c r="I130" s="286">
        <v>2201037</v>
      </c>
      <c r="J130" s="195" t="s">
        <v>1181</v>
      </c>
      <c r="K130" s="296">
        <v>220103700</v>
      </c>
      <c r="L130" s="195" t="s">
        <v>1182</v>
      </c>
      <c r="M130" s="297">
        <v>220103700</v>
      </c>
      <c r="N130" s="195" t="s">
        <v>1182</v>
      </c>
      <c r="O130" s="288">
        <v>54</v>
      </c>
      <c r="P130" s="288"/>
      <c r="Q130" s="288">
        <v>54</v>
      </c>
      <c r="R130" s="289">
        <v>2020003630092</v>
      </c>
      <c r="S130" s="195" t="s">
        <v>1183</v>
      </c>
      <c r="T130" s="290">
        <f>SUM($X$129:$X$130)/SUM($X$129:$X$130)</f>
        <v>1</v>
      </c>
      <c r="U130" s="195" t="s">
        <v>1184</v>
      </c>
      <c r="V130" s="227" t="s">
        <v>1185</v>
      </c>
      <c r="W130" s="227" t="s">
        <v>1186</v>
      </c>
      <c r="X130" s="291">
        <v>40000000</v>
      </c>
      <c r="Y130" s="227"/>
      <c r="Z130" s="227"/>
      <c r="AA130" s="227"/>
      <c r="AB130" s="291">
        <f t="shared" si="9"/>
        <v>40000000</v>
      </c>
      <c r="AC130" s="227" t="s">
        <v>1189</v>
      </c>
      <c r="AD130" s="227"/>
      <c r="AE130" s="288">
        <v>20</v>
      </c>
      <c r="AF130" s="195" t="s">
        <v>97</v>
      </c>
      <c r="AG130" s="292">
        <v>19649</v>
      </c>
      <c r="AH130" s="292">
        <v>20118</v>
      </c>
      <c r="AI130" s="292">
        <v>28907</v>
      </c>
      <c r="AJ130" s="292">
        <v>9525</v>
      </c>
      <c r="AK130" s="292">
        <v>1222</v>
      </c>
      <c r="AL130" s="292">
        <v>113</v>
      </c>
      <c r="AM130" s="292">
        <v>297</v>
      </c>
      <c r="AN130" s="292">
        <v>345</v>
      </c>
      <c r="AO130" s="292">
        <v>0</v>
      </c>
      <c r="AP130" s="292">
        <v>0</v>
      </c>
      <c r="AQ130" s="292">
        <v>0</v>
      </c>
      <c r="AR130" s="292">
        <v>0</v>
      </c>
      <c r="AS130" s="292">
        <v>3301</v>
      </c>
      <c r="AT130" s="292">
        <v>113</v>
      </c>
      <c r="AU130" s="292">
        <v>2507</v>
      </c>
      <c r="AV130" s="292">
        <v>39767</v>
      </c>
      <c r="AW130" s="293">
        <v>45292</v>
      </c>
      <c r="AX130" s="293">
        <v>45657</v>
      </c>
      <c r="AY130" s="195" t="s">
        <v>1188</v>
      </c>
    </row>
    <row r="131" spans="1:51" ht="99.95" customHeight="1" x14ac:dyDescent="0.2">
      <c r="A131" s="65">
        <v>1</v>
      </c>
      <c r="B131" s="195" t="s">
        <v>315</v>
      </c>
      <c r="C131" s="205">
        <v>22</v>
      </c>
      <c r="D131" s="195" t="s">
        <v>1002</v>
      </c>
      <c r="E131" s="205">
        <v>2201</v>
      </c>
      <c r="F131" s="195" t="s">
        <v>1003</v>
      </c>
      <c r="G131" s="286">
        <v>2201007</v>
      </c>
      <c r="H131" s="195" t="s">
        <v>1190</v>
      </c>
      <c r="I131" s="286">
        <v>2201073</v>
      </c>
      <c r="J131" s="195" t="s">
        <v>1190</v>
      </c>
      <c r="K131" s="286">
        <v>220100700</v>
      </c>
      <c r="L131" s="195" t="s">
        <v>1191</v>
      </c>
      <c r="M131" s="297">
        <v>220107300</v>
      </c>
      <c r="N131" s="195" t="s">
        <v>1191</v>
      </c>
      <c r="O131" s="288">
        <v>1200</v>
      </c>
      <c r="P131" s="288"/>
      <c r="Q131" s="288">
        <v>1200</v>
      </c>
      <c r="R131" s="289">
        <v>2020003630093</v>
      </c>
      <c r="S131" s="195" t="s">
        <v>1192</v>
      </c>
      <c r="T131" s="500">
        <f>SUM(X131)/SUM(X131:X134)</f>
        <v>0.10638297872340426</v>
      </c>
      <c r="U131" s="195" t="s">
        <v>1193</v>
      </c>
      <c r="V131" s="227" t="s">
        <v>1194</v>
      </c>
      <c r="W131" s="227" t="s">
        <v>1195</v>
      </c>
      <c r="X131" s="291">
        <v>20000000</v>
      </c>
      <c r="Y131" s="227"/>
      <c r="Z131" s="227"/>
      <c r="AA131" s="227"/>
      <c r="AB131" s="291">
        <f t="shared" si="9"/>
        <v>20000000</v>
      </c>
      <c r="AC131" s="227" t="s">
        <v>1196</v>
      </c>
      <c r="AD131" s="227"/>
      <c r="AE131" s="288">
        <v>20</v>
      </c>
      <c r="AF131" s="195" t="s">
        <v>97</v>
      </c>
      <c r="AG131" s="292">
        <v>19649</v>
      </c>
      <c r="AH131" s="292">
        <v>20118</v>
      </c>
      <c r="AI131" s="292">
        <v>28907</v>
      </c>
      <c r="AJ131" s="292">
        <v>9525</v>
      </c>
      <c r="AK131" s="292">
        <v>1222</v>
      </c>
      <c r="AL131" s="292">
        <v>113</v>
      </c>
      <c r="AM131" s="292">
        <v>297</v>
      </c>
      <c r="AN131" s="292">
        <v>345</v>
      </c>
      <c r="AO131" s="292">
        <v>0</v>
      </c>
      <c r="AP131" s="292">
        <v>0</v>
      </c>
      <c r="AQ131" s="292">
        <v>0</v>
      </c>
      <c r="AR131" s="292">
        <v>0</v>
      </c>
      <c r="AS131" s="292">
        <v>3301</v>
      </c>
      <c r="AT131" s="292">
        <v>113</v>
      </c>
      <c r="AU131" s="292">
        <v>2507</v>
      </c>
      <c r="AV131" s="292">
        <v>39767</v>
      </c>
      <c r="AW131" s="293">
        <v>45292</v>
      </c>
      <c r="AX131" s="293">
        <v>45657</v>
      </c>
      <c r="AY131" s="195" t="s">
        <v>1188</v>
      </c>
    </row>
    <row r="132" spans="1:51" ht="99.95" customHeight="1" x14ac:dyDescent="0.2">
      <c r="A132" s="65">
        <v>1</v>
      </c>
      <c r="B132" s="195" t="s">
        <v>315</v>
      </c>
      <c r="C132" s="205">
        <v>22</v>
      </c>
      <c r="D132" s="195" t="s">
        <v>1002</v>
      </c>
      <c r="E132" s="205">
        <v>2201</v>
      </c>
      <c r="F132" s="195" t="s">
        <v>1003</v>
      </c>
      <c r="G132" s="286">
        <v>2201068</v>
      </c>
      <c r="H132" s="195" t="s">
        <v>680</v>
      </c>
      <c r="I132" s="286">
        <v>2201068</v>
      </c>
      <c r="J132" s="195" t="s">
        <v>680</v>
      </c>
      <c r="K132" s="296">
        <v>220106800</v>
      </c>
      <c r="L132" s="195" t="s">
        <v>681</v>
      </c>
      <c r="M132" s="297">
        <v>220106800</v>
      </c>
      <c r="N132" s="195" t="s">
        <v>681</v>
      </c>
      <c r="O132" s="288">
        <v>54</v>
      </c>
      <c r="P132" s="288"/>
      <c r="Q132" s="288">
        <v>54</v>
      </c>
      <c r="R132" s="289">
        <v>2020003630093</v>
      </c>
      <c r="S132" s="195" t="s">
        <v>1192</v>
      </c>
      <c r="T132" s="500">
        <f>SUM(X132)/SUM(X131:X134)</f>
        <v>0.10638297872340426</v>
      </c>
      <c r="U132" s="195" t="s">
        <v>1193</v>
      </c>
      <c r="V132" s="227" t="s">
        <v>1194</v>
      </c>
      <c r="W132" s="227" t="s">
        <v>1197</v>
      </c>
      <c r="X132" s="291">
        <v>20000000</v>
      </c>
      <c r="Y132" s="227"/>
      <c r="Z132" s="227"/>
      <c r="AA132" s="227"/>
      <c r="AB132" s="291">
        <f t="shared" si="9"/>
        <v>20000000</v>
      </c>
      <c r="AC132" s="227" t="s">
        <v>1198</v>
      </c>
      <c r="AD132" s="227"/>
      <c r="AE132" s="288">
        <v>20</v>
      </c>
      <c r="AF132" s="195" t="s">
        <v>97</v>
      </c>
      <c r="AG132" s="292">
        <v>19649</v>
      </c>
      <c r="AH132" s="292">
        <v>20118</v>
      </c>
      <c r="AI132" s="292">
        <v>28907</v>
      </c>
      <c r="AJ132" s="292">
        <v>9525</v>
      </c>
      <c r="AK132" s="292">
        <v>1222</v>
      </c>
      <c r="AL132" s="292">
        <v>113</v>
      </c>
      <c r="AM132" s="292">
        <v>297</v>
      </c>
      <c r="AN132" s="292">
        <v>345</v>
      </c>
      <c r="AO132" s="292">
        <v>0</v>
      </c>
      <c r="AP132" s="292">
        <v>0</v>
      </c>
      <c r="AQ132" s="292">
        <v>0</v>
      </c>
      <c r="AR132" s="292">
        <v>0</v>
      </c>
      <c r="AS132" s="292">
        <v>3301</v>
      </c>
      <c r="AT132" s="292">
        <v>113</v>
      </c>
      <c r="AU132" s="292">
        <v>2507</v>
      </c>
      <c r="AV132" s="292">
        <v>39767</v>
      </c>
      <c r="AW132" s="293">
        <v>45292</v>
      </c>
      <c r="AX132" s="293">
        <v>45657</v>
      </c>
      <c r="AY132" s="195" t="s">
        <v>1188</v>
      </c>
    </row>
    <row r="133" spans="1:51" ht="99.95" customHeight="1" x14ac:dyDescent="0.2">
      <c r="A133" s="65">
        <v>1</v>
      </c>
      <c r="B133" s="195" t="s">
        <v>315</v>
      </c>
      <c r="C133" s="205">
        <v>22</v>
      </c>
      <c r="D133" s="195" t="s">
        <v>1002</v>
      </c>
      <c r="E133" s="205">
        <v>2201</v>
      </c>
      <c r="F133" s="195" t="s">
        <v>1003</v>
      </c>
      <c r="G133" s="286">
        <v>2201026</v>
      </c>
      <c r="H133" s="195" t="s">
        <v>1199</v>
      </c>
      <c r="I133" s="286">
        <v>2201026</v>
      </c>
      <c r="J133" s="195" t="s">
        <v>1199</v>
      </c>
      <c r="K133" s="296">
        <v>220102600</v>
      </c>
      <c r="L133" s="195" t="s">
        <v>1200</v>
      </c>
      <c r="M133" s="297">
        <v>220102600</v>
      </c>
      <c r="N133" s="195" t="s">
        <v>1200</v>
      </c>
      <c r="O133" s="288">
        <v>6</v>
      </c>
      <c r="P133" s="288"/>
      <c r="Q133" s="288">
        <v>6</v>
      </c>
      <c r="R133" s="289">
        <v>2020003630093</v>
      </c>
      <c r="S133" s="195" t="s">
        <v>1192</v>
      </c>
      <c r="T133" s="500">
        <f>SUM($X$133:$X$134)/SUM($X$131:$X$134)</f>
        <v>0.78723404255319152</v>
      </c>
      <c r="U133" s="195" t="s">
        <v>1193</v>
      </c>
      <c r="V133" s="227" t="s">
        <v>1194</v>
      </c>
      <c r="W133" s="227" t="s">
        <v>1201</v>
      </c>
      <c r="X133" s="291">
        <v>70000000</v>
      </c>
      <c r="Y133" s="227"/>
      <c r="Z133" s="227"/>
      <c r="AA133" s="227"/>
      <c r="AB133" s="291">
        <f t="shared" si="9"/>
        <v>70000000</v>
      </c>
      <c r="AC133" s="227" t="s">
        <v>1202</v>
      </c>
      <c r="AD133" s="227"/>
      <c r="AE133" s="288">
        <v>21</v>
      </c>
      <c r="AF133" s="195" t="s">
        <v>1177</v>
      </c>
      <c r="AG133" s="292">
        <v>19649</v>
      </c>
      <c r="AH133" s="292">
        <v>20118</v>
      </c>
      <c r="AI133" s="292">
        <v>28907</v>
      </c>
      <c r="AJ133" s="292">
        <v>9525</v>
      </c>
      <c r="AK133" s="292">
        <v>1222</v>
      </c>
      <c r="AL133" s="292">
        <v>113</v>
      </c>
      <c r="AM133" s="292">
        <v>297</v>
      </c>
      <c r="AN133" s="292">
        <v>345</v>
      </c>
      <c r="AO133" s="292">
        <v>0</v>
      </c>
      <c r="AP133" s="292">
        <v>0</v>
      </c>
      <c r="AQ133" s="292">
        <v>0</v>
      </c>
      <c r="AR133" s="292">
        <v>0</v>
      </c>
      <c r="AS133" s="292">
        <v>3301</v>
      </c>
      <c r="AT133" s="292">
        <v>113</v>
      </c>
      <c r="AU133" s="292">
        <v>2507</v>
      </c>
      <c r="AV133" s="292">
        <v>39767</v>
      </c>
      <c r="AW133" s="293">
        <v>45292</v>
      </c>
      <c r="AX133" s="293">
        <v>45657</v>
      </c>
      <c r="AY133" s="195" t="s">
        <v>1188</v>
      </c>
    </row>
    <row r="134" spans="1:51" ht="99.95" customHeight="1" x14ac:dyDescent="0.2">
      <c r="A134" s="65">
        <v>1</v>
      </c>
      <c r="B134" s="195" t="s">
        <v>315</v>
      </c>
      <c r="C134" s="205">
        <v>22</v>
      </c>
      <c r="D134" s="195" t="s">
        <v>1002</v>
      </c>
      <c r="E134" s="205">
        <v>2201</v>
      </c>
      <c r="F134" s="195" t="s">
        <v>1003</v>
      </c>
      <c r="G134" s="286">
        <v>2201026</v>
      </c>
      <c r="H134" s="195" t="s">
        <v>1199</v>
      </c>
      <c r="I134" s="286">
        <v>2201026</v>
      </c>
      <c r="J134" s="195" t="s">
        <v>1199</v>
      </c>
      <c r="K134" s="296">
        <v>220102600</v>
      </c>
      <c r="L134" s="195" t="s">
        <v>1200</v>
      </c>
      <c r="M134" s="297">
        <v>220102600</v>
      </c>
      <c r="N134" s="195" t="s">
        <v>1200</v>
      </c>
      <c r="O134" s="288">
        <v>6</v>
      </c>
      <c r="P134" s="288"/>
      <c r="Q134" s="288">
        <v>6</v>
      </c>
      <c r="R134" s="289">
        <v>2020003630093</v>
      </c>
      <c r="S134" s="195" t="s">
        <v>1192</v>
      </c>
      <c r="T134" s="500">
        <f>SUM($X$133:$X$134)/SUM($X$131:$X$134)</f>
        <v>0.78723404255319152</v>
      </c>
      <c r="U134" s="195" t="s">
        <v>1193</v>
      </c>
      <c r="V134" s="227" t="s">
        <v>1194</v>
      </c>
      <c r="W134" s="227" t="s">
        <v>1201</v>
      </c>
      <c r="X134" s="291">
        <v>78000000</v>
      </c>
      <c r="Y134" s="227"/>
      <c r="Z134" s="227"/>
      <c r="AA134" s="227"/>
      <c r="AB134" s="291">
        <f t="shared" si="9"/>
        <v>78000000</v>
      </c>
      <c r="AC134" s="227" t="s">
        <v>1203</v>
      </c>
      <c r="AD134" s="227"/>
      <c r="AE134" s="288">
        <v>21</v>
      </c>
      <c r="AF134" s="195" t="s">
        <v>1177</v>
      </c>
      <c r="AG134" s="292">
        <v>19649</v>
      </c>
      <c r="AH134" s="292">
        <v>20118</v>
      </c>
      <c r="AI134" s="292">
        <v>28907</v>
      </c>
      <c r="AJ134" s="292">
        <v>9525</v>
      </c>
      <c r="AK134" s="292">
        <v>1222</v>
      </c>
      <c r="AL134" s="292">
        <v>113</v>
      </c>
      <c r="AM134" s="292">
        <v>297</v>
      </c>
      <c r="AN134" s="292">
        <v>345</v>
      </c>
      <c r="AO134" s="292">
        <v>0</v>
      </c>
      <c r="AP134" s="292">
        <v>0</v>
      </c>
      <c r="AQ134" s="292">
        <v>0</v>
      </c>
      <c r="AR134" s="292">
        <v>0</v>
      </c>
      <c r="AS134" s="292">
        <v>3301</v>
      </c>
      <c r="AT134" s="292">
        <v>113</v>
      </c>
      <c r="AU134" s="292">
        <v>2507</v>
      </c>
      <c r="AV134" s="292">
        <v>39767</v>
      </c>
      <c r="AW134" s="293">
        <v>45292</v>
      </c>
      <c r="AX134" s="293">
        <v>45657</v>
      </c>
      <c r="AY134" s="195" t="s">
        <v>1188</v>
      </c>
    </row>
    <row r="135" spans="1:51" ht="99.95" customHeight="1" x14ac:dyDescent="0.2">
      <c r="A135" s="65">
        <v>1</v>
      </c>
      <c r="B135" s="195" t="s">
        <v>315</v>
      </c>
      <c r="C135" s="205">
        <v>22</v>
      </c>
      <c r="D135" s="195" t="s">
        <v>1002</v>
      </c>
      <c r="E135" s="205">
        <v>2201</v>
      </c>
      <c r="F135" s="195" t="s">
        <v>1003</v>
      </c>
      <c r="G135" s="286">
        <v>2201050</v>
      </c>
      <c r="H135" s="195" t="s">
        <v>1204</v>
      </c>
      <c r="I135" s="286">
        <v>2201050</v>
      </c>
      <c r="J135" s="195" t="s">
        <v>1204</v>
      </c>
      <c r="K135" s="296">
        <v>220105001</v>
      </c>
      <c r="L135" s="195" t="s">
        <v>1205</v>
      </c>
      <c r="M135" s="297">
        <v>220105001</v>
      </c>
      <c r="N135" s="195" t="s">
        <v>1205</v>
      </c>
      <c r="O135" s="288">
        <v>54</v>
      </c>
      <c r="P135" s="288"/>
      <c r="Q135" s="288">
        <v>54</v>
      </c>
      <c r="R135" s="289">
        <v>2020003630094</v>
      </c>
      <c r="S135" s="195" t="s">
        <v>1206</v>
      </c>
      <c r="T135" s="290">
        <f>X135/X135</f>
        <v>1</v>
      </c>
      <c r="U135" s="195" t="s">
        <v>1207</v>
      </c>
      <c r="V135" s="227" t="s">
        <v>1208</v>
      </c>
      <c r="W135" s="227" t="s">
        <v>1209</v>
      </c>
      <c r="X135" s="291">
        <v>684320000</v>
      </c>
      <c r="Y135" s="227"/>
      <c r="Z135" s="227"/>
      <c r="AA135" s="227"/>
      <c r="AB135" s="291">
        <f t="shared" si="9"/>
        <v>684320000</v>
      </c>
      <c r="AC135" s="227" t="s">
        <v>1210</v>
      </c>
      <c r="AD135" s="227"/>
      <c r="AE135" s="288">
        <v>25</v>
      </c>
      <c r="AF135" s="195" t="s">
        <v>1021</v>
      </c>
      <c r="AG135" s="292">
        <v>19649</v>
      </c>
      <c r="AH135" s="292">
        <v>20118</v>
      </c>
      <c r="AI135" s="292">
        <v>28907</v>
      </c>
      <c r="AJ135" s="292">
        <v>9525</v>
      </c>
      <c r="AK135" s="292">
        <v>1222</v>
      </c>
      <c r="AL135" s="292">
        <v>113</v>
      </c>
      <c r="AM135" s="292">
        <v>297</v>
      </c>
      <c r="AN135" s="292">
        <v>345</v>
      </c>
      <c r="AO135" s="292">
        <v>0</v>
      </c>
      <c r="AP135" s="292">
        <v>0</v>
      </c>
      <c r="AQ135" s="292">
        <v>0</v>
      </c>
      <c r="AR135" s="292">
        <v>0</v>
      </c>
      <c r="AS135" s="292">
        <v>3301</v>
      </c>
      <c r="AT135" s="292">
        <v>113</v>
      </c>
      <c r="AU135" s="292">
        <v>2507</v>
      </c>
      <c r="AV135" s="292">
        <v>39767</v>
      </c>
      <c r="AW135" s="293">
        <v>45292</v>
      </c>
      <c r="AX135" s="293">
        <v>45657</v>
      </c>
      <c r="AY135" s="195" t="s">
        <v>1188</v>
      </c>
    </row>
    <row r="136" spans="1:51" ht="99.95" customHeight="1" x14ac:dyDescent="0.2">
      <c r="A136" s="65">
        <v>1</v>
      </c>
      <c r="B136" s="195" t="s">
        <v>315</v>
      </c>
      <c r="C136" s="205">
        <v>22</v>
      </c>
      <c r="D136" s="195" t="s">
        <v>1002</v>
      </c>
      <c r="E136" s="205">
        <v>2201</v>
      </c>
      <c r="F136" s="195" t="s">
        <v>1003</v>
      </c>
      <c r="G136" s="286">
        <v>2201048</v>
      </c>
      <c r="H136" s="195" t="s">
        <v>1211</v>
      </c>
      <c r="I136" s="286">
        <v>2201048</v>
      </c>
      <c r="J136" s="195" t="s">
        <v>1211</v>
      </c>
      <c r="K136" s="286">
        <v>220104801</v>
      </c>
      <c r="L136" s="195" t="s">
        <v>1212</v>
      </c>
      <c r="M136" s="287">
        <v>220104801</v>
      </c>
      <c r="N136" s="195" t="s">
        <v>1212</v>
      </c>
      <c r="O136" s="288">
        <v>1</v>
      </c>
      <c r="P136" s="288"/>
      <c r="Q136" s="288">
        <v>1</v>
      </c>
      <c r="R136" s="289">
        <v>2020003630095</v>
      </c>
      <c r="S136" s="195" t="s">
        <v>1213</v>
      </c>
      <c r="T136" s="290">
        <f>X136/X136</f>
        <v>1</v>
      </c>
      <c r="U136" s="195" t="s">
        <v>1214</v>
      </c>
      <c r="V136" s="227" t="s">
        <v>1215</v>
      </c>
      <c r="W136" s="227" t="s">
        <v>1216</v>
      </c>
      <c r="X136" s="291">
        <v>20000000</v>
      </c>
      <c r="Y136" s="227"/>
      <c r="Z136" s="227"/>
      <c r="AA136" s="227"/>
      <c r="AB136" s="291">
        <f t="shared" si="9"/>
        <v>20000000</v>
      </c>
      <c r="AC136" s="227" t="s">
        <v>1217</v>
      </c>
      <c r="AD136" s="227"/>
      <c r="AE136" s="288">
        <v>20</v>
      </c>
      <c r="AF136" s="195" t="s">
        <v>97</v>
      </c>
      <c r="AG136" s="292">
        <v>19649</v>
      </c>
      <c r="AH136" s="292">
        <v>20118</v>
      </c>
      <c r="AI136" s="292">
        <v>28907</v>
      </c>
      <c r="AJ136" s="292">
        <v>9525</v>
      </c>
      <c r="AK136" s="292">
        <v>1222</v>
      </c>
      <c r="AL136" s="292">
        <v>113</v>
      </c>
      <c r="AM136" s="292">
        <v>297</v>
      </c>
      <c r="AN136" s="292">
        <v>345</v>
      </c>
      <c r="AO136" s="292">
        <v>0</v>
      </c>
      <c r="AP136" s="292">
        <v>0</v>
      </c>
      <c r="AQ136" s="292">
        <v>0</v>
      </c>
      <c r="AR136" s="292">
        <v>0</v>
      </c>
      <c r="AS136" s="292">
        <v>3301</v>
      </c>
      <c r="AT136" s="292">
        <v>113</v>
      </c>
      <c r="AU136" s="292">
        <v>2507</v>
      </c>
      <c r="AV136" s="292">
        <v>39767</v>
      </c>
      <c r="AW136" s="293">
        <v>45292</v>
      </c>
      <c r="AX136" s="293">
        <v>45657</v>
      </c>
      <c r="AY136" s="195" t="s">
        <v>1218</v>
      </c>
    </row>
    <row r="137" spans="1:51" ht="109.5" customHeight="1" x14ac:dyDescent="0.2">
      <c r="A137" s="65">
        <v>1</v>
      </c>
      <c r="B137" s="195" t="s">
        <v>315</v>
      </c>
      <c r="C137" s="205">
        <v>22</v>
      </c>
      <c r="D137" s="195" t="s">
        <v>1002</v>
      </c>
      <c r="E137" s="205" t="s">
        <v>70</v>
      </c>
      <c r="F137" s="195" t="s">
        <v>1219</v>
      </c>
      <c r="G137" s="286" t="s">
        <v>70</v>
      </c>
      <c r="H137" s="195" t="s">
        <v>1220</v>
      </c>
      <c r="I137" s="286" t="s">
        <v>70</v>
      </c>
      <c r="J137" s="195" t="s">
        <v>1220</v>
      </c>
      <c r="K137" s="286" t="s">
        <v>70</v>
      </c>
      <c r="L137" s="195" t="s">
        <v>1221</v>
      </c>
      <c r="M137" s="287" t="s">
        <v>70</v>
      </c>
      <c r="N137" s="195" t="s">
        <v>1221</v>
      </c>
      <c r="O137" s="288">
        <v>2</v>
      </c>
      <c r="P137" s="288"/>
      <c r="Q137" s="288">
        <v>2</v>
      </c>
      <c r="R137" s="289">
        <v>2020003630096</v>
      </c>
      <c r="S137" s="195" t="s">
        <v>1222</v>
      </c>
      <c r="T137" s="290">
        <f>X137/X137</f>
        <v>1</v>
      </c>
      <c r="U137" s="195" t="s">
        <v>1223</v>
      </c>
      <c r="V137" s="227" t="s">
        <v>1224</v>
      </c>
      <c r="W137" s="227" t="s">
        <v>1225</v>
      </c>
      <c r="X137" s="291">
        <v>250000000</v>
      </c>
      <c r="Y137" s="227"/>
      <c r="Z137" s="227"/>
      <c r="AA137" s="227"/>
      <c r="AB137" s="291">
        <f t="shared" si="9"/>
        <v>250000000</v>
      </c>
      <c r="AC137" s="227" t="s">
        <v>1226</v>
      </c>
      <c r="AD137" s="227"/>
      <c r="AE137" s="288">
        <v>20</v>
      </c>
      <c r="AF137" s="195" t="s">
        <v>97</v>
      </c>
      <c r="AG137" s="304">
        <v>3994</v>
      </c>
      <c r="AH137" s="305">
        <v>3934</v>
      </c>
      <c r="AI137" s="305">
        <v>1474</v>
      </c>
      <c r="AJ137" s="305">
        <v>6425</v>
      </c>
      <c r="AK137" s="305">
        <v>29</v>
      </c>
      <c r="AL137" s="305">
        <v>0</v>
      </c>
      <c r="AM137" s="305">
        <v>23</v>
      </c>
      <c r="AN137" s="305">
        <v>101</v>
      </c>
      <c r="AO137" s="305">
        <v>0</v>
      </c>
      <c r="AP137" s="305">
        <v>0</v>
      </c>
      <c r="AQ137" s="305">
        <v>0</v>
      </c>
      <c r="AR137" s="305">
        <v>0</v>
      </c>
      <c r="AS137" s="305">
        <v>664</v>
      </c>
      <c r="AT137" s="305">
        <v>425</v>
      </c>
      <c r="AU137" s="305">
        <v>13</v>
      </c>
      <c r="AV137" s="292">
        <v>7928</v>
      </c>
      <c r="AW137" s="293">
        <v>45292</v>
      </c>
      <c r="AX137" s="293">
        <v>45657</v>
      </c>
      <c r="AY137" s="195" t="s">
        <v>1188</v>
      </c>
    </row>
    <row r="138" spans="1:51" s="237" customFormat="1" ht="32.25" customHeight="1" x14ac:dyDescent="0.2">
      <c r="A138" s="896"/>
      <c r="B138" s="306"/>
      <c r="C138" s="306"/>
      <c r="D138" s="306"/>
      <c r="E138" s="896"/>
      <c r="F138" s="306"/>
      <c r="G138" s="896"/>
      <c r="H138" s="306"/>
      <c r="I138" s="306"/>
      <c r="J138" s="306"/>
      <c r="K138" s="306"/>
      <c r="L138" s="306"/>
      <c r="M138" s="306"/>
      <c r="N138" s="306"/>
      <c r="O138" s="306"/>
      <c r="P138" s="306"/>
      <c r="Q138" s="306"/>
      <c r="R138" s="306"/>
      <c r="S138" s="306"/>
      <c r="T138" s="306"/>
      <c r="U138" s="306"/>
      <c r="V138" s="306"/>
      <c r="W138" s="307" t="s">
        <v>1227</v>
      </c>
      <c r="X138" s="308">
        <f>SUM(X11:X137)</f>
        <v>234747812737.19638</v>
      </c>
      <c r="Y138" s="308">
        <f>SUM(Y11:Y137)</f>
        <v>206683640330.60593</v>
      </c>
      <c r="Z138" s="308">
        <f>SUM(Z11:Z137)</f>
        <v>1728000</v>
      </c>
      <c r="AA138" s="308">
        <f>SUM(AA11:AA137)</f>
        <v>18000000</v>
      </c>
      <c r="AB138" s="308">
        <f>SUM(AB11:AB137)</f>
        <v>28047900406.590405</v>
      </c>
      <c r="AC138" s="306"/>
      <c r="AD138" s="306"/>
      <c r="AE138" s="306"/>
      <c r="AF138" s="306"/>
      <c r="AG138" s="306"/>
      <c r="AH138" s="306"/>
      <c r="AI138" s="306"/>
      <c r="AJ138" s="306"/>
      <c r="AK138" s="306"/>
      <c r="AL138" s="306"/>
      <c r="AM138" s="306"/>
      <c r="AN138" s="306"/>
      <c r="AO138" s="306"/>
      <c r="AP138" s="306"/>
      <c r="AQ138" s="306"/>
      <c r="AR138" s="306"/>
      <c r="AS138" s="306"/>
      <c r="AT138" s="306"/>
      <c r="AU138" s="306"/>
      <c r="AV138" s="306"/>
      <c r="AW138" s="306"/>
      <c r="AX138" s="306"/>
      <c r="AY138" s="306"/>
    </row>
    <row r="139" spans="1:51" ht="45.75" customHeight="1" x14ac:dyDescent="0.2">
      <c r="X139" s="238"/>
      <c r="AB139" s="238"/>
    </row>
    <row r="140" spans="1:51" ht="45.75" customHeight="1" x14ac:dyDescent="0.25">
      <c r="X140" s="238"/>
      <c r="AB140"/>
    </row>
    <row r="141" spans="1:51" ht="28.5" customHeight="1" x14ac:dyDescent="0.25">
      <c r="O141" s="1080" t="s">
        <v>1228</v>
      </c>
      <c r="P141" s="1080"/>
      <c r="Q141" s="1080"/>
      <c r="R141" s="1080"/>
      <c r="S141" s="1080"/>
      <c r="X141" s="238"/>
      <c r="AB141"/>
    </row>
    <row r="142" spans="1:51" ht="24" customHeight="1" x14ac:dyDescent="0.25">
      <c r="O142" s="1080" t="s">
        <v>1229</v>
      </c>
      <c r="P142" s="1080"/>
      <c r="Q142" s="1080"/>
      <c r="R142" s="1080"/>
      <c r="S142" s="1080"/>
      <c r="X142" s="238"/>
      <c r="AB142"/>
    </row>
    <row r="143" spans="1:51" ht="45.75" customHeight="1" x14ac:dyDescent="0.25">
      <c r="X143" s="238"/>
      <c r="AB143"/>
    </row>
    <row r="144" spans="1:51" ht="26.25" customHeight="1" x14ac:dyDescent="0.25">
      <c r="E144" s="1076" t="s">
        <v>113</v>
      </c>
      <c r="F144" s="1076"/>
      <c r="G144" s="1077" t="s">
        <v>114</v>
      </c>
      <c r="H144" s="1078"/>
      <c r="I144" s="1077" t="s">
        <v>115</v>
      </c>
      <c r="J144" s="1078"/>
      <c r="X144" s="238"/>
      <c r="AB144"/>
    </row>
    <row r="145" spans="3:28" ht="24" customHeight="1" x14ac:dyDescent="0.25">
      <c r="E145" s="1076" t="s">
        <v>116</v>
      </c>
      <c r="F145" s="1076"/>
      <c r="G145" s="1077" t="s">
        <v>117</v>
      </c>
      <c r="H145" s="1078"/>
      <c r="I145" s="1076" t="s">
        <v>118</v>
      </c>
      <c r="J145" s="1076"/>
      <c r="AB145"/>
    </row>
    <row r="146" spans="3:28" ht="22.5" customHeight="1" x14ac:dyDescent="0.25">
      <c r="C146" s="1076"/>
      <c r="D146" s="1076"/>
      <c r="E146" s="1076" t="s">
        <v>119</v>
      </c>
      <c r="F146" s="1076"/>
      <c r="G146" s="1077" t="s">
        <v>120</v>
      </c>
      <c r="H146" s="1078"/>
      <c r="I146" s="1076" t="s">
        <v>121</v>
      </c>
      <c r="J146" s="1076"/>
      <c r="AB146"/>
    </row>
    <row r="147" spans="3:28" ht="12.75" hidden="1" x14ac:dyDescent="0.2">
      <c r="C147" s="1076" t="s">
        <v>116</v>
      </c>
      <c r="D147" s="1076"/>
      <c r="E147" s="1077" t="s">
        <v>117</v>
      </c>
      <c r="F147" s="1078"/>
      <c r="G147" s="1076" t="s">
        <v>118</v>
      </c>
      <c r="H147" s="1076"/>
    </row>
    <row r="148" spans="3:28" ht="12.75" hidden="1" x14ac:dyDescent="0.2">
      <c r="C148" s="1076" t="s">
        <v>119</v>
      </c>
      <c r="D148" s="1076"/>
      <c r="E148" s="1077" t="s">
        <v>120</v>
      </c>
      <c r="F148" s="1078"/>
      <c r="G148" s="1076" t="s">
        <v>121</v>
      </c>
      <c r="H148" s="1076"/>
    </row>
    <row r="149" spans="3:28" ht="12.75" hidden="1" x14ac:dyDescent="0.2"/>
    <row r="150" spans="3:28" ht="12.75" hidden="1" x14ac:dyDescent="0.2"/>
    <row r="151" spans="3:28" ht="12.75" hidden="1" x14ac:dyDescent="0.2"/>
  </sheetData>
  <mergeCells count="40">
    <mergeCell ref="O141:S141"/>
    <mergeCell ref="O142:S142"/>
    <mergeCell ref="I144:J144"/>
    <mergeCell ref="E145:F145"/>
    <mergeCell ref="G145:H145"/>
    <mergeCell ref="I145:J145"/>
    <mergeCell ref="I146:J146"/>
    <mergeCell ref="C148:D148"/>
    <mergeCell ref="E148:F148"/>
    <mergeCell ref="G148:H148"/>
    <mergeCell ref="E144:F144"/>
    <mergeCell ref="G144:H144"/>
    <mergeCell ref="C146:D146"/>
    <mergeCell ref="E146:F146"/>
    <mergeCell ref="G146:H146"/>
    <mergeCell ref="C147:D147"/>
    <mergeCell ref="E147:F147"/>
    <mergeCell ref="G147:H147"/>
    <mergeCell ref="A8:B9"/>
    <mergeCell ref="C8:D9"/>
    <mergeCell ref="E8:F9"/>
    <mergeCell ref="G8:J9"/>
    <mergeCell ref="K8:N9"/>
    <mergeCell ref="A1:B7"/>
    <mergeCell ref="C1:AW1"/>
    <mergeCell ref="C2:AW4"/>
    <mergeCell ref="C5:AW5"/>
    <mergeCell ref="C6:AW6"/>
    <mergeCell ref="O8:Q9"/>
    <mergeCell ref="R8:AB9"/>
    <mergeCell ref="AG8:AU8"/>
    <mergeCell ref="AV8:AV10"/>
    <mergeCell ref="AW8:AW10"/>
    <mergeCell ref="AY8:AY10"/>
    <mergeCell ref="AC9:AF9"/>
    <mergeCell ref="AG9:AH9"/>
    <mergeCell ref="AI9:AL9"/>
    <mergeCell ref="AM9:AR9"/>
    <mergeCell ref="AS9:AU9"/>
    <mergeCell ref="AX8:AX10"/>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Administrativa</vt:lpstr>
      <vt:lpstr>Planeación</vt:lpstr>
      <vt:lpstr>Hacienda</vt:lpstr>
      <vt:lpstr>Infraestruc</vt:lpstr>
      <vt:lpstr>Cultura</vt:lpstr>
      <vt:lpstr>Interior</vt:lpstr>
      <vt:lpstr>Turismo</vt:lpstr>
      <vt:lpstr>Privada</vt:lpstr>
      <vt:lpstr>Educación</vt:lpstr>
      <vt:lpstr>Agricultura</vt:lpstr>
      <vt:lpstr>Familia</vt:lpstr>
      <vt:lpstr>Salud</vt:lpstr>
      <vt:lpstr>TIC</vt:lpstr>
      <vt:lpstr>Indeportes</vt:lpstr>
      <vt:lpstr>Proyecta</vt:lpstr>
      <vt:lpstr>IDTQ</vt:lpstr>
      <vt:lpstr>CONSOLIDADO</vt:lpstr>
      <vt:lpstr>Privada!Área_de_impresión</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dc:creator>
  <cp:keywords/>
  <dc:description/>
  <cp:lastModifiedBy>PLANEACIÓN - IDTQ</cp:lastModifiedBy>
  <cp:revision/>
  <dcterms:created xsi:type="dcterms:W3CDTF">2023-12-08T21:45:08Z</dcterms:created>
  <dcterms:modified xsi:type="dcterms:W3CDTF">2024-02-19T17:10:00Z</dcterms:modified>
  <cp:category/>
  <cp:contentStatus/>
</cp:coreProperties>
</file>